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Matheus Geraldi\Downloads\"/>
    </mc:Choice>
  </mc:AlternateContent>
  <xr:revisionPtr revIDLastSave="0" documentId="13_ncr:1_{9F0CEC1D-F790-4BD8-986D-98528092F598}" xr6:coauthVersionLast="47" xr6:coauthVersionMax="47" xr10:uidLastSave="{00000000-0000-0000-0000-000000000000}"/>
  <bookViews>
    <workbookView xWindow="-120" yWindow="-120" windowWidth="29040" windowHeight="15840" tabRatio="883" activeTab="2" xr2:uid="{00000000-000D-0000-FFFF-FFFF00000000}"/>
  </bookViews>
  <sheets>
    <sheet name="Sobre" sheetId="15" r:id="rId1"/>
    <sheet name="Geral" sheetId="11" r:id="rId2"/>
    <sheet name="Envoltória" sheetId="12" r:id="rId3"/>
    <sheet name="ArCondicionado" sheetId="6" r:id="rId4"/>
    <sheet name="Iluminação" sheetId="7" r:id="rId5"/>
    <sheet name="AquecimentoÁgua" sheetId="8" r:id="rId6"/>
    <sheet name="Inf_UsoRacional" sheetId="9" r:id="rId7"/>
    <sheet name="Opc_Geração" sheetId="10" r:id="rId8"/>
    <sheet name="Opc_Simulação" sheetId="5" r:id="rId9"/>
    <sheet name="Resultados" sheetId="18" r:id="rId10"/>
    <sheet name="Componentes" sheetId="14" r:id="rId11"/>
    <sheet name="Aux_Lista" sheetId="3" r:id="rId12"/>
    <sheet name="Aux_TBS" sheetId="17" r:id="rId13"/>
    <sheet name="OIA_Inmetro" sheetId="4" r:id="rId14"/>
    <sheet name="CB3E_Envoltória" sheetId="2" r:id="rId15"/>
    <sheet name="Lista_cidades" sheetId="16" state="hidden" r:id="rId16"/>
  </sheets>
  <definedNames>
    <definedName name="_FilterDatabase" localSheetId="12" hidden="1">Aux_TBS!$A$1:$S$413</definedName>
    <definedName name="_FilterDatabase" localSheetId="14" hidden="1">CB3E_Envoltória!$B$10:$BO$49</definedName>
    <definedName name="_FilterDatabase" localSheetId="2" hidden="1">Envoltória!$B$15:$Y$15</definedName>
    <definedName name="_xlnm._FilterDatabase" localSheetId="11" hidden="1">Aux_Lista!$BL$1:$BT$377</definedName>
    <definedName name="AC">Lista_cidades!$A$2:$A$23</definedName>
    <definedName name="AL">Lista_cidades!$B$2:$B$103</definedName>
    <definedName name="AM">Lista_cidades!$C$2:$C$63</definedName>
    <definedName name="AP">Lista_cidades!$D$2:$D$17</definedName>
    <definedName name="BA">Lista_cidades!$E$2:$E$418</definedName>
    <definedName name="CE">Lista_cidades!$F$2:$F$185</definedName>
    <definedName name="DF">Lista_cidades!$G$2</definedName>
    <definedName name="ES">Lista_cidades!$H$2:$H$79</definedName>
    <definedName name="GO">Lista_cidades!$I$2:$I$247</definedName>
    <definedName name="lista_estados">Lista_cidades!$A$1:$AA$1</definedName>
    <definedName name="MA">Lista_cidades!$J$2:$J$218</definedName>
    <definedName name="MG">Lista_cidades!$K$2:$K$854</definedName>
    <definedName name="MS">Lista_cidades!$L$2:$L$80</definedName>
    <definedName name="MT">Lista_cidades!$M$2:$M$142</definedName>
    <definedName name="PA">Lista_cidades!$N$2:$N$145</definedName>
    <definedName name="PB">Lista_cidades!$O$2:$O$224</definedName>
    <definedName name="PE">Lista_cidades!$P$2:$P$186</definedName>
    <definedName name="PI">Lista_cidades!$Q$2:$Q$225</definedName>
    <definedName name="PR">Lista_cidades!$R$2:$R$400</definedName>
    <definedName name="RJ">Lista_cidades!$S$2:$S$93</definedName>
    <definedName name="RN">Lista_cidades!$T$2:$T$168</definedName>
    <definedName name="RO">Lista_cidades!$U$2:$U$53</definedName>
    <definedName name="RR">Lista_cidades!$V$2:$V$16</definedName>
    <definedName name="RS">Lista_cidades!$W$2:$W$498</definedName>
    <definedName name="SC">Lista_cidades!$X$2:$X$296</definedName>
    <definedName name="SE">Lista_cidades!$Y$2:$Y$76</definedName>
    <definedName name="SP">Lista_cidades!$Z$2:$Z$646</definedName>
    <definedName name="TO">Lista_cidades!$AA$2:$AA$140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11" l="1"/>
  <c r="Y12" i="2"/>
  <c r="Z12" i="2"/>
  <c r="Y13" i="2"/>
  <c r="Z13" i="2"/>
  <c r="Y14" i="2"/>
  <c r="Z14" i="2"/>
  <c r="Y15" i="2"/>
  <c r="Z15" i="2"/>
  <c r="Y16" i="2"/>
  <c r="Z16" i="2"/>
  <c r="Y17" i="2"/>
  <c r="Z17" i="2"/>
  <c r="Y18" i="2"/>
  <c r="Z18" i="2"/>
  <c r="Y19" i="2"/>
  <c r="Z19" i="2"/>
  <c r="Y20" i="2"/>
  <c r="Z20" i="2"/>
  <c r="Y21" i="2"/>
  <c r="Z21" i="2"/>
  <c r="Y22" i="2"/>
  <c r="Z22" i="2"/>
  <c r="Y23" i="2"/>
  <c r="Z23" i="2"/>
  <c r="Y24" i="2"/>
  <c r="Z24" i="2"/>
  <c r="Y25" i="2"/>
  <c r="Z25" i="2"/>
  <c r="Y26" i="2"/>
  <c r="Z26" i="2"/>
  <c r="Y27" i="2"/>
  <c r="Z27" i="2"/>
  <c r="Y28" i="2"/>
  <c r="Z28" i="2"/>
  <c r="Y29" i="2"/>
  <c r="Z29" i="2"/>
  <c r="Y30" i="2"/>
  <c r="Z30" i="2"/>
  <c r="Y31" i="2"/>
  <c r="Z31" i="2"/>
  <c r="Y32" i="2"/>
  <c r="Z32" i="2"/>
  <c r="Y33" i="2"/>
  <c r="Z33" i="2"/>
  <c r="Y34" i="2"/>
  <c r="Z34" i="2"/>
  <c r="Y35" i="2"/>
  <c r="Z35" i="2"/>
  <c r="Y36" i="2"/>
  <c r="Z36" i="2"/>
  <c r="Y37" i="2"/>
  <c r="Z37" i="2"/>
  <c r="Y38" i="2"/>
  <c r="Z38" i="2"/>
  <c r="Y39" i="2"/>
  <c r="Z39" i="2"/>
  <c r="Y40" i="2"/>
  <c r="Z40" i="2"/>
  <c r="Y41" i="2"/>
  <c r="Z41" i="2"/>
  <c r="Y42" i="2"/>
  <c r="Z42" i="2"/>
  <c r="Y43" i="2"/>
  <c r="Z43" i="2"/>
  <c r="Y44" i="2"/>
  <c r="Z44" i="2"/>
  <c r="Y45" i="2"/>
  <c r="Z45" i="2"/>
  <c r="Y46" i="2"/>
  <c r="Z46" i="2"/>
  <c r="Y47" i="2"/>
  <c r="Z47" i="2"/>
  <c r="Y48" i="2"/>
  <c r="Z48" i="2"/>
  <c r="Y49" i="2"/>
  <c r="Z49" i="2"/>
  <c r="Y50" i="2"/>
  <c r="Z50" i="2"/>
  <c r="Y51" i="2"/>
  <c r="Z51" i="2"/>
  <c r="Y52" i="2"/>
  <c r="Z52" i="2"/>
  <c r="Y53" i="2"/>
  <c r="Z53" i="2"/>
  <c r="Y54" i="2"/>
  <c r="Z54" i="2"/>
  <c r="Y55" i="2"/>
  <c r="Z55" i="2"/>
  <c r="Y56" i="2"/>
  <c r="Z56" i="2"/>
  <c r="Y57" i="2"/>
  <c r="Z57" i="2"/>
  <c r="Y58" i="2"/>
  <c r="Z58" i="2"/>
  <c r="Y59" i="2"/>
  <c r="Z59" i="2"/>
  <c r="Y60" i="2"/>
  <c r="Z60" i="2"/>
  <c r="Y61" i="2"/>
  <c r="Z61" i="2"/>
  <c r="Y62" i="2"/>
  <c r="Z62" i="2"/>
  <c r="Y63" i="2"/>
  <c r="Z63" i="2"/>
  <c r="Y64" i="2"/>
  <c r="Z64" i="2"/>
  <c r="Y65" i="2"/>
  <c r="Z65" i="2"/>
  <c r="Y66" i="2"/>
  <c r="Z66" i="2"/>
  <c r="Y67" i="2"/>
  <c r="Z67" i="2"/>
  <c r="Y68" i="2"/>
  <c r="Z68" i="2"/>
  <c r="Y69" i="2"/>
  <c r="Z69" i="2"/>
  <c r="Y70" i="2"/>
  <c r="Z70" i="2"/>
  <c r="Y71" i="2"/>
  <c r="Z71" i="2"/>
  <c r="Y72" i="2"/>
  <c r="Z72" i="2"/>
  <c r="Y73" i="2"/>
  <c r="Z73" i="2"/>
  <c r="Y74" i="2"/>
  <c r="Z74" i="2"/>
  <c r="Y75" i="2"/>
  <c r="Z75" i="2"/>
  <c r="Y76" i="2"/>
  <c r="Z76" i="2"/>
  <c r="Y77" i="2"/>
  <c r="Z77" i="2"/>
  <c r="Y78" i="2"/>
  <c r="Z78" i="2"/>
  <c r="Y79" i="2"/>
  <c r="Z79" i="2"/>
  <c r="Y80" i="2"/>
  <c r="Z80" i="2"/>
  <c r="Y81" i="2"/>
  <c r="Z81" i="2"/>
  <c r="Y82" i="2"/>
  <c r="Z82" i="2"/>
  <c r="Y83" i="2"/>
  <c r="Z83" i="2"/>
  <c r="Y84" i="2"/>
  <c r="Z84" i="2"/>
  <c r="Y85" i="2"/>
  <c r="Z85" i="2"/>
  <c r="Y86" i="2"/>
  <c r="Z86" i="2"/>
  <c r="Y87" i="2"/>
  <c r="Z87" i="2"/>
  <c r="Y88" i="2"/>
  <c r="Z88" i="2"/>
  <c r="Y89" i="2"/>
  <c r="Z89" i="2"/>
  <c r="Y90" i="2"/>
  <c r="Z90" i="2"/>
  <c r="Y91" i="2"/>
  <c r="Z91" i="2"/>
  <c r="Y92" i="2"/>
  <c r="Z92" i="2"/>
  <c r="Y93" i="2"/>
  <c r="Z93" i="2"/>
  <c r="Y94" i="2"/>
  <c r="Z94" i="2"/>
  <c r="Y95" i="2"/>
  <c r="Z95" i="2"/>
  <c r="Y96" i="2"/>
  <c r="Z96" i="2"/>
  <c r="Y97" i="2"/>
  <c r="Z97" i="2"/>
  <c r="Y98" i="2"/>
  <c r="Z98" i="2"/>
  <c r="Y99" i="2"/>
  <c r="Z99" i="2"/>
  <c r="Y100" i="2"/>
  <c r="Z100" i="2"/>
  <c r="Y101" i="2"/>
  <c r="Z101" i="2"/>
  <c r="Y102" i="2"/>
  <c r="Z102" i="2"/>
  <c r="Y103" i="2"/>
  <c r="Z103" i="2"/>
  <c r="Y104" i="2"/>
  <c r="Z104" i="2"/>
  <c r="Y105" i="2"/>
  <c r="Z105" i="2"/>
  <c r="Y106" i="2"/>
  <c r="Z106" i="2"/>
  <c r="Y107" i="2"/>
  <c r="Z107" i="2"/>
  <c r="Y108" i="2"/>
  <c r="Z108" i="2"/>
  <c r="Y109" i="2"/>
  <c r="Z109" i="2"/>
  <c r="Y110" i="2"/>
  <c r="Z110" i="2"/>
  <c r="Z11" i="2"/>
  <c r="Y11" i="2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AD14" i="14"/>
  <c r="W20" i="12"/>
  <c r="CA42" i="2" l="1"/>
  <c r="CA41" i="2"/>
  <c r="CA40" i="2"/>
  <c r="CA39" i="2"/>
  <c r="CA38" i="2"/>
  <c r="CA37" i="2"/>
  <c r="CA36" i="2"/>
  <c r="CA35" i="2"/>
  <c r="BG11" i="2"/>
  <c r="BF15" i="2"/>
  <c r="AP15" i="2" s="1"/>
  <c r="BF11" i="2"/>
  <c r="Q11" i="2" s="1"/>
  <c r="X16" i="12"/>
  <c r="BC11" i="2"/>
  <c r="BF12" i="2"/>
  <c r="O12" i="2" s="1"/>
  <c r="BF13" i="2"/>
  <c r="O13" i="2" s="1"/>
  <c r="BF14" i="2"/>
  <c r="P14" i="2" s="1"/>
  <c r="BF16" i="2"/>
  <c r="AP16" i="2" s="1"/>
  <c r="BF17" i="2"/>
  <c r="BF18" i="2"/>
  <c r="AP18" i="2" s="1"/>
  <c r="BF19" i="2"/>
  <c r="O19" i="2" s="1"/>
  <c r="BF20" i="2"/>
  <c r="BF21" i="2"/>
  <c r="BF22" i="2"/>
  <c r="I22" i="2" s="1"/>
  <c r="BF23" i="2"/>
  <c r="I23" i="2" s="1"/>
  <c r="BF24" i="2"/>
  <c r="P24" i="2" s="1"/>
  <c r="BF25" i="2"/>
  <c r="P25" i="2" s="1"/>
  <c r="BF26" i="2"/>
  <c r="P26" i="2" s="1"/>
  <c r="BF27" i="2"/>
  <c r="BE27" i="2" s="1"/>
  <c r="BF28" i="2"/>
  <c r="BE28" i="2" s="1"/>
  <c r="BF29" i="2"/>
  <c r="AQ29" i="2" s="1"/>
  <c r="BF30" i="2"/>
  <c r="AQ30" i="2" s="1"/>
  <c r="BF31" i="2"/>
  <c r="AQ31" i="2" s="1"/>
  <c r="BF32" i="2"/>
  <c r="AQ32" i="2" s="1"/>
  <c r="BF33" i="2"/>
  <c r="Q33" i="2" s="1"/>
  <c r="BF34" i="2"/>
  <c r="Q34" i="2" s="1"/>
  <c r="BF35" i="2"/>
  <c r="AP35" i="2" s="1"/>
  <c r="BF36" i="2"/>
  <c r="AP36" i="2" s="1"/>
  <c r="BF37" i="2"/>
  <c r="AP37" i="2" s="1"/>
  <c r="BF38" i="2"/>
  <c r="AP38" i="2" s="1"/>
  <c r="BF39" i="2"/>
  <c r="O39" i="2" s="1"/>
  <c r="BF40" i="2"/>
  <c r="BF41" i="2"/>
  <c r="BF42" i="2"/>
  <c r="I42" i="2" s="1"/>
  <c r="BF43" i="2"/>
  <c r="I43" i="2" s="1"/>
  <c r="BF44" i="2"/>
  <c r="P44" i="2" s="1"/>
  <c r="BF45" i="2"/>
  <c r="P45" i="2" s="1"/>
  <c r="BF46" i="2"/>
  <c r="P46" i="2" s="1"/>
  <c r="BF47" i="2"/>
  <c r="BE47" i="2" s="1"/>
  <c r="BF48" i="2"/>
  <c r="BE48" i="2" s="1"/>
  <c r="BF49" i="2"/>
  <c r="AQ49" i="2" s="1"/>
  <c r="BF50" i="2"/>
  <c r="AQ50" i="2" s="1"/>
  <c r="BF51" i="2"/>
  <c r="AQ51" i="2" s="1"/>
  <c r="BF52" i="2"/>
  <c r="AQ52" i="2" s="1"/>
  <c r="BF53" i="2"/>
  <c r="Q53" i="2" s="1"/>
  <c r="BF54" i="2"/>
  <c r="Q54" i="2" s="1"/>
  <c r="BF55" i="2"/>
  <c r="AP55" i="2" s="1"/>
  <c r="BF56" i="2"/>
  <c r="AP56" i="2" s="1"/>
  <c r="BF57" i="2"/>
  <c r="AP57" i="2" s="1"/>
  <c r="BF58" i="2"/>
  <c r="AP58" i="2" s="1"/>
  <c r="BF59" i="2"/>
  <c r="O59" i="2" s="1"/>
  <c r="BF60" i="2"/>
  <c r="BF61" i="2"/>
  <c r="BF62" i="2"/>
  <c r="I62" i="2" s="1"/>
  <c r="BF63" i="2"/>
  <c r="I63" i="2" s="1"/>
  <c r="BF64" i="2"/>
  <c r="P64" i="2" s="1"/>
  <c r="BF65" i="2"/>
  <c r="P65" i="2" s="1"/>
  <c r="BF66" i="2"/>
  <c r="P66" i="2" s="1"/>
  <c r="BF67" i="2"/>
  <c r="BE67" i="2" s="1"/>
  <c r="BF68" i="2"/>
  <c r="BE68" i="2" s="1"/>
  <c r="BF69" i="2"/>
  <c r="AQ69" i="2" s="1"/>
  <c r="BF70" i="2"/>
  <c r="AQ70" i="2" s="1"/>
  <c r="BF71" i="2"/>
  <c r="AQ71" i="2" s="1"/>
  <c r="BF72" i="2"/>
  <c r="AQ72" i="2" s="1"/>
  <c r="BF73" i="2"/>
  <c r="Q73" i="2" s="1"/>
  <c r="BF74" i="2"/>
  <c r="Q74" i="2" s="1"/>
  <c r="BF75" i="2"/>
  <c r="AP75" i="2" s="1"/>
  <c r="BF76" i="2"/>
  <c r="AP76" i="2" s="1"/>
  <c r="BF77" i="2"/>
  <c r="AP77" i="2" s="1"/>
  <c r="BF78" i="2"/>
  <c r="AP78" i="2" s="1"/>
  <c r="BF79" i="2"/>
  <c r="O79" i="2" s="1"/>
  <c r="BF80" i="2"/>
  <c r="BF81" i="2"/>
  <c r="BF82" i="2"/>
  <c r="I82" i="2" s="1"/>
  <c r="BF83" i="2"/>
  <c r="I83" i="2" s="1"/>
  <c r="BF84" i="2"/>
  <c r="P84" i="2" s="1"/>
  <c r="BF85" i="2"/>
  <c r="P85" i="2" s="1"/>
  <c r="BF86" i="2"/>
  <c r="P86" i="2" s="1"/>
  <c r="BF87" i="2"/>
  <c r="BE87" i="2" s="1"/>
  <c r="BF88" i="2"/>
  <c r="BE88" i="2" s="1"/>
  <c r="BF89" i="2"/>
  <c r="AQ89" i="2" s="1"/>
  <c r="BF90" i="2"/>
  <c r="AQ90" i="2" s="1"/>
  <c r="BF91" i="2"/>
  <c r="AQ91" i="2" s="1"/>
  <c r="BF92" i="2"/>
  <c r="AQ92" i="2" s="1"/>
  <c r="BF93" i="2"/>
  <c r="Q93" i="2" s="1"/>
  <c r="BF94" i="2"/>
  <c r="Q94" i="2" s="1"/>
  <c r="BF95" i="2"/>
  <c r="AP95" i="2" s="1"/>
  <c r="BF96" i="2"/>
  <c r="AP96" i="2" s="1"/>
  <c r="BF97" i="2"/>
  <c r="AP97" i="2" s="1"/>
  <c r="BF98" i="2"/>
  <c r="AP98" i="2" s="1"/>
  <c r="BF99" i="2"/>
  <c r="O99" i="2" s="1"/>
  <c r="BF100" i="2"/>
  <c r="BF101" i="2"/>
  <c r="BF102" i="2"/>
  <c r="I102" i="2" s="1"/>
  <c r="BF103" i="2"/>
  <c r="I103" i="2" s="1"/>
  <c r="BF104" i="2"/>
  <c r="P104" i="2" s="1"/>
  <c r="BF105" i="2"/>
  <c r="P105" i="2" s="1"/>
  <c r="BF106" i="2"/>
  <c r="P106" i="2" s="1"/>
  <c r="BF107" i="2"/>
  <c r="BE107" i="2" s="1"/>
  <c r="BF108" i="2"/>
  <c r="BE108" i="2" s="1"/>
  <c r="BF109" i="2"/>
  <c r="AQ109" i="2" s="1"/>
  <c r="BF110" i="2"/>
  <c r="AQ110" i="2" s="1"/>
  <c r="BA11" i="2"/>
  <c r="W17" i="12"/>
  <c r="W18" i="12"/>
  <c r="W19" i="1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46" i="12"/>
  <c r="W47" i="12"/>
  <c r="W48" i="12"/>
  <c r="W49" i="12"/>
  <c r="W50" i="12"/>
  <c r="W51" i="12"/>
  <c r="W52" i="12"/>
  <c r="W53" i="12"/>
  <c r="W54" i="12"/>
  <c r="W55" i="12"/>
  <c r="W56" i="12"/>
  <c r="W57" i="12"/>
  <c r="W58" i="12"/>
  <c r="W59" i="12"/>
  <c r="W60" i="12"/>
  <c r="W61" i="12"/>
  <c r="W62" i="12"/>
  <c r="W63" i="12"/>
  <c r="W64" i="12"/>
  <c r="W65" i="12"/>
  <c r="W66" i="12"/>
  <c r="W67" i="12"/>
  <c r="W68" i="12"/>
  <c r="W69" i="12"/>
  <c r="W70" i="12"/>
  <c r="W71" i="12"/>
  <c r="W72" i="12"/>
  <c r="W73" i="12"/>
  <c r="W74" i="12"/>
  <c r="W75" i="12"/>
  <c r="W76" i="12"/>
  <c r="W77" i="12"/>
  <c r="W78" i="12"/>
  <c r="W79" i="12"/>
  <c r="W80" i="12"/>
  <c r="W81" i="12"/>
  <c r="W82" i="12"/>
  <c r="W83" i="12"/>
  <c r="W84" i="12"/>
  <c r="W85" i="12"/>
  <c r="W86" i="12"/>
  <c r="W87" i="12"/>
  <c r="W88" i="12"/>
  <c r="W89" i="12"/>
  <c r="W90" i="12"/>
  <c r="W91" i="12"/>
  <c r="W92" i="12"/>
  <c r="W93" i="12"/>
  <c r="W94" i="12"/>
  <c r="W95" i="12"/>
  <c r="W96" i="12"/>
  <c r="W97" i="12"/>
  <c r="W98" i="12"/>
  <c r="W99" i="12"/>
  <c r="W100" i="12"/>
  <c r="W101" i="12"/>
  <c r="W102" i="12"/>
  <c r="W103" i="12"/>
  <c r="W104" i="12"/>
  <c r="W105" i="12"/>
  <c r="W106" i="12"/>
  <c r="W107" i="12"/>
  <c r="W108" i="12"/>
  <c r="W109" i="12"/>
  <c r="W110" i="12"/>
  <c r="W111" i="12"/>
  <c r="W112" i="12"/>
  <c r="W113" i="12"/>
  <c r="W114" i="12"/>
  <c r="W115" i="12"/>
  <c r="X17" i="12"/>
  <c r="Y17" i="12"/>
  <c r="X18" i="12"/>
  <c r="Y18" i="12"/>
  <c r="X19" i="12"/>
  <c r="Y19" i="12"/>
  <c r="X20" i="12"/>
  <c r="Y20" i="12"/>
  <c r="X21" i="12"/>
  <c r="Y21" i="12"/>
  <c r="X22" i="12"/>
  <c r="Y22" i="12"/>
  <c r="X23" i="12"/>
  <c r="Y23" i="12"/>
  <c r="X24" i="12"/>
  <c r="Y24" i="12"/>
  <c r="X25" i="12"/>
  <c r="Y25" i="12"/>
  <c r="X26" i="12"/>
  <c r="Y26" i="12"/>
  <c r="X27" i="12"/>
  <c r="Y27" i="12"/>
  <c r="X28" i="12"/>
  <c r="Y28" i="12"/>
  <c r="X29" i="12"/>
  <c r="Y29" i="12"/>
  <c r="X30" i="12"/>
  <c r="Y30" i="12"/>
  <c r="X31" i="12"/>
  <c r="Y31" i="12"/>
  <c r="X32" i="12"/>
  <c r="Y32" i="12"/>
  <c r="X33" i="12"/>
  <c r="Y33" i="12"/>
  <c r="X34" i="12"/>
  <c r="Y34" i="12"/>
  <c r="X35" i="12"/>
  <c r="Y35" i="12"/>
  <c r="X36" i="12"/>
  <c r="Y36" i="12"/>
  <c r="X37" i="12"/>
  <c r="Y37" i="12"/>
  <c r="X38" i="12"/>
  <c r="Y38" i="12"/>
  <c r="X39" i="12"/>
  <c r="Y39" i="12"/>
  <c r="X40" i="12"/>
  <c r="Y40" i="12"/>
  <c r="X41" i="12"/>
  <c r="Y41" i="12"/>
  <c r="X42" i="12"/>
  <c r="Y42" i="12"/>
  <c r="X43" i="12"/>
  <c r="Y43" i="12"/>
  <c r="X44" i="12"/>
  <c r="Y44" i="12"/>
  <c r="X45" i="12"/>
  <c r="Y45" i="12"/>
  <c r="X46" i="12"/>
  <c r="Y46" i="12"/>
  <c r="X47" i="12"/>
  <c r="Y47" i="12"/>
  <c r="X48" i="12"/>
  <c r="Y48" i="12"/>
  <c r="X49" i="12"/>
  <c r="Y49" i="12"/>
  <c r="X50" i="12"/>
  <c r="Y50" i="12"/>
  <c r="X51" i="12"/>
  <c r="Y51" i="12"/>
  <c r="X52" i="12"/>
  <c r="Y52" i="12"/>
  <c r="X53" i="12"/>
  <c r="Y53" i="12"/>
  <c r="X54" i="12"/>
  <c r="Y54" i="12"/>
  <c r="X55" i="12"/>
  <c r="Y55" i="12"/>
  <c r="X56" i="12"/>
  <c r="Y56" i="12"/>
  <c r="X57" i="12"/>
  <c r="Y57" i="12"/>
  <c r="X58" i="12"/>
  <c r="Y58" i="12"/>
  <c r="X59" i="12"/>
  <c r="Y59" i="12"/>
  <c r="X60" i="12"/>
  <c r="Y60" i="12"/>
  <c r="X61" i="12"/>
  <c r="Y61" i="12"/>
  <c r="X62" i="12"/>
  <c r="Y62" i="12"/>
  <c r="X63" i="12"/>
  <c r="Y63" i="12"/>
  <c r="X64" i="12"/>
  <c r="Y64" i="12"/>
  <c r="X65" i="12"/>
  <c r="Y65" i="12"/>
  <c r="X66" i="12"/>
  <c r="Y66" i="12"/>
  <c r="X67" i="12"/>
  <c r="Y67" i="12"/>
  <c r="X68" i="12"/>
  <c r="Y68" i="12"/>
  <c r="X69" i="12"/>
  <c r="Y69" i="12"/>
  <c r="X70" i="12"/>
  <c r="Y70" i="12"/>
  <c r="X71" i="12"/>
  <c r="Y71" i="12"/>
  <c r="X72" i="12"/>
  <c r="Y72" i="12"/>
  <c r="X73" i="12"/>
  <c r="Y73" i="12"/>
  <c r="X74" i="12"/>
  <c r="Y74" i="12"/>
  <c r="X75" i="12"/>
  <c r="Y75" i="12"/>
  <c r="X76" i="12"/>
  <c r="Y76" i="12"/>
  <c r="X77" i="12"/>
  <c r="Y77" i="12"/>
  <c r="X78" i="12"/>
  <c r="Y78" i="12"/>
  <c r="X79" i="12"/>
  <c r="Y79" i="12"/>
  <c r="X80" i="12"/>
  <c r="Y80" i="12"/>
  <c r="X81" i="12"/>
  <c r="Y81" i="12"/>
  <c r="X82" i="12"/>
  <c r="Y82" i="12"/>
  <c r="X83" i="12"/>
  <c r="Y83" i="12"/>
  <c r="X84" i="12"/>
  <c r="Y84" i="12"/>
  <c r="X85" i="12"/>
  <c r="Y85" i="12"/>
  <c r="X86" i="12"/>
  <c r="Y86" i="12"/>
  <c r="X87" i="12"/>
  <c r="Y87" i="12"/>
  <c r="X88" i="12"/>
  <c r="Y88" i="12"/>
  <c r="X89" i="12"/>
  <c r="Y89" i="12"/>
  <c r="X90" i="12"/>
  <c r="Y90" i="12"/>
  <c r="X91" i="12"/>
  <c r="Y91" i="12"/>
  <c r="X92" i="12"/>
  <c r="Y92" i="12"/>
  <c r="X93" i="12"/>
  <c r="Y93" i="12"/>
  <c r="X94" i="12"/>
  <c r="Y94" i="12"/>
  <c r="X95" i="12"/>
  <c r="Y95" i="12"/>
  <c r="X96" i="12"/>
  <c r="Y96" i="12"/>
  <c r="X97" i="12"/>
  <c r="Y97" i="12"/>
  <c r="X98" i="12"/>
  <c r="Y98" i="12"/>
  <c r="X99" i="12"/>
  <c r="Y99" i="12"/>
  <c r="X100" i="12"/>
  <c r="Y100" i="12"/>
  <c r="X101" i="12"/>
  <c r="Y101" i="12"/>
  <c r="X102" i="12"/>
  <c r="Y102" i="12"/>
  <c r="X103" i="12"/>
  <c r="Y103" i="12"/>
  <c r="X104" i="12"/>
  <c r="Y104" i="12"/>
  <c r="X105" i="12"/>
  <c r="Y105" i="12"/>
  <c r="X106" i="12"/>
  <c r="Y106" i="12"/>
  <c r="X107" i="12"/>
  <c r="Y107" i="12"/>
  <c r="X108" i="12"/>
  <c r="Y108" i="12"/>
  <c r="X109" i="12"/>
  <c r="Y109" i="12"/>
  <c r="X110" i="12"/>
  <c r="Y110" i="12"/>
  <c r="X111" i="12"/>
  <c r="Y111" i="12"/>
  <c r="X112" i="12"/>
  <c r="Y112" i="12"/>
  <c r="X113" i="12"/>
  <c r="Y113" i="12"/>
  <c r="X114" i="12"/>
  <c r="Y114" i="12"/>
  <c r="X115" i="12"/>
  <c r="Y115" i="12"/>
  <c r="Y16" i="12"/>
  <c r="X11" i="2"/>
  <c r="W16" i="12"/>
  <c r="BG12" i="2"/>
  <c r="BH12" i="2"/>
  <c r="BI12" i="2"/>
  <c r="BJ12" i="2"/>
  <c r="BK12" i="2"/>
  <c r="BL12" i="2"/>
  <c r="BM12" i="2"/>
  <c r="BN12" i="2"/>
  <c r="BO12" i="2"/>
  <c r="BG13" i="2"/>
  <c r="BH13" i="2"/>
  <c r="BI13" i="2"/>
  <c r="BJ13" i="2"/>
  <c r="BK13" i="2"/>
  <c r="BL13" i="2"/>
  <c r="BM13" i="2"/>
  <c r="BN13" i="2"/>
  <c r="BO13" i="2"/>
  <c r="BG14" i="2"/>
  <c r="BH14" i="2"/>
  <c r="BI14" i="2"/>
  <c r="BJ14" i="2"/>
  <c r="BK14" i="2"/>
  <c r="BL14" i="2"/>
  <c r="BM14" i="2"/>
  <c r="BN14" i="2"/>
  <c r="BO14" i="2"/>
  <c r="BG15" i="2"/>
  <c r="BH15" i="2"/>
  <c r="BI15" i="2"/>
  <c r="BJ15" i="2"/>
  <c r="BK15" i="2"/>
  <c r="BL15" i="2"/>
  <c r="BM15" i="2"/>
  <c r="BN15" i="2"/>
  <c r="BO15" i="2"/>
  <c r="BG16" i="2"/>
  <c r="BH16" i="2"/>
  <c r="BI16" i="2"/>
  <c r="BJ16" i="2"/>
  <c r="BK16" i="2"/>
  <c r="BL16" i="2"/>
  <c r="BM16" i="2"/>
  <c r="BN16" i="2"/>
  <c r="BO16" i="2"/>
  <c r="BG17" i="2"/>
  <c r="BH17" i="2"/>
  <c r="BI17" i="2"/>
  <c r="BJ17" i="2"/>
  <c r="BK17" i="2"/>
  <c r="BL17" i="2"/>
  <c r="BM17" i="2"/>
  <c r="BN17" i="2"/>
  <c r="BO17" i="2"/>
  <c r="BG18" i="2"/>
  <c r="BH18" i="2"/>
  <c r="BI18" i="2"/>
  <c r="BJ18" i="2"/>
  <c r="BK18" i="2"/>
  <c r="BL18" i="2"/>
  <c r="BM18" i="2"/>
  <c r="BN18" i="2"/>
  <c r="BO18" i="2"/>
  <c r="BG19" i="2"/>
  <c r="BH19" i="2"/>
  <c r="BI19" i="2"/>
  <c r="BJ19" i="2"/>
  <c r="BK19" i="2"/>
  <c r="BL19" i="2"/>
  <c r="BM19" i="2"/>
  <c r="BN19" i="2"/>
  <c r="BO19" i="2"/>
  <c r="BG20" i="2"/>
  <c r="BH20" i="2"/>
  <c r="BI20" i="2"/>
  <c r="BJ20" i="2"/>
  <c r="BK20" i="2"/>
  <c r="BL20" i="2"/>
  <c r="BM20" i="2"/>
  <c r="BN20" i="2"/>
  <c r="BO20" i="2"/>
  <c r="BG21" i="2"/>
  <c r="BH21" i="2"/>
  <c r="BI21" i="2"/>
  <c r="BJ21" i="2"/>
  <c r="BK21" i="2"/>
  <c r="BL21" i="2"/>
  <c r="BM21" i="2"/>
  <c r="BN21" i="2"/>
  <c r="BO21" i="2"/>
  <c r="BG22" i="2"/>
  <c r="BH22" i="2"/>
  <c r="BI22" i="2"/>
  <c r="BJ22" i="2"/>
  <c r="BK22" i="2"/>
  <c r="BL22" i="2"/>
  <c r="BM22" i="2"/>
  <c r="BN22" i="2"/>
  <c r="BO22" i="2"/>
  <c r="BG23" i="2"/>
  <c r="BH23" i="2"/>
  <c r="BI23" i="2"/>
  <c r="BJ23" i="2"/>
  <c r="BK23" i="2"/>
  <c r="BL23" i="2"/>
  <c r="BM23" i="2"/>
  <c r="BN23" i="2"/>
  <c r="BO23" i="2"/>
  <c r="BG24" i="2"/>
  <c r="BH24" i="2"/>
  <c r="BI24" i="2"/>
  <c r="BJ24" i="2"/>
  <c r="BK24" i="2"/>
  <c r="BL24" i="2"/>
  <c r="BM24" i="2"/>
  <c r="BN24" i="2"/>
  <c r="BO24" i="2"/>
  <c r="BG25" i="2"/>
  <c r="BH25" i="2"/>
  <c r="BI25" i="2"/>
  <c r="BJ25" i="2"/>
  <c r="BK25" i="2"/>
  <c r="BL25" i="2"/>
  <c r="BM25" i="2"/>
  <c r="BN25" i="2"/>
  <c r="BO25" i="2"/>
  <c r="BG26" i="2"/>
  <c r="BH26" i="2"/>
  <c r="BI26" i="2"/>
  <c r="BJ26" i="2"/>
  <c r="BK26" i="2"/>
  <c r="BL26" i="2"/>
  <c r="BM26" i="2"/>
  <c r="BN26" i="2"/>
  <c r="BO26" i="2"/>
  <c r="BG27" i="2"/>
  <c r="BH27" i="2"/>
  <c r="BI27" i="2"/>
  <c r="BJ27" i="2"/>
  <c r="BK27" i="2"/>
  <c r="BL27" i="2"/>
  <c r="BM27" i="2"/>
  <c r="BN27" i="2"/>
  <c r="BO27" i="2"/>
  <c r="BG28" i="2"/>
  <c r="BH28" i="2"/>
  <c r="BI28" i="2"/>
  <c r="BJ28" i="2"/>
  <c r="BK28" i="2"/>
  <c r="BL28" i="2"/>
  <c r="BM28" i="2"/>
  <c r="BN28" i="2"/>
  <c r="BO28" i="2"/>
  <c r="BG29" i="2"/>
  <c r="BH29" i="2"/>
  <c r="BI29" i="2"/>
  <c r="BJ29" i="2"/>
  <c r="BK29" i="2"/>
  <c r="BL29" i="2"/>
  <c r="BM29" i="2"/>
  <c r="BN29" i="2"/>
  <c r="BO29" i="2"/>
  <c r="BG30" i="2"/>
  <c r="BH30" i="2"/>
  <c r="BI30" i="2"/>
  <c r="BJ30" i="2"/>
  <c r="BK30" i="2"/>
  <c r="BL30" i="2"/>
  <c r="BM30" i="2"/>
  <c r="BN30" i="2"/>
  <c r="BO30" i="2"/>
  <c r="BG31" i="2"/>
  <c r="BH31" i="2"/>
  <c r="BI31" i="2"/>
  <c r="BJ31" i="2"/>
  <c r="BK31" i="2"/>
  <c r="BL31" i="2"/>
  <c r="BM31" i="2"/>
  <c r="BN31" i="2"/>
  <c r="BO31" i="2"/>
  <c r="BG32" i="2"/>
  <c r="BH32" i="2"/>
  <c r="BI32" i="2"/>
  <c r="BJ32" i="2"/>
  <c r="BK32" i="2"/>
  <c r="BL32" i="2"/>
  <c r="BM32" i="2"/>
  <c r="BN32" i="2"/>
  <c r="BO32" i="2"/>
  <c r="BG33" i="2"/>
  <c r="BH33" i="2"/>
  <c r="BI33" i="2"/>
  <c r="BJ33" i="2"/>
  <c r="BK33" i="2"/>
  <c r="BL33" i="2"/>
  <c r="BM33" i="2"/>
  <c r="BN33" i="2"/>
  <c r="BO33" i="2"/>
  <c r="BG34" i="2"/>
  <c r="BH34" i="2"/>
  <c r="BI34" i="2"/>
  <c r="BJ34" i="2"/>
  <c r="BK34" i="2"/>
  <c r="BL34" i="2"/>
  <c r="BM34" i="2"/>
  <c r="BN34" i="2"/>
  <c r="BO34" i="2"/>
  <c r="BG35" i="2"/>
  <c r="BH35" i="2"/>
  <c r="BI35" i="2"/>
  <c r="BJ35" i="2"/>
  <c r="BK35" i="2"/>
  <c r="BL35" i="2"/>
  <c r="BM35" i="2"/>
  <c r="BN35" i="2"/>
  <c r="BO35" i="2"/>
  <c r="BG36" i="2"/>
  <c r="BH36" i="2"/>
  <c r="BI36" i="2"/>
  <c r="BJ36" i="2"/>
  <c r="BK36" i="2"/>
  <c r="BL36" i="2"/>
  <c r="BM36" i="2"/>
  <c r="BN36" i="2"/>
  <c r="BO36" i="2"/>
  <c r="BG37" i="2"/>
  <c r="BH37" i="2"/>
  <c r="BI37" i="2"/>
  <c r="BJ37" i="2"/>
  <c r="BK37" i="2"/>
  <c r="BL37" i="2"/>
  <c r="BM37" i="2"/>
  <c r="BN37" i="2"/>
  <c r="BO37" i="2"/>
  <c r="BG38" i="2"/>
  <c r="BH38" i="2"/>
  <c r="BI38" i="2"/>
  <c r="BJ38" i="2"/>
  <c r="BK38" i="2"/>
  <c r="BL38" i="2"/>
  <c r="BM38" i="2"/>
  <c r="BN38" i="2"/>
  <c r="BO38" i="2"/>
  <c r="BG39" i="2"/>
  <c r="BH39" i="2"/>
  <c r="BI39" i="2"/>
  <c r="BJ39" i="2"/>
  <c r="BK39" i="2"/>
  <c r="BL39" i="2"/>
  <c r="BM39" i="2"/>
  <c r="BN39" i="2"/>
  <c r="BO39" i="2"/>
  <c r="BG40" i="2"/>
  <c r="BH40" i="2"/>
  <c r="BI40" i="2"/>
  <c r="BJ40" i="2"/>
  <c r="BK40" i="2"/>
  <c r="BL40" i="2"/>
  <c r="BM40" i="2"/>
  <c r="BN40" i="2"/>
  <c r="BO40" i="2"/>
  <c r="BG41" i="2"/>
  <c r="BH41" i="2"/>
  <c r="BI41" i="2"/>
  <c r="BJ41" i="2"/>
  <c r="BK41" i="2"/>
  <c r="BL41" i="2"/>
  <c r="BM41" i="2"/>
  <c r="BN41" i="2"/>
  <c r="BO41" i="2"/>
  <c r="BG42" i="2"/>
  <c r="BH42" i="2"/>
  <c r="BI42" i="2"/>
  <c r="BJ42" i="2"/>
  <c r="BK42" i="2"/>
  <c r="BL42" i="2"/>
  <c r="BM42" i="2"/>
  <c r="BN42" i="2"/>
  <c r="BO42" i="2"/>
  <c r="BG43" i="2"/>
  <c r="BH43" i="2"/>
  <c r="BI43" i="2"/>
  <c r="BJ43" i="2"/>
  <c r="BK43" i="2"/>
  <c r="BL43" i="2"/>
  <c r="BM43" i="2"/>
  <c r="BN43" i="2"/>
  <c r="BO43" i="2"/>
  <c r="BG44" i="2"/>
  <c r="BH44" i="2"/>
  <c r="BI44" i="2"/>
  <c r="BJ44" i="2"/>
  <c r="BK44" i="2"/>
  <c r="BL44" i="2"/>
  <c r="BM44" i="2"/>
  <c r="BN44" i="2"/>
  <c r="BO44" i="2"/>
  <c r="BG45" i="2"/>
  <c r="BH45" i="2"/>
  <c r="BI45" i="2"/>
  <c r="BJ45" i="2"/>
  <c r="BK45" i="2"/>
  <c r="BL45" i="2"/>
  <c r="BM45" i="2"/>
  <c r="BN45" i="2"/>
  <c r="BO45" i="2"/>
  <c r="BG46" i="2"/>
  <c r="BH46" i="2"/>
  <c r="BI46" i="2"/>
  <c r="BJ46" i="2"/>
  <c r="BK46" i="2"/>
  <c r="BL46" i="2"/>
  <c r="BM46" i="2"/>
  <c r="BN46" i="2"/>
  <c r="BO46" i="2"/>
  <c r="BG47" i="2"/>
  <c r="BH47" i="2"/>
  <c r="BI47" i="2"/>
  <c r="BJ47" i="2"/>
  <c r="BK47" i="2"/>
  <c r="BL47" i="2"/>
  <c r="BM47" i="2"/>
  <c r="BN47" i="2"/>
  <c r="BO47" i="2"/>
  <c r="BG48" i="2"/>
  <c r="BH48" i="2"/>
  <c r="BI48" i="2"/>
  <c r="BJ48" i="2"/>
  <c r="BK48" i="2"/>
  <c r="BL48" i="2"/>
  <c r="BM48" i="2"/>
  <c r="BN48" i="2"/>
  <c r="BO48" i="2"/>
  <c r="BG49" i="2"/>
  <c r="BH49" i="2"/>
  <c r="BI49" i="2"/>
  <c r="BJ49" i="2"/>
  <c r="BK49" i="2"/>
  <c r="BL49" i="2"/>
  <c r="BM49" i="2"/>
  <c r="BN49" i="2"/>
  <c r="BO49" i="2"/>
  <c r="BG50" i="2"/>
  <c r="BH50" i="2"/>
  <c r="BI50" i="2"/>
  <c r="BJ50" i="2"/>
  <c r="BK50" i="2"/>
  <c r="BL50" i="2"/>
  <c r="BM50" i="2"/>
  <c r="BN50" i="2"/>
  <c r="BO50" i="2"/>
  <c r="BG51" i="2"/>
  <c r="BH51" i="2"/>
  <c r="BI51" i="2"/>
  <c r="BJ51" i="2"/>
  <c r="BK51" i="2"/>
  <c r="BL51" i="2"/>
  <c r="BM51" i="2"/>
  <c r="BN51" i="2"/>
  <c r="BO51" i="2"/>
  <c r="BG52" i="2"/>
  <c r="BH52" i="2"/>
  <c r="BI52" i="2"/>
  <c r="BJ52" i="2"/>
  <c r="BK52" i="2"/>
  <c r="BL52" i="2"/>
  <c r="BM52" i="2"/>
  <c r="BN52" i="2"/>
  <c r="BO52" i="2"/>
  <c r="BG53" i="2"/>
  <c r="BH53" i="2"/>
  <c r="BI53" i="2"/>
  <c r="BJ53" i="2"/>
  <c r="BK53" i="2"/>
  <c r="BL53" i="2"/>
  <c r="BM53" i="2"/>
  <c r="BN53" i="2"/>
  <c r="BO53" i="2"/>
  <c r="BG54" i="2"/>
  <c r="BH54" i="2"/>
  <c r="BI54" i="2"/>
  <c r="BJ54" i="2"/>
  <c r="BK54" i="2"/>
  <c r="BL54" i="2"/>
  <c r="BM54" i="2"/>
  <c r="BN54" i="2"/>
  <c r="BO54" i="2"/>
  <c r="BG55" i="2"/>
  <c r="BH55" i="2"/>
  <c r="BI55" i="2"/>
  <c r="BJ55" i="2"/>
  <c r="BK55" i="2"/>
  <c r="BL55" i="2"/>
  <c r="BM55" i="2"/>
  <c r="BN55" i="2"/>
  <c r="BO55" i="2"/>
  <c r="BG56" i="2"/>
  <c r="BH56" i="2"/>
  <c r="BI56" i="2"/>
  <c r="BJ56" i="2"/>
  <c r="BK56" i="2"/>
  <c r="BL56" i="2"/>
  <c r="BM56" i="2"/>
  <c r="BN56" i="2"/>
  <c r="BO56" i="2"/>
  <c r="BG57" i="2"/>
  <c r="BH57" i="2"/>
  <c r="BI57" i="2"/>
  <c r="BJ57" i="2"/>
  <c r="BK57" i="2"/>
  <c r="BL57" i="2"/>
  <c r="BM57" i="2"/>
  <c r="BN57" i="2"/>
  <c r="BO57" i="2"/>
  <c r="BG58" i="2"/>
  <c r="BH58" i="2"/>
  <c r="BI58" i="2"/>
  <c r="BJ58" i="2"/>
  <c r="BK58" i="2"/>
  <c r="BL58" i="2"/>
  <c r="BM58" i="2"/>
  <c r="BN58" i="2"/>
  <c r="BO58" i="2"/>
  <c r="BG59" i="2"/>
  <c r="BH59" i="2"/>
  <c r="BI59" i="2"/>
  <c r="BJ59" i="2"/>
  <c r="BK59" i="2"/>
  <c r="BL59" i="2"/>
  <c r="BM59" i="2"/>
  <c r="BN59" i="2"/>
  <c r="BO59" i="2"/>
  <c r="BG60" i="2"/>
  <c r="BH60" i="2"/>
  <c r="BI60" i="2"/>
  <c r="BJ60" i="2"/>
  <c r="BK60" i="2"/>
  <c r="BL60" i="2"/>
  <c r="BM60" i="2"/>
  <c r="BN60" i="2"/>
  <c r="BO60" i="2"/>
  <c r="BG61" i="2"/>
  <c r="BH61" i="2"/>
  <c r="BI61" i="2"/>
  <c r="BJ61" i="2"/>
  <c r="BK61" i="2"/>
  <c r="BL61" i="2"/>
  <c r="BM61" i="2"/>
  <c r="BN61" i="2"/>
  <c r="BO61" i="2"/>
  <c r="BG62" i="2"/>
  <c r="BH62" i="2"/>
  <c r="BI62" i="2"/>
  <c r="BJ62" i="2"/>
  <c r="BK62" i="2"/>
  <c r="BL62" i="2"/>
  <c r="BM62" i="2"/>
  <c r="BN62" i="2"/>
  <c r="BO62" i="2"/>
  <c r="BG63" i="2"/>
  <c r="BH63" i="2"/>
  <c r="BI63" i="2"/>
  <c r="BJ63" i="2"/>
  <c r="BK63" i="2"/>
  <c r="BL63" i="2"/>
  <c r="BM63" i="2"/>
  <c r="BN63" i="2"/>
  <c r="BO63" i="2"/>
  <c r="BG64" i="2"/>
  <c r="BH64" i="2"/>
  <c r="BI64" i="2"/>
  <c r="BJ64" i="2"/>
  <c r="BK64" i="2"/>
  <c r="BL64" i="2"/>
  <c r="BM64" i="2"/>
  <c r="BN64" i="2"/>
  <c r="BO64" i="2"/>
  <c r="BG65" i="2"/>
  <c r="BH65" i="2"/>
  <c r="BI65" i="2"/>
  <c r="BJ65" i="2"/>
  <c r="BK65" i="2"/>
  <c r="BL65" i="2"/>
  <c r="BM65" i="2"/>
  <c r="BN65" i="2"/>
  <c r="BO65" i="2"/>
  <c r="BG66" i="2"/>
  <c r="BH66" i="2"/>
  <c r="BI66" i="2"/>
  <c r="BJ66" i="2"/>
  <c r="BK66" i="2"/>
  <c r="BL66" i="2"/>
  <c r="BM66" i="2"/>
  <c r="BN66" i="2"/>
  <c r="BO66" i="2"/>
  <c r="BG67" i="2"/>
  <c r="BH67" i="2"/>
  <c r="BI67" i="2"/>
  <c r="BJ67" i="2"/>
  <c r="BK67" i="2"/>
  <c r="BL67" i="2"/>
  <c r="BM67" i="2"/>
  <c r="BN67" i="2"/>
  <c r="BO67" i="2"/>
  <c r="BG68" i="2"/>
  <c r="BH68" i="2"/>
  <c r="BI68" i="2"/>
  <c r="BJ68" i="2"/>
  <c r="BK68" i="2"/>
  <c r="BL68" i="2"/>
  <c r="BM68" i="2"/>
  <c r="BN68" i="2"/>
  <c r="BO68" i="2"/>
  <c r="BG69" i="2"/>
  <c r="BH69" i="2"/>
  <c r="BI69" i="2"/>
  <c r="BJ69" i="2"/>
  <c r="BK69" i="2"/>
  <c r="BL69" i="2"/>
  <c r="BM69" i="2"/>
  <c r="BN69" i="2"/>
  <c r="BO69" i="2"/>
  <c r="BG70" i="2"/>
  <c r="BH70" i="2"/>
  <c r="BI70" i="2"/>
  <c r="BJ70" i="2"/>
  <c r="BK70" i="2"/>
  <c r="BL70" i="2"/>
  <c r="BM70" i="2"/>
  <c r="BN70" i="2"/>
  <c r="BO70" i="2"/>
  <c r="BG71" i="2"/>
  <c r="BH71" i="2"/>
  <c r="BI71" i="2"/>
  <c r="BJ71" i="2"/>
  <c r="BK71" i="2"/>
  <c r="BL71" i="2"/>
  <c r="BM71" i="2"/>
  <c r="BN71" i="2"/>
  <c r="BO71" i="2"/>
  <c r="BG72" i="2"/>
  <c r="BH72" i="2"/>
  <c r="BI72" i="2"/>
  <c r="BJ72" i="2"/>
  <c r="BK72" i="2"/>
  <c r="BL72" i="2"/>
  <c r="BM72" i="2"/>
  <c r="BN72" i="2"/>
  <c r="BO72" i="2"/>
  <c r="BG73" i="2"/>
  <c r="BH73" i="2"/>
  <c r="BI73" i="2"/>
  <c r="BJ73" i="2"/>
  <c r="BK73" i="2"/>
  <c r="BL73" i="2"/>
  <c r="BM73" i="2"/>
  <c r="BN73" i="2"/>
  <c r="BO73" i="2"/>
  <c r="BG74" i="2"/>
  <c r="BH74" i="2"/>
  <c r="BI74" i="2"/>
  <c r="BJ74" i="2"/>
  <c r="BK74" i="2"/>
  <c r="BL74" i="2"/>
  <c r="BM74" i="2"/>
  <c r="BN74" i="2"/>
  <c r="BO74" i="2"/>
  <c r="BG75" i="2"/>
  <c r="BH75" i="2"/>
  <c r="BI75" i="2"/>
  <c r="BJ75" i="2"/>
  <c r="BK75" i="2"/>
  <c r="BL75" i="2"/>
  <c r="BM75" i="2"/>
  <c r="BN75" i="2"/>
  <c r="BO75" i="2"/>
  <c r="BG76" i="2"/>
  <c r="BH76" i="2"/>
  <c r="BI76" i="2"/>
  <c r="BJ76" i="2"/>
  <c r="BK76" i="2"/>
  <c r="BL76" i="2"/>
  <c r="BM76" i="2"/>
  <c r="BN76" i="2"/>
  <c r="BO76" i="2"/>
  <c r="BG77" i="2"/>
  <c r="BH77" i="2"/>
  <c r="BI77" i="2"/>
  <c r="BJ77" i="2"/>
  <c r="BK77" i="2"/>
  <c r="BL77" i="2"/>
  <c r="BM77" i="2"/>
  <c r="BN77" i="2"/>
  <c r="BO77" i="2"/>
  <c r="BG78" i="2"/>
  <c r="BH78" i="2"/>
  <c r="BI78" i="2"/>
  <c r="BJ78" i="2"/>
  <c r="BK78" i="2"/>
  <c r="BL78" i="2"/>
  <c r="BM78" i="2"/>
  <c r="BN78" i="2"/>
  <c r="BO78" i="2"/>
  <c r="BG79" i="2"/>
  <c r="BH79" i="2"/>
  <c r="BI79" i="2"/>
  <c r="BJ79" i="2"/>
  <c r="BK79" i="2"/>
  <c r="BL79" i="2"/>
  <c r="BM79" i="2"/>
  <c r="BN79" i="2"/>
  <c r="BO79" i="2"/>
  <c r="BG80" i="2"/>
  <c r="BH80" i="2"/>
  <c r="BI80" i="2"/>
  <c r="BJ80" i="2"/>
  <c r="BK80" i="2"/>
  <c r="BL80" i="2"/>
  <c r="BM80" i="2"/>
  <c r="BN80" i="2"/>
  <c r="BO80" i="2"/>
  <c r="BG81" i="2"/>
  <c r="BH81" i="2"/>
  <c r="BI81" i="2"/>
  <c r="BJ81" i="2"/>
  <c r="BK81" i="2"/>
  <c r="BL81" i="2"/>
  <c r="BM81" i="2"/>
  <c r="BN81" i="2"/>
  <c r="BO81" i="2"/>
  <c r="BG82" i="2"/>
  <c r="BH82" i="2"/>
  <c r="BI82" i="2"/>
  <c r="BJ82" i="2"/>
  <c r="BK82" i="2"/>
  <c r="BL82" i="2"/>
  <c r="BM82" i="2"/>
  <c r="BN82" i="2"/>
  <c r="BO82" i="2"/>
  <c r="BG83" i="2"/>
  <c r="BH83" i="2"/>
  <c r="BI83" i="2"/>
  <c r="BJ83" i="2"/>
  <c r="BK83" i="2"/>
  <c r="BL83" i="2"/>
  <c r="BM83" i="2"/>
  <c r="BN83" i="2"/>
  <c r="BO83" i="2"/>
  <c r="BG84" i="2"/>
  <c r="BH84" i="2"/>
  <c r="BI84" i="2"/>
  <c r="BJ84" i="2"/>
  <c r="BK84" i="2"/>
  <c r="BL84" i="2"/>
  <c r="BM84" i="2"/>
  <c r="BN84" i="2"/>
  <c r="BO84" i="2"/>
  <c r="BG85" i="2"/>
  <c r="BH85" i="2"/>
  <c r="BI85" i="2"/>
  <c r="BJ85" i="2"/>
  <c r="BK85" i="2"/>
  <c r="BL85" i="2"/>
  <c r="BM85" i="2"/>
  <c r="BN85" i="2"/>
  <c r="BO85" i="2"/>
  <c r="BG86" i="2"/>
  <c r="BH86" i="2"/>
  <c r="BI86" i="2"/>
  <c r="BJ86" i="2"/>
  <c r="BK86" i="2"/>
  <c r="BL86" i="2"/>
  <c r="BM86" i="2"/>
  <c r="BN86" i="2"/>
  <c r="BO86" i="2"/>
  <c r="BG87" i="2"/>
  <c r="BH87" i="2"/>
  <c r="BI87" i="2"/>
  <c r="BJ87" i="2"/>
  <c r="BK87" i="2"/>
  <c r="BL87" i="2"/>
  <c r="BM87" i="2"/>
  <c r="BN87" i="2"/>
  <c r="BO87" i="2"/>
  <c r="BG88" i="2"/>
  <c r="BH88" i="2"/>
  <c r="BI88" i="2"/>
  <c r="BJ88" i="2"/>
  <c r="BK88" i="2"/>
  <c r="BL88" i="2"/>
  <c r="BM88" i="2"/>
  <c r="BN88" i="2"/>
  <c r="BO88" i="2"/>
  <c r="BG89" i="2"/>
  <c r="BH89" i="2"/>
  <c r="BI89" i="2"/>
  <c r="BJ89" i="2"/>
  <c r="BK89" i="2"/>
  <c r="BL89" i="2"/>
  <c r="BM89" i="2"/>
  <c r="BN89" i="2"/>
  <c r="BO89" i="2"/>
  <c r="BG90" i="2"/>
  <c r="BH90" i="2"/>
  <c r="BI90" i="2"/>
  <c r="BJ90" i="2"/>
  <c r="BK90" i="2"/>
  <c r="BL90" i="2"/>
  <c r="BM90" i="2"/>
  <c r="BN90" i="2"/>
  <c r="BO90" i="2"/>
  <c r="BG91" i="2"/>
  <c r="BH91" i="2"/>
  <c r="BI91" i="2"/>
  <c r="BJ91" i="2"/>
  <c r="BK91" i="2"/>
  <c r="BL91" i="2"/>
  <c r="BM91" i="2"/>
  <c r="BN91" i="2"/>
  <c r="BO91" i="2"/>
  <c r="BG92" i="2"/>
  <c r="BH92" i="2"/>
  <c r="BI92" i="2"/>
  <c r="BJ92" i="2"/>
  <c r="BK92" i="2"/>
  <c r="BL92" i="2"/>
  <c r="BM92" i="2"/>
  <c r="BN92" i="2"/>
  <c r="BO92" i="2"/>
  <c r="BG93" i="2"/>
  <c r="BH93" i="2"/>
  <c r="BI93" i="2"/>
  <c r="BJ93" i="2"/>
  <c r="BK93" i="2"/>
  <c r="BL93" i="2"/>
  <c r="BM93" i="2"/>
  <c r="BN93" i="2"/>
  <c r="BO93" i="2"/>
  <c r="BG94" i="2"/>
  <c r="BH94" i="2"/>
  <c r="BI94" i="2"/>
  <c r="BJ94" i="2"/>
  <c r="BK94" i="2"/>
  <c r="BL94" i="2"/>
  <c r="BM94" i="2"/>
  <c r="BN94" i="2"/>
  <c r="BO94" i="2"/>
  <c r="BG95" i="2"/>
  <c r="BH95" i="2"/>
  <c r="BI95" i="2"/>
  <c r="BJ95" i="2"/>
  <c r="BK95" i="2"/>
  <c r="BL95" i="2"/>
  <c r="BM95" i="2"/>
  <c r="BN95" i="2"/>
  <c r="BO95" i="2"/>
  <c r="BG96" i="2"/>
  <c r="BH96" i="2"/>
  <c r="BI96" i="2"/>
  <c r="BJ96" i="2"/>
  <c r="BK96" i="2"/>
  <c r="BL96" i="2"/>
  <c r="BM96" i="2"/>
  <c r="BN96" i="2"/>
  <c r="BO96" i="2"/>
  <c r="BG97" i="2"/>
  <c r="BH97" i="2"/>
  <c r="BI97" i="2"/>
  <c r="BJ97" i="2"/>
  <c r="BK97" i="2"/>
  <c r="BL97" i="2"/>
  <c r="BM97" i="2"/>
  <c r="BN97" i="2"/>
  <c r="BO97" i="2"/>
  <c r="BG98" i="2"/>
  <c r="BH98" i="2"/>
  <c r="BI98" i="2"/>
  <c r="BJ98" i="2"/>
  <c r="BK98" i="2"/>
  <c r="BL98" i="2"/>
  <c r="BM98" i="2"/>
  <c r="BN98" i="2"/>
  <c r="BO98" i="2"/>
  <c r="BG99" i="2"/>
  <c r="BH99" i="2"/>
  <c r="BI99" i="2"/>
  <c r="BJ99" i="2"/>
  <c r="BK99" i="2"/>
  <c r="BL99" i="2"/>
  <c r="BM99" i="2"/>
  <c r="BN99" i="2"/>
  <c r="BO99" i="2"/>
  <c r="BG100" i="2"/>
  <c r="BH100" i="2"/>
  <c r="BI100" i="2"/>
  <c r="BJ100" i="2"/>
  <c r="BK100" i="2"/>
  <c r="BL100" i="2"/>
  <c r="BM100" i="2"/>
  <c r="BN100" i="2"/>
  <c r="BO100" i="2"/>
  <c r="BG101" i="2"/>
  <c r="BH101" i="2"/>
  <c r="BI101" i="2"/>
  <c r="BJ101" i="2"/>
  <c r="BK101" i="2"/>
  <c r="BL101" i="2"/>
  <c r="BM101" i="2"/>
  <c r="BN101" i="2"/>
  <c r="BO101" i="2"/>
  <c r="BG102" i="2"/>
  <c r="BH102" i="2"/>
  <c r="BI102" i="2"/>
  <c r="BJ102" i="2"/>
  <c r="BK102" i="2"/>
  <c r="BL102" i="2"/>
  <c r="BM102" i="2"/>
  <c r="BN102" i="2"/>
  <c r="BO102" i="2"/>
  <c r="BG103" i="2"/>
  <c r="BH103" i="2"/>
  <c r="BI103" i="2"/>
  <c r="BJ103" i="2"/>
  <c r="BK103" i="2"/>
  <c r="BL103" i="2"/>
  <c r="BM103" i="2"/>
  <c r="BN103" i="2"/>
  <c r="BO103" i="2"/>
  <c r="BG104" i="2"/>
  <c r="BH104" i="2"/>
  <c r="BI104" i="2"/>
  <c r="BJ104" i="2"/>
  <c r="BK104" i="2"/>
  <c r="BL104" i="2"/>
  <c r="BM104" i="2"/>
  <c r="BN104" i="2"/>
  <c r="BO104" i="2"/>
  <c r="BG105" i="2"/>
  <c r="BH105" i="2"/>
  <c r="BI105" i="2"/>
  <c r="BJ105" i="2"/>
  <c r="BK105" i="2"/>
  <c r="BL105" i="2"/>
  <c r="BM105" i="2"/>
  <c r="BN105" i="2"/>
  <c r="BO105" i="2"/>
  <c r="BG106" i="2"/>
  <c r="BH106" i="2"/>
  <c r="BI106" i="2"/>
  <c r="BJ106" i="2"/>
  <c r="BK106" i="2"/>
  <c r="BL106" i="2"/>
  <c r="BM106" i="2"/>
  <c r="BN106" i="2"/>
  <c r="BO106" i="2"/>
  <c r="BG107" i="2"/>
  <c r="BH107" i="2"/>
  <c r="BI107" i="2"/>
  <c r="BJ107" i="2"/>
  <c r="BK107" i="2"/>
  <c r="BL107" i="2"/>
  <c r="BM107" i="2"/>
  <c r="BN107" i="2"/>
  <c r="BO107" i="2"/>
  <c r="BG108" i="2"/>
  <c r="BH108" i="2"/>
  <c r="BI108" i="2"/>
  <c r="BJ108" i="2"/>
  <c r="BK108" i="2"/>
  <c r="BL108" i="2"/>
  <c r="BM108" i="2"/>
  <c r="BN108" i="2"/>
  <c r="BO108" i="2"/>
  <c r="BG109" i="2"/>
  <c r="BH109" i="2"/>
  <c r="BI109" i="2"/>
  <c r="BJ109" i="2"/>
  <c r="BK109" i="2"/>
  <c r="BL109" i="2"/>
  <c r="BM109" i="2"/>
  <c r="BN109" i="2"/>
  <c r="BO109" i="2"/>
  <c r="BG110" i="2"/>
  <c r="BH110" i="2"/>
  <c r="BI110" i="2"/>
  <c r="BJ110" i="2"/>
  <c r="BK110" i="2"/>
  <c r="BL110" i="2"/>
  <c r="BM110" i="2"/>
  <c r="BN110" i="2"/>
  <c r="BO110" i="2"/>
  <c r="BO11" i="2"/>
  <c r="BN11" i="2"/>
  <c r="BM11" i="2"/>
  <c r="BL11" i="2"/>
  <c r="BK11" i="2"/>
  <c r="BJ11" i="2"/>
  <c r="BI11" i="2"/>
  <c r="BH11" i="2"/>
  <c r="CA43" i="2"/>
  <c r="BC12" i="2"/>
  <c r="BD12" i="2"/>
  <c r="BC13" i="2"/>
  <c r="BD13" i="2"/>
  <c r="BC14" i="2"/>
  <c r="BD14" i="2"/>
  <c r="BC15" i="2"/>
  <c r="BD15" i="2"/>
  <c r="BC16" i="2"/>
  <c r="BD16" i="2"/>
  <c r="BC17" i="2"/>
  <c r="BD17" i="2"/>
  <c r="BC18" i="2"/>
  <c r="BD18" i="2"/>
  <c r="BC19" i="2"/>
  <c r="BD19" i="2"/>
  <c r="BC20" i="2"/>
  <c r="BD20" i="2"/>
  <c r="BC21" i="2"/>
  <c r="BD21" i="2"/>
  <c r="BC22" i="2"/>
  <c r="BD22" i="2"/>
  <c r="BC23" i="2"/>
  <c r="BD23" i="2"/>
  <c r="BC24" i="2"/>
  <c r="BD24" i="2"/>
  <c r="BC25" i="2"/>
  <c r="BD25" i="2"/>
  <c r="BC26" i="2"/>
  <c r="BD26" i="2"/>
  <c r="BC27" i="2"/>
  <c r="BD27" i="2"/>
  <c r="BC28" i="2"/>
  <c r="BD28" i="2"/>
  <c r="BC29" i="2"/>
  <c r="BD29" i="2"/>
  <c r="BC30" i="2"/>
  <c r="BD30" i="2"/>
  <c r="BC31" i="2"/>
  <c r="BD31" i="2"/>
  <c r="BC32" i="2"/>
  <c r="BD32" i="2"/>
  <c r="BC33" i="2"/>
  <c r="BD33" i="2"/>
  <c r="BC34" i="2"/>
  <c r="BD34" i="2"/>
  <c r="BC35" i="2"/>
  <c r="BD35" i="2"/>
  <c r="BC36" i="2"/>
  <c r="BD36" i="2"/>
  <c r="BC37" i="2"/>
  <c r="BD37" i="2"/>
  <c r="BC38" i="2"/>
  <c r="BD38" i="2"/>
  <c r="BC39" i="2"/>
  <c r="BD39" i="2"/>
  <c r="BC40" i="2"/>
  <c r="BD40" i="2"/>
  <c r="BC41" i="2"/>
  <c r="BD41" i="2"/>
  <c r="BC42" i="2"/>
  <c r="BD42" i="2"/>
  <c r="BC43" i="2"/>
  <c r="BD43" i="2"/>
  <c r="BC44" i="2"/>
  <c r="BD44" i="2"/>
  <c r="BC45" i="2"/>
  <c r="BD45" i="2"/>
  <c r="BC46" i="2"/>
  <c r="BD46" i="2"/>
  <c r="BC47" i="2"/>
  <c r="BD47" i="2"/>
  <c r="BC48" i="2"/>
  <c r="BD48" i="2"/>
  <c r="BC49" i="2"/>
  <c r="BD49" i="2"/>
  <c r="BC50" i="2"/>
  <c r="BD50" i="2"/>
  <c r="BC51" i="2"/>
  <c r="BD51" i="2"/>
  <c r="BC52" i="2"/>
  <c r="BD52" i="2"/>
  <c r="BC53" i="2"/>
  <c r="BD53" i="2"/>
  <c r="BC54" i="2"/>
  <c r="BD54" i="2"/>
  <c r="BC55" i="2"/>
  <c r="BD55" i="2"/>
  <c r="BC56" i="2"/>
  <c r="BD56" i="2"/>
  <c r="BC57" i="2"/>
  <c r="BD57" i="2"/>
  <c r="BC58" i="2"/>
  <c r="BD58" i="2"/>
  <c r="BC59" i="2"/>
  <c r="BD59" i="2"/>
  <c r="BC60" i="2"/>
  <c r="BD60" i="2"/>
  <c r="BC61" i="2"/>
  <c r="BD61" i="2"/>
  <c r="BC62" i="2"/>
  <c r="BD62" i="2"/>
  <c r="BC63" i="2"/>
  <c r="BD63" i="2"/>
  <c r="BC64" i="2"/>
  <c r="BD64" i="2"/>
  <c r="BC65" i="2"/>
  <c r="BD65" i="2"/>
  <c r="BC66" i="2"/>
  <c r="BD66" i="2"/>
  <c r="BC67" i="2"/>
  <c r="BD67" i="2"/>
  <c r="BC68" i="2"/>
  <c r="BD68" i="2"/>
  <c r="BC69" i="2"/>
  <c r="BD69" i="2"/>
  <c r="BC70" i="2"/>
  <c r="BD70" i="2"/>
  <c r="BC71" i="2"/>
  <c r="BD71" i="2"/>
  <c r="BC72" i="2"/>
  <c r="BD72" i="2"/>
  <c r="BC73" i="2"/>
  <c r="BD73" i="2"/>
  <c r="BC74" i="2"/>
  <c r="BD74" i="2"/>
  <c r="BC75" i="2"/>
  <c r="BD75" i="2"/>
  <c r="BC76" i="2"/>
  <c r="BD76" i="2"/>
  <c r="BC77" i="2"/>
  <c r="BD77" i="2"/>
  <c r="BC78" i="2"/>
  <c r="BD78" i="2"/>
  <c r="BC79" i="2"/>
  <c r="BD79" i="2"/>
  <c r="BC80" i="2"/>
  <c r="BD80" i="2"/>
  <c r="BC81" i="2"/>
  <c r="BD81" i="2"/>
  <c r="BC82" i="2"/>
  <c r="BD82" i="2"/>
  <c r="BC83" i="2"/>
  <c r="BD83" i="2"/>
  <c r="BC84" i="2"/>
  <c r="BD84" i="2"/>
  <c r="BC85" i="2"/>
  <c r="BD85" i="2"/>
  <c r="BC86" i="2"/>
  <c r="BD86" i="2"/>
  <c r="BC87" i="2"/>
  <c r="BD87" i="2"/>
  <c r="BC88" i="2"/>
  <c r="BD88" i="2"/>
  <c r="BC89" i="2"/>
  <c r="BD89" i="2"/>
  <c r="BC90" i="2"/>
  <c r="BD90" i="2"/>
  <c r="BC91" i="2"/>
  <c r="BD91" i="2"/>
  <c r="BC92" i="2"/>
  <c r="BD92" i="2"/>
  <c r="BC93" i="2"/>
  <c r="BD93" i="2"/>
  <c r="BC94" i="2"/>
  <c r="BD94" i="2"/>
  <c r="BC95" i="2"/>
  <c r="BD95" i="2"/>
  <c r="BC96" i="2"/>
  <c r="BD96" i="2"/>
  <c r="BC97" i="2"/>
  <c r="BD97" i="2"/>
  <c r="BC98" i="2"/>
  <c r="BD98" i="2"/>
  <c r="BC99" i="2"/>
  <c r="BD99" i="2"/>
  <c r="BC100" i="2"/>
  <c r="BD100" i="2"/>
  <c r="BC101" i="2"/>
  <c r="BD101" i="2"/>
  <c r="BC102" i="2"/>
  <c r="BD102" i="2"/>
  <c r="BC103" i="2"/>
  <c r="BD103" i="2"/>
  <c r="BC104" i="2"/>
  <c r="BD104" i="2"/>
  <c r="BC105" i="2"/>
  <c r="BD105" i="2"/>
  <c r="BC106" i="2"/>
  <c r="BD106" i="2"/>
  <c r="BC107" i="2"/>
  <c r="BD107" i="2"/>
  <c r="BC108" i="2"/>
  <c r="BD108" i="2"/>
  <c r="BC109" i="2"/>
  <c r="BD109" i="2"/>
  <c r="BC110" i="2"/>
  <c r="BD110" i="2"/>
  <c r="BD11" i="2"/>
  <c r="AW12" i="2"/>
  <c r="AX12" i="2"/>
  <c r="AY12" i="2"/>
  <c r="AZ12" i="2"/>
  <c r="BA12" i="2"/>
  <c r="BB12" i="2"/>
  <c r="N12" i="2" s="1"/>
  <c r="AW13" i="2"/>
  <c r="AX13" i="2"/>
  <c r="AY13" i="2"/>
  <c r="AZ13" i="2"/>
  <c r="BA13" i="2"/>
  <c r="BB13" i="2"/>
  <c r="N13" i="2" s="1"/>
  <c r="AW14" i="2"/>
  <c r="AX14" i="2"/>
  <c r="AY14" i="2"/>
  <c r="AZ14" i="2"/>
  <c r="BA14" i="2"/>
  <c r="BB14" i="2"/>
  <c r="N14" i="2" s="1"/>
  <c r="AW15" i="2"/>
  <c r="AX15" i="2"/>
  <c r="AY15" i="2"/>
  <c r="AZ15" i="2"/>
  <c r="BA15" i="2"/>
  <c r="BB15" i="2"/>
  <c r="N15" i="2" s="1"/>
  <c r="AW16" i="2"/>
  <c r="AX16" i="2"/>
  <c r="AY16" i="2"/>
  <c r="AZ16" i="2"/>
  <c r="BA16" i="2"/>
  <c r="BB16" i="2"/>
  <c r="N16" i="2" s="1"/>
  <c r="AW17" i="2"/>
  <c r="AX17" i="2"/>
  <c r="AY17" i="2"/>
  <c r="AZ17" i="2"/>
  <c r="BA17" i="2"/>
  <c r="BB17" i="2"/>
  <c r="N17" i="2" s="1"/>
  <c r="AW18" i="2"/>
  <c r="AX18" i="2"/>
  <c r="AY18" i="2"/>
  <c r="AZ18" i="2"/>
  <c r="BA18" i="2"/>
  <c r="BB18" i="2"/>
  <c r="N18" i="2" s="1"/>
  <c r="AW19" i="2"/>
  <c r="AX19" i="2"/>
  <c r="AY19" i="2"/>
  <c r="AZ19" i="2"/>
  <c r="BA19" i="2"/>
  <c r="BB19" i="2"/>
  <c r="N19" i="2" s="1"/>
  <c r="AW20" i="2"/>
  <c r="AX20" i="2"/>
  <c r="AY20" i="2"/>
  <c r="AZ20" i="2"/>
  <c r="BA20" i="2"/>
  <c r="BB20" i="2"/>
  <c r="N20" i="2" s="1"/>
  <c r="AW21" i="2"/>
  <c r="AX21" i="2"/>
  <c r="AY21" i="2"/>
  <c r="AZ21" i="2"/>
  <c r="BA21" i="2"/>
  <c r="BB21" i="2"/>
  <c r="N21" i="2" s="1"/>
  <c r="AW22" i="2"/>
  <c r="AX22" i="2"/>
  <c r="AY22" i="2"/>
  <c r="AZ22" i="2"/>
  <c r="BA22" i="2"/>
  <c r="BB22" i="2"/>
  <c r="N22" i="2" s="1"/>
  <c r="AW23" i="2"/>
  <c r="AX23" i="2"/>
  <c r="AY23" i="2"/>
  <c r="AZ23" i="2"/>
  <c r="BA23" i="2"/>
  <c r="BB23" i="2"/>
  <c r="N23" i="2" s="1"/>
  <c r="AW24" i="2"/>
  <c r="AX24" i="2"/>
  <c r="AY24" i="2"/>
  <c r="AZ24" i="2"/>
  <c r="BA24" i="2"/>
  <c r="BB24" i="2"/>
  <c r="N24" i="2" s="1"/>
  <c r="AW25" i="2"/>
  <c r="AX25" i="2"/>
  <c r="AY25" i="2"/>
  <c r="AZ25" i="2"/>
  <c r="BA25" i="2"/>
  <c r="BB25" i="2"/>
  <c r="N25" i="2" s="1"/>
  <c r="AW26" i="2"/>
  <c r="AX26" i="2"/>
  <c r="AY26" i="2"/>
  <c r="AZ26" i="2"/>
  <c r="BA26" i="2"/>
  <c r="BB26" i="2"/>
  <c r="N26" i="2" s="1"/>
  <c r="AW27" i="2"/>
  <c r="AX27" i="2"/>
  <c r="AY27" i="2"/>
  <c r="AZ27" i="2"/>
  <c r="BA27" i="2"/>
  <c r="BB27" i="2"/>
  <c r="N27" i="2" s="1"/>
  <c r="AW28" i="2"/>
  <c r="AX28" i="2"/>
  <c r="AY28" i="2"/>
  <c r="AZ28" i="2"/>
  <c r="BA28" i="2"/>
  <c r="BB28" i="2"/>
  <c r="N28" i="2" s="1"/>
  <c r="AW29" i="2"/>
  <c r="AX29" i="2"/>
  <c r="AY29" i="2"/>
  <c r="AZ29" i="2"/>
  <c r="BA29" i="2"/>
  <c r="BB29" i="2"/>
  <c r="N29" i="2" s="1"/>
  <c r="AW30" i="2"/>
  <c r="AX30" i="2"/>
  <c r="AY30" i="2"/>
  <c r="AZ30" i="2"/>
  <c r="BA30" i="2"/>
  <c r="BB30" i="2"/>
  <c r="N30" i="2" s="1"/>
  <c r="AW31" i="2"/>
  <c r="AX31" i="2"/>
  <c r="AY31" i="2"/>
  <c r="AZ31" i="2"/>
  <c r="BA31" i="2"/>
  <c r="BB31" i="2"/>
  <c r="N31" i="2" s="1"/>
  <c r="AW32" i="2"/>
  <c r="AX32" i="2"/>
  <c r="AY32" i="2"/>
  <c r="AZ32" i="2"/>
  <c r="BA32" i="2"/>
  <c r="BB32" i="2"/>
  <c r="N32" i="2" s="1"/>
  <c r="AW33" i="2"/>
  <c r="AX33" i="2"/>
  <c r="AY33" i="2"/>
  <c r="AZ33" i="2"/>
  <c r="BA33" i="2"/>
  <c r="BB33" i="2"/>
  <c r="N33" i="2" s="1"/>
  <c r="AW34" i="2"/>
  <c r="AX34" i="2"/>
  <c r="AY34" i="2"/>
  <c r="AZ34" i="2"/>
  <c r="BA34" i="2"/>
  <c r="BB34" i="2"/>
  <c r="N34" i="2" s="1"/>
  <c r="AW35" i="2"/>
  <c r="AX35" i="2"/>
  <c r="AY35" i="2"/>
  <c r="AZ35" i="2"/>
  <c r="BA35" i="2"/>
  <c r="BB35" i="2"/>
  <c r="N35" i="2" s="1"/>
  <c r="AW36" i="2"/>
  <c r="AX36" i="2"/>
  <c r="AY36" i="2"/>
  <c r="AZ36" i="2"/>
  <c r="BA36" i="2"/>
  <c r="BB36" i="2"/>
  <c r="N36" i="2" s="1"/>
  <c r="AW37" i="2"/>
  <c r="AX37" i="2"/>
  <c r="AY37" i="2"/>
  <c r="AZ37" i="2"/>
  <c r="BA37" i="2"/>
  <c r="BB37" i="2"/>
  <c r="N37" i="2" s="1"/>
  <c r="AW38" i="2"/>
  <c r="AX38" i="2"/>
  <c r="AY38" i="2"/>
  <c r="AZ38" i="2"/>
  <c r="BA38" i="2"/>
  <c r="BB38" i="2"/>
  <c r="N38" i="2" s="1"/>
  <c r="AW39" i="2"/>
  <c r="AX39" i="2"/>
  <c r="AY39" i="2"/>
  <c r="AZ39" i="2"/>
  <c r="BA39" i="2"/>
  <c r="BB39" i="2"/>
  <c r="N39" i="2" s="1"/>
  <c r="AW40" i="2"/>
  <c r="AX40" i="2"/>
  <c r="AY40" i="2"/>
  <c r="AZ40" i="2"/>
  <c r="BA40" i="2"/>
  <c r="BB40" i="2"/>
  <c r="N40" i="2" s="1"/>
  <c r="AW41" i="2"/>
  <c r="AX41" i="2"/>
  <c r="AY41" i="2"/>
  <c r="AZ41" i="2"/>
  <c r="BA41" i="2"/>
  <c r="BB41" i="2"/>
  <c r="N41" i="2" s="1"/>
  <c r="AW42" i="2"/>
  <c r="AX42" i="2"/>
  <c r="AY42" i="2"/>
  <c r="AZ42" i="2"/>
  <c r="BA42" i="2"/>
  <c r="BB42" i="2"/>
  <c r="N42" i="2" s="1"/>
  <c r="AW43" i="2"/>
  <c r="AX43" i="2"/>
  <c r="AY43" i="2"/>
  <c r="AZ43" i="2"/>
  <c r="BA43" i="2"/>
  <c r="BB43" i="2"/>
  <c r="N43" i="2" s="1"/>
  <c r="AW44" i="2"/>
  <c r="AX44" i="2"/>
  <c r="AY44" i="2"/>
  <c r="AZ44" i="2"/>
  <c r="BA44" i="2"/>
  <c r="BB44" i="2"/>
  <c r="N44" i="2" s="1"/>
  <c r="AW45" i="2"/>
  <c r="AX45" i="2"/>
  <c r="AY45" i="2"/>
  <c r="AZ45" i="2"/>
  <c r="BA45" i="2"/>
  <c r="BB45" i="2"/>
  <c r="N45" i="2" s="1"/>
  <c r="AW46" i="2"/>
  <c r="AX46" i="2"/>
  <c r="AY46" i="2"/>
  <c r="AZ46" i="2"/>
  <c r="BA46" i="2"/>
  <c r="BB46" i="2"/>
  <c r="N46" i="2" s="1"/>
  <c r="AW47" i="2"/>
  <c r="AX47" i="2"/>
  <c r="AY47" i="2"/>
  <c r="AZ47" i="2"/>
  <c r="BA47" i="2"/>
  <c r="BB47" i="2"/>
  <c r="N47" i="2" s="1"/>
  <c r="AW48" i="2"/>
  <c r="AX48" i="2"/>
  <c r="AY48" i="2"/>
  <c r="AZ48" i="2"/>
  <c r="BA48" i="2"/>
  <c r="BB48" i="2"/>
  <c r="N48" i="2" s="1"/>
  <c r="AW49" i="2"/>
  <c r="AX49" i="2"/>
  <c r="AY49" i="2"/>
  <c r="AZ49" i="2"/>
  <c r="BA49" i="2"/>
  <c r="BB49" i="2"/>
  <c r="N49" i="2" s="1"/>
  <c r="AW50" i="2"/>
  <c r="AX50" i="2"/>
  <c r="AY50" i="2"/>
  <c r="AZ50" i="2"/>
  <c r="BA50" i="2"/>
  <c r="BB50" i="2"/>
  <c r="N50" i="2" s="1"/>
  <c r="AW51" i="2"/>
  <c r="AX51" i="2"/>
  <c r="AY51" i="2"/>
  <c r="AZ51" i="2"/>
  <c r="BA51" i="2"/>
  <c r="BB51" i="2"/>
  <c r="N51" i="2" s="1"/>
  <c r="AW52" i="2"/>
  <c r="AX52" i="2"/>
  <c r="AY52" i="2"/>
  <c r="AZ52" i="2"/>
  <c r="BA52" i="2"/>
  <c r="BB52" i="2"/>
  <c r="N52" i="2" s="1"/>
  <c r="AW53" i="2"/>
  <c r="AX53" i="2"/>
  <c r="AY53" i="2"/>
  <c r="AZ53" i="2"/>
  <c r="BA53" i="2"/>
  <c r="BB53" i="2"/>
  <c r="N53" i="2" s="1"/>
  <c r="AW54" i="2"/>
  <c r="AX54" i="2"/>
  <c r="AY54" i="2"/>
  <c r="AZ54" i="2"/>
  <c r="BA54" i="2"/>
  <c r="BB54" i="2"/>
  <c r="N54" i="2" s="1"/>
  <c r="AW55" i="2"/>
  <c r="AX55" i="2"/>
  <c r="AY55" i="2"/>
  <c r="AZ55" i="2"/>
  <c r="BA55" i="2"/>
  <c r="BB55" i="2"/>
  <c r="N55" i="2" s="1"/>
  <c r="AW56" i="2"/>
  <c r="AX56" i="2"/>
  <c r="AY56" i="2"/>
  <c r="AZ56" i="2"/>
  <c r="BA56" i="2"/>
  <c r="BB56" i="2"/>
  <c r="N56" i="2" s="1"/>
  <c r="AW57" i="2"/>
  <c r="AX57" i="2"/>
  <c r="AY57" i="2"/>
  <c r="AZ57" i="2"/>
  <c r="BA57" i="2"/>
  <c r="BB57" i="2"/>
  <c r="N57" i="2" s="1"/>
  <c r="AW58" i="2"/>
  <c r="AX58" i="2"/>
  <c r="AY58" i="2"/>
  <c r="AZ58" i="2"/>
  <c r="BA58" i="2"/>
  <c r="BB58" i="2"/>
  <c r="N58" i="2" s="1"/>
  <c r="AW59" i="2"/>
  <c r="AX59" i="2"/>
  <c r="AY59" i="2"/>
  <c r="AZ59" i="2"/>
  <c r="BA59" i="2"/>
  <c r="BB59" i="2"/>
  <c r="N59" i="2" s="1"/>
  <c r="AW60" i="2"/>
  <c r="AX60" i="2"/>
  <c r="AY60" i="2"/>
  <c r="AZ60" i="2"/>
  <c r="BA60" i="2"/>
  <c r="BB60" i="2"/>
  <c r="N60" i="2" s="1"/>
  <c r="AW61" i="2"/>
  <c r="AX61" i="2"/>
  <c r="AY61" i="2"/>
  <c r="AZ61" i="2"/>
  <c r="BA61" i="2"/>
  <c r="BB61" i="2"/>
  <c r="N61" i="2" s="1"/>
  <c r="AW62" i="2"/>
  <c r="AX62" i="2"/>
  <c r="AY62" i="2"/>
  <c r="AZ62" i="2"/>
  <c r="BA62" i="2"/>
  <c r="BB62" i="2"/>
  <c r="N62" i="2" s="1"/>
  <c r="AW63" i="2"/>
  <c r="AX63" i="2"/>
  <c r="AY63" i="2"/>
  <c r="AZ63" i="2"/>
  <c r="BA63" i="2"/>
  <c r="BB63" i="2"/>
  <c r="N63" i="2" s="1"/>
  <c r="AW64" i="2"/>
  <c r="AX64" i="2"/>
  <c r="AY64" i="2"/>
  <c r="AZ64" i="2"/>
  <c r="BA64" i="2"/>
  <c r="BB64" i="2"/>
  <c r="N64" i="2" s="1"/>
  <c r="AW65" i="2"/>
  <c r="AX65" i="2"/>
  <c r="AY65" i="2"/>
  <c r="AZ65" i="2"/>
  <c r="BA65" i="2"/>
  <c r="BB65" i="2"/>
  <c r="N65" i="2" s="1"/>
  <c r="AW66" i="2"/>
  <c r="AX66" i="2"/>
  <c r="AY66" i="2"/>
  <c r="AZ66" i="2"/>
  <c r="BA66" i="2"/>
  <c r="BB66" i="2"/>
  <c r="N66" i="2" s="1"/>
  <c r="AW67" i="2"/>
  <c r="AX67" i="2"/>
  <c r="AY67" i="2"/>
  <c r="AZ67" i="2"/>
  <c r="BA67" i="2"/>
  <c r="BB67" i="2"/>
  <c r="N67" i="2" s="1"/>
  <c r="AW68" i="2"/>
  <c r="AX68" i="2"/>
  <c r="AY68" i="2"/>
  <c r="AZ68" i="2"/>
  <c r="BA68" i="2"/>
  <c r="BB68" i="2"/>
  <c r="N68" i="2" s="1"/>
  <c r="AW69" i="2"/>
  <c r="AX69" i="2"/>
  <c r="AY69" i="2"/>
  <c r="AZ69" i="2"/>
  <c r="BA69" i="2"/>
  <c r="BB69" i="2"/>
  <c r="N69" i="2" s="1"/>
  <c r="AW70" i="2"/>
  <c r="AX70" i="2"/>
  <c r="AY70" i="2"/>
  <c r="AZ70" i="2"/>
  <c r="BA70" i="2"/>
  <c r="BB70" i="2"/>
  <c r="N70" i="2" s="1"/>
  <c r="AW71" i="2"/>
  <c r="AX71" i="2"/>
  <c r="AY71" i="2"/>
  <c r="AZ71" i="2"/>
  <c r="BA71" i="2"/>
  <c r="BB71" i="2"/>
  <c r="N71" i="2" s="1"/>
  <c r="AW72" i="2"/>
  <c r="AX72" i="2"/>
  <c r="AY72" i="2"/>
  <c r="AZ72" i="2"/>
  <c r="BA72" i="2"/>
  <c r="BB72" i="2"/>
  <c r="N72" i="2" s="1"/>
  <c r="AW73" i="2"/>
  <c r="AX73" i="2"/>
  <c r="AY73" i="2"/>
  <c r="AZ73" i="2"/>
  <c r="BA73" i="2"/>
  <c r="BB73" i="2"/>
  <c r="N73" i="2" s="1"/>
  <c r="AW74" i="2"/>
  <c r="AX74" i="2"/>
  <c r="AY74" i="2"/>
  <c r="AZ74" i="2"/>
  <c r="BA74" i="2"/>
  <c r="BB74" i="2"/>
  <c r="N74" i="2" s="1"/>
  <c r="AW75" i="2"/>
  <c r="AX75" i="2"/>
  <c r="AY75" i="2"/>
  <c r="AZ75" i="2"/>
  <c r="BA75" i="2"/>
  <c r="BB75" i="2"/>
  <c r="N75" i="2" s="1"/>
  <c r="AW76" i="2"/>
  <c r="AX76" i="2"/>
  <c r="AY76" i="2"/>
  <c r="AZ76" i="2"/>
  <c r="BA76" i="2"/>
  <c r="BB76" i="2"/>
  <c r="N76" i="2" s="1"/>
  <c r="AW77" i="2"/>
  <c r="AX77" i="2"/>
  <c r="AY77" i="2"/>
  <c r="AZ77" i="2"/>
  <c r="BA77" i="2"/>
  <c r="BB77" i="2"/>
  <c r="N77" i="2" s="1"/>
  <c r="AW78" i="2"/>
  <c r="AX78" i="2"/>
  <c r="AY78" i="2"/>
  <c r="AZ78" i="2"/>
  <c r="BA78" i="2"/>
  <c r="BB78" i="2"/>
  <c r="N78" i="2" s="1"/>
  <c r="AW79" i="2"/>
  <c r="AX79" i="2"/>
  <c r="AY79" i="2"/>
  <c r="AZ79" i="2"/>
  <c r="BA79" i="2"/>
  <c r="BB79" i="2"/>
  <c r="N79" i="2" s="1"/>
  <c r="AW80" i="2"/>
  <c r="AX80" i="2"/>
  <c r="AY80" i="2"/>
  <c r="AZ80" i="2"/>
  <c r="BA80" i="2"/>
  <c r="BB80" i="2"/>
  <c r="N80" i="2" s="1"/>
  <c r="AW81" i="2"/>
  <c r="AX81" i="2"/>
  <c r="AY81" i="2"/>
  <c r="AZ81" i="2"/>
  <c r="BA81" i="2"/>
  <c r="BB81" i="2"/>
  <c r="N81" i="2" s="1"/>
  <c r="AW82" i="2"/>
  <c r="AX82" i="2"/>
  <c r="AY82" i="2"/>
  <c r="AZ82" i="2"/>
  <c r="BA82" i="2"/>
  <c r="BB82" i="2"/>
  <c r="N82" i="2" s="1"/>
  <c r="AW83" i="2"/>
  <c r="AX83" i="2"/>
  <c r="AY83" i="2"/>
  <c r="AZ83" i="2"/>
  <c r="BA83" i="2"/>
  <c r="BB83" i="2"/>
  <c r="N83" i="2" s="1"/>
  <c r="AW84" i="2"/>
  <c r="AX84" i="2"/>
  <c r="AY84" i="2"/>
  <c r="AZ84" i="2"/>
  <c r="BA84" i="2"/>
  <c r="BB84" i="2"/>
  <c r="N84" i="2" s="1"/>
  <c r="AW85" i="2"/>
  <c r="AX85" i="2"/>
  <c r="AY85" i="2"/>
  <c r="AZ85" i="2"/>
  <c r="BA85" i="2"/>
  <c r="BB85" i="2"/>
  <c r="N85" i="2" s="1"/>
  <c r="AW86" i="2"/>
  <c r="AX86" i="2"/>
  <c r="AY86" i="2"/>
  <c r="AZ86" i="2"/>
  <c r="BA86" i="2"/>
  <c r="BB86" i="2"/>
  <c r="N86" i="2" s="1"/>
  <c r="AW87" i="2"/>
  <c r="AX87" i="2"/>
  <c r="AY87" i="2"/>
  <c r="AZ87" i="2"/>
  <c r="BA87" i="2"/>
  <c r="BB87" i="2"/>
  <c r="N87" i="2" s="1"/>
  <c r="AW88" i="2"/>
  <c r="AX88" i="2"/>
  <c r="AY88" i="2"/>
  <c r="AZ88" i="2"/>
  <c r="BA88" i="2"/>
  <c r="BB88" i="2"/>
  <c r="N88" i="2" s="1"/>
  <c r="AW89" i="2"/>
  <c r="AX89" i="2"/>
  <c r="AY89" i="2"/>
  <c r="AZ89" i="2"/>
  <c r="BA89" i="2"/>
  <c r="BB89" i="2"/>
  <c r="N89" i="2" s="1"/>
  <c r="AW90" i="2"/>
  <c r="AX90" i="2"/>
  <c r="AY90" i="2"/>
  <c r="AZ90" i="2"/>
  <c r="BA90" i="2"/>
  <c r="BB90" i="2"/>
  <c r="N90" i="2" s="1"/>
  <c r="AW91" i="2"/>
  <c r="AX91" i="2"/>
  <c r="AY91" i="2"/>
  <c r="AZ91" i="2"/>
  <c r="BA91" i="2"/>
  <c r="BB91" i="2"/>
  <c r="N91" i="2" s="1"/>
  <c r="AW92" i="2"/>
  <c r="AX92" i="2"/>
  <c r="AY92" i="2"/>
  <c r="AZ92" i="2"/>
  <c r="BA92" i="2"/>
  <c r="BB92" i="2"/>
  <c r="N92" i="2" s="1"/>
  <c r="AW93" i="2"/>
  <c r="AX93" i="2"/>
  <c r="AY93" i="2"/>
  <c r="AZ93" i="2"/>
  <c r="BA93" i="2"/>
  <c r="BB93" i="2"/>
  <c r="N93" i="2" s="1"/>
  <c r="AW94" i="2"/>
  <c r="AX94" i="2"/>
  <c r="AY94" i="2"/>
  <c r="AZ94" i="2"/>
  <c r="BA94" i="2"/>
  <c r="BB94" i="2"/>
  <c r="N94" i="2" s="1"/>
  <c r="AW95" i="2"/>
  <c r="AX95" i="2"/>
  <c r="AY95" i="2"/>
  <c r="AZ95" i="2"/>
  <c r="BA95" i="2"/>
  <c r="BB95" i="2"/>
  <c r="N95" i="2" s="1"/>
  <c r="AW96" i="2"/>
  <c r="AX96" i="2"/>
  <c r="AY96" i="2"/>
  <c r="AZ96" i="2"/>
  <c r="BA96" i="2"/>
  <c r="BB96" i="2"/>
  <c r="N96" i="2" s="1"/>
  <c r="AW97" i="2"/>
  <c r="AX97" i="2"/>
  <c r="AY97" i="2"/>
  <c r="AZ97" i="2"/>
  <c r="BA97" i="2"/>
  <c r="BB97" i="2"/>
  <c r="N97" i="2" s="1"/>
  <c r="AW98" i="2"/>
  <c r="AX98" i="2"/>
  <c r="AY98" i="2"/>
  <c r="AZ98" i="2"/>
  <c r="BA98" i="2"/>
  <c r="BB98" i="2"/>
  <c r="N98" i="2" s="1"/>
  <c r="AW99" i="2"/>
  <c r="AX99" i="2"/>
  <c r="AY99" i="2"/>
  <c r="AZ99" i="2"/>
  <c r="BA99" i="2"/>
  <c r="BB99" i="2"/>
  <c r="N99" i="2" s="1"/>
  <c r="AW100" i="2"/>
  <c r="AX100" i="2"/>
  <c r="AY100" i="2"/>
  <c r="AZ100" i="2"/>
  <c r="BA100" i="2"/>
  <c r="BB100" i="2"/>
  <c r="N100" i="2" s="1"/>
  <c r="AW101" i="2"/>
  <c r="AX101" i="2"/>
  <c r="AY101" i="2"/>
  <c r="AZ101" i="2"/>
  <c r="BA101" i="2"/>
  <c r="BB101" i="2"/>
  <c r="N101" i="2" s="1"/>
  <c r="AW102" i="2"/>
  <c r="AX102" i="2"/>
  <c r="AY102" i="2"/>
  <c r="AZ102" i="2"/>
  <c r="BA102" i="2"/>
  <c r="BB102" i="2"/>
  <c r="N102" i="2" s="1"/>
  <c r="AW103" i="2"/>
  <c r="AX103" i="2"/>
  <c r="AY103" i="2"/>
  <c r="AZ103" i="2"/>
  <c r="BA103" i="2"/>
  <c r="BB103" i="2"/>
  <c r="N103" i="2" s="1"/>
  <c r="AW104" i="2"/>
  <c r="AX104" i="2"/>
  <c r="AY104" i="2"/>
  <c r="AZ104" i="2"/>
  <c r="BA104" i="2"/>
  <c r="BB104" i="2"/>
  <c r="N104" i="2" s="1"/>
  <c r="AW105" i="2"/>
  <c r="AX105" i="2"/>
  <c r="AY105" i="2"/>
  <c r="AZ105" i="2"/>
  <c r="BA105" i="2"/>
  <c r="BB105" i="2"/>
  <c r="N105" i="2" s="1"/>
  <c r="AW106" i="2"/>
  <c r="AX106" i="2"/>
  <c r="AY106" i="2"/>
  <c r="AZ106" i="2"/>
  <c r="BA106" i="2"/>
  <c r="BB106" i="2"/>
  <c r="N106" i="2" s="1"/>
  <c r="AW107" i="2"/>
  <c r="AX107" i="2"/>
  <c r="AY107" i="2"/>
  <c r="AZ107" i="2"/>
  <c r="BA107" i="2"/>
  <c r="BB107" i="2"/>
  <c r="N107" i="2" s="1"/>
  <c r="AW108" i="2"/>
  <c r="AX108" i="2"/>
  <c r="AY108" i="2"/>
  <c r="AZ108" i="2"/>
  <c r="BA108" i="2"/>
  <c r="BB108" i="2"/>
  <c r="N108" i="2" s="1"/>
  <c r="AW109" i="2"/>
  <c r="AX109" i="2"/>
  <c r="AY109" i="2"/>
  <c r="AZ109" i="2"/>
  <c r="BA109" i="2"/>
  <c r="BB109" i="2"/>
  <c r="N109" i="2" s="1"/>
  <c r="AW110" i="2"/>
  <c r="AX110" i="2"/>
  <c r="AY110" i="2"/>
  <c r="AZ110" i="2"/>
  <c r="BA110" i="2"/>
  <c r="BB110" i="2"/>
  <c r="N110" i="2" s="1"/>
  <c r="AX11" i="2"/>
  <c r="AY11" i="2"/>
  <c r="AZ11" i="2"/>
  <c r="BB11" i="2"/>
  <c r="N11" i="2" s="1"/>
  <c r="AW11" i="2"/>
  <c r="AA12" i="2"/>
  <c r="W12" i="2" s="1"/>
  <c r="AA13" i="2"/>
  <c r="W13" i="2" s="1"/>
  <c r="AA14" i="2"/>
  <c r="W14" i="2" s="1"/>
  <c r="AA15" i="2"/>
  <c r="W15" i="2" s="1"/>
  <c r="AA16" i="2"/>
  <c r="W16" i="2" s="1"/>
  <c r="AA17" i="2"/>
  <c r="W17" i="2" s="1"/>
  <c r="AA18" i="2"/>
  <c r="W18" i="2" s="1"/>
  <c r="AA19" i="2"/>
  <c r="W19" i="2" s="1"/>
  <c r="AA20" i="2"/>
  <c r="W20" i="2" s="1"/>
  <c r="AA21" i="2"/>
  <c r="W21" i="2" s="1"/>
  <c r="AA22" i="2"/>
  <c r="W22" i="2" s="1"/>
  <c r="AA23" i="2"/>
  <c r="W23" i="2" s="1"/>
  <c r="AA24" i="2"/>
  <c r="W24" i="2" s="1"/>
  <c r="AA25" i="2"/>
  <c r="W25" i="2" s="1"/>
  <c r="AA26" i="2"/>
  <c r="W26" i="2" s="1"/>
  <c r="AA27" i="2"/>
  <c r="W27" i="2" s="1"/>
  <c r="AA28" i="2"/>
  <c r="W28" i="2" s="1"/>
  <c r="AA29" i="2"/>
  <c r="W29" i="2" s="1"/>
  <c r="AA30" i="2"/>
  <c r="W30" i="2" s="1"/>
  <c r="AA31" i="2"/>
  <c r="W31" i="2" s="1"/>
  <c r="AA32" i="2"/>
  <c r="W32" i="2" s="1"/>
  <c r="AA33" i="2"/>
  <c r="W33" i="2" s="1"/>
  <c r="AA34" i="2"/>
  <c r="W34" i="2" s="1"/>
  <c r="AA35" i="2"/>
  <c r="W35" i="2" s="1"/>
  <c r="AA36" i="2"/>
  <c r="W36" i="2" s="1"/>
  <c r="AA37" i="2"/>
  <c r="W37" i="2" s="1"/>
  <c r="AA38" i="2"/>
  <c r="W38" i="2" s="1"/>
  <c r="AA39" i="2"/>
  <c r="W39" i="2" s="1"/>
  <c r="AA40" i="2"/>
  <c r="W40" i="2" s="1"/>
  <c r="AA41" i="2"/>
  <c r="W41" i="2" s="1"/>
  <c r="AA42" i="2"/>
  <c r="W42" i="2" s="1"/>
  <c r="AA43" i="2"/>
  <c r="W43" i="2" s="1"/>
  <c r="AA44" i="2"/>
  <c r="W44" i="2" s="1"/>
  <c r="AA45" i="2"/>
  <c r="W45" i="2" s="1"/>
  <c r="AA46" i="2"/>
  <c r="W46" i="2" s="1"/>
  <c r="AA47" i="2"/>
  <c r="W47" i="2" s="1"/>
  <c r="AA48" i="2"/>
  <c r="W48" i="2" s="1"/>
  <c r="AA49" i="2"/>
  <c r="W49" i="2" s="1"/>
  <c r="AA50" i="2"/>
  <c r="W50" i="2" s="1"/>
  <c r="AA51" i="2"/>
  <c r="W51" i="2" s="1"/>
  <c r="AA52" i="2"/>
  <c r="W52" i="2" s="1"/>
  <c r="AA53" i="2"/>
  <c r="W53" i="2" s="1"/>
  <c r="AA54" i="2"/>
  <c r="W54" i="2" s="1"/>
  <c r="AA55" i="2"/>
  <c r="W55" i="2" s="1"/>
  <c r="AA56" i="2"/>
  <c r="W56" i="2" s="1"/>
  <c r="AA57" i="2"/>
  <c r="W57" i="2" s="1"/>
  <c r="AA58" i="2"/>
  <c r="W58" i="2" s="1"/>
  <c r="AA59" i="2"/>
  <c r="W59" i="2" s="1"/>
  <c r="AA60" i="2"/>
  <c r="W60" i="2" s="1"/>
  <c r="AA61" i="2"/>
  <c r="W61" i="2" s="1"/>
  <c r="AA62" i="2"/>
  <c r="W62" i="2" s="1"/>
  <c r="AA63" i="2"/>
  <c r="W63" i="2" s="1"/>
  <c r="AA64" i="2"/>
  <c r="W64" i="2" s="1"/>
  <c r="AA65" i="2"/>
  <c r="W65" i="2" s="1"/>
  <c r="AA66" i="2"/>
  <c r="W66" i="2" s="1"/>
  <c r="AA67" i="2"/>
  <c r="W67" i="2" s="1"/>
  <c r="AA68" i="2"/>
  <c r="W68" i="2" s="1"/>
  <c r="AA69" i="2"/>
  <c r="W69" i="2" s="1"/>
  <c r="AA70" i="2"/>
  <c r="W70" i="2" s="1"/>
  <c r="AA71" i="2"/>
  <c r="W71" i="2" s="1"/>
  <c r="AA72" i="2"/>
  <c r="W72" i="2" s="1"/>
  <c r="AA73" i="2"/>
  <c r="W73" i="2" s="1"/>
  <c r="AA74" i="2"/>
  <c r="W74" i="2" s="1"/>
  <c r="AA75" i="2"/>
  <c r="W75" i="2" s="1"/>
  <c r="AA76" i="2"/>
  <c r="W76" i="2" s="1"/>
  <c r="AA77" i="2"/>
  <c r="W77" i="2" s="1"/>
  <c r="AA78" i="2"/>
  <c r="W78" i="2" s="1"/>
  <c r="AA79" i="2"/>
  <c r="W79" i="2" s="1"/>
  <c r="AA80" i="2"/>
  <c r="W80" i="2" s="1"/>
  <c r="AA81" i="2"/>
  <c r="W81" i="2" s="1"/>
  <c r="AA82" i="2"/>
  <c r="W82" i="2" s="1"/>
  <c r="AA83" i="2"/>
  <c r="W83" i="2" s="1"/>
  <c r="AA84" i="2"/>
  <c r="W84" i="2" s="1"/>
  <c r="AA85" i="2"/>
  <c r="W85" i="2" s="1"/>
  <c r="AA86" i="2"/>
  <c r="W86" i="2" s="1"/>
  <c r="AA87" i="2"/>
  <c r="W87" i="2" s="1"/>
  <c r="AA88" i="2"/>
  <c r="W88" i="2" s="1"/>
  <c r="AA89" i="2"/>
  <c r="W89" i="2" s="1"/>
  <c r="AA90" i="2"/>
  <c r="W90" i="2" s="1"/>
  <c r="AA91" i="2"/>
  <c r="W91" i="2" s="1"/>
  <c r="AA92" i="2"/>
  <c r="W92" i="2" s="1"/>
  <c r="AA93" i="2"/>
  <c r="W93" i="2" s="1"/>
  <c r="AA94" i="2"/>
  <c r="W94" i="2" s="1"/>
  <c r="AA95" i="2"/>
  <c r="W95" i="2" s="1"/>
  <c r="AA96" i="2"/>
  <c r="W96" i="2" s="1"/>
  <c r="AA97" i="2"/>
  <c r="W97" i="2" s="1"/>
  <c r="AA98" i="2"/>
  <c r="W98" i="2" s="1"/>
  <c r="AA99" i="2"/>
  <c r="W99" i="2" s="1"/>
  <c r="AA100" i="2"/>
  <c r="W100" i="2" s="1"/>
  <c r="AA101" i="2"/>
  <c r="W101" i="2" s="1"/>
  <c r="AA102" i="2"/>
  <c r="W102" i="2" s="1"/>
  <c r="AA103" i="2"/>
  <c r="W103" i="2" s="1"/>
  <c r="AA104" i="2"/>
  <c r="W104" i="2" s="1"/>
  <c r="AA105" i="2"/>
  <c r="W105" i="2" s="1"/>
  <c r="AA106" i="2"/>
  <c r="W106" i="2" s="1"/>
  <c r="AA107" i="2"/>
  <c r="W107" i="2" s="1"/>
  <c r="AA108" i="2"/>
  <c r="W108" i="2" s="1"/>
  <c r="AA109" i="2"/>
  <c r="W109" i="2" s="1"/>
  <c r="AA110" i="2"/>
  <c r="W110" i="2" s="1"/>
  <c r="AA11" i="2"/>
  <c r="W11" i="2" s="1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R31" i="2"/>
  <c r="S31" i="2"/>
  <c r="R32" i="2"/>
  <c r="S32" i="2"/>
  <c r="R33" i="2"/>
  <c r="S33" i="2"/>
  <c r="R34" i="2"/>
  <c r="S34" i="2"/>
  <c r="R35" i="2"/>
  <c r="S35" i="2"/>
  <c r="R36" i="2"/>
  <c r="S36" i="2"/>
  <c r="R37" i="2"/>
  <c r="S37" i="2"/>
  <c r="R38" i="2"/>
  <c r="S38" i="2"/>
  <c r="R39" i="2"/>
  <c r="S39" i="2"/>
  <c r="R40" i="2"/>
  <c r="S40" i="2"/>
  <c r="R41" i="2"/>
  <c r="S41" i="2"/>
  <c r="R42" i="2"/>
  <c r="S42" i="2"/>
  <c r="R43" i="2"/>
  <c r="S43" i="2"/>
  <c r="R44" i="2"/>
  <c r="S44" i="2"/>
  <c r="R45" i="2"/>
  <c r="S45" i="2"/>
  <c r="R46" i="2"/>
  <c r="S46" i="2"/>
  <c r="R47" i="2"/>
  <c r="S47" i="2"/>
  <c r="R48" i="2"/>
  <c r="S48" i="2"/>
  <c r="R49" i="2"/>
  <c r="S49" i="2"/>
  <c r="R50" i="2"/>
  <c r="S50" i="2"/>
  <c r="R51" i="2"/>
  <c r="S51" i="2"/>
  <c r="R52" i="2"/>
  <c r="S52" i="2"/>
  <c r="R53" i="2"/>
  <c r="S53" i="2"/>
  <c r="R54" i="2"/>
  <c r="S54" i="2"/>
  <c r="R55" i="2"/>
  <c r="S55" i="2"/>
  <c r="R56" i="2"/>
  <c r="S56" i="2"/>
  <c r="R57" i="2"/>
  <c r="S57" i="2"/>
  <c r="R58" i="2"/>
  <c r="S58" i="2"/>
  <c r="R59" i="2"/>
  <c r="S59" i="2"/>
  <c r="R60" i="2"/>
  <c r="S60" i="2"/>
  <c r="R61" i="2"/>
  <c r="S61" i="2"/>
  <c r="R62" i="2"/>
  <c r="S62" i="2"/>
  <c r="R63" i="2"/>
  <c r="S63" i="2"/>
  <c r="R64" i="2"/>
  <c r="S64" i="2"/>
  <c r="R65" i="2"/>
  <c r="S65" i="2"/>
  <c r="R66" i="2"/>
  <c r="S66" i="2"/>
  <c r="R67" i="2"/>
  <c r="S67" i="2"/>
  <c r="R68" i="2"/>
  <c r="S68" i="2"/>
  <c r="R69" i="2"/>
  <c r="S69" i="2"/>
  <c r="R70" i="2"/>
  <c r="S70" i="2"/>
  <c r="R71" i="2"/>
  <c r="S71" i="2"/>
  <c r="R72" i="2"/>
  <c r="S72" i="2"/>
  <c r="R73" i="2"/>
  <c r="S73" i="2"/>
  <c r="R74" i="2"/>
  <c r="S74" i="2"/>
  <c r="R75" i="2"/>
  <c r="S75" i="2"/>
  <c r="R76" i="2"/>
  <c r="S76" i="2"/>
  <c r="R77" i="2"/>
  <c r="S77" i="2"/>
  <c r="R78" i="2"/>
  <c r="S78" i="2"/>
  <c r="R79" i="2"/>
  <c r="S79" i="2"/>
  <c r="R80" i="2"/>
  <c r="S80" i="2"/>
  <c r="R81" i="2"/>
  <c r="S81" i="2"/>
  <c r="R82" i="2"/>
  <c r="S82" i="2"/>
  <c r="R83" i="2"/>
  <c r="S83" i="2"/>
  <c r="R84" i="2"/>
  <c r="S84" i="2"/>
  <c r="R85" i="2"/>
  <c r="S85" i="2"/>
  <c r="R86" i="2"/>
  <c r="S86" i="2"/>
  <c r="R87" i="2"/>
  <c r="S87" i="2"/>
  <c r="R88" i="2"/>
  <c r="S88" i="2"/>
  <c r="R89" i="2"/>
  <c r="S89" i="2"/>
  <c r="R90" i="2"/>
  <c r="S90" i="2"/>
  <c r="R91" i="2"/>
  <c r="S91" i="2"/>
  <c r="R92" i="2"/>
  <c r="S92" i="2"/>
  <c r="R93" i="2"/>
  <c r="S93" i="2"/>
  <c r="R94" i="2"/>
  <c r="S94" i="2"/>
  <c r="R95" i="2"/>
  <c r="S95" i="2"/>
  <c r="R96" i="2"/>
  <c r="S96" i="2"/>
  <c r="R97" i="2"/>
  <c r="S97" i="2"/>
  <c r="R98" i="2"/>
  <c r="S98" i="2"/>
  <c r="R99" i="2"/>
  <c r="S99" i="2"/>
  <c r="R100" i="2"/>
  <c r="S100" i="2"/>
  <c r="R101" i="2"/>
  <c r="S101" i="2"/>
  <c r="R102" i="2"/>
  <c r="S102" i="2"/>
  <c r="R103" i="2"/>
  <c r="S103" i="2"/>
  <c r="R104" i="2"/>
  <c r="S104" i="2"/>
  <c r="R105" i="2"/>
  <c r="S105" i="2"/>
  <c r="R106" i="2"/>
  <c r="S106" i="2"/>
  <c r="R107" i="2"/>
  <c r="S107" i="2"/>
  <c r="R108" i="2"/>
  <c r="S108" i="2"/>
  <c r="R109" i="2"/>
  <c r="S109" i="2"/>
  <c r="R110" i="2"/>
  <c r="S110" i="2"/>
  <c r="S11" i="2"/>
  <c r="R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J108" i="2"/>
  <c r="K108" i="2"/>
  <c r="J109" i="2"/>
  <c r="K109" i="2"/>
  <c r="J110" i="2"/>
  <c r="K110" i="2"/>
  <c r="K11" i="2"/>
  <c r="J11" i="2"/>
  <c r="H12" i="2"/>
  <c r="U12" i="2" s="1"/>
  <c r="H13" i="2"/>
  <c r="U13" i="2" s="1"/>
  <c r="H14" i="2"/>
  <c r="U14" i="2" s="1"/>
  <c r="H15" i="2"/>
  <c r="U15" i="2" s="1"/>
  <c r="H16" i="2"/>
  <c r="U16" i="2" s="1"/>
  <c r="H17" i="2"/>
  <c r="U17" i="2" s="1"/>
  <c r="H18" i="2"/>
  <c r="U18" i="2" s="1"/>
  <c r="H19" i="2"/>
  <c r="U19" i="2" s="1"/>
  <c r="H20" i="2"/>
  <c r="U20" i="2" s="1"/>
  <c r="H21" i="2"/>
  <c r="U21" i="2" s="1"/>
  <c r="H22" i="2"/>
  <c r="U22" i="2" s="1"/>
  <c r="H23" i="2"/>
  <c r="U23" i="2" s="1"/>
  <c r="H24" i="2"/>
  <c r="U24" i="2" s="1"/>
  <c r="H25" i="2"/>
  <c r="U25" i="2" s="1"/>
  <c r="H26" i="2"/>
  <c r="U26" i="2" s="1"/>
  <c r="H27" i="2"/>
  <c r="U27" i="2" s="1"/>
  <c r="H28" i="2"/>
  <c r="U28" i="2" s="1"/>
  <c r="H29" i="2"/>
  <c r="U29" i="2" s="1"/>
  <c r="H30" i="2"/>
  <c r="U30" i="2" s="1"/>
  <c r="H31" i="2"/>
  <c r="U31" i="2" s="1"/>
  <c r="H32" i="2"/>
  <c r="U32" i="2" s="1"/>
  <c r="H33" i="2"/>
  <c r="U33" i="2" s="1"/>
  <c r="H34" i="2"/>
  <c r="U34" i="2" s="1"/>
  <c r="H35" i="2"/>
  <c r="U35" i="2" s="1"/>
  <c r="H36" i="2"/>
  <c r="U36" i="2" s="1"/>
  <c r="H37" i="2"/>
  <c r="U37" i="2" s="1"/>
  <c r="H38" i="2"/>
  <c r="U38" i="2" s="1"/>
  <c r="H39" i="2"/>
  <c r="U39" i="2" s="1"/>
  <c r="H40" i="2"/>
  <c r="U40" i="2" s="1"/>
  <c r="H41" i="2"/>
  <c r="U41" i="2" s="1"/>
  <c r="H42" i="2"/>
  <c r="U42" i="2" s="1"/>
  <c r="H43" i="2"/>
  <c r="U43" i="2" s="1"/>
  <c r="H44" i="2"/>
  <c r="U44" i="2" s="1"/>
  <c r="H45" i="2"/>
  <c r="U45" i="2" s="1"/>
  <c r="H46" i="2"/>
  <c r="U46" i="2" s="1"/>
  <c r="H47" i="2"/>
  <c r="U47" i="2" s="1"/>
  <c r="H48" i="2"/>
  <c r="U48" i="2" s="1"/>
  <c r="H49" i="2"/>
  <c r="U49" i="2" s="1"/>
  <c r="H50" i="2"/>
  <c r="U50" i="2" s="1"/>
  <c r="H51" i="2"/>
  <c r="U51" i="2" s="1"/>
  <c r="H52" i="2"/>
  <c r="U52" i="2" s="1"/>
  <c r="H53" i="2"/>
  <c r="U53" i="2" s="1"/>
  <c r="H54" i="2"/>
  <c r="U54" i="2" s="1"/>
  <c r="H55" i="2"/>
  <c r="U55" i="2" s="1"/>
  <c r="H56" i="2"/>
  <c r="U56" i="2" s="1"/>
  <c r="H57" i="2"/>
  <c r="U57" i="2" s="1"/>
  <c r="H58" i="2"/>
  <c r="U58" i="2" s="1"/>
  <c r="H59" i="2"/>
  <c r="U59" i="2" s="1"/>
  <c r="H60" i="2"/>
  <c r="U60" i="2" s="1"/>
  <c r="H61" i="2"/>
  <c r="U61" i="2" s="1"/>
  <c r="H62" i="2"/>
  <c r="U62" i="2" s="1"/>
  <c r="H63" i="2"/>
  <c r="U63" i="2" s="1"/>
  <c r="H64" i="2"/>
  <c r="U64" i="2" s="1"/>
  <c r="H65" i="2"/>
  <c r="U65" i="2" s="1"/>
  <c r="H66" i="2"/>
  <c r="U66" i="2" s="1"/>
  <c r="H67" i="2"/>
  <c r="U67" i="2" s="1"/>
  <c r="H68" i="2"/>
  <c r="U68" i="2" s="1"/>
  <c r="H69" i="2"/>
  <c r="U69" i="2" s="1"/>
  <c r="H70" i="2"/>
  <c r="U70" i="2" s="1"/>
  <c r="H71" i="2"/>
  <c r="U71" i="2" s="1"/>
  <c r="H72" i="2"/>
  <c r="U72" i="2" s="1"/>
  <c r="H73" i="2"/>
  <c r="U73" i="2" s="1"/>
  <c r="H74" i="2"/>
  <c r="U74" i="2" s="1"/>
  <c r="H75" i="2"/>
  <c r="U75" i="2" s="1"/>
  <c r="H76" i="2"/>
  <c r="U76" i="2" s="1"/>
  <c r="H77" i="2"/>
  <c r="U77" i="2" s="1"/>
  <c r="H78" i="2"/>
  <c r="U78" i="2" s="1"/>
  <c r="H79" i="2"/>
  <c r="U79" i="2" s="1"/>
  <c r="H80" i="2"/>
  <c r="U80" i="2" s="1"/>
  <c r="H81" i="2"/>
  <c r="U81" i="2" s="1"/>
  <c r="H82" i="2"/>
  <c r="U82" i="2" s="1"/>
  <c r="H83" i="2"/>
  <c r="U83" i="2" s="1"/>
  <c r="H84" i="2"/>
  <c r="U84" i="2" s="1"/>
  <c r="H85" i="2"/>
  <c r="U85" i="2" s="1"/>
  <c r="H86" i="2"/>
  <c r="U86" i="2" s="1"/>
  <c r="H87" i="2"/>
  <c r="U87" i="2" s="1"/>
  <c r="H88" i="2"/>
  <c r="U88" i="2" s="1"/>
  <c r="H89" i="2"/>
  <c r="U89" i="2" s="1"/>
  <c r="H90" i="2"/>
  <c r="U90" i="2" s="1"/>
  <c r="H91" i="2"/>
  <c r="U91" i="2" s="1"/>
  <c r="H92" i="2"/>
  <c r="U92" i="2" s="1"/>
  <c r="H93" i="2"/>
  <c r="U93" i="2" s="1"/>
  <c r="H94" i="2"/>
  <c r="U94" i="2" s="1"/>
  <c r="H95" i="2"/>
  <c r="U95" i="2" s="1"/>
  <c r="H96" i="2"/>
  <c r="U96" i="2" s="1"/>
  <c r="H97" i="2"/>
  <c r="U97" i="2" s="1"/>
  <c r="H98" i="2"/>
  <c r="U98" i="2" s="1"/>
  <c r="H99" i="2"/>
  <c r="U99" i="2" s="1"/>
  <c r="H100" i="2"/>
  <c r="U100" i="2" s="1"/>
  <c r="H101" i="2"/>
  <c r="U101" i="2" s="1"/>
  <c r="H102" i="2"/>
  <c r="U102" i="2" s="1"/>
  <c r="H103" i="2"/>
  <c r="U103" i="2" s="1"/>
  <c r="H104" i="2"/>
  <c r="U104" i="2" s="1"/>
  <c r="H105" i="2"/>
  <c r="U105" i="2" s="1"/>
  <c r="H106" i="2"/>
  <c r="U106" i="2" s="1"/>
  <c r="H107" i="2"/>
  <c r="U107" i="2" s="1"/>
  <c r="H108" i="2"/>
  <c r="U108" i="2" s="1"/>
  <c r="H109" i="2"/>
  <c r="U109" i="2" s="1"/>
  <c r="H110" i="2"/>
  <c r="U110" i="2" s="1"/>
  <c r="H11" i="2"/>
  <c r="U11" i="2" s="1"/>
  <c r="C16" i="18"/>
  <c r="C15" i="18"/>
  <c r="C13" i="18"/>
  <c r="C12" i="18"/>
  <c r="C11" i="18"/>
  <c r="C10" i="18"/>
  <c r="C9" i="18"/>
  <c r="C8" i="18"/>
  <c r="C7" i="18"/>
  <c r="H28" i="18"/>
  <c r="AD12" i="14"/>
  <c r="H32" i="6" s="1"/>
  <c r="I35" i="6"/>
  <c r="K35" i="6" s="1"/>
  <c r="J31" i="6"/>
  <c r="J32" i="6"/>
  <c r="J33" i="6"/>
  <c r="J34" i="6"/>
  <c r="J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I32" i="6"/>
  <c r="K32" i="6" s="1"/>
  <c r="I31" i="6"/>
  <c r="K31" i="6" s="1"/>
  <c r="I33" i="6"/>
  <c r="K33" i="6" s="1"/>
  <c r="I34" i="6"/>
  <c r="K34" i="6" s="1"/>
  <c r="C17" i="11"/>
  <c r="C17" i="18" s="1"/>
  <c r="C16" i="8"/>
  <c r="F18" i="8" s="1"/>
  <c r="I25" i="7"/>
  <c r="M25" i="7" s="1"/>
  <c r="N25" i="7" s="1"/>
  <c r="C25" i="7"/>
  <c r="M26" i="7"/>
  <c r="N26" i="7" s="1"/>
  <c r="M24" i="7"/>
  <c r="N24" i="7" s="1"/>
  <c r="G25" i="7"/>
  <c r="H25" i="7"/>
  <c r="G26" i="7"/>
  <c r="H26" i="7"/>
  <c r="H24" i="7"/>
  <c r="G24" i="7"/>
  <c r="C9" i="6"/>
  <c r="E7" i="6" s="1"/>
  <c r="AA17" i="12"/>
  <c r="AA18" i="12"/>
  <c r="AA19" i="12"/>
  <c r="AA20" i="12"/>
  <c r="AA21" i="12"/>
  <c r="AA22" i="12"/>
  <c r="AA23" i="12"/>
  <c r="AA24" i="12"/>
  <c r="AA25" i="12"/>
  <c r="AA26" i="12"/>
  <c r="AA27" i="12"/>
  <c r="AA28" i="12"/>
  <c r="AA29" i="12"/>
  <c r="AA30" i="12"/>
  <c r="AA31" i="12"/>
  <c r="AA32" i="12"/>
  <c r="AA33" i="12"/>
  <c r="AA34" i="12"/>
  <c r="AA35" i="12"/>
  <c r="AA36" i="12"/>
  <c r="AA37" i="12"/>
  <c r="AA38" i="12"/>
  <c r="AA39" i="12"/>
  <c r="AA40" i="12"/>
  <c r="AA41" i="12"/>
  <c r="AA42" i="12"/>
  <c r="AA43" i="12"/>
  <c r="AA44" i="12"/>
  <c r="AA45" i="12"/>
  <c r="AA46" i="12"/>
  <c r="AA47" i="12"/>
  <c r="AA48" i="12"/>
  <c r="AA49" i="12"/>
  <c r="AA50" i="12"/>
  <c r="AA51" i="12"/>
  <c r="AA52" i="12"/>
  <c r="AA53" i="12"/>
  <c r="AA54" i="12"/>
  <c r="AA55" i="12"/>
  <c r="AA56" i="12"/>
  <c r="AA57" i="12"/>
  <c r="AA58" i="12"/>
  <c r="AA59" i="12"/>
  <c r="AA60" i="12"/>
  <c r="AA61" i="12"/>
  <c r="AA62" i="12"/>
  <c r="AA63" i="12"/>
  <c r="AA64" i="12"/>
  <c r="AA65" i="12"/>
  <c r="AA66" i="12"/>
  <c r="AA67" i="12"/>
  <c r="AA68" i="12"/>
  <c r="AA69" i="12"/>
  <c r="AA70" i="12"/>
  <c r="AA71" i="12"/>
  <c r="AA72" i="12"/>
  <c r="AA73" i="12"/>
  <c r="AA74" i="12"/>
  <c r="AA75" i="12"/>
  <c r="AA76" i="12"/>
  <c r="AA77" i="12"/>
  <c r="AA78" i="12"/>
  <c r="AA79" i="12"/>
  <c r="AA80" i="12"/>
  <c r="AA81" i="12"/>
  <c r="AA82" i="12"/>
  <c r="AA83" i="12"/>
  <c r="AA84" i="12"/>
  <c r="AA85" i="12"/>
  <c r="AA86" i="12"/>
  <c r="AA87" i="12"/>
  <c r="AA88" i="12"/>
  <c r="AA89" i="12"/>
  <c r="AA90" i="12"/>
  <c r="AA91" i="12"/>
  <c r="AA92" i="12"/>
  <c r="AA93" i="12"/>
  <c r="AA94" i="12"/>
  <c r="AA95" i="12"/>
  <c r="AA96" i="12"/>
  <c r="AA97" i="12"/>
  <c r="AA98" i="12"/>
  <c r="AA99" i="12"/>
  <c r="AA100" i="12"/>
  <c r="AA101" i="12"/>
  <c r="AA102" i="12"/>
  <c r="AA103" i="12"/>
  <c r="AA104" i="12"/>
  <c r="AA105" i="12"/>
  <c r="AA106" i="12"/>
  <c r="AA107" i="12"/>
  <c r="AA108" i="12"/>
  <c r="AA109" i="12"/>
  <c r="AA110" i="12"/>
  <c r="AA111" i="12"/>
  <c r="AA112" i="12"/>
  <c r="AA113" i="12"/>
  <c r="AA114" i="12"/>
  <c r="AA115" i="12"/>
  <c r="AA16" i="12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H36" i="6"/>
  <c r="I36" i="6"/>
  <c r="AK36" i="6" s="1"/>
  <c r="J36" i="6"/>
  <c r="H37" i="6"/>
  <c r="I37" i="6"/>
  <c r="J37" i="6"/>
  <c r="H38" i="6"/>
  <c r="I38" i="6"/>
  <c r="J38" i="6"/>
  <c r="H39" i="6"/>
  <c r="I39" i="6"/>
  <c r="AK39" i="6" s="1"/>
  <c r="J39" i="6"/>
  <c r="H40" i="6"/>
  <c r="I40" i="6"/>
  <c r="AK40" i="6" s="1"/>
  <c r="J40" i="6"/>
  <c r="H41" i="6"/>
  <c r="I41" i="6"/>
  <c r="AK41" i="6" s="1"/>
  <c r="J41" i="6"/>
  <c r="H42" i="6"/>
  <c r="I42" i="6"/>
  <c r="AK42" i="6" s="1"/>
  <c r="J42" i="6"/>
  <c r="H43" i="6"/>
  <c r="I43" i="6"/>
  <c r="AK43" i="6" s="1"/>
  <c r="J43" i="6"/>
  <c r="H44" i="6"/>
  <c r="I44" i="6"/>
  <c r="AK44" i="6" s="1"/>
  <c r="AB29" i="12" s="1"/>
  <c r="J44" i="6"/>
  <c r="H45" i="6"/>
  <c r="I45" i="6"/>
  <c r="AK45" i="6" s="1"/>
  <c r="J45" i="6"/>
  <c r="H46" i="6"/>
  <c r="I46" i="6"/>
  <c r="AK46" i="6" s="1"/>
  <c r="J46" i="6"/>
  <c r="H47" i="6"/>
  <c r="I47" i="6"/>
  <c r="AK47" i="6" s="1"/>
  <c r="AB32" i="12" s="1"/>
  <c r="J47" i="6"/>
  <c r="H48" i="6"/>
  <c r="I48" i="6"/>
  <c r="AK48" i="6" s="1"/>
  <c r="AB33" i="12" s="1"/>
  <c r="J48" i="6"/>
  <c r="H49" i="6"/>
  <c r="I49" i="6"/>
  <c r="AK49" i="6" s="1"/>
  <c r="J49" i="6"/>
  <c r="H50" i="6"/>
  <c r="I50" i="6"/>
  <c r="AK50" i="6" s="1"/>
  <c r="J50" i="6"/>
  <c r="H51" i="6"/>
  <c r="I51" i="6"/>
  <c r="AK51" i="6" s="1"/>
  <c r="J51" i="6"/>
  <c r="H52" i="6"/>
  <c r="I52" i="6"/>
  <c r="J52" i="6"/>
  <c r="H53" i="6"/>
  <c r="I53" i="6"/>
  <c r="AK53" i="6" s="1"/>
  <c r="AB38" i="12" s="1"/>
  <c r="J53" i="6"/>
  <c r="H54" i="6"/>
  <c r="I54" i="6"/>
  <c r="M54" i="6" s="1"/>
  <c r="J54" i="6"/>
  <c r="H55" i="6"/>
  <c r="I55" i="6"/>
  <c r="AK55" i="6" s="1"/>
  <c r="AB40" i="12" s="1"/>
  <c r="J55" i="6"/>
  <c r="H56" i="6"/>
  <c r="I56" i="6"/>
  <c r="AK56" i="6" s="1"/>
  <c r="J56" i="6"/>
  <c r="H57" i="6"/>
  <c r="I57" i="6"/>
  <c r="J57" i="6"/>
  <c r="H58" i="6"/>
  <c r="I58" i="6"/>
  <c r="J58" i="6"/>
  <c r="H59" i="6"/>
  <c r="I59" i="6"/>
  <c r="AK59" i="6" s="1"/>
  <c r="J59" i="6"/>
  <c r="H60" i="6"/>
  <c r="I60" i="6"/>
  <c r="AK60" i="6" s="1"/>
  <c r="J60" i="6"/>
  <c r="H61" i="6"/>
  <c r="I61" i="6"/>
  <c r="AK61" i="6" s="1"/>
  <c r="J61" i="6"/>
  <c r="H62" i="6"/>
  <c r="I62" i="6"/>
  <c r="J62" i="6"/>
  <c r="H63" i="6"/>
  <c r="I63" i="6"/>
  <c r="AK63" i="6" s="1"/>
  <c r="AB48" i="12" s="1"/>
  <c r="J63" i="6"/>
  <c r="H64" i="6"/>
  <c r="I64" i="6"/>
  <c r="J64" i="6"/>
  <c r="H65" i="6"/>
  <c r="I65" i="6"/>
  <c r="AK65" i="6" s="1"/>
  <c r="J65" i="6"/>
  <c r="H66" i="6"/>
  <c r="I66" i="6"/>
  <c r="AK66" i="6" s="1"/>
  <c r="J66" i="6"/>
  <c r="H67" i="6"/>
  <c r="I67" i="6"/>
  <c r="AK67" i="6" s="1"/>
  <c r="AB52" i="12" s="1"/>
  <c r="J67" i="6"/>
  <c r="H68" i="6"/>
  <c r="I68" i="6"/>
  <c r="AK68" i="6" s="1"/>
  <c r="J68" i="6"/>
  <c r="H69" i="6"/>
  <c r="I69" i="6"/>
  <c r="AK69" i="6" s="1"/>
  <c r="J69" i="6"/>
  <c r="H70" i="6"/>
  <c r="I70" i="6"/>
  <c r="AK70" i="6" s="1"/>
  <c r="J70" i="6"/>
  <c r="H71" i="6"/>
  <c r="I71" i="6"/>
  <c r="AK71" i="6" s="1"/>
  <c r="J71" i="6"/>
  <c r="H72" i="6"/>
  <c r="I72" i="6"/>
  <c r="M72" i="6" s="1"/>
  <c r="J72" i="6"/>
  <c r="H73" i="6"/>
  <c r="I73" i="6"/>
  <c r="J73" i="6"/>
  <c r="H74" i="6"/>
  <c r="I74" i="6"/>
  <c r="J74" i="6"/>
  <c r="H75" i="6"/>
  <c r="I75" i="6"/>
  <c r="AK75" i="6" s="1"/>
  <c r="AB60" i="12" s="1"/>
  <c r="J75" i="6"/>
  <c r="H76" i="6"/>
  <c r="I76" i="6"/>
  <c r="AK76" i="6" s="1"/>
  <c r="AL76" i="6" s="1"/>
  <c r="J76" i="6"/>
  <c r="H77" i="6"/>
  <c r="I77" i="6"/>
  <c r="J77" i="6"/>
  <c r="H78" i="6"/>
  <c r="I78" i="6"/>
  <c r="J78" i="6"/>
  <c r="H79" i="6"/>
  <c r="I79" i="6"/>
  <c r="AK79" i="6" s="1"/>
  <c r="J79" i="6"/>
  <c r="H80" i="6"/>
  <c r="I80" i="6"/>
  <c r="AK80" i="6" s="1"/>
  <c r="AB65" i="12" s="1"/>
  <c r="J80" i="6"/>
  <c r="H81" i="6"/>
  <c r="I81" i="6"/>
  <c r="AK81" i="6" s="1"/>
  <c r="J81" i="6"/>
  <c r="H82" i="6"/>
  <c r="I82" i="6"/>
  <c r="AK82" i="6" s="1"/>
  <c r="J82" i="6"/>
  <c r="H83" i="6"/>
  <c r="I83" i="6"/>
  <c r="J83" i="6"/>
  <c r="H84" i="6"/>
  <c r="I84" i="6"/>
  <c r="J84" i="6"/>
  <c r="H85" i="6"/>
  <c r="I85" i="6"/>
  <c r="AK85" i="6" s="1"/>
  <c r="J85" i="6"/>
  <c r="H86" i="6"/>
  <c r="I86" i="6"/>
  <c r="AK86" i="6" s="1"/>
  <c r="J86" i="6"/>
  <c r="H87" i="6"/>
  <c r="I87" i="6"/>
  <c r="AK87" i="6" s="1"/>
  <c r="J87" i="6"/>
  <c r="H88" i="6"/>
  <c r="I88" i="6"/>
  <c r="AK88" i="6" s="1"/>
  <c r="J88" i="6"/>
  <c r="H89" i="6"/>
  <c r="I89" i="6"/>
  <c r="AK89" i="6" s="1"/>
  <c r="J89" i="6"/>
  <c r="H90" i="6"/>
  <c r="I90" i="6"/>
  <c r="AK90" i="6" s="1"/>
  <c r="J90" i="6"/>
  <c r="H91" i="6"/>
  <c r="I91" i="6"/>
  <c r="AK91" i="6" s="1"/>
  <c r="J91" i="6"/>
  <c r="H92" i="6"/>
  <c r="I92" i="6"/>
  <c r="M92" i="6" s="1"/>
  <c r="J92" i="6"/>
  <c r="H93" i="6"/>
  <c r="I93" i="6"/>
  <c r="J93" i="6"/>
  <c r="H94" i="6"/>
  <c r="I94" i="6"/>
  <c r="M94" i="6" s="1"/>
  <c r="J94" i="6"/>
  <c r="H95" i="6"/>
  <c r="I95" i="6"/>
  <c r="AK95" i="6" s="1"/>
  <c r="AB80" i="12" s="1"/>
  <c r="J95" i="6"/>
  <c r="H96" i="6"/>
  <c r="I96" i="6"/>
  <c r="AK96" i="6" s="1"/>
  <c r="J96" i="6"/>
  <c r="H97" i="6"/>
  <c r="I97" i="6"/>
  <c r="J97" i="6"/>
  <c r="H98" i="6"/>
  <c r="I98" i="6"/>
  <c r="J98" i="6"/>
  <c r="H99" i="6"/>
  <c r="I99" i="6"/>
  <c r="AK99" i="6" s="1"/>
  <c r="J99" i="6"/>
  <c r="H100" i="6"/>
  <c r="I100" i="6"/>
  <c r="AK100" i="6" s="1"/>
  <c r="J100" i="6"/>
  <c r="H101" i="6"/>
  <c r="I101" i="6"/>
  <c r="AK101" i="6" s="1"/>
  <c r="J101" i="6"/>
  <c r="H102" i="6"/>
  <c r="I102" i="6"/>
  <c r="AK102" i="6" s="1"/>
  <c r="J102" i="6"/>
  <c r="H103" i="6"/>
  <c r="I103" i="6"/>
  <c r="AK103" i="6" s="1"/>
  <c r="J103" i="6"/>
  <c r="H104" i="6"/>
  <c r="I104" i="6"/>
  <c r="J104" i="6"/>
  <c r="H105" i="6"/>
  <c r="I105" i="6"/>
  <c r="AK105" i="6" s="1"/>
  <c r="J105" i="6"/>
  <c r="H106" i="6"/>
  <c r="I106" i="6"/>
  <c r="AK106" i="6" s="1"/>
  <c r="J106" i="6"/>
  <c r="H107" i="6"/>
  <c r="I107" i="6"/>
  <c r="AK107" i="6" s="1"/>
  <c r="J107" i="6"/>
  <c r="H108" i="6"/>
  <c r="I108" i="6"/>
  <c r="AK108" i="6" s="1"/>
  <c r="J108" i="6"/>
  <c r="H109" i="6"/>
  <c r="I109" i="6"/>
  <c r="AK109" i="6" s="1"/>
  <c r="J109" i="6"/>
  <c r="H110" i="6"/>
  <c r="I110" i="6"/>
  <c r="AK110" i="6" s="1"/>
  <c r="J110" i="6"/>
  <c r="H111" i="6"/>
  <c r="I111" i="6"/>
  <c r="AK111" i="6" s="1"/>
  <c r="J111" i="6"/>
  <c r="H112" i="6"/>
  <c r="I112" i="6"/>
  <c r="J112" i="6"/>
  <c r="H113" i="6"/>
  <c r="I113" i="6"/>
  <c r="J113" i="6"/>
  <c r="H114" i="6"/>
  <c r="I114" i="6"/>
  <c r="M114" i="6" s="1"/>
  <c r="J114" i="6"/>
  <c r="H115" i="6"/>
  <c r="I115" i="6"/>
  <c r="AK115" i="6" s="1"/>
  <c r="J115" i="6"/>
  <c r="H116" i="6"/>
  <c r="I116" i="6"/>
  <c r="AK116" i="6" s="1"/>
  <c r="J116" i="6"/>
  <c r="H117" i="6"/>
  <c r="I117" i="6"/>
  <c r="J117" i="6"/>
  <c r="H118" i="6"/>
  <c r="I118" i="6"/>
  <c r="J118" i="6"/>
  <c r="H119" i="6"/>
  <c r="I119" i="6"/>
  <c r="AK119" i="6" s="1"/>
  <c r="J119" i="6"/>
  <c r="H120" i="6"/>
  <c r="I120" i="6"/>
  <c r="M120" i="6" s="1"/>
  <c r="J120" i="6"/>
  <c r="H121" i="6"/>
  <c r="I121" i="6"/>
  <c r="AK121" i="6" s="1"/>
  <c r="J121" i="6"/>
  <c r="H122" i="6"/>
  <c r="I122" i="6"/>
  <c r="J122" i="6"/>
  <c r="H123" i="6"/>
  <c r="I123" i="6"/>
  <c r="J123" i="6"/>
  <c r="H124" i="6"/>
  <c r="I124" i="6"/>
  <c r="J124" i="6"/>
  <c r="H125" i="6"/>
  <c r="I125" i="6"/>
  <c r="AK125" i="6" s="1"/>
  <c r="J125" i="6"/>
  <c r="H126" i="6"/>
  <c r="I126" i="6"/>
  <c r="AK126" i="6" s="1"/>
  <c r="J126" i="6"/>
  <c r="H127" i="6"/>
  <c r="I127" i="6"/>
  <c r="AK127" i="6" s="1"/>
  <c r="J127" i="6"/>
  <c r="H128" i="6"/>
  <c r="I128" i="6"/>
  <c r="AK128" i="6" s="1"/>
  <c r="J128" i="6"/>
  <c r="H129" i="6"/>
  <c r="I129" i="6"/>
  <c r="AK129" i="6" s="1"/>
  <c r="J129" i="6"/>
  <c r="H130" i="6"/>
  <c r="I130" i="6"/>
  <c r="AK130" i="6" s="1"/>
  <c r="J130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31" i="6"/>
  <c r="C32" i="6"/>
  <c r="G32" i="6" s="1"/>
  <c r="C33" i="6"/>
  <c r="G33" i="6" s="1"/>
  <c r="C34" i="6"/>
  <c r="G34" i="6" s="1"/>
  <c r="C35" i="6"/>
  <c r="G35" i="6" s="1"/>
  <c r="C36" i="6"/>
  <c r="G36" i="6" s="1"/>
  <c r="C37" i="6"/>
  <c r="G37" i="6" s="1"/>
  <c r="C38" i="6"/>
  <c r="G38" i="6" s="1"/>
  <c r="C39" i="6"/>
  <c r="G39" i="6" s="1"/>
  <c r="C40" i="6"/>
  <c r="G40" i="6" s="1"/>
  <c r="C41" i="6"/>
  <c r="G41" i="6" s="1"/>
  <c r="C42" i="6"/>
  <c r="G42" i="6" s="1"/>
  <c r="C43" i="6"/>
  <c r="G43" i="6" s="1"/>
  <c r="C44" i="6"/>
  <c r="G44" i="6" s="1"/>
  <c r="C45" i="6"/>
  <c r="G45" i="6" s="1"/>
  <c r="C46" i="6"/>
  <c r="G46" i="6" s="1"/>
  <c r="C47" i="6"/>
  <c r="G47" i="6" s="1"/>
  <c r="C48" i="6"/>
  <c r="G48" i="6" s="1"/>
  <c r="C49" i="6"/>
  <c r="G49" i="6" s="1"/>
  <c r="C50" i="6"/>
  <c r="G50" i="6" s="1"/>
  <c r="C51" i="6"/>
  <c r="G51" i="6" s="1"/>
  <c r="C52" i="6"/>
  <c r="G52" i="6" s="1"/>
  <c r="C53" i="6"/>
  <c r="G53" i="6" s="1"/>
  <c r="C54" i="6"/>
  <c r="G54" i="6" s="1"/>
  <c r="C55" i="6"/>
  <c r="G55" i="6" s="1"/>
  <c r="C56" i="6"/>
  <c r="G56" i="6" s="1"/>
  <c r="C57" i="6"/>
  <c r="G57" i="6" s="1"/>
  <c r="C58" i="6"/>
  <c r="G58" i="6" s="1"/>
  <c r="C59" i="6"/>
  <c r="G59" i="6" s="1"/>
  <c r="C60" i="6"/>
  <c r="G60" i="6" s="1"/>
  <c r="C61" i="6"/>
  <c r="G61" i="6" s="1"/>
  <c r="C62" i="6"/>
  <c r="G62" i="6" s="1"/>
  <c r="C63" i="6"/>
  <c r="G63" i="6" s="1"/>
  <c r="C64" i="6"/>
  <c r="G64" i="6" s="1"/>
  <c r="C65" i="6"/>
  <c r="G65" i="6" s="1"/>
  <c r="C66" i="6"/>
  <c r="G66" i="6" s="1"/>
  <c r="C67" i="6"/>
  <c r="G67" i="6" s="1"/>
  <c r="C68" i="6"/>
  <c r="G68" i="6" s="1"/>
  <c r="C69" i="6"/>
  <c r="G69" i="6" s="1"/>
  <c r="C70" i="6"/>
  <c r="G70" i="6" s="1"/>
  <c r="C71" i="6"/>
  <c r="G71" i="6" s="1"/>
  <c r="C72" i="6"/>
  <c r="G72" i="6" s="1"/>
  <c r="C73" i="6"/>
  <c r="G73" i="6" s="1"/>
  <c r="C74" i="6"/>
  <c r="G74" i="6" s="1"/>
  <c r="C75" i="6"/>
  <c r="G75" i="6" s="1"/>
  <c r="C76" i="6"/>
  <c r="G76" i="6" s="1"/>
  <c r="C77" i="6"/>
  <c r="G77" i="6" s="1"/>
  <c r="C78" i="6"/>
  <c r="G78" i="6" s="1"/>
  <c r="C79" i="6"/>
  <c r="G79" i="6" s="1"/>
  <c r="C80" i="6"/>
  <c r="G80" i="6" s="1"/>
  <c r="C81" i="6"/>
  <c r="G81" i="6" s="1"/>
  <c r="C82" i="6"/>
  <c r="G82" i="6" s="1"/>
  <c r="C83" i="6"/>
  <c r="G83" i="6" s="1"/>
  <c r="C84" i="6"/>
  <c r="G84" i="6" s="1"/>
  <c r="C85" i="6"/>
  <c r="G85" i="6" s="1"/>
  <c r="C86" i="6"/>
  <c r="G86" i="6" s="1"/>
  <c r="C87" i="6"/>
  <c r="G87" i="6" s="1"/>
  <c r="C88" i="6"/>
  <c r="G88" i="6" s="1"/>
  <c r="C89" i="6"/>
  <c r="G89" i="6" s="1"/>
  <c r="C90" i="6"/>
  <c r="G90" i="6" s="1"/>
  <c r="C91" i="6"/>
  <c r="G91" i="6" s="1"/>
  <c r="C92" i="6"/>
  <c r="G92" i="6" s="1"/>
  <c r="C93" i="6"/>
  <c r="G93" i="6" s="1"/>
  <c r="C94" i="6"/>
  <c r="G94" i="6" s="1"/>
  <c r="C95" i="6"/>
  <c r="G95" i="6" s="1"/>
  <c r="C96" i="6"/>
  <c r="G96" i="6" s="1"/>
  <c r="C97" i="6"/>
  <c r="G97" i="6" s="1"/>
  <c r="C98" i="6"/>
  <c r="G98" i="6" s="1"/>
  <c r="C99" i="6"/>
  <c r="G99" i="6" s="1"/>
  <c r="C100" i="6"/>
  <c r="G100" i="6" s="1"/>
  <c r="C101" i="6"/>
  <c r="G101" i="6" s="1"/>
  <c r="C102" i="6"/>
  <c r="G102" i="6" s="1"/>
  <c r="C103" i="6"/>
  <c r="G103" i="6" s="1"/>
  <c r="C104" i="6"/>
  <c r="G104" i="6" s="1"/>
  <c r="C105" i="6"/>
  <c r="G105" i="6" s="1"/>
  <c r="C106" i="6"/>
  <c r="G106" i="6" s="1"/>
  <c r="C107" i="6"/>
  <c r="G107" i="6" s="1"/>
  <c r="C108" i="6"/>
  <c r="G108" i="6" s="1"/>
  <c r="C109" i="6"/>
  <c r="G109" i="6" s="1"/>
  <c r="C110" i="6"/>
  <c r="G110" i="6" s="1"/>
  <c r="C111" i="6"/>
  <c r="G111" i="6" s="1"/>
  <c r="C112" i="6"/>
  <c r="G112" i="6" s="1"/>
  <c r="C113" i="6"/>
  <c r="G113" i="6" s="1"/>
  <c r="C114" i="6"/>
  <c r="G114" i="6" s="1"/>
  <c r="C115" i="6"/>
  <c r="G115" i="6" s="1"/>
  <c r="C116" i="6"/>
  <c r="G116" i="6" s="1"/>
  <c r="C117" i="6"/>
  <c r="G117" i="6" s="1"/>
  <c r="C118" i="6"/>
  <c r="G118" i="6" s="1"/>
  <c r="C119" i="6"/>
  <c r="G119" i="6" s="1"/>
  <c r="C120" i="6"/>
  <c r="G120" i="6" s="1"/>
  <c r="C121" i="6"/>
  <c r="G121" i="6" s="1"/>
  <c r="C122" i="6"/>
  <c r="G122" i="6" s="1"/>
  <c r="C123" i="6"/>
  <c r="G123" i="6" s="1"/>
  <c r="C124" i="6"/>
  <c r="G124" i="6" s="1"/>
  <c r="C125" i="6"/>
  <c r="G125" i="6" s="1"/>
  <c r="C126" i="6"/>
  <c r="G126" i="6" s="1"/>
  <c r="C127" i="6"/>
  <c r="G127" i="6" s="1"/>
  <c r="C128" i="6"/>
  <c r="G128" i="6" s="1"/>
  <c r="C129" i="6"/>
  <c r="G129" i="6" s="1"/>
  <c r="C130" i="6"/>
  <c r="G130" i="6" s="1"/>
  <c r="C31" i="6"/>
  <c r="G31" i="6" s="1"/>
  <c r="S2" i="6"/>
  <c r="S1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C58" i="8"/>
  <c r="AF58" i="8"/>
  <c r="AG58" i="8"/>
  <c r="AB58" i="8"/>
  <c r="Y58" i="8"/>
  <c r="P58" i="8"/>
  <c r="M58" i="8"/>
  <c r="H58" i="8"/>
  <c r="E58" i="8"/>
  <c r="K58" i="8"/>
  <c r="E28" i="8"/>
  <c r="F27" i="8"/>
  <c r="Q43" i="8"/>
  <c r="Q27" i="8"/>
  <c r="Q30" i="8"/>
  <c r="Q40" i="8"/>
  <c r="P48" i="8"/>
  <c r="P49" i="8"/>
  <c r="P50" i="8"/>
  <c r="P47" i="8"/>
  <c r="Q38" i="8"/>
  <c r="Q42" i="8" s="1"/>
  <c r="Q25" i="8"/>
  <c r="Q29" i="8" s="1"/>
  <c r="K38" i="8"/>
  <c r="K42" i="8" s="1"/>
  <c r="K25" i="8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3" i="17"/>
  <c r="S4" i="17"/>
  <c r="S5" i="17"/>
  <c r="S6" i="17"/>
  <c r="S7" i="17"/>
  <c r="S8" i="17"/>
  <c r="S9" i="17"/>
  <c r="S10" i="17"/>
  <c r="S11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S34" i="17"/>
  <c r="S35" i="17"/>
  <c r="S36" i="17"/>
  <c r="S37" i="17"/>
  <c r="S38" i="17"/>
  <c r="S39" i="17"/>
  <c r="S40" i="17"/>
  <c r="S41" i="17"/>
  <c r="S42" i="17"/>
  <c r="S43" i="17"/>
  <c r="S44" i="17"/>
  <c r="S45" i="17"/>
  <c r="S46" i="17"/>
  <c r="S47" i="17"/>
  <c r="S48" i="17"/>
  <c r="S49" i="17"/>
  <c r="S50" i="17"/>
  <c r="S51" i="17"/>
  <c r="S52" i="17"/>
  <c r="S53" i="17"/>
  <c r="S54" i="17"/>
  <c r="S55" i="17"/>
  <c r="S56" i="17"/>
  <c r="S57" i="17"/>
  <c r="S58" i="17"/>
  <c r="S59" i="17"/>
  <c r="S60" i="17"/>
  <c r="S61" i="17"/>
  <c r="S62" i="17"/>
  <c r="S63" i="17"/>
  <c r="S64" i="17"/>
  <c r="S65" i="17"/>
  <c r="S66" i="17"/>
  <c r="S67" i="17"/>
  <c r="S68" i="17"/>
  <c r="S69" i="17"/>
  <c r="S70" i="17"/>
  <c r="S71" i="17"/>
  <c r="S72" i="17"/>
  <c r="S73" i="17"/>
  <c r="S74" i="17"/>
  <c r="S75" i="17"/>
  <c r="S76" i="17"/>
  <c r="S77" i="17"/>
  <c r="S78" i="17"/>
  <c r="S79" i="17"/>
  <c r="S80" i="17"/>
  <c r="S81" i="17"/>
  <c r="S82" i="17"/>
  <c r="S83" i="17"/>
  <c r="S84" i="17"/>
  <c r="S85" i="17"/>
  <c r="S86" i="17"/>
  <c r="S87" i="17"/>
  <c r="S88" i="17"/>
  <c r="S89" i="17"/>
  <c r="S90" i="17"/>
  <c r="S91" i="17"/>
  <c r="S92" i="17"/>
  <c r="S93" i="17"/>
  <c r="S94" i="17"/>
  <c r="S95" i="17"/>
  <c r="S96" i="17"/>
  <c r="S97" i="17"/>
  <c r="S98" i="17"/>
  <c r="S99" i="17"/>
  <c r="S100" i="17"/>
  <c r="S101" i="17"/>
  <c r="S102" i="17"/>
  <c r="S103" i="17"/>
  <c r="S104" i="17"/>
  <c r="S105" i="17"/>
  <c r="S106" i="17"/>
  <c r="S107" i="17"/>
  <c r="S108" i="17"/>
  <c r="S109" i="17"/>
  <c r="S110" i="17"/>
  <c r="S111" i="17"/>
  <c r="S112" i="17"/>
  <c r="S113" i="17"/>
  <c r="S114" i="17"/>
  <c r="S115" i="17"/>
  <c r="S116" i="17"/>
  <c r="S117" i="17"/>
  <c r="S118" i="17"/>
  <c r="S119" i="17"/>
  <c r="S120" i="17"/>
  <c r="S121" i="17"/>
  <c r="S122" i="17"/>
  <c r="S123" i="17"/>
  <c r="S124" i="17"/>
  <c r="S125" i="17"/>
  <c r="S126" i="17"/>
  <c r="S127" i="17"/>
  <c r="S128" i="17"/>
  <c r="S129" i="17"/>
  <c r="S130" i="17"/>
  <c r="S131" i="17"/>
  <c r="S132" i="17"/>
  <c r="S133" i="17"/>
  <c r="S134" i="17"/>
  <c r="S135" i="17"/>
  <c r="S136" i="17"/>
  <c r="S137" i="17"/>
  <c r="S138" i="17"/>
  <c r="S139" i="17"/>
  <c r="S140" i="17"/>
  <c r="S141" i="17"/>
  <c r="S142" i="17"/>
  <c r="S143" i="17"/>
  <c r="S144" i="17"/>
  <c r="S145" i="17"/>
  <c r="S146" i="17"/>
  <c r="S147" i="17"/>
  <c r="S148" i="17"/>
  <c r="S149" i="17"/>
  <c r="S150" i="17"/>
  <c r="S151" i="17"/>
  <c r="S152" i="17"/>
  <c r="S153" i="17"/>
  <c r="S154" i="17"/>
  <c r="S155" i="17"/>
  <c r="S156" i="17"/>
  <c r="S157" i="17"/>
  <c r="S158" i="17"/>
  <c r="S159" i="17"/>
  <c r="S160" i="17"/>
  <c r="S161" i="17"/>
  <c r="S162" i="17"/>
  <c r="S163" i="17"/>
  <c r="S164" i="17"/>
  <c r="S165" i="17"/>
  <c r="S166" i="17"/>
  <c r="S167" i="17"/>
  <c r="S168" i="17"/>
  <c r="S169" i="17"/>
  <c r="S170" i="17"/>
  <c r="S171" i="17"/>
  <c r="S172" i="17"/>
  <c r="S173" i="17"/>
  <c r="S174" i="17"/>
  <c r="S175" i="17"/>
  <c r="S176" i="17"/>
  <c r="S177" i="17"/>
  <c r="S178" i="17"/>
  <c r="S179" i="17"/>
  <c r="S180" i="17"/>
  <c r="S181" i="17"/>
  <c r="S182" i="17"/>
  <c r="S183" i="17"/>
  <c r="S184" i="17"/>
  <c r="S185" i="17"/>
  <c r="S186" i="17"/>
  <c r="S187" i="17"/>
  <c r="S188" i="17"/>
  <c r="S189" i="17"/>
  <c r="S190" i="17"/>
  <c r="S191" i="17"/>
  <c r="S192" i="17"/>
  <c r="S193" i="17"/>
  <c r="S194" i="17"/>
  <c r="S195" i="17"/>
  <c r="S196" i="17"/>
  <c r="S197" i="17"/>
  <c r="S198" i="17"/>
  <c r="S199" i="17"/>
  <c r="S200" i="17"/>
  <c r="S201" i="17"/>
  <c r="S202" i="17"/>
  <c r="S203" i="17"/>
  <c r="S204" i="17"/>
  <c r="S205" i="17"/>
  <c r="S206" i="17"/>
  <c r="S207" i="17"/>
  <c r="S208" i="17"/>
  <c r="S209" i="17"/>
  <c r="S210" i="17"/>
  <c r="S211" i="17"/>
  <c r="S212" i="17"/>
  <c r="S213" i="17"/>
  <c r="S214" i="17"/>
  <c r="S215" i="17"/>
  <c r="S216" i="17"/>
  <c r="S217" i="17"/>
  <c r="S218" i="17"/>
  <c r="S219" i="17"/>
  <c r="S220" i="17"/>
  <c r="S221" i="17"/>
  <c r="S222" i="17"/>
  <c r="S223" i="17"/>
  <c r="S224" i="17"/>
  <c r="S225" i="17"/>
  <c r="S226" i="17"/>
  <c r="S227" i="17"/>
  <c r="S228" i="17"/>
  <c r="S229" i="17"/>
  <c r="S230" i="17"/>
  <c r="S231" i="17"/>
  <c r="S232" i="17"/>
  <c r="S233" i="17"/>
  <c r="S234" i="17"/>
  <c r="S235" i="17"/>
  <c r="S236" i="17"/>
  <c r="S237" i="17"/>
  <c r="S238" i="17"/>
  <c r="S239" i="17"/>
  <c r="S240" i="17"/>
  <c r="S241" i="17"/>
  <c r="S242" i="17"/>
  <c r="S243" i="17"/>
  <c r="S244" i="17"/>
  <c r="S245" i="17"/>
  <c r="S246" i="17"/>
  <c r="S247" i="17"/>
  <c r="S248" i="17"/>
  <c r="S249" i="17"/>
  <c r="S250" i="17"/>
  <c r="S251" i="17"/>
  <c r="S252" i="17"/>
  <c r="S253" i="17"/>
  <c r="S254" i="17"/>
  <c r="S255" i="17"/>
  <c r="S256" i="17"/>
  <c r="S257" i="17"/>
  <c r="S258" i="17"/>
  <c r="S259" i="17"/>
  <c r="S260" i="17"/>
  <c r="S261" i="17"/>
  <c r="S262" i="17"/>
  <c r="S263" i="17"/>
  <c r="S264" i="17"/>
  <c r="S265" i="17"/>
  <c r="S266" i="17"/>
  <c r="S267" i="17"/>
  <c r="S268" i="17"/>
  <c r="S269" i="17"/>
  <c r="S270" i="17"/>
  <c r="S271" i="17"/>
  <c r="S272" i="17"/>
  <c r="S273" i="17"/>
  <c r="S274" i="17"/>
  <c r="S275" i="17"/>
  <c r="S276" i="17"/>
  <c r="S277" i="17"/>
  <c r="S278" i="17"/>
  <c r="S279" i="17"/>
  <c r="S280" i="17"/>
  <c r="S281" i="17"/>
  <c r="S282" i="17"/>
  <c r="S283" i="17"/>
  <c r="S284" i="17"/>
  <c r="S285" i="17"/>
  <c r="S286" i="17"/>
  <c r="S287" i="17"/>
  <c r="S288" i="17"/>
  <c r="S289" i="17"/>
  <c r="S290" i="17"/>
  <c r="S291" i="17"/>
  <c r="S292" i="17"/>
  <c r="S293" i="17"/>
  <c r="S294" i="17"/>
  <c r="S295" i="17"/>
  <c r="S296" i="17"/>
  <c r="S297" i="17"/>
  <c r="S298" i="17"/>
  <c r="S299" i="17"/>
  <c r="S300" i="17"/>
  <c r="S301" i="17"/>
  <c r="S302" i="17"/>
  <c r="S303" i="17"/>
  <c r="S304" i="17"/>
  <c r="S305" i="17"/>
  <c r="S306" i="17"/>
  <c r="S307" i="17"/>
  <c r="S308" i="17"/>
  <c r="S309" i="17"/>
  <c r="S310" i="17"/>
  <c r="S311" i="17"/>
  <c r="S312" i="17"/>
  <c r="S313" i="17"/>
  <c r="S314" i="17"/>
  <c r="S315" i="17"/>
  <c r="S316" i="17"/>
  <c r="S317" i="17"/>
  <c r="S318" i="17"/>
  <c r="S319" i="17"/>
  <c r="S320" i="17"/>
  <c r="S321" i="17"/>
  <c r="S322" i="17"/>
  <c r="S323" i="17"/>
  <c r="S324" i="17"/>
  <c r="S325" i="17"/>
  <c r="S326" i="17"/>
  <c r="S327" i="17"/>
  <c r="S328" i="17"/>
  <c r="S329" i="17"/>
  <c r="S330" i="17"/>
  <c r="S331" i="17"/>
  <c r="S332" i="17"/>
  <c r="S333" i="17"/>
  <c r="S334" i="17"/>
  <c r="S335" i="17"/>
  <c r="S336" i="17"/>
  <c r="S337" i="17"/>
  <c r="S338" i="17"/>
  <c r="S339" i="17"/>
  <c r="S340" i="17"/>
  <c r="S341" i="17"/>
  <c r="S342" i="17"/>
  <c r="S343" i="17"/>
  <c r="S344" i="17"/>
  <c r="S345" i="17"/>
  <c r="S346" i="17"/>
  <c r="S347" i="17"/>
  <c r="S348" i="17"/>
  <c r="S349" i="17"/>
  <c r="S350" i="17"/>
  <c r="S351" i="17"/>
  <c r="S352" i="17"/>
  <c r="S353" i="17"/>
  <c r="S354" i="17"/>
  <c r="S355" i="17"/>
  <c r="S356" i="17"/>
  <c r="S357" i="17"/>
  <c r="S358" i="17"/>
  <c r="S359" i="17"/>
  <c r="S360" i="17"/>
  <c r="S361" i="17"/>
  <c r="S362" i="17"/>
  <c r="S363" i="17"/>
  <c r="S364" i="17"/>
  <c r="S365" i="17"/>
  <c r="S366" i="17"/>
  <c r="S367" i="17"/>
  <c r="S368" i="17"/>
  <c r="S369" i="17"/>
  <c r="S370" i="17"/>
  <c r="S371" i="17"/>
  <c r="S372" i="17"/>
  <c r="S373" i="17"/>
  <c r="S374" i="17"/>
  <c r="S375" i="17"/>
  <c r="S376" i="17"/>
  <c r="S377" i="17"/>
  <c r="S378" i="17"/>
  <c r="S379" i="17"/>
  <c r="S380" i="17"/>
  <c r="S381" i="17"/>
  <c r="S382" i="17"/>
  <c r="S383" i="17"/>
  <c r="S384" i="17"/>
  <c r="S385" i="17"/>
  <c r="S386" i="17"/>
  <c r="S387" i="17"/>
  <c r="S388" i="17"/>
  <c r="S389" i="17"/>
  <c r="S390" i="17"/>
  <c r="S391" i="17"/>
  <c r="S392" i="17"/>
  <c r="S393" i="17"/>
  <c r="S394" i="17"/>
  <c r="S395" i="17"/>
  <c r="S396" i="17"/>
  <c r="S397" i="17"/>
  <c r="S398" i="17"/>
  <c r="S399" i="17"/>
  <c r="S400" i="17"/>
  <c r="S401" i="17"/>
  <c r="S402" i="17"/>
  <c r="S403" i="17"/>
  <c r="S404" i="17"/>
  <c r="S405" i="17"/>
  <c r="S406" i="17"/>
  <c r="S407" i="17"/>
  <c r="S408" i="17"/>
  <c r="S409" i="17"/>
  <c r="S410" i="17"/>
  <c r="S411" i="17"/>
  <c r="S412" i="17"/>
  <c r="S413" i="17"/>
  <c r="S3" i="17"/>
  <c r="C23" i="8"/>
  <c r="Q39" i="8" s="1"/>
  <c r="F7" i="7"/>
  <c r="E7" i="12"/>
  <c r="C17" i="7"/>
  <c r="E25" i="7" s="1"/>
  <c r="AB12" i="7"/>
  <c r="AB11" i="7"/>
  <c r="AT10" i="7"/>
  <c r="C14" i="11"/>
  <c r="AD7" i="6" s="1"/>
  <c r="P32" i="6" l="1"/>
  <c r="P33" i="6"/>
  <c r="P34" i="6"/>
  <c r="P35" i="6"/>
  <c r="P31" i="6"/>
  <c r="BE11" i="2"/>
  <c r="BE15" i="2"/>
  <c r="I11" i="2"/>
  <c r="I15" i="2"/>
  <c r="T97" i="2"/>
  <c r="T77" i="2"/>
  <c r="T57" i="2"/>
  <c r="T37" i="2"/>
  <c r="T17" i="2"/>
  <c r="V97" i="2"/>
  <c r="V77" i="2"/>
  <c r="V57" i="2"/>
  <c r="V37" i="2"/>
  <c r="V17" i="2"/>
  <c r="T96" i="2"/>
  <c r="T76" i="2"/>
  <c r="T56" i="2"/>
  <c r="T36" i="2"/>
  <c r="T16" i="2"/>
  <c r="V96" i="2"/>
  <c r="V76" i="2"/>
  <c r="V56" i="2"/>
  <c r="V36" i="2"/>
  <c r="V16" i="2"/>
  <c r="T95" i="2"/>
  <c r="T75" i="2"/>
  <c r="T55" i="2"/>
  <c r="T35" i="2"/>
  <c r="T15" i="2"/>
  <c r="V95" i="2"/>
  <c r="V75" i="2"/>
  <c r="V55" i="2"/>
  <c r="V35" i="2"/>
  <c r="V15" i="2"/>
  <c r="T94" i="2"/>
  <c r="T74" i="2"/>
  <c r="T54" i="2"/>
  <c r="T34" i="2"/>
  <c r="T14" i="2"/>
  <c r="V94" i="2"/>
  <c r="V74" i="2"/>
  <c r="V54" i="2"/>
  <c r="V34" i="2"/>
  <c r="V14" i="2"/>
  <c r="T93" i="2"/>
  <c r="T73" i="2"/>
  <c r="T53" i="2"/>
  <c r="T33" i="2"/>
  <c r="T13" i="2"/>
  <c r="V93" i="2"/>
  <c r="V73" i="2"/>
  <c r="V53" i="2"/>
  <c r="V33" i="2"/>
  <c r="V13" i="2"/>
  <c r="T92" i="2"/>
  <c r="T72" i="2"/>
  <c r="T52" i="2"/>
  <c r="T32" i="2"/>
  <c r="T12" i="2"/>
  <c r="V92" i="2"/>
  <c r="V72" i="2"/>
  <c r="V52" i="2"/>
  <c r="V32" i="2"/>
  <c r="V12" i="2"/>
  <c r="T11" i="2"/>
  <c r="T91" i="2"/>
  <c r="T71" i="2"/>
  <c r="T51" i="2"/>
  <c r="T31" i="2"/>
  <c r="V11" i="2"/>
  <c r="V91" i="2"/>
  <c r="V71" i="2"/>
  <c r="V51" i="2"/>
  <c r="V31" i="2"/>
  <c r="T110" i="2"/>
  <c r="T90" i="2"/>
  <c r="T70" i="2"/>
  <c r="T50" i="2"/>
  <c r="T30" i="2"/>
  <c r="V110" i="2"/>
  <c r="V90" i="2"/>
  <c r="V70" i="2"/>
  <c r="V50" i="2"/>
  <c r="V30" i="2"/>
  <c r="P13" i="2"/>
  <c r="T109" i="2"/>
  <c r="T89" i="2"/>
  <c r="T69" i="2"/>
  <c r="T49" i="2"/>
  <c r="T29" i="2"/>
  <c r="V109" i="2"/>
  <c r="V89" i="2"/>
  <c r="V69" i="2"/>
  <c r="V49" i="2"/>
  <c r="V29" i="2"/>
  <c r="O18" i="2"/>
  <c r="T108" i="2"/>
  <c r="T88" i="2"/>
  <c r="T68" i="2"/>
  <c r="T48" i="2"/>
  <c r="T28" i="2"/>
  <c r="V108" i="2"/>
  <c r="V88" i="2"/>
  <c r="V68" i="2"/>
  <c r="V48" i="2"/>
  <c r="V28" i="2"/>
  <c r="Q92" i="2"/>
  <c r="T107" i="2"/>
  <c r="T87" i="2"/>
  <c r="T67" i="2"/>
  <c r="T47" i="2"/>
  <c r="T27" i="2"/>
  <c r="V107" i="2"/>
  <c r="V87" i="2"/>
  <c r="V67" i="2"/>
  <c r="V47" i="2"/>
  <c r="V27" i="2"/>
  <c r="T106" i="2"/>
  <c r="T86" i="2"/>
  <c r="T66" i="2"/>
  <c r="T46" i="2"/>
  <c r="T26" i="2"/>
  <c r="V106" i="2"/>
  <c r="V86" i="2"/>
  <c r="V66" i="2"/>
  <c r="V46" i="2"/>
  <c r="V26" i="2"/>
  <c r="T105" i="2"/>
  <c r="T85" i="2"/>
  <c r="T65" i="2"/>
  <c r="T45" i="2"/>
  <c r="T25" i="2"/>
  <c r="V105" i="2"/>
  <c r="V85" i="2"/>
  <c r="V65" i="2"/>
  <c r="V45" i="2"/>
  <c r="V25" i="2"/>
  <c r="T104" i="2"/>
  <c r="T84" i="2"/>
  <c r="T64" i="2"/>
  <c r="T44" i="2"/>
  <c r="T24" i="2"/>
  <c r="V104" i="2"/>
  <c r="V84" i="2"/>
  <c r="V64" i="2"/>
  <c r="V44" i="2"/>
  <c r="V24" i="2"/>
  <c r="T103" i="2"/>
  <c r="T83" i="2"/>
  <c r="T63" i="2"/>
  <c r="T43" i="2"/>
  <c r="T23" i="2"/>
  <c r="V103" i="2"/>
  <c r="V83" i="2"/>
  <c r="V63" i="2"/>
  <c r="V43" i="2"/>
  <c r="V23" i="2"/>
  <c r="T102" i="2"/>
  <c r="T82" i="2"/>
  <c r="T62" i="2"/>
  <c r="T42" i="2"/>
  <c r="T22" i="2"/>
  <c r="V102" i="2"/>
  <c r="V82" i="2"/>
  <c r="V62" i="2"/>
  <c r="V42" i="2"/>
  <c r="V22" i="2"/>
  <c r="T101" i="2"/>
  <c r="T81" i="2"/>
  <c r="T61" i="2"/>
  <c r="T41" i="2"/>
  <c r="T21" i="2"/>
  <c r="V101" i="2"/>
  <c r="V81" i="2"/>
  <c r="V61" i="2"/>
  <c r="V41" i="2"/>
  <c r="V21" i="2"/>
  <c r="T100" i="2"/>
  <c r="T80" i="2"/>
  <c r="T60" i="2"/>
  <c r="T40" i="2"/>
  <c r="T20" i="2"/>
  <c r="V100" i="2"/>
  <c r="V80" i="2"/>
  <c r="V60" i="2"/>
  <c r="V40" i="2"/>
  <c r="V20" i="2"/>
  <c r="I101" i="2"/>
  <c r="T99" i="2"/>
  <c r="T79" i="2"/>
  <c r="T59" i="2"/>
  <c r="T39" i="2"/>
  <c r="T19" i="2"/>
  <c r="V99" i="2"/>
  <c r="V79" i="2"/>
  <c r="V59" i="2"/>
  <c r="V39" i="2"/>
  <c r="V19" i="2"/>
  <c r="T98" i="2"/>
  <c r="T78" i="2"/>
  <c r="T58" i="2"/>
  <c r="T38" i="2"/>
  <c r="T18" i="2"/>
  <c r="V98" i="2"/>
  <c r="V78" i="2"/>
  <c r="V58" i="2"/>
  <c r="V38" i="2"/>
  <c r="V18" i="2"/>
  <c r="AP74" i="2"/>
  <c r="AP54" i="2"/>
  <c r="Q72" i="2"/>
  <c r="AP34" i="2"/>
  <c r="Q52" i="2"/>
  <c r="AQ108" i="2"/>
  <c r="Q32" i="2"/>
  <c r="AQ88" i="2"/>
  <c r="BE106" i="2"/>
  <c r="I81" i="2"/>
  <c r="AQ68" i="2"/>
  <c r="BE86" i="2"/>
  <c r="I61" i="2"/>
  <c r="AQ48" i="2"/>
  <c r="BE66" i="2"/>
  <c r="I41" i="2"/>
  <c r="AQ28" i="2"/>
  <c r="BE46" i="2"/>
  <c r="I21" i="2"/>
  <c r="BE26" i="2"/>
  <c r="P103" i="2"/>
  <c r="P83" i="2"/>
  <c r="P63" i="2"/>
  <c r="P43" i="2"/>
  <c r="AP94" i="2"/>
  <c r="P23" i="2"/>
  <c r="O98" i="2"/>
  <c r="O78" i="2"/>
  <c r="O58" i="2"/>
  <c r="O38" i="2"/>
  <c r="I100" i="2"/>
  <c r="I80" i="2"/>
  <c r="I60" i="2"/>
  <c r="I40" i="2"/>
  <c r="I20" i="2"/>
  <c r="AP93" i="2"/>
  <c r="AP73" i="2"/>
  <c r="AP53" i="2"/>
  <c r="AP33" i="2"/>
  <c r="AQ107" i="2"/>
  <c r="AQ87" i="2"/>
  <c r="AQ67" i="2"/>
  <c r="AQ47" i="2"/>
  <c r="AQ27" i="2"/>
  <c r="P102" i="2"/>
  <c r="P82" i="2"/>
  <c r="P62" i="2"/>
  <c r="P42" i="2"/>
  <c r="P22" i="2"/>
  <c r="O97" i="2"/>
  <c r="O77" i="2"/>
  <c r="O57" i="2"/>
  <c r="O37" i="2"/>
  <c r="O16" i="2"/>
  <c r="Q91" i="2"/>
  <c r="Q71" i="2"/>
  <c r="Q51" i="2"/>
  <c r="Q31" i="2"/>
  <c r="BE105" i="2"/>
  <c r="BE85" i="2"/>
  <c r="BE65" i="2"/>
  <c r="BE45" i="2"/>
  <c r="BE25" i="2"/>
  <c r="I99" i="2"/>
  <c r="I79" i="2"/>
  <c r="I59" i="2"/>
  <c r="I39" i="2"/>
  <c r="I19" i="2"/>
  <c r="AP92" i="2"/>
  <c r="AP72" i="2"/>
  <c r="AP52" i="2"/>
  <c r="AP32" i="2"/>
  <c r="AQ106" i="2"/>
  <c r="AQ86" i="2"/>
  <c r="AQ66" i="2"/>
  <c r="AQ46" i="2"/>
  <c r="AQ26" i="2"/>
  <c r="P101" i="2"/>
  <c r="P81" i="2"/>
  <c r="P61" i="2"/>
  <c r="P41" i="2"/>
  <c r="P21" i="2"/>
  <c r="O96" i="2"/>
  <c r="O76" i="2"/>
  <c r="O56" i="2"/>
  <c r="O36" i="2"/>
  <c r="Q110" i="2"/>
  <c r="Q90" i="2"/>
  <c r="Q70" i="2"/>
  <c r="Q50" i="2"/>
  <c r="Q30" i="2"/>
  <c r="BE104" i="2"/>
  <c r="BE84" i="2"/>
  <c r="BE64" i="2"/>
  <c r="BE44" i="2"/>
  <c r="BE24" i="2"/>
  <c r="I98" i="2"/>
  <c r="I78" i="2"/>
  <c r="I58" i="2"/>
  <c r="I38" i="2"/>
  <c r="I18" i="2"/>
  <c r="AP91" i="2"/>
  <c r="AP71" i="2"/>
  <c r="AP51" i="2"/>
  <c r="AP31" i="2"/>
  <c r="AQ105" i="2"/>
  <c r="AQ85" i="2"/>
  <c r="AQ65" i="2"/>
  <c r="AQ45" i="2"/>
  <c r="AQ25" i="2"/>
  <c r="P100" i="2"/>
  <c r="P80" i="2"/>
  <c r="P60" i="2"/>
  <c r="P40" i="2"/>
  <c r="P20" i="2"/>
  <c r="O95" i="2"/>
  <c r="O75" i="2"/>
  <c r="O55" i="2"/>
  <c r="O35" i="2"/>
  <c r="Q109" i="2"/>
  <c r="Q89" i="2"/>
  <c r="Q69" i="2"/>
  <c r="Q49" i="2"/>
  <c r="Q29" i="2"/>
  <c r="BE103" i="2"/>
  <c r="BE83" i="2"/>
  <c r="BE63" i="2"/>
  <c r="BE43" i="2"/>
  <c r="BE23" i="2"/>
  <c r="I97" i="2"/>
  <c r="I77" i="2"/>
  <c r="I57" i="2"/>
  <c r="I37" i="2"/>
  <c r="I16" i="2"/>
  <c r="AP110" i="2"/>
  <c r="AP90" i="2"/>
  <c r="AP70" i="2"/>
  <c r="AP50" i="2"/>
  <c r="AP30" i="2"/>
  <c r="AQ104" i="2"/>
  <c r="AQ84" i="2"/>
  <c r="AQ64" i="2"/>
  <c r="AQ44" i="2"/>
  <c r="AQ24" i="2"/>
  <c r="P99" i="2"/>
  <c r="P79" i="2"/>
  <c r="P59" i="2"/>
  <c r="P39" i="2"/>
  <c r="P19" i="2"/>
  <c r="O94" i="2"/>
  <c r="O74" i="2"/>
  <c r="O54" i="2"/>
  <c r="O34" i="2"/>
  <c r="Q108" i="2"/>
  <c r="Q88" i="2"/>
  <c r="Q68" i="2"/>
  <c r="Q48" i="2"/>
  <c r="Q28" i="2"/>
  <c r="BE102" i="2"/>
  <c r="BE82" i="2"/>
  <c r="BE62" i="2"/>
  <c r="BE42" i="2"/>
  <c r="BE22" i="2"/>
  <c r="I96" i="2"/>
  <c r="I76" i="2"/>
  <c r="I56" i="2"/>
  <c r="I36" i="2"/>
  <c r="AP109" i="2"/>
  <c r="AP89" i="2"/>
  <c r="AP69" i="2"/>
  <c r="AP49" i="2"/>
  <c r="AP29" i="2"/>
  <c r="AQ103" i="2"/>
  <c r="AQ83" i="2"/>
  <c r="AQ63" i="2"/>
  <c r="AQ43" i="2"/>
  <c r="AQ23" i="2"/>
  <c r="P98" i="2"/>
  <c r="P78" i="2"/>
  <c r="P58" i="2"/>
  <c r="P38" i="2"/>
  <c r="P18" i="2"/>
  <c r="O93" i="2"/>
  <c r="O73" i="2"/>
  <c r="O53" i="2"/>
  <c r="O33" i="2"/>
  <c r="Q107" i="2"/>
  <c r="Q87" i="2"/>
  <c r="Q67" i="2"/>
  <c r="Q47" i="2"/>
  <c r="Q27" i="2"/>
  <c r="BE101" i="2"/>
  <c r="BE81" i="2"/>
  <c r="BE61" i="2"/>
  <c r="BE41" i="2"/>
  <c r="BE21" i="2"/>
  <c r="I95" i="2"/>
  <c r="I75" i="2"/>
  <c r="I55" i="2"/>
  <c r="I35" i="2"/>
  <c r="AP108" i="2"/>
  <c r="AP88" i="2"/>
  <c r="AP68" i="2"/>
  <c r="AP48" i="2"/>
  <c r="AP28" i="2"/>
  <c r="AQ102" i="2"/>
  <c r="AQ82" i="2"/>
  <c r="AQ62" i="2"/>
  <c r="AQ42" i="2"/>
  <c r="AQ22" i="2"/>
  <c r="P97" i="2"/>
  <c r="P77" i="2"/>
  <c r="P57" i="2"/>
  <c r="P37" i="2"/>
  <c r="P16" i="2"/>
  <c r="O92" i="2"/>
  <c r="O72" i="2"/>
  <c r="O52" i="2"/>
  <c r="O32" i="2"/>
  <c r="Q106" i="2"/>
  <c r="Q86" i="2"/>
  <c r="Q66" i="2"/>
  <c r="Q46" i="2"/>
  <c r="Q26" i="2"/>
  <c r="BE100" i="2"/>
  <c r="BE80" i="2"/>
  <c r="BE60" i="2"/>
  <c r="BE40" i="2"/>
  <c r="BE20" i="2"/>
  <c r="I94" i="2"/>
  <c r="I74" i="2"/>
  <c r="I54" i="2"/>
  <c r="I34" i="2"/>
  <c r="AP107" i="2"/>
  <c r="AP87" i="2"/>
  <c r="AP67" i="2"/>
  <c r="AP47" i="2"/>
  <c r="AP27" i="2"/>
  <c r="AQ101" i="2"/>
  <c r="AQ81" i="2"/>
  <c r="AQ61" i="2"/>
  <c r="AQ41" i="2"/>
  <c r="AQ21" i="2"/>
  <c r="P96" i="2"/>
  <c r="P76" i="2"/>
  <c r="P56" i="2"/>
  <c r="P36" i="2"/>
  <c r="O91" i="2"/>
  <c r="O71" i="2"/>
  <c r="O51" i="2"/>
  <c r="O31" i="2"/>
  <c r="Q105" i="2"/>
  <c r="Q85" i="2"/>
  <c r="Q65" i="2"/>
  <c r="Q45" i="2"/>
  <c r="Q25" i="2"/>
  <c r="BE99" i="2"/>
  <c r="BE79" i="2"/>
  <c r="BE59" i="2"/>
  <c r="BE39" i="2"/>
  <c r="BE19" i="2"/>
  <c r="I93" i="2"/>
  <c r="I73" i="2"/>
  <c r="I53" i="2"/>
  <c r="I33" i="2"/>
  <c r="AP106" i="2"/>
  <c r="AP86" i="2"/>
  <c r="AP66" i="2"/>
  <c r="AP46" i="2"/>
  <c r="AP26" i="2"/>
  <c r="AQ100" i="2"/>
  <c r="AQ80" i="2"/>
  <c r="AQ60" i="2"/>
  <c r="AQ40" i="2"/>
  <c r="AQ20" i="2"/>
  <c r="P95" i="2"/>
  <c r="P75" i="2"/>
  <c r="P55" i="2"/>
  <c r="P35" i="2"/>
  <c r="O110" i="2"/>
  <c r="O90" i="2"/>
  <c r="O70" i="2"/>
  <c r="O50" i="2"/>
  <c r="O30" i="2"/>
  <c r="Q104" i="2"/>
  <c r="Q84" i="2"/>
  <c r="Q64" i="2"/>
  <c r="Q44" i="2"/>
  <c r="Q24" i="2"/>
  <c r="BE98" i="2"/>
  <c r="BE78" i="2"/>
  <c r="BE58" i="2"/>
  <c r="BE38" i="2"/>
  <c r="BE18" i="2"/>
  <c r="I92" i="2"/>
  <c r="I72" i="2"/>
  <c r="I52" i="2"/>
  <c r="I32" i="2"/>
  <c r="AP105" i="2"/>
  <c r="AP85" i="2"/>
  <c r="AP65" i="2"/>
  <c r="AP45" i="2"/>
  <c r="AP25" i="2"/>
  <c r="AQ99" i="2"/>
  <c r="AQ79" i="2"/>
  <c r="AQ59" i="2"/>
  <c r="AQ39" i="2"/>
  <c r="AQ19" i="2"/>
  <c r="P94" i="2"/>
  <c r="P74" i="2"/>
  <c r="P54" i="2"/>
  <c r="P34" i="2"/>
  <c r="O109" i="2"/>
  <c r="O89" i="2"/>
  <c r="O69" i="2"/>
  <c r="O49" i="2"/>
  <c r="O29" i="2"/>
  <c r="Q103" i="2"/>
  <c r="Q83" i="2"/>
  <c r="Q63" i="2"/>
  <c r="Q43" i="2"/>
  <c r="Q23" i="2"/>
  <c r="BE97" i="2"/>
  <c r="BE77" i="2"/>
  <c r="BE57" i="2"/>
  <c r="BE37" i="2"/>
  <c r="BE16" i="2"/>
  <c r="I91" i="2"/>
  <c r="I71" i="2"/>
  <c r="I51" i="2"/>
  <c r="I31" i="2"/>
  <c r="AP104" i="2"/>
  <c r="AP84" i="2"/>
  <c r="AP64" i="2"/>
  <c r="AP44" i="2"/>
  <c r="AP24" i="2"/>
  <c r="AQ98" i="2"/>
  <c r="AQ78" i="2"/>
  <c r="AQ58" i="2"/>
  <c r="AQ38" i="2"/>
  <c r="AQ18" i="2"/>
  <c r="P93" i="2"/>
  <c r="P73" i="2"/>
  <c r="P53" i="2"/>
  <c r="P33" i="2"/>
  <c r="O108" i="2"/>
  <c r="O88" i="2"/>
  <c r="O68" i="2"/>
  <c r="O48" i="2"/>
  <c r="O28" i="2"/>
  <c r="Q102" i="2"/>
  <c r="Q82" i="2"/>
  <c r="Q62" i="2"/>
  <c r="Q42" i="2"/>
  <c r="Q22" i="2"/>
  <c r="BE96" i="2"/>
  <c r="BE76" i="2"/>
  <c r="BE56" i="2"/>
  <c r="BE36" i="2"/>
  <c r="I110" i="2"/>
  <c r="I90" i="2"/>
  <c r="I70" i="2"/>
  <c r="I50" i="2"/>
  <c r="I30" i="2"/>
  <c r="AP103" i="2"/>
  <c r="AP83" i="2"/>
  <c r="AP63" i="2"/>
  <c r="AP43" i="2"/>
  <c r="AP23" i="2"/>
  <c r="AQ97" i="2"/>
  <c r="AQ77" i="2"/>
  <c r="AQ57" i="2"/>
  <c r="AQ37" i="2"/>
  <c r="AQ16" i="2"/>
  <c r="P92" i="2"/>
  <c r="P72" i="2"/>
  <c r="P52" i="2"/>
  <c r="P32" i="2"/>
  <c r="O107" i="2"/>
  <c r="O87" i="2"/>
  <c r="O67" i="2"/>
  <c r="O47" i="2"/>
  <c r="O27" i="2"/>
  <c r="Q101" i="2"/>
  <c r="Q81" i="2"/>
  <c r="Q61" i="2"/>
  <c r="Q41" i="2"/>
  <c r="Q21" i="2"/>
  <c r="BE95" i="2"/>
  <c r="BE75" i="2"/>
  <c r="BE55" i="2"/>
  <c r="BE35" i="2"/>
  <c r="I109" i="2"/>
  <c r="I89" i="2"/>
  <c r="I69" i="2"/>
  <c r="I49" i="2"/>
  <c r="I29" i="2"/>
  <c r="AP102" i="2"/>
  <c r="AP82" i="2"/>
  <c r="AP62" i="2"/>
  <c r="AP42" i="2"/>
  <c r="AP22" i="2"/>
  <c r="AQ96" i="2"/>
  <c r="AQ76" i="2"/>
  <c r="AQ56" i="2"/>
  <c r="AQ36" i="2"/>
  <c r="P91" i="2"/>
  <c r="P71" i="2"/>
  <c r="P51" i="2"/>
  <c r="P31" i="2"/>
  <c r="O106" i="2"/>
  <c r="O86" i="2"/>
  <c r="O66" i="2"/>
  <c r="O46" i="2"/>
  <c r="O26" i="2"/>
  <c r="Q100" i="2"/>
  <c r="Q80" i="2"/>
  <c r="Q60" i="2"/>
  <c r="Q40" i="2"/>
  <c r="Q20" i="2"/>
  <c r="BE94" i="2"/>
  <c r="BE74" i="2"/>
  <c r="BE54" i="2"/>
  <c r="BE34" i="2"/>
  <c r="I108" i="2"/>
  <c r="I88" i="2"/>
  <c r="I68" i="2"/>
  <c r="I48" i="2"/>
  <c r="I28" i="2"/>
  <c r="AP101" i="2"/>
  <c r="AP81" i="2"/>
  <c r="AP61" i="2"/>
  <c r="AP41" i="2"/>
  <c r="AP21" i="2"/>
  <c r="AQ95" i="2"/>
  <c r="AQ75" i="2"/>
  <c r="AQ55" i="2"/>
  <c r="AQ35" i="2"/>
  <c r="P110" i="2"/>
  <c r="P90" i="2"/>
  <c r="P70" i="2"/>
  <c r="P50" i="2"/>
  <c r="P30" i="2"/>
  <c r="O105" i="2"/>
  <c r="O85" i="2"/>
  <c r="O65" i="2"/>
  <c r="O45" i="2"/>
  <c r="O25" i="2"/>
  <c r="Q99" i="2"/>
  <c r="Q79" i="2"/>
  <c r="Q59" i="2"/>
  <c r="Q39" i="2"/>
  <c r="Q19" i="2"/>
  <c r="BE93" i="2"/>
  <c r="BE73" i="2"/>
  <c r="BE53" i="2"/>
  <c r="BE33" i="2"/>
  <c r="I107" i="2"/>
  <c r="I87" i="2"/>
  <c r="I67" i="2"/>
  <c r="I47" i="2"/>
  <c r="I27" i="2"/>
  <c r="AP100" i="2"/>
  <c r="AP80" i="2"/>
  <c r="AP60" i="2"/>
  <c r="AP40" i="2"/>
  <c r="AP20" i="2"/>
  <c r="AQ94" i="2"/>
  <c r="AQ74" i="2"/>
  <c r="AQ54" i="2"/>
  <c r="AQ34" i="2"/>
  <c r="P109" i="2"/>
  <c r="P89" i="2"/>
  <c r="P69" i="2"/>
  <c r="P49" i="2"/>
  <c r="P29" i="2"/>
  <c r="O104" i="2"/>
  <c r="O84" i="2"/>
  <c r="O64" i="2"/>
  <c r="O44" i="2"/>
  <c r="O24" i="2"/>
  <c r="Q98" i="2"/>
  <c r="Q78" i="2"/>
  <c r="Q58" i="2"/>
  <c r="Q38" i="2"/>
  <c r="Q18" i="2"/>
  <c r="BE92" i="2"/>
  <c r="BE72" i="2"/>
  <c r="BE52" i="2"/>
  <c r="BE32" i="2"/>
  <c r="I106" i="2"/>
  <c r="I86" i="2"/>
  <c r="I66" i="2"/>
  <c r="I46" i="2"/>
  <c r="I26" i="2"/>
  <c r="AP99" i="2"/>
  <c r="AP79" i="2"/>
  <c r="AP59" i="2"/>
  <c r="AP39" i="2"/>
  <c r="AP19" i="2"/>
  <c r="AQ93" i="2"/>
  <c r="AQ73" i="2"/>
  <c r="AQ53" i="2"/>
  <c r="AQ33" i="2"/>
  <c r="P108" i="2"/>
  <c r="P88" i="2"/>
  <c r="P68" i="2"/>
  <c r="P48" i="2"/>
  <c r="P28" i="2"/>
  <c r="O103" i="2"/>
  <c r="O83" i="2"/>
  <c r="O63" i="2"/>
  <c r="O43" i="2"/>
  <c r="O23" i="2"/>
  <c r="Q97" i="2"/>
  <c r="Q77" i="2"/>
  <c r="Q57" i="2"/>
  <c r="Q37" i="2"/>
  <c r="Q16" i="2"/>
  <c r="BE91" i="2"/>
  <c r="BE71" i="2"/>
  <c r="BE51" i="2"/>
  <c r="BE31" i="2"/>
  <c r="I105" i="2"/>
  <c r="I85" i="2"/>
  <c r="I65" i="2"/>
  <c r="I45" i="2"/>
  <c r="I25" i="2"/>
  <c r="P107" i="2"/>
  <c r="P87" i="2"/>
  <c r="P67" i="2"/>
  <c r="P47" i="2"/>
  <c r="P27" i="2"/>
  <c r="O102" i="2"/>
  <c r="O82" i="2"/>
  <c r="O62" i="2"/>
  <c r="O42" i="2"/>
  <c r="O22" i="2"/>
  <c r="Q96" i="2"/>
  <c r="Q76" i="2"/>
  <c r="Q56" i="2"/>
  <c r="Q36" i="2"/>
  <c r="BE110" i="2"/>
  <c r="BE90" i="2"/>
  <c r="BE70" i="2"/>
  <c r="BE50" i="2"/>
  <c r="BE30" i="2"/>
  <c r="I104" i="2"/>
  <c r="I84" i="2"/>
  <c r="I64" i="2"/>
  <c r="I44" i="2"/>
  <c r="I24" i="2"/>
  <c r="O101" i="2"/>
  <c r="O81" i="2"/>
  <c r="O61" i="2"/>
  <c r="O41" i="2"/>
  <c r="O21" i="2"/>
  <c r="Q95" i="2"/>
  <c r="Q75" i="2"/>
  <c r="Q55" i="2"/>
  <c r="Q35" i="2"/>
  <c r="BE109" i="2"/>
  <c r="BE89" i="2"/>
  <c r="BE69" i="2"/>
  <c r="BE49" i="2"/>
  <c r="BE29" i="2"/>
  <c r="O100" i="2"/>
  <c r="O80" i="2"/>
  <c r="O60" i="2"/>
  <c r="O40" i="2"/>
  <c r="O20" i="2"/>
  <c r="AQ14" i="2"/>
  <c r="P12" i="2"/>
  <c r="AQ13" i="2"/>
  <c r="AQ12" i="2"/>
  <c r="AP14" i="2"/>
  <c r="AP13" i="2"/>
  <c r="I14" i="2"/>
  <c r="AP12" i="2"/>
  <c r="BE14" i="2"/>
  <c r="I13" i="2"/>
  <c r="BE13" i="2"/>
  <c r="I12" i="2"/>
  <c r="BE12" i="2"/>
  <c r="Q14" i="2"/>
  <c r="Q13" i="2"/>
  <c r="Q12" i="2"/>
  <c r="O14" i="2"/>
  <c r="BE17" i="2"/>
  <c r="Q17" i="2"/>
  <c r="O17" i="2"/>
  <c r="P17" i="2"/>
  <c r="AQ17" i="2"/>
  <c r="I17" i="2"/>
  <c r="AP17" i="2"/>
  <c r="Q15" i="2"/>
  <c r="O15" i="2"/>
  <c r="AQ15" i="2"/>
  <c r="P15" i="2"/>
  <c r="P11" i="2"/>
  <c r="O11" i="2"/>
  <c r="AP11" i="2"/>
  <c r="AQ11" i="2"/>
  <c r="H33" i="6"/>
  <c r="L33" i="6" s="1"/>
  <c r="H34" i="6"/>
  <c r="L34" i="6" s="1"/>
  <c r="H31" i="6"/>
  <c r="L31" i="6" s="1"/>
  <c r="H35" i="6"/>
  <c r="L35" i="6" s="1"/>
  <c r="C14" i="18"/>
  <c r="L23" i="6"/>
  <c r="L32" i="6"/>
  <c r="M31" i="6"/>
  <c r="N31" i="6" s="1"/>
  <c r="E24" i="7"/>
  <c r="F24" i="7"/>
  <c r="F26" i="7"/>
  <c r="E26" i="7"/>
  <c r="F25" i="7"/>
  <c r="W25" i="7" s="1"/>
  <c r="C18" i="8"/>
  <c r="C24" i="8"/>
  <c r="Q44" i="8" s="1"/>
  <c r="C27" i="8"/>
  <c r="G58" i="8" s="1"/>
  <c r="J51" i="8"/>
  <c r="P51" i="8" s="1"/>
  <c r="AB96" i="12"/>
  <c r="AB56" i="12"/>
  <c r="AB36" i="12"/>
  <c r="AB115" i="12"/>
  <c r="AB95" i="12"/>
  <c r="AB75" i="12"/>
  <c r="AB55" i="12"/>
  <c r="AB35" i="12"/>
  <c r="AL116" i="6"/>
  <c r="AB81" i="12"/>
  <c r="AB41" i="12"/>
  <c r="AB21" i="12"/>
  <c r="AB114" i="12"/>
  <c r="AB94" i="12"/>
  <c r="AB74" i="12"/>
  <c r="AB54" i="12"/>
  <c r="AB34" i="12"/>
  <c r="AK124" i="6"/>
  <c r="AB109" i="12" s="1"/>
  <c r="AK104" i="6"/>
  <c r="AB89" i="12" s="1"/>
  <c r="AK84" i="6"/>
  <c r="AB69" i="12" s="1"/>
  <c r="AK64" i="6"/>
  <c r="AB49" i="12" s="1"/>
  <c r="AK123" i="6"/>
  <c r="AB108" i="12" s="1"/>
  <c r="AK83" i="6"/>
  <c r="AB68" i="12" s="1"/>
  <c r="AK122" i="6"/>
  <c r="AB107" i="12" s="1"/>
  <c r="AK62" i="6"/>
  <c r="AB47" i="12" s="1"/>
  <c r="AB113" i="12"/>
  <c r="AB93" i="12"/>
  <c r="AB73" i="12"/>
  <c r="AB53" i="12"/>
  <c r="AB106" i="12"/>
  <c r="AB86" i="12"/>
  <c r="AB66" i="12"/>
  <c r="AB46" i="12"/>
  <c r="AB26" i="12"/>
  <c r="AK120" i="6"/>
  <c r="AB105" i="12" s="1"/>
  <c r="AB92" i="12"/>
  <c r="AB72" i="12"/>
  <c r="AK118" i="6"/>
  <c r="AB103" i="12" s="1"/>
  <c r="AK98" i="6"/>
  <c r="AB83" i="12" s="1"/>
  <c r="AK78" i="6"/>
  <c r="AB63" i="12" s="1"/>
  <c r="AK58" i="6"/>
  <c r="AB43" i="12" s="1"/>
  <c r="AK38" i="6"/>
  <c r="AB23" i="12" s="1"/>
  <c r="AB85" i="12"/>
  <c r="AB45" i="12"/>
  <c r="AB25" i="12"/>
  <c r="AK117" i="6"/>
  <c r="AB102" i="12" s="1"/>
  <c r="AK97" i="6"/>
  <c r="AB82" i="12" s="1"/>
  <c r="AK77" i="6"/>
  <c r="AB62" i="12" s="1"/>
  <c r="AK57" i="6"/>
  <c r="AB42" i="12" s="1"/>
  <c r="AK37" i="6"/>
  <c r="AB22" i="12" s="1"/>
  <c r="AB111" i="12"/>
  <c r="AB91" i="12"/>
  <c r="AB71" i="12"/>
  <c r="AB51" i="12"/>
  <c r="AB31" i="12"/>
  <c r="AB104" i="12"/>
  <c r="AB84" i="12"/>
  <c r="AB44" i="12"/>
  <c r="AB24" i="12"/>
  <c r="AK114" i="6"/>
  <c r="AB99" i="12" s="1"/>
  <c r="AK94" i="6"/>
  <c r="AL94" i="6" s="1"/>
  <c r="AK74" i="6"/>
  <c r="AL74" i="6" s="1"/>
  <c r="AK54" i="6"/>
  <c r="AB39" i="12" s="1"/>
  <c r="AK113" i="6"/>
  <c r="AB98" i="12" s="1"/>
  <c r="AK93" i="6"/>
  <c r="AB78" i="12" s="1"/>
  <c r="AK73" i="6"/>
  <c r="AB58" i="12" s="1"/>
  <c r="AB110" i="12"/>
  <c r="AB90" i="12"/>
  <c r="AB70" i="12"/>
  <c r="AB50" i="12"/>
  <c r="AB30" i="12"/>
  <c r="AK112" i="6"/>
  <c r="AL112" i="6" s="1"/>
  <c r="AK92" i="6"/>
  <c r="AB77" i="12" s="1"/>
  <c r="AK72" i="6"/>
  <c r="AB57" i="12" s="1"/>
  <c r="AK52" i="6"/>
  <c r="AB37" i="12" s="1"/>
  <c r="AK32" i="6"/>
  <c r="AL32" i="6" s="1"/>
  <c r="AB112" i="12"/>
  <c r="AB100" i="12"/>
  <c r="AB88" i="12"/>
  <c r="AB76" i="12"/>
  <c r="AB64" i="12"/>
  <c r="AB28" i="12"/>
  <c r="M34" i="6"/>
  <c r="N34" i="6" s="1"/>
  <c r="M52" i="6"/>
  <c r="N52" i="6" s="1"/>
  <c r="M112" i="6"/>
  <c r="N112" i="6" s="1"/>
  <c r="M74" i="6"/>
  <c r="N74" i="6" s="1"/>
  <c r="AB87" i="12"/>
  <c r="AB27" i="12"/>
  <c r="AB67" i="12"/>
  <c r="M32" i="6"/>
  <c r="M111" i="6"/>
  <c r="N111" i="6" s="1"/>
  <c r="M91" i="6"/>
  <c r="N91" i="6" s="1"/>
  <c r="M71" i="6"/>
  <c r="N71" i="6" s="1"/>
  <c r="M51" i="6"/>
  <c r="N51" i="6" s="1"/>
  <c r="M130" i="6"/>
  <c r="N130" i="6" s="1"/>
  <c r="M110" i="6"/>
  <c r="N110" i="6" s="1"/>
  <c r="M90" i="6"/>
  <c r="N90" i="6" s="1"/>
  <c r="M70" i="6"/>
  <c r="N70" i="6" s="1"/>
  <c r="M50" i="6"/>
  <c r="N50" i="6" s="1"/>
  <c r="M129" i="6"/>
  <c r="M109" i="6"/>
  <c r="N109" i="6" s="1"/>
  <c r="M89" i="6"/>
  <c r="N89" i="6" s="1"/>
  <c r="M69" i="6"/>
  <c r="N69" i="6" s="1"/>
  <c r="M49" i="6"/>
  <c r="N49" i="6" s="1"/>
  <c r="M128" i="6"/>
  <c r="N128" i="6" s="1"/>
  <c r="M108" i="6"/>
  <c r="N108" i="6" s="1"/>
  <c r="M88" i="6"/>
  <c r="N88" i="6" s="1"/>
  <c r="M68" i="6"/>
  <c r="N68" i="6" s="1"/>
  <c r="M48" i="6"/>
  <c r="N48" i="6" s="1"/>
  <c r="M127" i="6"/>
  <c r="N127" i="6" s="1"/>
  <c r="M107" i="6"/>
  <c r="N107" i="6" s="1"/>
  <c r="M87" i="6"/>
  <c r="N87" i="6" s="1"/>
  <c r="M67" i="6"/>
  <c r="N67" i="6" s="1"/>
  <c r="M47" i="6"/>
  <c r="N47" i="6" s="1"/>
  <c r="M126" i="6"/>
  <c r="N126" i="6" s="1"/>
  <c r="M106" i="6"/>
  <c r="N106" i="6" s="1"/>
  <c r="M86" i="6"/>
  <c r="N86" i="6" s="1"/>
  <c r="M66" i="6"/>
  <c r="N66" i="6" s="1"/>
  <c r="M46" i="6"/>
  <c r="N46" i="6" s="1"/>
  <c r="M125" i="6"/>
  <c r="N125" i="6" s="1"/>
  <c r="M105" i="6"/>
  <c r="N105" i="6" s="1"/>
  <c r="M85" i="6"/>
  <c r="N85" i="6" s="1"/>
  <c r="M65" i="6"/>
  <c r="N65" i="6" s="1"/>
  <c r="M45" i="6"/>
  <c r="N45" i="6" s="1"/>
  <c r="M124" i="6"/>
  <c r="N124" i="6" s="1"/>
  <c r="M104" i="6"/>
  <c r="N104" i="6" s="1"/>
  <c r="M84" i="6"/>
  <c r="N84" i="6" s="1"/>
  <c r="M64" i="6"/>
  <c r="N64" i="6" s="1"/>
  <c r="M44" i="6"/>
  <c r="N44" i="6" s="1"/>
  <c r="M123" i="6"/>
  <c r="N123" i="6" s="1"/>
  <c r="M103" i="6"/>
  <c r="N103" i="6" s="1"/>
  <c r="M83" i="6"/>
  <c r="N83" i="6" s="1"/>
  <c r="M63" i="6"/>
  <c r="N63" i="6" s="1"/>
  <c r="M43" i="6"/>
  <c r="N43" i="6" s="1"/>
  <c r="M122" i="6"/>
  <c r="N122" i="6" s="1"/>
  <c r="M102" i="6"/>
  <c r="N102" i="6" s="1"/>
  <c r="M82" i="6"/>
  <c r="N82" i="6" s="1"/>
  <c r="M62" i="6"/>
  <c r="N62" i="6" s="1"/>
  <c r="M42" i="6"/>
  <c r="N42" i="6" s="1"/>
  <c r="M121" i="6"/>
  <c r="N121" i="6" s="1"/>
  <c r="M101" i="6"/>
  <c r="M81" i="6"/>
  <c r="N81" i="6" s="1"/>
  <c r="M61" i="6"/>
  <c r="N61" i="6" s="1"/>
  <c r="M41" i="6"/>
  <c r="N41" i="6" s="1"/>
  <c r="M100" i="6"/>
  <c r="N100" i="6" s="1"/>
  <c r="M80" i="6"/>
  <c r="N80" i="6" s="1"/>
  <c r="M60" i="6"/>
  <c r="N60" i="6" s="1"/>
  <c r="M40" i="6"/>
  <c r="N40" i="6" s="1"/>
  <c r="M119" i="6"/>
  <c r="N119" i="6" s="1"/>
  <c r="M99" i="6"/>
  <c r="N99" i="6" s="1"/>
  <c r="M79" i="6"/>
  <c r="N79" i="6" s="1"/>
  <c r="M59" i="6"/>
  <c r="N59" i="6" s="1"/>
  <c r="M39" i="6"/>
  <c r="N39" i="6" s="1"/>
  <c r="M118" i="6"/>
  <c r="N118" i="6" s="1"/>
  <c r="M98" i="6"/>
  <c r="N98" i="6" s="1"/>
  <c r="M78" i="6"/>
  <c r="N78" i="6" s="1"/>
  <c r="M58" i="6"/>
  <c r="N58" i="6" s="1"/>
  <c r="M38" i="6"/>
  <c r="N38" i="6" s="1"/>
  <c r="M117" i="6"/>
  <c r="N117" i="6" s="1"/>
  <c r="M97" i="6"/>
  <c r="N97" i="6" s="1"/>
  <c r="M77" i="6"/>
  <c r="N77" i="6" s="1"/>
  <c r="M57" i="6"/>
  <c r="N57" i="6" s="1"/>
  <c r="M37" i="6"/>
  <c r="N37" i="6" s="1"/>
  <c r="M116" i="6"/>
  <c r="N116" i="6" s="1"/>
  <c r="M96" i="6"/>
  <c r="N96" i="6" s="1"/>
  <c r="M76" i="6"/>
  <c r="N76" i="6" s="1"/>
  <c r="M56" i="6"/>
  <c r="N56" i="6" s="1"/>
  <c r="M36" i="6"/>
  <c r="N36" i="6" s="1"/>
  <c r="M115" i="6"/>
  <c r="N115" i="6" s="1"/>
  <c r="M95" i="6"/>
  <c r="N95" i="6" s="1"/>
  <c r="M75" i="6"/>
  <c r="N75" i="6" s="1"/>
  <c r="M55" i="6"/>
  <c r="N55" i="6" s="1"/>
  <c r="M35" i="6"/>
  <c r="N35" i="6" s="1"/>
  <c r="M113" i="6"/>
  <c r="N113" i="6" s="1"/>
  <c r="M93" i="6"/>
  <c r="N93" i="6" s="1"/>
  <c r="M73" i="6"/>
  <c r="N73" i="6" s="1"/>
  <c r="M53" i="6"/>
  <c r="N53" i="6" s="1"/>
  <c r="M33" i="6"/>
  <c r="N33" i="6" s="1"/>
  <c r="N120" i="6"/>
  <c r="N114" i="6"/>
  <c r="N94" i="6"/>
  <c r="N54" i="6"/>
  <c r="N92" i="6"/>
  <c r="N72" i="6"/>
  <c r="D58" i="8"/>
  <c r="AL56" i="6"/>
  <c r="AB61" i="12"/>
  <c r="AL107" i="6"/>
  <c r="AL96" i="6"/>
  <c r="AL87" i="6"/>
  <c r="AL47" i="6"/>
  <c r="AB101" i="12"/>
  <c r="AL127" i="6"/>
  <c r="AL67" i="6"/>
  <c r="K26" i="8"/>
  <c r="K39" i="8"/>
  <c r="Q26" i="8"/>
  <c r="AL130" i="6"/>
  <c r="AL110" i="6"/>
  <c r="AL90" i="6"/>
  <c r="AL70" i="6"/>
  <c r="AL50" i="6"/>
  <c r="AL129" i="6"/>
  <c r="AL109" i="6"/>
  <c r="AL89" i="6"/>
  <c r="AL69" i="6"/>
  <c r="AL49" i="6"/>
  <c r="AL128" i="6"/>
  <c r="AL108" i="6"/>
  <c r="AL88" i="6"/>
  <c r="AL68" i="6"/>
  <c r="AL48" i="6"/>
  <c r="AL126" i="6"/>
  <c r="AL106" i="6"/>
  <c r="AL86" i="6"/>
  <c r="AL66" i="6"/>
  <c r="AL46" i="6"/>
  <c r="AL125" i="6"/>
  <c r="AL105" i="6"/>
  <c r="AL85" i="6"/>
  <c r="AL65" i="6"/>
  <c r="AL45" i="6"/>
  <c r="AL44" i="6"/>
  <c r="AL103" i="6"/>
  <c r="AL63" i="6"/>
  <c r="AL43" i="6"/>
  <c r="AL102" i="6"/>
  <c r="AL121" i="6"/>
  <c r="AL101" i="6"/>
  <c r="AL81" i="6"/>
  <c r="AL61" i="6"/>
  <c r="AL41" i="6"/>
  <c r="AL36" i="6"/>
  <c r="AL100" i="6"/>
  <c r="AL80" i="6"/>
  <c r="AL60" i="6"/>
  <c r="AL40" i="6"/>
  <c r="AL119" i="6"/>
  <c r="AL99" i="6"/>
  <c r="AL79" i="6"/>
  <c r="AL59" i="6"/>
  <c r="AL39" i="6"/>
  <c r="AL115" i="6"/>
  <c r="AL95" i="6"/>
  <c r="AL75" i="6"/>
  <c r="AL55" i="6"/>
  <c r="AL53" i="6"/>
  <c r="AL92" i="6"/>
  <c r="AL111" i="6"/>
  <c r="AL91" i="6"/>
  <c r="AL71" i="6"/>
  <c r="AL51" i="6"/>
  <c r="AB13" i="7"/>
  <c r="AR11" i="7" s="1"/>
  <c r="E32" i="6"/>
  <c r="C22" i="11"/>
  <c r="BJ1" i="3"/>
  <c r="BG25" i="3" s="1"/>
  <c r="BI1" i="3"/>
  <c r="BH1" i="3"/>
  <c r="BR1" i="3" s="1"/>
  <c r="AA12" i="8"/>
  <c r="AB11" i="8" s="1"/>
  <c r="Z12" i="8"/>
  <c r="AA11" i="8" s="1"/>
  <c r="Y12" i="8"/>
  <c r="X12" i="8"/>
  <c r="Y11" i="8" s="1"/>
  <c r="AD12" i="6"/>
  <c r="AG11" i="6"/>
  <c r="B12" i="2"/>
  <c r="C12" i="2"/>
  <c r="D12" i="2"/>
  <c r="E12" i="2"/>
  <c r="G12" i="2" s="1"/>
  <c r="F12" i="2"/>
  <c r="L12" i="2"/>
  <c r="M12" i="2"/>
  <c r="B13" i="2"/>
  <c r="C13" i="2"/>
  <c r="D13" i="2"/>
  <c r="E13" i="2"/>
  <c r="G13" i="2" s="1"/>
  <c r="F13" i="2"/>
  <c r="L13" i="2"/>
  <c r="M13" i="2"/>
  <c r="B14" i="2"/>
  <c r="C14" i="2"/>
  <c r="D14" i="2"/>
  <c r="E14" i="2"/>
  <c r="G14" i="2" s="1"/>
  <c r="F14" i="2"/>
  <c r="L14" i="2"/>
  <c r="M14" i="2"/>
  <c r="B15" i="2"/>
  <c r="C15" i="2"/>
  <c r="D15" i="2"/>
  <c r="E15" i="2"/>
  <c r="G15" i="2" s="1"/>
  <c r="F15" i="2"/>
  <c r="L15" i="2"/>
  <c r="M15" i="2"/>
  <c r="B16" i="2"/>
  <c r="C16" i="2"/>
  <c r="D16" i="2"/>
  <c r="E16" i="2"/>
  <c r="G16" i="2" s="1"/>
  <c r="F16" i="2"/>
  <c r="L16" i="2"/>
  <c r="M16" i="2"/>
  <c r="B17" i="2"/>
  <c r="C17" i="2"/>
  <c r="D17" i="2"/>
  <c r="E17" i="2"/>
  <c r="G17" i="2" s="1"/>
  <c r="F17" i="2"/>
  <c r="L17" i="2"/>
  <c r="M17" i="2"/>
  <c r="B18" i="2"/>
  <c r="C18" i="2"/>
  <c r="D18" i="2"/>
  <c r="E18" i="2"/>
  <c r="G18" i="2" s="1"/>
  <c r="F18" i="2"/>
  <c r="L18" i="2"/>
  <c r="M18" i="2"/>
  <c r="B19" i="2"/>
  <c r="C19" i="2"/>
  <c r="D19" i="2"/>
  <c r="E19" i="2"/>
  <c r="G19" i="2" s="1"/>
  <c r="F19" i="2"/>
  <c r="L19" i="2"/>
  <c r="M19" i="2"/>
  <c r="B20" i="2"/>
  <c r="C20" i="2"/>
  <c r="D20" i="2"/>
  <c r="E20" i="2"/>
  <c r="G20" i="2" s="1"/>
  <c r="F20" i="2"/>
  <c r="L20" i="2"/>
  <c r="M20" i="2"/>
  <c r="B21" i="2"/>
  <c r="C21" i="2"/>
  <c r="D21" i="2"/>
  <c r="E21" i="2"/>
  <c r="G21" i="2" s="1"/>
  <c r="F21" i="2"/>
  <c r="L21" i="2"/>
  <c r="M21" i="2"/>
  <c r="B22" i="2"/>
  <c r="C22" i="2"/>
  <c r="D22" i="2"/>
  <c r="E22" i="2"/>
  <c r="G22" i="2" s="1"/>
  <c r="F22" i="2"/>
  <c r="L22" i="2"/>
  <c r="M22" i="2"/>
  <c r="B23" i="2"/>
  <c r="C23" i="2"/>
  <c r="D23" i="2"/>
  <c r="E23" i="2"/>
  <c r="G23" i="2" s="1"/>
  <c r="F23" i="2"/>
  <c r="L23" i="2"/>
  <c r="M23" i="2"/>
  <c r="B24" i="2"/>
  <c r="C24" i="2"/>
  <c r="D24" i="2"/>
  <c r="E24" i="2"/>
  <c r="G24" i="2" s="1"/>
  <c r="F24" i="2"/>
  <c r="L24" i="2"/>
  <c r="M24" i="2"/>
  <c r="B25" i="2"/>
  <c r="C25" i="2"/>
  <c r="D25" i="2"/>
  <c r="E25" i="2"/>
  <c r="G25" i="2" s="1"/>
  <c r="F25" i="2"/>
  <c r="L25" i="2"/>
  <c r="M25" i="2"/>
  <c r="B26" i="2"/>
  <c r="C26" i="2"/>
  <c r="D26" i="2"/>
  <c r="E26" i="2"/>
  <c r="G26" i="2" s="1"/>
  <c r="F26" i="2"/>
  <c r="L26" i="2"/>
  <c r="M26" i="2"/>
  <c r="B27" i="2"/>
  <c r="C27" i="2"/>
  <c r="D27" i="2"/>
  <c r="E27" i="2"/>
  <c r="G27" i="2" s="1"/>
  <c r="F27" i="2"/>
  <c r="L27" i="2"/>
  <c r="M27" i="2"/>
  <c r="B28" i="2"/>
  <c r="C28" i="2"/>
  <c r="D28" i="2"/>
  <c r="E28" i="2"/>
  <c r="G28" i="2" s="1"/>
  <c r="F28" i="2"/>
  <c r="L28" i="2"/>
  <c r="M28" i="2"/>
  <c r="B29" i="2"/>
  <c r="C29" i="2"/>
  <c r="D29" i="2"/>
  <c r="E29" i="2"/>
  <c r="G29" i="2" s="1"/>
  <c r="F29" i="2"/>
  <c r="L29" i="2"/>
  <c r="M29" i="2"/>
  <c r="B30" i="2"/>
  <c r="C30" i="2"/>
  <c r="D30" i="2"/>
  <c r="E30" i="2"/>
  <c r="G30" i="2" s="1"/>
  <c r="F30" i="2"/>
  <c r="L30" i="2"/>
  <c r="M30" i="2"/>
  <c r="B31" i="2"/>
  <c r="C31" i="2"/>
  <c r="D31" i="2"/>
  <c r="E31" i="2"/>
  <c r="G31" i="2" s="1"/>
  <c r="F31" i="2"/>
  <c r="L31" i="2"/>
  <c r="M31" i="2"/>
  <c r="B32" i="2"/>
  <c r="C32" i="2"/>
  <c r="D32" i="2"/>
  <c r="E32" i="2"/>
  <c r="G32" i="2" s="1"/>
  <c r="F32" i="2"/>
  <c r="L32" i="2"/>
  <c r="M32" i="2"/>
  <c r="B33" i="2"/>
  <c r="C33" i="2"/>
  <c r="D33" i="2"/>
  <c r="E33" i="2"/>
  <c r="G33" i="2" s="1"/>
  <c r="F33" i="2"/>
  <c r="L33" i="2"/>
  <c r="M33" i="2"/>
  <c r="B34" i="2"/>
  <c r="C34" i="2"/>
  <c r="D34" i="2"/>
  <c r="E34" i="2"/>
  <c r="G34" i="2" s="1"/>
  <c r="F34" i="2"/>
  <c r="L34" i="2"/>
  <c r="M34" i="2"/>
  <c r="B35" i="2"/>
  <c r="C35" i="2"/>
  <c r="D35" i="2"/>
  <c r="E35" i="2"/>
  <c r="G35" i="2" s="1"/>
  <c r="F35" i="2"/>
  <c r="L35" i="2"/>
  <c r="M35" i="2"/>
  <c r="B36" i="2"/>
  <c r="C36" i="2"/>
  <c r="D36" i="2"/>
  <c r="E36" i="2"/>
  <c r="G36" i="2" s="1"/>
  <c r="F36" i="2"/>
  <c r="L36" i="2"/>
  <c r="M36" i="2"/>
  <c r="B37" i="2"/>
  <c r="C37" i="2"/>
  <c r="D37" i="2"/>
  <c r="E37" i="2"/>
  <c r="G37" i="2" s="1"/>
  <c r="F37" i="2"/>
  <c r="L37" i="2"/>
  <c r="M37" i="2"/>
  <c r="B38" i="2"/>
  <c r="C38" i="2"/>
  <c r="D38" i="2"/>
  <c r="E38" i="2"/>
  <c r="G38" i="2" s="1"/>
  <c r="F38" i="2"/>
  <c r="L38" i="2"/>
  <c r="M38" i="2"/>
  <c r="B39" i="2"/>
  <c r="C39" i="2"/>
  <c r="D39" i="2"/>
  <c r="E39" i="2"/>
  <c r="G39" i="2" s="1"/>
  <c r="F39" i="2"/>
  <c r="L39" i="2"/>
  <c r="M39" i="2"/>
  <c r="B40" i="2"/>
  <c r="C40" i="2"/>
  <c r="D40" i="2"/>
  <c r="E40" i="2"/>
  <c r="G40" i="2" s="1"/>
  <c r="F40" i="2"/>
  <c r="L40" i="2"/>
  <c r="M40" i="2"/>
  <c r="B41" i="2"/>
  <c r="C41" i="2"/>
  <c r="D41" i="2"/>
  <c r="E41" i="2"/>
  <c r="G41" i="2" s="1"/>
  <c r="F41" i="2"/>
  <c r="L41" i="2"/>
  <c r="M41" i="2"/>
  <c r="B42" i="2"/>
  <c r="C42" i="2"/>
  <c r="D42" i="2"/>
  <c r="E42" i="2"/>
  <c r="G42" i="2" s="1"/>
  <c r="F42" i="2"/>
  <c r="L42" i="2"/>
  <c r="M42" i="2"/>
  <c r="B43" i="2"/>
  <c r="C43" i="2"/>
  <c r="D43" i="2"/>
  <c r="E43" i="2"/>
  <c r="G43" i="2" s="1"/>
  <c r="F43" i="2"/>
  <c r="L43" i="2"/>
  <c r="M43" i="2"/>
  <c r="B44" i="2"/>
  <c r="C44" i="2"/>
  <c r="D44" i="2"/>
  <c r="E44" i="2"/>
  <c r="G44" i="2" s="1"/>
  <c r="F44" i="2"/>
  <c r="L44" i="2"/>
  <c r="M44" i="2"/>
  <c r="B45" i="2"/>
  <c r="C45" i="2"/>
  <c r="D45" i="2"/>
  <c r="E45" i="2"/>
  <c r="G45" i="2" s="1"/>
  <c r="F45" i="2"/>
  <c r="L45" i="2"/>
  <c r="M45" i="2"/>
  <c r="B46" i="2"/>
  <c r="C46" i="2"/>
  <c r="D46" i="2"/>
  <c r="E46" i="2"/>
  <c r="G46" i="2" s="1"/>
  <c r="F46" i="2"/>
  <c r="L46" i="2"/>
  <c r="M46" i="2"/>
  <c r="B47" i="2"/>
  <c r="C47" i="2"/>
  <c r="D47" i="2"/>
  <c r="E47" i="2"/>
  <c r="G47" i="2" s="1"/>
  <c r="F47" i="2"/>
  <c r="L47" i="2"/>
  <c r="M47" i="2"/>
  <c r="B48" i="2"/>
  <c r="C48" i="2"/>
  <c r="D48" i="2"/>
  <c r="E48" i="2"/>
  <c r="G48" i="2" s="1"/>
  <c r="F48" i="2"/>
  <c r="L48" i="2"/>
  <c r="M48" i="2"/>
  <c r="B49" i="2"/>
  <c r="C49" i="2"/>
  <c r="D49" i="2"/>
  <c r="E49" i="2"/>
  <c r="G49" i="2" s="1"/>
  <c r="F49" i="2"/>
  <c r="L49" i="2"/>
  <c r="M49" i="2"/>
  <c r="B50" i="2"/>
  <c r="C50" i="2"/>
  <c r="D50" i="2"/>
  <c r="E50" i="2"/>
  <c r="G50" i="2" s="1"/>
  <c r="F50" i="2"/>
  <c r="L50" i="2"/>
  <c r="M50" i="2"/>
  <c r="B51" i="2"/>
  <c r="C51" i="2"/>
  <c r="D51" i="2"/>
  <c r="E51" i="2"/>
  <c r="G51" i="2" s="1"/>
  <c r="F51" i="2"/>
  <c r="L51" i="2"/>
  <c r="M51" i="2"/>
  <c r="B52" i="2"/>
  <c r="C52" i="2"/>
  <c r="D52" i="2"/>
  <c r="E52" i="2"/>
  <c r="G52" i="2" s="1"/>
  <c r="F52" i="2"/>
  <c r="L52" i="2"/>
  <c r="M52" i="2"/>
  <c r="B53" i="2"/>
  <c r="C53" i="2"/>
  <c r="D53" i="2"/>
  <c r="E53" i="2"/>
  <c r="G53" i="2" s="1"/>
  <c r="F53" i="2"/>
  <c r="L53" i="2"/>
  <c r="M53" i="2"/>
  <c r="B54" i="2"/>
  <c r="C54" i="2"/>
  <c r="D54" i="2"/>
  <c r="E54" i="2"/>
  <c r="G54" i="2" s="1"/>
  <c r="F54" i="2"/>
  <c r="L54" i="2"/>
  <c r="M54" i="2"/>
  <c r="B55" i="2"/>
  <c r="C55" i="2"/>
  <c r="D55" i="2"/>
  <c r="E55" i="2"/>
  <c r="G55" i="2" s="1"/>
  <c r="F55" i="2"/>
  <c r="L55" i="2"/>
  <c r="M55" i="2"/>
  <c r="B56" i="2"/>
  <c r="C56" i="2"/>
  <c r="D56" i="2"/>
  <c r="E56" i="2"/>
  <c r="G56" i="2" s="1"/>
  <c r="F56" i="2"/>
  <c r="L56" i="2"/>
  <c r="M56" i="2"/>
  <c r="B57" i="2"/>
  <c r="C57" i="2"/>
  <c r="D57" i="2"/>
  <c r="E57" i="2"/>
  <c r="G57" i="2" s="1"/>
  <c r="F57" i="2"/>
  <c r="L57" i="2"/>
  <c r="M57" i="2"/>
  <c r="B58" i="2"/>
  <c r="C58" i="2"/>
  <c r="D58" i="2"/>
  <c r="E58" i="2"/>
  <c r="G58" i="2" s="1"/>
  <c r="F58" i="2"/>
  <c r="L58" i="2"/>
  <c r="M58" i="2"/>
  <c r="B59" i="2"/>
  <c r="C59" i="2"/>
  <c r="D59" i="2"/>
  <c r="E59" i="2"/>
  <c r="G59" i="2" s="1"/>
  <c r="F59" i="2"/>
  <c r="L59" i="2"/>
  <c r="M59" i="2"/>
  <c r="B60" i="2"/>
  <c r="C60" i="2"/>
  <c r="D60" i="2"/>
  <c r="E60" i="2"/>
  <c r="G60" i="2" s="1"/>
  <c r="F60" i="2"/>
  <c r="L60" i="2"/>
  <c r="M60" i="2"/>
  <c r="B61" i="2"/>
  <c r="C61" i="2"/>
  <c r="D61" i="2"/>
  <c r="E61" i="2"/>
  <c r="G61" i="2" s="1"/>
  <c r="F61" i="2"/>
  <c r="L61" i="2"/>
  <c r="M61" i="2"/>
  <c r="B62" i="2"/>
  <c r="C62" i="2"/>
  <c r="D62" i="2"/>
  <c r="E62" i="2"/>
  <c r="G62" i="2" s="1"/>
  <c r="F62" i="2"/>
  <c r="L62" i="2"/>
  <c r="M62" i="2"/>
  <c r="B63" i="2"/>
  <c r="C63" i="2"/>
  <c r="D63" i="2"/>
  <c r="E63" i="2"/>
  <c r="G63" i="2" s="1"/>
  <c r="F63" i="2"/>
  <c r="L63" i="2"/>
  <c r="M63" i="2"/>
  <c r="B64" i="2"/>
  <c r="C64" i="2"/>
  <c r="D64" i="2"/>
  <c r="E64" i="2"/>
  <c r="G64" i="2" s="1"/>
  <c r="F64" i="2"/>
  <c r="L64" i="2"/>
  <c r="M64" i="2"/>
  <c r="B65" i="2"/>
  <c r="C65" i="2"/>
  <c r="D65" i="2"/>
  <c r="E65" i="2"/>
  <c r="G65" i="2" s="1"/>
  <c r="F65" i="2"/>
  <c r="L65" i="2"/>
  <c r="M65" i="2"/>
  <c r="B66" i="2"/>
  <c r="C66" i="2"/>
  <c r="D66" i="2"/>
  <c r="E66" i="2"/>
  <c r="G66" i="2" s="1"/>
  <c r="F66" i="2"/>
  <c r="L66" i="2"/>
  <c r="M66" i="2"/>
  <c r="B67" i="2"/>
  <c r="C67" i="2"/>
  <c r="D67" i="2"/>
  <c r="E67" i="2"/>
  <c r="G67" i="2" s="1"/>
  <c r="F67" i="2"/>
  <c r="L67" i="2"/>
  <c r="M67" i="2"/>
  <c r="B68" i="2"/>
  <c r="C68" i="2"/>
  <c r="D68" i="2"/>
  <c r="E68" i="2"/>
  <c r="G68" i="2" s="1"/>
  <c r="F68" i="2"/>
  <c r="L68" i="2"/>
  <c r="M68" i="2"/>
  <c r="B69" i="2"/>
  <c r="C69" i="2"/>
  <c r="D69" i="2"/>
  <c r="E69" i="2"/>
  <c r="G69" i="2" s="1"/>
  <c r="F69" i="2"/>
  <c r="L69" i="2"/>
  <c r="M69" i="2"/>
  <c r="B70" i="2"/>
  <c r="C70" i="2"/>
  <c r="D70" i="2"/>
  <c r="E70" i="2"/>
  <c r="G70" i="2" s="1"/>
  <c r="F70" i="2"/>
  <c r="L70" i="2"/>
  <c r="M70" i="2"/>
  <c r="B71" i="2"/>
  <c r="C71" i="2"/>
  <c r="D71" i="2"/>
  <c r="E71" i="2"/>
  <c r="G71" i="2" s="1"/>
  <c r="F71" i="2"/>
  <c r="L71" i="2"/>
  <c r="M71" i="2"/>
  <c r="B72" i="2"/>
  <c r="C72" i="2"/>
  <c r="D72" i="2"/>
  <c r="E72" i="2"/>
  <c r="G72" i="2" s="1"/>
  <c r="F72" i="2"/>
  <c r="L72" i="2"/>
  <c r="M72" i="2"/>
  <c r="B73" i="2"/>
  <c r="C73" i="2"/>
  <c r="D73" i="2"/>
  <c r="E73" i="2"/>
  <c r="G73" i="2" s="1"/>
  <c r="F73" i="2"/>
  <c r="L73" i="2"/>
  <c r="M73" i="2"/>
  <c r="B74" i="2"/>
  <c r="C74" i="2"/>
  <c r="D74" i="2"/>
  <c r="E74" i="2"/>
  <c r="G74" i="2" s="1"/>
  <c r="F74" i="2"/>
  <c r="L74" i="2"/>
  <c r="M74" i="2"/>
  <c r="B75" i="2"/>
  <c r="C75" i="2"/>
  <c r="D75" i="2"/>
  <c r="E75" i="2"/>
  <c r="G75" i="2" s="1"/>
  <c r="F75" i="2"/>
  <c r="L75" i="2"/>
  <c r="M75" i="2"/>
  <c r="B76" i="2"/>
  <c r="C76" i="2"/>
  <c r="D76" i="2"/>
  <c r="E76" i="2"/>
  <c r="G76" i="2" s="1"/>
  <c r="F76" i="2"/>
  <c r="L76" i="2"/>
  <c r="M76" i="2"/>
  <c r="B77" i="2"/>
  <c r="C77" i="2"/>
  <c r="D77" i="2"/>
  <c r="E77" i="2"/>
  <c r="G77" i="2" s="1"/>
  <c r="F77" i="2"/>
  <c r="L77" i="2"/>
  <c r="M77" i="2"/>
  <c r="B78" i="2"/>
  <c r="C78" i="2"/>
  <c r="D78" i="2"/>
  <c r="E78" i="2"/>
  <c r="G78" i="2" s="1"/>
  <c r="F78" i="2"/>
  <c r="L78" i="2"/>
  <c r="M78" i="2"/>
  <c r="B79" i="2"/>
  <c r="C79" i="2"/>
  <c r="D79" i="2"/>
  <c r="E79" i="2"/>
  <c r="G79" i="2" s="1"/>
  <c r="F79" i="2"/>
  <c r="L79" i="2"/>
  <c r="M79" i="2"/>
  <c r="B80" i="2"/>
  <c r="C80" i="2"/>
  <c r="D80" i="2"/>
  <c r="E80" i="2"/>
  <c r="G80" i="2" s="1"/>
  <c r="F80" i="2"/>
  <c r="L80" i="2"/>
  <c r="M80" i="2"/>
  <c r="B81" i="2"/>
  <c r="C81" i="2"/>
  <c r="D81" i="2"/>
  <c r="E81" i="2"/>
  <c r="G81" i="2" s="1"/>
  <c r="F81" i="2"/>
  <c r="L81" i="2"/>
  <c r="M81" i="2"/>
  <c r="B82" i="2"/>
  <c r="C82" i="2"/>
  <c r="D82" i="2"/>
  <c r="E82" i="2"/>
  <c r="G82" i="2" s="1"/>
  <c r="F82" i="2"/>
  <c r="L82" i="2"/>
  <c r="M82" i="2"/>
  <c r="B83" i="2"/>
  <c r="C83" i="2"/>
  <c r="D83" i="2"/>
  <c r="E83" i="2"/>
  <c r="G83" i="2" s="1"/>
  <c r="F83" i="2"/>
  <c r="L83" i="2"/>
  <c r="M83" i="2"/>
  <c r="B84" i="2"/>
  <c r="C84" i="2"/>
  <c r="D84" i="2"/>
  <c r="E84" i="2"/>
  <c r="G84" i="2" s="1"/>
  <c r="F84" i="2"/>
  <c r="L84" i="2"/>
  <c r="M84" i="2"/>
  <c r="B85" i="2"/>
  <c r="C85" i="2"/>
  <c r="D85" i="2"/>
  <c r="E85" i="2"/>
  <c r="G85" i="2" s="1"/>
  <c r="F85" i="2"/>
  <c r="L85" i="2"/>
  <c r="M85" i="2"/>
  <c r="B86" i="2"/>
  <c r="C86" i="2"/>
  <c r="D86" i="2"/>
  <c r="E86" i="2"/>
  <c r="G86" i="2" s="1"/>
  <c r="F86" i="2"/>
  <c r="L86" i="2"/>
  <c r="M86" i="2"/>
  <c r="B87" i="2"/>
  <c r="C87" i="2"/>
  <c r="D87" i="2"/>
  <c r="E87" i="2"/>
  <c r="G87" i="2" s="1"/>
  <c r="F87" i="2"/>
  <c r="L87" i="2"/>
  <c r="M87" i="2"/>
  <c r="B88" i="2"/>
  <c r="C88" i="2"/>
  <c r="D88" i="2"/>
  <c r="E88" i="2"/>
  <c r="G88" i="2" s="1"/>
  <c r="F88" i="2"/>
  <c r="L88" i="2"/>
  <c r="M88" i="2"/>
  <c r="B89" i="2"/>
  <c r="C89" i="2"/>
  <c r="D89" i="2"/>
  <c r="E89" i="2"/>
  <c r="G89" i="2" s="1"/>
  <c r="F89" i="2"/>
  <c r="L89" i="2"/>
  <c r="M89" i="2"/>
  <c r="B90" i="2"/>
  <c r="C90" i="2"/>
  <c r="D90" i="2"/>
  <c r="E90" i="2"/>
  <c r="G90" i="2" s="1"/>
  <c r="F90" i="2"/>
  <c r="L90" i="2"/>
  <c r="M90" i="2"/>
  <c r="B91" i="2"/>
  <c r="C91" i="2"/>
  <c r="D91" i="2"/>
  <c r="E91" i="2"/>
  <c r="G91" i="2" s="1"/>
  <c r="F91" i="2"/>
  <c r="L91" i="2"/>
  <c r="M91" i="2"/>
  <c r="B92" i="2"/>
  <c r="C92" i="2"/>
  <c r="D92" i="2"/>
  <c r="E92" i="2"/>
  <c r="G92" i="2" s="1"/>
  <c r="F92" i="2"/>
  <c r="L92" i="2"/>
  <c r="M92" i="2"/>
  <c r="B93" i="2"/>
  <c r="C93" i="2"/>
  <c r="D93" i="2"/>
  <c r="E93" i="2"/>
  <c r="G93" i="2" s="1"/>
  <c r="F93" i="2"/>
  <c r="L93" i="2"/>
  <c r="M93" i="2"/>
  <c r="B94" i="2"/>
  <c r="C94" i="2"/>
  <c r="D94" i="2"/>
  <c r="E94" i="2"/>
  <c r="G94" i="2" s="1"/>
  <c r="F94" i="2"/>
  <c r="L94" i="2"/>
  <c r="M94" i="2"/>
  <c r="B95" i="2"/>
  <c r="C95" i="2"/>
  <c r="D95" i="2"/>
  <c r="E95" i="2"/>
  <c r="G95" i="2" s="1"/>
  <c r="F95" i="2"/>
  <c r="L95" i="2"/>
  <c r="M95" i="2"/>
  <c r="B96" i="2"/>
  <c r="C96" i="2"/>
  <c r="D96" i="2"/>
  <c r="E96" i="2"/>
  <c r="G96" i="2" s="1"/>
  <c r="F96" i="2"/>
  <c r="L96" i="2"/>
  <c r="M96" i="2"/>
  <c r="B97" i="2"/>
  <c r="C97" i="2"/>
  <c r="D97" i="2"/>
  <c r="E97" i="2"/>
  <c r="G97" i="2" s="1"/>
  <c r="F97" i="2"/>
  <c r="L97" i="2"/>
  <c r="M97" i="2"/>
  <c r="B98" i="2"/>
  <c r="C98" i="2"/>
  <c r="D98" i="2"/>
  <c r="E98" i="2"/>
  <c r="G98" i="2" s="1"/>
  <c r="F98" i="2"/>
  <c r="L98" i="2"/>
  <c r="M98" i="2"/>
  <c r="B99" i="2"/>
  <c r="C99" i="2"/>
  <c r="D99" i="2"/>
  <c r="E99" i="2"/>
  <c r="G99" i="2" s="1"/>
  <c r="F99" i="2"/>
  <c r="L99" i="2"/>
  <c r="M99" i="2"/>
  <c r="B100" i="2"/>
  <c r="C100" i="2"/>
  <c r="D100" i="2"/>
  <c r="E100" i="2"/>
  <c r="G100" i="2" s="1"/>
  <c r="F100" i="2"/>
  <c r="L100" i="2"/>
  <c r="M100" i="2"/>
  <c r="B101" i="2"/>
  <c r="C101" i="2"/>
  <c r="D101" i="2"/>
  <c r="E101" i="2"/>
  <c r="G101" i="2" s="1"/>
  <c r="F101" i="2"/>
  <c r="L101" i="2"/>
  <c r="M101" i="2"/>
  <c r="B102" i="2"/>
  <c r="C102" i="2"/>
  <c r="D102" i="2"/>
  <c r="E102" i="2"/>
  <c r="G102" i="2" s="1"/>
  <c r="F102" i="2"/>
  <c r="L102" i="2"/>
  <c r="M102" i="2"/>
  <c r="B103" i="2"/>
  <c r="C103" i="2"/>
  <c r="D103" i="2"/>
  <c r="E103" i="2"/>
  <c r="G103" i="2" s="1"/>
  <c r="F103" i="2"/>
  <c r="L103" i="2"/>
  <c r="M103" i="2"/>
  <c r="B104" i="2"/>
  <c r="C104" i="2"/>
  <c r="D104" i="2"/>
  <c r="E104" i="2"/>
  <c r="G104" i="2" s="1"/>
  <c r="F104" i="2"/>
  <c r="L104" i="2"/>
  <c r="M104" i="2"/>
  <c r="B105" i="2"/>
  <c r="C105" i="2"/>
  <c r="D105" i="2"/>
  <c r="E105" i="2"/>
  <c r="G105" i="2" s="1"/>
  <c r="F105" i="2"/>
  <c r="L105" i="2"/>
  <c r="M105" i="2"/>
  <c r="B106" i="2"/>
  <c r="C106" i="2"/>
  <c r="D106" i="2"/>
  <c r="E106" i="2"/>
  <c r="G106" i="2" s="1"/>
  <c r="F106" i="2"/>
  <c r="L106" i="2"/>
  <c r="M106" i="2"/>
  <c r="B107" i="2"/>
  <c r="C107" i="2"/>
  <c r="D107" i="2"/>
  <c r="E107" i="2"/>
  <c r="G107" i="2" s="1"/>
  <c r="F107" i="2"/>
  <c r="L107" i="2"/>
  <c r="M107" i="2"/>
  <c r="B108" i="2"/>
  <c r="C108" i="2"/>
  <c r="D108" i="2"/>
  <c r="E108" i="2"/>
  <c r="G108" i="2" s="1"/>
  <c r="F108" i="2"/>
  <c r="L108" i="2"/>
  <c r="M108" i="2"/>
  <c r="B109" i="2"/>
  <c r="C109" i="2"/>
  <c r="D109" i="2"/>
  <c r="E109" i="2"/>
  <c r="G109" i="2" s="1"/>
  <c r="F109" i="2"/>
  <c r="L109" i="2"/>
  <c r="M109" i="2"/>
  <c r="B110" i="2"/>
  <c r="C110" i="2"/>
  <c r="D110" i="2"/>
  <c r="E110" i="2"/>
  <c r="G110" i="2" s="1"/>
  <c r="F110" i="2"/>
  <c r="L110" i="2"/>
  <c r="M110" i="2"/>
  <c r="M11" i="2"/>
  <c r="L11" i="2"/>
  <c r="Y10" i="12"/>
  <c r="C10" i="10"/>
  <c r="E38" i="18" s="1"/>
  <c r="L38" i="18" s="1"/>
  <c r="C10" i="12"/>
  <c r="C8" i="5"/>
  <c r="C7" i="5"/>
  <c r="C8" i="10"/>
  <c r="C7" i="10"/>
  <c r="AL25" i="7"/>
  <c r="AL26" i="7"/>
  <c r="AM26" i="7" s="1"/>
  <c r="AL27" i="7"/>
  <c r="AM27" i="7" s="1"/>
  <c r="AL28" i="7"/>
  <c r="AM28" i="7" s="1"/>
  <c r="AL29" i="7"/>
  <c r="AM29" i="7" s="1"/>
  <c r="AL30" i="7"/>
  <c r="AM30" i="7" s="1"/>
  <c r="AL31" i="7"/>
  <c r="AM31" i="7" s="1"/>
  <c r="AL32" i="7"/>
  <c r="AM32" i="7" s="1"/>
  <c r="AL33" i="7"/>
  <c r="AM33" i="7" s="1"/>
  <c r="AL34" i="7"/>
  <c r="AM34" i="7" s="1"/>
  <c r="AL35" i="7"/>
  <c r="AM35" i="7" s="1"/>
  <c r="AL36" i="7"/>
  <c r="AM36" i="7" s="1"/>
  <c r="AL37" i="7"/>
  <c r="AM37" i="7" s="1"/>
  <c r="AL38" i="7"/>
  <c r="AM38" i="7" s="1"/>
  <c r="AL39" i="7"/>
  <c r="AM39" i="7" s="1"/>
  <c r="AL40" i="7"/>
  <c r="AM40" i="7" s="1"/>
  <c r="AL41" i="7"/>
  <c r="AM41" i="7" s="1"/>
  <c r="AL42" i="7"/>
  <c r="AM42" i="7" s="1"/>
  <c r="AL43" i="7"/>
  <c r="AM43" i="7" s="1"/>
  <c r="AL44" i="7"/>
  <c r="AM44" i="7" s="1"/>
  <c r="AL45" i="7"/>
  <c r="AM45" i="7" s="1"/>
  <c r="AL46" i="7"/>
  <c r="AM46" i="7" s="1"/>
  <c r="AL47" i="7"/>
  <c r="AM47" i="7" s="1"/>
  <c r="AL48" i="7"/>
  <c r="AM48" i="7" s="1"/>
  <c r="AL49" i="7"/>
  <c r="AM49" i="7" s="1"/>
  <c r="AL50" i="7"/>
  <c r="AM50" i="7" s="1"/>
  <c r="AL51" i="7"/>
  <c r="AM51" i="7" s="1"/>
  <c r="AL52" i="7"/>
  <c r="AM52" i="7" s="1"/>
  <c r="AL53" i="7"/>
  <c r="AM53" i="7" s="1"/>
  <c r="AL54" i="7"/>
  <c r="AM54" i="7" s="1"/>
  <c r="AL55" i="7"/>
  <c r="AM55" i="7" s="1"/>
  <c r="AL56" i="7"/>
  <c r="AM56" i="7" s="1"/>
  <c r="AL57" i="7"/>
  <c r="AM57" i="7" s="1"/>
  <c r="AL58" i="7"/>
  <c r="AM58" i="7" s="1"/>
  <c r="AL59" i="7"/>
  <c r="AM59" i="7" s="1"/>
  <c r="AL60" i="7"/>
  <c r="AM60" i="7" s="1"/>
  <c r="AL61" i="7"/>
  <c r="AM61" i="7" s="1"/>
  <c r="AL62" i="7"/>
  <c r="AM62" i="7" s="1"/>
  <c r="AL63" i="7"/>
  <c r="AM63" i="7" s="1"/>
  <c r="AL64" i="7"/>
  <c r="AM64" i="7" s="1"/>
  <c r="AL65" i="7"/>
  <c r="AM65" i="7" s="1"/>
  <c r="AL66" i="7"/>
  <c r="AM66" i="7" s="1"/>
  <c r="AL67" i="7"/>
  <c r="AM67" i="7" s="1"/>
  <c r="AL68" i="7"/>
  <c r="AM68" i="7" s="1"/>
  <c r="AL69" i="7"/>
  <c r="AM69" i="7" s="1"/>
  <c r="AL70" i="7"/>
  <c r="AM70" i="7" s="1"/>
  <c r="AL71" i="7"/>
  <c r="AM71" i="7" s="1"/>
  <c r="AL72" i="7"/>
  <c r="AM72" i="7" s="1"/>
  <c r="AL73" i="7"/>
  <c r="AM73" i="7" s="1"/>
  <c r="AL24" i="7"/>
  <c r="U18" i="7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C8" i="14"/>
  <c r="C7" i="14"/>
  <c r="F15" i="4"/>
  <c r="F16" i="4"/>
  <c r="F14" i="4"/>
  <c r="E15" i="4"/>
  <c r="E16" i="4"/>
  <c r="E14" i="4"/>
  <c r="D15" i="4"/>
  <c r="D16" i="4"/>
  <c r="D14" i="4"/>
  <c r="C15" i="4"/>
  <c r="C16" i="4"/>
  <c r="C14" i="4"/>
  <c r="B15" i="4"/>
  <c r="B16" i="4"/>
  <c r="B14" i="4"/>
  <c r="A15" i="4"/>
  <c r="A16" i="4"/>
  <c r="A14" i="4"/>
  <c r="AL77" i="6" l="1"/>
  <c r="AK34" i="6"/>
  <c r="AL34" i="6" s="1"/>
  <c r="AK33" i="6"/>
  <c r="AB18" i="12" s="1"/>
  <c r="AK31" i="6"/>
  <c r="AL31" i="6" s="1"/>
  <c r="AR94" i="2"/>
  <c r="AS94" i="2"/>
  <c r="AT94" i="2"/>
  <c r="AU94" i="2"/>
  <c r="AV94" i="2"/>
  <c r="AR74" i="2"/>
  <c r="AS74" i="2"/>
  <c r="AT74" i="2"/>
  <c r="AU74" i="2"/>
  <c r="AV74" i="2"/>
  <c r="AR54" i="2"/>
  <c r="AS54" i="2"/>
  <c r="AT54" i="2"/>
  <c r="AU54" i="2"/>
  <c r="AV54" i="2"/>
  <c r="AR34" i="2"/>
  <c r="AS34" i="2"/>
  <c r="AT34" i="2"/>
  <c r="AU34" i="2"/>
  <c r="AV34" i="2"/>
  <c r="AR14" i="2"/>
  <c r="AS14" i="2"/>
  <c r="AT14" i="2"/>
  <c r="AU14" i="2"/>
  <c r="AV14" i="2"/>
  <c r="AR101" i="2"/>
  <c r="AS101" i="2"/>
  <c r="AT101" i="2"/>
  <c r="AU101" i="2"/>
  <c r="AV101" i="2"/>
  <c r="AR81" i="2"/>
  <c r="AS81" i="2"/>
  <c r="AT81" i="2"/>
  <c r="AU81" i="2"/>
  <c r="AV81" i="2"/>
  <c r="AR61" i="2"/>
  <c r="AS61" i="2"/>
  <c r="AT61" i="2"/>
  <c r="AU61" i="2"/>
  <c r="AV61" i="2"/>
  <c r="AR41" i="2"/>
  <c r="AS41" i="2"/>
  <c r="AT41" i="2"/>
  <c r="AU41" i="2"/>
  <c r="AV41" i="2"/>
  <c r="AR21" i="2"/>
  <c r="AS21" i="2"/>
  <c r="AT21" i="2"/>
  <c r="AU21" i="2"/>
  <c r="AV21" i="2"/>
  <c r="AR108" i="2"/>
  <c r="AS108" i="2"/>
  <c r="AT108" i="2"/>
  <c r="AU108" i="2"/>
  <c r="AV108" i="2"/>
  <c r="AR88" i="2"/>
  <c r="AS88" i="2"/>
  <c r="AT88" i="2"/>
  <c r="AU88" i="2"/>
  <c r="AV88" i="2"/>
  <c r="AR68" i="2"/>
  <c r="AS68" i="2"/>
  <c r="AT68" i="2"/>
  <c r="AU68" i="2"/>
  <c r="AV68" i="2"/>
  <c r="AR48" i="2"/>
  <c r="AS48" i="2"/>
  <c r="AT48" i="2"/>
  <c r="AU48" i="2"/>
  <c r="AV48" i="2"/>
  <c r="AR28" i="2"/>
  <c r="AS28" i="2"/>
  <c r="AT28" i="2"/>
  <c r="AU28" i="2"/>
  <c r="AV28" i="2"/>
  <c r="AV95" i="2"/>
  <c r="AR95" i="2"/>
  <c r="AS95" i="2"/>
  <c r="AU95" i="2"/>
  <c r="AT95" i="2"/>
  <c r="AV75" i="2"/>
  <c r="AR75" i="2"/>
  <c r="AS75" i="2"/>
  <c r="AT75" i="2"/>
  <c r="AU75" i="2"/>
  <c r="AV55" i="2"/>
  <c r="AR55" i="2"/>
  <c r="AS55" i="2"/>
  <c r="AT55" i="2"/>
  <c r="AU55" i="2"/>
  <c r="AV35" i="2"/>
  <c r="AR35" i="2"/>
  <c r="AS35" i="2"/>
  <c r="AU35" i="2"/>
  <c r="AT35" i="2"/>
  <c r="AV15" i="2"/>
  <c r="AR15" i="2"/>
  <c r="AS15" i="2"/>
  <c r="AT15" i="2"/>
  <c r="AU15" i="2"/>
  <c r="AR102" i="2"/>
  <c r="AS102" i="2"/>
  <c r="AT102" i="2"/>
  <c r="AU102" i="2"/>
  <c r="AV102" i="2"/>
  <c r="AR82" i="2"/>
  <c r="AS82" i="2"/>
  <c r="AT82" i="2"/>
  <c r="AU82" i="2"/>
  <c r="AV82" i="2"/>
  <c r="AR62" i="2"/>
  <c r="AS62" i="2"/>
  <c r="AT62" i="2"/>
  <c r="AU62" i="2"/>
  <c r="AV62" i="2"/>
  <c r="AR42" i="2"/>
  <c r="AS42" i="2"/>
  <c r="AT42" i="2"/>
  <c r="AU42" i="2"/>
  <c r="AV42" i="2"/>
  <c r="AR22" i="2"/>
  <c r="AS22" i="2"/>
  <c r="AT22" i="2"/>
  <c r="AU22" i="2"/>
  <c r="AV22" i="2"/>
  <c r="AR89" i="2"/>
  <c r="AS89" i="2"/>
  <c r="AT89" i="2"/>
  <c r="AU89" i="2"/>
  <c r="AV89" i="2"/>
  <c r="AR69" i="2"/>
  <c r="AS69" i="2"/>
  <c r="AT69" i="2"/>
  <c r="AU69" i="2"/>
  <c r="AV69" i="2"/>
  <c r="AR49" i="2"/>
  <c r="AS49" i="2"/>
  <c r="AT49" i="2"/>
  <c r="AU49" i="2"/>
  <c r="AV49" i="2"/>
  <c r="AR29" i="2"/>
  <c r="AS29" i="2"/>
  <c r="AT29" i="2"/>
  <c r="AU29" i="2"/>
  <c r="AV29" i="2"/>
  <c r="AR96" i="2"/>
  <c r="AS96" i="2"/>
  <c r="AT96" i="2"/>
  <c r="AU96" i="2"/>
  <c r="AV96" i="2"/>
  <c r="AR76" i="2"/>
  <c r="AS76" i="2"/>
  <c r="AT76" i="2"/>
  <c r="AU76" i="2"/>
  <c r="AV76" i="2"/>
  <c r="AR56" i="2"/>
  <c r="AS56" i="2"/>
  <c r="AT56" i="2"/>
  <c r="AU56" i="2"/>
  <c r="AV56" i="2"/>
  <c r="AR36" i="2"/>
  <c r="AS36" i="2"/>
  <c r="AT36" i="2"/>
  <c r="AU36" i="2"/>
  <c r="AV36" i="2"/>
  <c r="AR16" i="2"/>
  <c r="AS16" i="2"/>
  <c r="AT16" i="2"/>
  <c r="AU16" i="2"/>
  <c r="AV16" i="2"/>
  <c r="AV103" i="2"/>
  <c r="AR103" i="2"/>
  <c r="AS103" i="2"/>
  <c r="AU103" i="2"/>
  <c r="AT103" i="2"/>
  <c r="AV83" i="2"/>
  <c r="AR83" i="2"/>
  <c r="AS83" i="2"/>
  <c r="AT83" i="2"/>
  <c r="AU83" i="2"/>
  <c r="AV63" i="2"/>
  <c r="AR63" i="2"/>
  <c r="AS63" i="2"/>
  <c r="AU63" i="2"/>
  <c r="AT63" i="2"/>
  <c r="AV43" i="2"/>
  <c r="AR43" i="2"/>
  <c r="AS43" i="2"/>
  <c r="AU43" i="2"/>
  <c r="AT43" i="2"/>
  <c r="AV23" i="2"/>
  <c r="AR23" i="2"/>
  <c r="AS23" i="2"/>
  <c r="AU23" i="2"/>
  <c r="AT23" i="2"/>
  <c r="AR90" i="2"/>
  <c r="AS90" i="2"/>
  <c r="AT90" i="2"/>
  <c r="AU90" i="2"/>
  <c r="AV90" i="2"/>
  <c r="AR70" i="2"/>
  <c r="AS70" i="2"/>
  <c r="AT70" i="2"/>
  <c r="AU70" i="2"/>
  <c r="AV70" i="2"/>
  <c r="AR50" i="2"/>
  <c r="AS50" i="2"/>
  <c r="AT50" i="2"/>
  <c r="AU50" i="2"/>
  <c r="AV50" i="2"/>
  <c r="AR30" i="2"/>
  <c r="AS30" i="2"/>
  <c r="AT30" i="2"/>
  <c r="AU30" i="2"/>
  <c r="AV30" i="2"/>
  <c r="AR97" i="2"/>
  <c r="AS97" i="2"/>
  <c r="AT97" i="2"/>
  <c r="AU97" i="2"/>
  <c r="AV97" i="2"/>
  <c r="AR77" i="2"/>
  <c r="AS77" i="2"/>
  <c r="AT77" i="2"/>
  <c r="AU77" i="2"/>
  <c r="AV77" i="2"/>
  <c r="AR57" i="2"/>
  <c r="AS57" i="2"/>
  <c r="AT57" i="2"/>
  <c r="AU57" i="2"/>
  <c r="AV57" i="2"/>
  <c r="AR37" i="2"/>
  <c r="AS37" i="2"/>
  <c r="AT37" i="2"/>
  <c r="AU37" i="2"/>
  <c r="AV37" i="2"/>
  <c r="AR17" i="2"/>
  <c r="AS17" i="2"/>
  <c r="AT17" i="2"/>
  <c r="AU17" i="2"/>
  <c r="AV17" i="2"/>
  <c r="AR109" i="2"/>
  <c r="AS109" i="2"/>
  <c r="AT109" i="2"/>
  <c r="AU109" i="2"/>
  <c r="AV109" i="2"/>
  <c r="AR110" i="2"/>
  <c r="AS110" i="2"/>
  <c r="AT110" i="2"/>
  <c r="AU110" i="2"/>
  <c r="AV110" i="2"/>
  <c r="AR104" i="2"/>
  <c r="AS104" i="2"/>
  <c r="AT104" i="2"/>
  <c r="AU104" i="2"/>
  <c r="AV104" i="2"/>
  <c r="AR84" i="2"/>
  <c r="AS84" i="2"/>
  <c r="AT84" i="2"/>
  <c r="AU84" i="2"/>
  <c r="AV84" i="2"/>
  <c r="AR64" i="2"/>
  <c r="AS64" i="2"/>
  <c r="AT64" i="2"/>
  <c r="AU64" i="2"/>
  <c r="AV64" i="2"/>
  <c r="AR44" i="2"/>
  <c r="AS44" i="2"/>
  <c r="AT44" i="2"/>
  <c r="AU44" i="2"/>
  <c r="AV44" i="2"/>
  <c r="AR24" i="2"/>
  <c r="AS24" i="2"/>
  <c r="AT24" i="2"/>
  <c r="AU24" i="2"/>
  <c r="AV24" i="2"/>
  <c r="AV91" i="2"/>
  <c r="AR91" i="2"/>
  <c r="AS91" i="2"/>
  <c r="AT91" i="2"/>
  <c r="AU91" i="2"/>
  <c r="AV71" i="2"/>
  <c r="AR71" i="2"/>
  <c r="AS71" i="2"/>
  <c r="AU71" i="2"/>
  <c r="AT71" i="2"/>
  <c r="AV51" i="2"/>
  <c r="AR51" i="2"/>
  <c r="AS51" i="2"/>
  <c r="AU51" i="2"/>
  <c r="AT51" i="2"/>
  <c r="AV31" i="2"/>
  <c r="AR31" i="2"/>
  <c r="AS31" i="2"/>
  <c r="AU31" i="2"/>
  <c r="AT31" i="2"/>
  <c r="AR98" i="2"/>
  <c r="AS98" i="2"/>
  <c r="AT98" i="2"/>
  <c r="AU98" i="2"/>
  <c r="AV98" i="2"/>
  <c r="AR78" i="2"/>
  <c r="AS78" i="2"/>
  <c r="AT78" i="2"/>
  <c r="AU78" i="2"/>
  <c r="AV78" i="2"/>
  <c r="AR58" i="2"/>
  <c r="AS58" i="2"/>
  <c r="AT58" i="2"/>
  <c r="AU58" i="2"/>
  <c r="AV58" i="2"/>
  <c r="AR38" i="2"/>
  <c r="AS38" i="2"/>
  <c r="AT38" i="2"/>
  <c r="AU38" i="2"/>
  <c r="AV38" i="2"/>
  <c r="AR18" i="2"/>
  <c r="AS18" i="2"/>
  <c r="AT18" i="2"/>
  <c r="AU18" i="2"/>
  <c r="AV18" i="2"/>
  <c r="AR105" i="2"/>
  <c r="AS105" i="2"/>
  <c r="AT105" i="2"/>
  <c r="AU105" i="2"/>
  <c r="AV105" i="2"/>
  <c r="AR85" i="2"/>
  <c r="AS85" i="2"/>
  <c r="AT85" i="2"/>
  <c r="AU85" i="2"/>
  <c r="AV85" i="2"/>
  <c r="AR65" i="2"/>
  <c r="AS65" i="2"/>
  <c r="AT65" i="2"/>
  <c r="AU65" i="2"/>
  <c r="AV65" i="2"/>
  <c r="AR45" i="2"/>
  <c r="AS45" i="2"/>
  <c r="AT45" i="2"/>
  <c r="AU45" i="2"/>
  <c r="AV45" i="2"/>
  <c r="AR25" i="2"/>
  <c r="AS25" i="2"/>
  <c r="AT25" i="2"/>
  <c r="AU25" i="2"/>
  <c r="AV25" i="2"/>
  <c r="AR92" i="2"/>
  <c r="AS92" i="2"/>
  <c r="AT92" i="2"/>
  <c r="AU92" i="2"/>
  <c r="AV92" i="2"/>
  <c r="AR72" i="2"/>
  <c r="AS72" i="2"/>
  <c r="AT72" i="2"/>
  <c r="AU72" i="2"/>
  <c r="AV72" i="2"/>
  <c r="AR52" i="2"/>
  <c r="AS52" i="2"/>
  <c r="AT52" i="2"/>
  <c r="AU52" i="2"/>
  <c r="AV52" i="2"/>
  <c r="AR32" i="2"/>
  <c r="AS32" i="2"/>
  <c r="AT32" i="2"/>
  <c r="AU32" i="2"/>
  <c r="AV32" i="2"/>
  <c r="AR12" i="2"/>
  <c r="AS12" i="2"/>
  <c r="AT12" i="2"/>
  <c r="AU12" i="2"/>
  <c r="AV12" i="2"/>
  <c r="AV99" i="2"/>
  <c r="AR99" i="2"/>
  <c r="AS99" i="2"/>
  <c r="AT99" i="2"/>
  <c r="AU99" i="2"/>
  <c r="AV79" i="2"/>
  <c r="AR79" i="2"/>
  <c r="AS79" i="2"/>
  <c r="AU79" i="2"/>
  <c r="AT79" i="2"/>
  <c r="AV59" i="2"/>
  <c r="AR59" i="2"/>
  <c r="AS59" i="2"/>
  <c r="AU59" i="2"/>
  <c r="AT59" i="2"/>
  <c r="AV39" i="2"/>
  <c r="AR39" i="2"/>
  <c r="AS39" i="2"/>
  <c r="AT39" i="2"/>
  <c r="AU39" i="2"/>
  <c r="AV19" i="2"/>
  <c r="AR19" i="2"/>
  <c r="AS19" i="2"/>
  <c r="AU19" i="2"/>
  <c r="AT19" i="2"/>
  <c r="AR106" i="2"/>
  <c r="AS106" i="2"/>
  <c r="AT106" i="2"/>
  <c r="AU106" i="2"/>
  <c r="AV106" i="2"/>
  <c r="AR86" i="2"/>
  <c r="AS86" i="2"/>
  <c r="AT86" i="2"/>
  <c r="AU86" i="2"/>
  <c r="AV86" i="2"/>
  <c r="AR66" i="2"/>
  <c r="AS66" i="2"/>
  <c r="AT66" i="2"/>
  <c r="AU66" i="2"/>
  <c r="AV66" i="2"/>
  <c r="AR46" i="2"/>
  <c r="AS46" i="2"/>
  <c r="AT46" i="2"/>
  <c r="AU46" i="2"/>
  <c r="AV46" i="2"/>
  <c r="AR26" i="2"/>
  <c r="AS26" i="2"/>
  <c r="AT26" i="2"/>
  <c r="AU26" i="2"/>
  <c r="AV26" i="2"/>
  <c r="AR93" i="2"/>
  <c r="AS93" i="2"/>
  <c r="AT93" i="2"/>
  <c r="AU93" i="2"/>
  <c r="AV93" i="2"/>
  <c r="AR73" i="2"/>
  <c r="AS73" i="2"/>
  <c r="AT73" i="2"/>
  <c r="AU73" i="2"/>
  <c r="AV73" i="2"/>
  <c r="AR53" i="2"/>
  <c r="AS53" i="2"/>
  <c r="AT53" i="2"/>
  <c r="AU53" i="2"/>
  <c r="AV53" i="2"/>
  <c r="AR33" i="2"/>
  <c r="AS33" i="2"/>
  <c r="AT33" i="2"/>
  <c r="AU33" i="2"/>
  <c r="AV33" i="2"/>
  <c r="AR13" i="2"/>
  <c r="AS13" i="2"/>
  <c r="AT13" i="2"/>
  <c r="AU13" i="2"/>
  <c r="AV13" i="2"/>
  <c r="AR100" i="2"/>
  <c r="AS100" i="2"/>
  <c r="AT100" i="2"/>
  <c r="AU100" i="2"/>
  <c r="AV100" i="2"/>
  <c r="AR80" i="2"/>
  <c r="AS80" i="2"/>
  <c r="AT80" i="2"/>
  <c r="AU80" i="2"/>
  <c r="AV80" i="2"/>
  <c r="AR60" i="2"/>
  <c r="AS60" i="2"/>
  <c r="AT60" i="2"/>
  <c r="AU60" i="2"/>
  <c r="AV60" i="2"/>
  <c r="AR40" i="2"/>
  <c r="AS40" i="2"/>
  <c r="AT40" i="2"/>
  <c r="AU40" i="2"/>
  <c r="AV40" i="2"/>
  <c r="AR20" i="2"/>
  <c r="AS20" i="2"/>
  <c r="AT20" i="2"/>
  <c r="AU20" i="2"/>
  <c r="AV20" i="2"/>
  <c r="AV107" i="2"/>
  <c r="AR107" i="2"/>
  <c r="AS107" i="2"/>
  <c r="AU107" i="2"/>
  <c r="AT107" i="2"/>
  <c r="AV87" i="2"/>
  <c r="AR87" i="2"/>
  <c r="AS87" i="2"/>
  <c r="AU87" i="2"/>
  <c r="AT87" i="2"/>
  <c r="AV67" i="2"/>
  <c r="AR67" i="2"/>
  <c r="AS67" i="2"/>
  <c r="AT67" i="2"/>
  <c r="AU67" i="2"/>
  <c r="AV47" i="2"/>
  <c r="AR47" i="2"/>
  <c r="AS47" i="2"/>
  <c r="AT47" i="2"/>
  <c r="AU47" i="2"/>
  <c r="AV27" i="2"/>
  <c r="AR27" i="2"/>
  <c r="AS27" i="2"/>
  <c r="AT27" i="2"/>
  <c r="AU27" i="2"/>
  <c r="AL120" i="6"/>
  <c r="AK35" i="6"/>
  <c r="AB20" i="12" s="1"/>
  <c r="AL73" i="6"/>
  <c r="C16" i="6"/>
  <c r="AL97" i="6"/>
  <c r="AL33" i="6"/>
  <c r="AL93" i="6"/>
  <c r="C10" i="6"/>
  <c r="D34" i="18" s="1"/>
  <c r="K34" i="18" s="1"/>
  <c r="D33" i="18"/>
  <c r="AL117" i="6"/>
  <c r="C19" i="18"/>
  <c r="E37" i="18" s="1"/>
  <c r="L37" i="18" s="1"/>
  <c r="AL58" i="6"/>
  <c r="AL114" i="6"/>
  <c r="AL52" i="6"/>
  <c r="AL64" i="6"/>
  <c r="L22" i="6"/>
  <c r="AL57" i="6"/>
  <c r="W24" i="7"/>
  <c r="V24" i="7"/>
  <c r="W26" i="7"/>
  <c r="V25" i="7"/>
  <c r="V26" i="7"/>
  <c r="AL122" i="6"/>
  <c r="AL72" i="6"/>
  <c r="AL84" i="6"/>
  <c r="AL104" i="6"/>
  <c r="AL38" i="6"/>
  <c r="AB19" i="12"/>
  <c r="AL113" i="6"/>
  <c r="AL62" i="6"/>
  <c r="AB59" i="12"/>
  <c r="AL54" i="6"/>
  <c r="AL124" i="6"/>
  <c r="AL37" i="6"/>
  <c r="AL78" i="6"/>
  <c r="AL98" i="6"/>
  <c r="AL118" i="6"/>
  <c r="AL83" i="6"/>
  <c r="AL123" i="6"/>
  <c r="Q28" i="8"/>
  <c r="K28" i="8"/>
  <c r="Q41" i="8"/>
  <c r="C30" i="8"/>
  <c r="I58" i="8" s="1"/>
  <c r="F58" i="8"/>
  <c r="L58" i="8"/>
  <c r="AB79" i="12"/>
  <c r="AB17" i="12"/>
  <c r="AB97" i="12"/>
  <c r="N32" i="6"/>
  <c r="C11" i="12"/>
  <c r="E33" i="18" s="1"/>
  <c r="E31" i="6"/>
  <c r="AL82" i="6"/>
  <c r="AL42" i="6"/>
  <c r="N129" i="6"/>
  <c r="N101" i="6"/>
  <c r="AB16" i="12"/>
  <c r="K44" i="8"/>
  <c r="K41" i="8"/>
  <c r="Q31" i="8"/>
  <c r="K31" i="8"/>
  <c r="V23" i="8" s="1"/>
  <c r="F12" i="8" s="1"/>
  <c r="AS10" i="7"/>
  <c r="AQ10" i="7"/>
  <c r="AR10" i="7"/>
  <c r="AQ11" i="7" s="1"/>
  <c r="AP11" i="7"/>
  <c r="BQ16" i="3"/>
  <c r="BQ24" i="3"/>
  <c r="BQ26" i="3"/>
  <c r="BQ35" i="3"/>
  <c r="BQ36" i="3"/>
  <c r="BQ76" i="3"/>
  <c r="BQ84" i="3"/>
  <c r="BQ87" i="3"/>
  <c r="BQ107" i="3"/>
  <c r="BQ108" i="3"/>
  <c r="BQ161" i="3"/>
  <c r="BQ177" i="3"/>
  <c r="BQ184" i="3"/>
  <c r="BQ186" i="3"/>
  <c r="BQ208" i="3"/>
  <c r="BQ215" i="3"/>
  <c r="BQ124" i="3"/>
  <c r="BQ127" i="3"/>
  <c r="BQ136" i="3"/>
  <c r="BQ137" i="3"/>
  <c r="BQ157" i="3"/>
  <c r="BQ15" i="3"/>
  <c r="BQ176" i="3"/>
  <c r="BQ58" i="3"/>
  <c r="BQ235" i="3"/>
  <c r="BQ61" i="3"/>
  <c r="BQ237" i="3"/>
  <c r="BQ75" i="3"/>
  <c r="BQ27" i="3"/>
  <c r="BQ77" i="3"/>
  <c r="BQ128" i="3"/>
  <c r="BQ178" i="3"/>
  <c r="BQ241" i="3"/>
  <c r="BQ28" i="3"/>
  <c r="BQ81" i="3"/>
  <c r="BQ135" i="3"/>
  <c r="BQ181" i="3"/>
  <c r="BQ247" i="3"/>
  <c r="BQ255" i="3"/>
  <c r="BQ261" i="3"/>
  <c r="BQ198" i="3"/>
  <c r="BQ37" i="3"/>
  <c r="BQ88" i="3"/>
  <c r="BQ138" i="3"/>
  <c r="BQ187" i="3"/>
  <c r="BQ281" i="3"/>
  <c r="BQ41" i="3"/>
  <c r="BQ95" i="3"/>
  <c r="BQ141" i="3"/>
  <c r="BQ188" i="3"/>
  <c r="BQ301" i="3"/>
  <c r="BQ44" i="3"/>
  <c r="BQ96" i="3"/>
  <c r="BQ144" i="3"/>
  <c r="BQ195" i="3"/>
  <c r="BQ321" i="3"/>
  <c r="BQ47" i="3"/>
  <c r="BQ97" i="3"/>
  <c r="BQ146" i="3"/>
  <c r="BQ196" i="3"/>
  <c r="BQ341" i="3"/>
  <c r="BQ3" i="3"/>
  <c r="BQ48" i="3"/>
  <c r="BQ98" i="3"/>
  <c r="BQ147" i="3"/>
  <c r="BQ197" i="3"/>
  <c r="BQ361" i="3"/>
  <c r="BQ4" i="3"/>
  <c r="BQ55" i="3"/>
  <c r="BQ101" i="3"/>
  <c r="BQ148" i="3"/>
  <c r="BQ201" i="3"/>
  <c r="BQ7" i="3"/>
  <c r="BQ56" i="3"/>
  <c r="BQ104" i="3"/>
  <c r="BQ155" i="3"/>
  <c r="BQ204" i="3"/>
  <c r="BQ8" i="3"/>
  <c r="BQ57" i="3"/>
  <c r="BQ106" i="3"/>
  <c r="BQ156" i="3"/>
  <c r="BQ207" i="3"/>
  <c r="BQ17" i="3"/>
  <c r="BQ64" i="3"/>
  <c r="BQ115" i="3"/>
  <c r="BQ164" i="3"/>
  <c r="BQ217" i="3"/>
  <c r="BQ18" i="3"/>
  <c r="BQ66" i="3"/>
  <c r="BQ116" i="3"/>
  <c r="BQ167" i="3"/>
  <c r="BQ221" i="3"/>
  <c r="BQ21" i="3"/>
  <c r="BQ67" i="3"/>
  <c r="BQ117" i="3"/>
  <c r="BQ168" i="3"/>
  <c r="BQ226" i="3"/>
  <c r="BQ23" i="3"/>
  <c r="BQ68" i="3"/>
  <c r="BQ121" i="3"/>
  <c r="BQ175" i="3"/>
  <c r="BQ227" i="3"/>
  <c r="BQ2" i="3"/>
  <c r="BQ22" i="3"/>
  <c r="BQ42" i="3"/>
  <c r="BQ62" i="3"/>
  <c r="BQ82" i="3"/>
  <c r="BQ102" i="3"/>
  <c r="BQ122" i="3"/>
  <c r="BQ142" i="3"/>
  <c r="BQ162" i="3"/>
  <c r="BQ182" i="3"/>
  <c r="BQ202" i="3"/>
  <c r="BQ222" i="3"/>
  <c r="BQ242" i="3"/>
  <c r="BQ262" i="3"/>
  <c r="BQ282" i="3"/>
  <c r="BQ302" i="3"/>
  <c r="BQ322" i="3"/>
  <c r="BQ342" i="3"/>
  <c r="BQ362" i="3"/>
  <c r="BQ43" i="3"/>
  <c r="BQ63" i="3"/>
  <c r="BQ83" i="3"/>
  <c r="BQ103" i="3"/>
  <c r="BQ123" i="3"/>
  <c r="BQ143" i="3"/>
  <c r="BQ163" i="3"/>
  <c r="BQ183" i="3"/>
  <c r="BQ203" i="3"/>
  <c r="BQ223" i="3"/>
  <c r="BQ243" i="3"/>
  <c r="BQ263" i="3"/>
  <c r="BQ283" i="3"/>
  <c r="BQ303" i="3"/>
  <c r="BQ323" i="3"/>
  <c r="BQ343" i="3"/>
  <c r="BQ363" i="3"/>
  <c r="BQ224" i="3"/>
  <c r="BQ244" i="3"/>
  <c r="BQ264" i="3"/>
  <c r="BQ284" i="3"/>
  <c r="BQ304" i="3"/>
  <c r="BQ324" i="3"/>
  <c r="BQ344" i="3"/>
  <c r="BQ364" i="3"/>
  <c r="BQ5" i="3"/>
  <c r="BQ25" i="3"/>
  <c r="BQ45" i="3"/>
  <c r="BQ65" i="3"/>
  <c r="BQ85" i="3"/>
  <c r="BQ105" i="3"/>
  <c r="BQ125" i="3"/>
  <c r="BQ145" i="3"/>
  <c r="BQ165" i="3"/>
  <c r="BQ185" i="3"/>
  <c r="BQ205" i="3"/>
  <c r="BQ225" i="3"/>
  <c r="BQ245" i="3"/>
  <c r="BQ265" i="3"/>
  <c r="BQ285" i="3"/>
  <c r="BQ305" i="3"/>
  <c r="BQ325" i="3"/>
  <c r="BQ345" i="3"/>
  <c r="BQ365" i="3"/>
  <c r="BQ6" i="3"/>
  <c r="BQ46" i="3"/>
  <c r="BQ86" i="3"/>
  <c r="BQ126" i="3"/>
  <c r="BQ166" i="3"/>
  <c r="BQ206" i="3"/>
  <c r="BQ246" i="3"/>
  <c r="BQ266" i="3"/>
  <c r="BQ286" i="3"/>
  <c r="BQ306" i="3"/>
  <c r="BQ326" i="3"/>
  <c r="BQ346" i="3"/>
  <c r="BQ366" i="3"/>
  <c r="BQ267" i="3"/>
  <c r="BQ287" i="3"/>
  <c r="BQ307" i="3"/>
  <c r="BQ327" i="3"/>
  <c r="BQ347" i="3"/>
  <c r="BQ367" i="3"/>
  <c r="BQ228" i="3"/>
  <c r="BQ248" i="3"/>
  <c r="BQ268" i="3"/>
  <c r="BQ288" i="3"/>
  <c r="BQ308" i="3"/>
  <c r="BQ328" i="3"/>
  <c r="BQ348" i="3"/>
  <c r="BQ368" i="3"/>
  <c r="BQ9" i="3"/>
  <c r="BQ29" i="3"/>
  <c r="BQ49" i="3"/>
  <c r="BQ69" i="3"/>
  <c r="BQ89" i="3"/>
  <c r="BQ109" i="3"/>
  <c r="BQ129" i="3"/>
  <c r="BQ149" i="3"/>
  <c r="BQ169" i="3"/>
  <c r="BQ189" i="3"/>
  <c r="BQ209" i="3"/>
  <c r="BQ229" i="3"/>
  <c r="BQ249" i="3"/>
  <c r="BQ269" i="3"/>
  <c r="BQ289" i="3"/>
  <c r="BQ309" i="3"/>
  <c r="BQ329" i="3"/>
  <c r="BQ349" i="3"/>
  <c r="BQ369" i="3"/>
  <c r="AE12" i="6"/>
  <c r="AF11" i="6" s="1"/>
  <c r="BQ10" i="3"/>
  <c r="BQ30" i="3"/>
  <c r="BQ50" i="3"/>
  <c r="BQ70" i="3"/>
  <c r="BQ90" i="3"/>
  <c r="BQ110" i="3"/>
  <c r="BQ130" i="3"/>
  <c r="BQ150" i="3"/>
  <c r="BQ170" i="3"/>
  <c r="BQ190" i="3"/>
  <c r="BQ210" i="3"/>
  <c r="BQ230" i="3"/>
  <c r="BQ250" i="3"/>
  <c r="BQ270" i="3"/>
  <c r="BQ290" i="3"/>
  <c r="BQ310" i="3"/>
  <c r="BQ330" i="3"/>
  <c r="BQ350" i="3"/>
  <c r="BQ11" i="3"/>
  <c r="BQ31" i="3"/>
  <c r="BQ51" i="3"/>
  <c r="BQ71" i="3"/>
  <c r="BQ91" i="3"/>
  <c r="BQ111" i="3"/>
  <c r="BQ131" i="3"/>
  <c r="BQ151" i="3"/>
  <c r="BQ171" i="3"/>
  <c r="BQ191" i="3"/>
  <c r="BQ211" i="3"/>
  <c r="BQ231" i="3"/>
  <c r="BQ251" i="3"/>
  <c r="BQ271" i="3"/>
  <c r="BQ291" i="3"/>
  <c r="BQ311" i="3"/>
  <c r="BQ331" i="3"/>
  <c r="BQ351" i="3"/>
  <c r="BT1" i="3"/>
  <c r="BQ12" i="3"/>
  <c r="BQ32" i="3"/>
  <c r="BQ52" i="3"/>
  <c r="BQ72" i="3"/>
  <c r="BQ92" i="3"/>
  <c r="BQ112" i="3"/>
  <c r="BQ132" i="3"/>
  <c r="BQ152" i="3"/>
  <c r="BQ172" i="3"/>
  <c r="BQ192" i="3"/>
  <c r="BQ212" i="3"/>
  <c r="BQ232" i="3"/>
  <c r="BQ252" i="3"/>
  <c r="BQ272" i="3"/>
  <c r="BQ292" i="3"/>
  <c r="BQ312" i="3"/>
  <c r="BQ332" i="3"/>
  <c r="BQ352" i="3"/>
  <c r="BS1" i="3"/>
  <c r="BQ13" i="3"/>
  <c r="BQ33" i="3"/>
  <c r="BQ53" i="3"/>
  <c r="BQ73" i="3"/>
  <c r="BQ93" i="3"/>
  <c r="BQ113" i="3"/>
  <c r="BQ133" i="3"/>
  <c r="BQ153" i="3"/>
  <c r="BQ173" i="3"/>
  <c r="BQ193" i="3"/>
  <c r="BQ213" i="3"/>
  <c r="BQ233" i="3"/>
  <c r="BQ253" i="3"/>
  <c r="BQ273" i="3"/>
  <c r="BQ293" i="3"/>
  <c r="BQ313" i="3"/>
  <c r="BQ333" i="3"/>
  <c r="BQ353" i="3"/>
  <c r="BQ377" i="3"/>
  <c r="BQ14" i="3"/>
  <c r="BQ34" i="3"/>
  <c r="BQ54" i="3"/>
  <c r="BQ74" i="3"/>
  <c r="BQ94" i="3"/>
  <c r="BQ114" i="3"/>
  <c r="BQ134" i="3"/>
  <c r="BQ154" i="3"/>
  <c r="BQ174" i="3"/>
  <c r="BQ194" i="3"/>
  <c r="BQ214" i="3"/>
  <c r="BQ234" i="3"/>
  <c r="BQ254" i="3"/>
  <c r="BQ274" i="3"/>
  <c r="BQ294" i="3"/>
  <c r="BQ314" i="3"/>
  <c r="BQ334" i="3"/>
  <c r="BQ354" i="3"/>
  <c r="BQ376" i="3"/>
  <c r="BQ275" i="3"/>
  <c r="BQ295" i="3"/>
  <c r="BQ315" i="3"/>
  <c r="BQ335" i="3"/>
  <c r="BQ355" i="3"/>
  <c r="BQ375" i="3"/>
  <c r="BQ216" i="3"/>
  <c r="BQ236" i="3"/>
  <c r="BQ256" i="3"/>
  <c r="BQ276" i="3"/>
  <c r="BQ296" i="3"/>
  <c r="BQ316" i="3"/>
  <c r="BQ336" i="3"/>
  <c r="BQ356" i="3"/>
  <c r="BQ374" i="3"/>
  <c r="BQ257" i="3"/>
  <c r="BQ277" i="3"/>
  <c r="BQ297" i="3"/>
  <c r="BQ317" i="3"/>
  <c r="BQ337" i="3"/>
  <c r="BQ357" i="3"/>
  <c r="BQ373" i="3"/>
  <c r="BQ38" i="3"/>
  <c r="BQ78" i="3"/>
  <c r="BQ118" i="3"/>
  <c r="BQ158" i="3"/>
  <c r="BQ218" i="3"/>
  <c r="BQ238" i="3"/>
  <c r="BQ258" i="3"/>
  <c r="BQ278" i="3"/>
  <c r="BQ298" i="3"/>
  <c r="BQ318" i="3"/>
  <c r="BQ338" i="3"/>
  <c r="BQ358" i="3"/>
  <c r="BQ372" i="3"/>
  <c r="BQ19" i="3"/>
  <c r="BQ39" i="3"/>
  <c r="BQ59" i="3"/>
  <c r="BQ79" i="3"/>
  <c r="BQ99" i="3"/>
  <c r="BQ119" i="3"/>
  <c r="BQ139" i="3"/>
  <c r="BQ159" i="3"/>
  <c r="BQ179" i="3"/>
  <c r="BQ199" i="3"/>
  <c r="BQ219" i="3"/>
  <c r="BQ239" i="3"/>
  <c r="BQ259" i="3"/>
  <c r="BQ279" i="3"/>
  <c r="BQ299" i="3"/>
  <c r="BQ319" i="3"/>
  <c r="BQ339" i="3"/>
  <c r="BQ359" i="3"/>
  <c r="BQ371" i="3"/>
  <c r="BQ20" i="3"/>
  <c r="BQ40" i="3"/>
  <c r="BQ60" i="3"/>
  <c r="BQ80" i="3"/>
  <c r="BQ100" i="3"/>
  <c r="BQ120" i="3"/>
  <c r="BQ140" i="3"/>
  <c r="BQ160" i="3"/>
  <c r="BQ180" i="3"/>
  <c r="BQ200" i="3"/>
  <c r="BQ220" i="3"/>
  <c r="BQ240" i="3"/>
  <c r="BQ260" i="3"/>
  <c r="BQ280" i="3"/>
  <c r="BQ300" i="3"/>
  <c r="BQ320" i="3"/>
  <c r="BQ340" i="3"/>
  <c r="BQ360" i="3"/>
  <c r="BQ370" i="3"/>
  <c r="BG366" i="3"/>
  <c r="BG365" i="3"/>
  <c r="BG325" i="3"/>
  <c r="BG265" i="3"/>
  <c r="BG246" i="3"/>
  <c r="BG225" i="3"/>
  <c r="BG205" i="3"/>
  <c r="BG166" i="3"/>
  <c r="BG165" i="3"/>
  <c r="BG125" i="3"/>
  <c r="BG65" i="3"/>
  <c r="BG46" i="3"/>
  <c r="BG23" i="3"/>
  <c r="BG186" i="3"/>
  <c r="BG185" i="3"/>
  <c r="BG346" i="3"/>
  <c r="BG146" i="3"/>
  <c r="BG345" i="3"/>
  <c r="BG145" i="3"/>
  <c r="BG326" i="3"/>
  <c r="BG126" i="3"/>
  <c r="BG306" i="3"/>
  <c r="BG106" i="3"/>
  <c r="BG305" i="3"/>
  <c r="BG105" i="3"/>
  <c r="BG286" i="3"/>
  <c r="BG86" i="3"/>
  <c r="BG285" i="3"/>
  <c r="BG85" i="3"/>
  <c r="BG266" i="3"/>
  <c r="BG66" i="3"/>
  <c r="BG245" i="3"/>
  <c r="BG45" i="3"/>
  <c r="BG226" i="3"/>
  <c r="BG24" i="3"/>
  <c r="BG206" i="3"/>
  <c r="BG364" i="3"/>
  <c r="BG344" i="3"/>
  <c r="BG324" i="3"/>
  <c r="BG304" i="3"/>
  <c r="BG284" i="3"/>
  <c r="BG264" i="3"/>
  <c r="BG244" i="3"/>
  <c r="BG224" i="3"/>
  <c r="BG204" i="3"/>
  <c r="BG184" i="3"/>
  <c r="BG164" i="3"/>
  <c r="BG144" i="3"/>
  <c r="BG124" i="3"/>
  <c r="BG104" i="3"/>
  <c r="BG84" i="3"/>
  <c r="BG64" i="3"/>
  <c r="BG44" i="3"/>
  <c r="BG21" i="3"/>
  <c r="BG363" i="3"/>
  <c r="BG343" i="3"/>
  <c r="BG323" i="3"/>
  <c r="BG303" i="3"/>
  <c r="BG283" i="3"/>
  <c r="BG263" i="3"/>
  <c r="BG243" i="3"/>
  <c r="BG223" i="3"/>
  <c r="BG203" i="3"/>
  <c r="BG183" i="3"/>
  <c r="BG163" i="3"/>
  <c r="BG143" i="3"/>
  <c r="BG123" i="3"/>
  <c r="BG103" i="3"/>
  <c r="BG83" i="3"/>
  <c r="BG63" i="3"/>
  <c r="BG43" i="3"/>
  <c r="BG20" i="3"/>
  <c r="BG362" i="3"/>
  <c r="BG342" i="3"/>
  <c r="BG322" i="3"/>
  <c r="BG302" i="3"/>
  <c r="BG282" i="3"/>
  <c r="BG262" i="3"/>
  <c r="BG242" i="3"/>
  <c r="BG222" i="3"/>
  <c r="BG202" i="3"/>
  <c r="BG182" i="3"/>
  <c r="BG162" i="3"/>
  <c r="BG142" i="3"/>
  <c r="BG122" i="3"/>
  <c r="BG102" i="3"/>
  <c r="BG82" i="3"/>
  <c r="BG62" i="3"/>
  <c r="BG42" i="3"/>
  <c r="BG19" i="3"/>
  <c r="BG361" i="3"/>
  <c r="BG341" i="3"/>
  <c r="BG321" i="3"/>
  <c r="BG301" i="3"/>
  <c r="BG281" i="3"/>
  <c r="BG261" i="3"/>
  <c r="BG241" i="3"/>
  <c r="BG221" i="3"/>
  <c r="BG201" i="3"/>
  <c r="BG181" i="3"/>
  <c r="BG161" i="3"/>
  <c r="BG141" i="3"/>
  <c r="BG121" i="3"/>
  <c r="BG101" i="3"/>
  <c r="BG81" i="3"/>
  <c r="BG61" i="3"/>
  <c r="BG41" i="3"/>
  <c r="BG18" i="3"/>
  <c r="BG360" i="3"/>
  <c r="BG340" i="3"/>
  <c r="BG320" i="3"/>
  <c r="BG300" i="3"/>
  <c r="BG280" i="3"/>
  <c r="BG260" i="3"/>
  <c r="BG240" i="3"/>
  <c r="BG220" i="3"/>
  <c r="BG200" i="3"/>
  <c r="BG180" i="3"/>
  <c r="BG160" i="3"/>
  <c r="BG140" i="3"/>
  <c r="BG120" i="3"/>
  <c r="BG100" i="3"/>
  <c r="BG80" i="3"/>
  <c r="BG60" i="3"/>
  <c r="BG40" i="3"/>
  <c r="BG17" i="3"/>
  <c r="BG359" i="3"/>
  <c r="BG339" i="3"/>
  <c r="BG319" i="3"/>
  <c r="BG299" i="3"/>
  <c r="BG279" i="3"/>
  <c r="BG259" i="3"/>
  <c r="BG239" i="3"/>
  <c r="BG219" i="3"/>
  <c r="BG199" i="3"/>
  <c r="BG179" i="3"/>
  <c r="BG159" i="3"/>
  <c r="BG139" i="3"/>
  <c r="BG119" i="3"/>
  <c r="BG99" i="3"/>
  <c r="BG79" i="3"/>
  <c r="BG59" i="3"/>
  <c r="BG39" i="3"/>
  <c r="BG16" i="3"/>
  <c r="BG358" i="3"/>
  <c r="BG338" i="3"/>
  <c r="BG318" i="3"/>
  <c r="BG298" i="3"/>
  <c r="BG278" i="3"/>
  <c r="BG258" i="3"/>
  <c r="BG238" i="3"/>
  <c r="BG218" i="3"/>
  <c r="BG198" i="3"/>
  <c r="BG178" i="3"/>
  <c r="BG158" i="3"/>
  <c r="BG138" i="3"/>
  <c r="BG118" i="3"/>
  <c r="BG98" i="3"/>
  <c r="BG78" i="3"/>
  <c r="BG58" i="3"/>
  <c r="BG37" i="3"/>
  <c r="BG15" i="3"/>
  <c r="BG357" i="3"/>
  <c r="BG337" i="3"/>
  <c r="BG317" i="3"/>
  <c r="BG297" i="3"/>
  <c r="BG277" i="3"/>
  <c r="BG257" i="3"/>
  <c r="BG237" i="3"/>
  <c r="BG217" i="3"/>
  <c r="BG197" i="3"/>
  <c r="BG177" i="3"/>
  <c r="BG157" i="3"/>
  <c r="BG137" i="3"/>
  <c r="BG117" i="3"/>
  <c r="BG97" i="3"/>
  <c r="BG77" i="3"/>
  <c r="BG57" i="3"/>
  <c r="BG36" i="3"/>
  <c r="BG13" i="3"/>
  <c r="BG356" i="3"/>
  <c r="BG336" i="3"/>
  <c r="BG316" i="3"/>
  <c r="BG296" i="3"/>
  <c r="BG276" i="3"/>
  <c r="BG256" i="3"/>
  <c r="BG236" i="3"/>
  <c r="BG216" i="3"/>
  <c r="BG196" i="3"/>
  <c r="BG176" i="3"/>
  <c r="BG156" i="3"/>
  <c r="BG136" i="3"/>
  <c r="BG116" i="3"/>
  <c r="BG96" i="3"/>
  <c r="BG76" i="3"/>
  <c r="BG56" i="3"/>
  <c r="BG35" i="3"/>
  <c r="BG12" i="3"/>
  <c r="BG355" i="3"/>
  <c r="BG335" i="3"/>
  <c r="BG315" i="3"/>
  <c r="BG295" i="3"/>
  <c r="BG275" i="3"/>
  <c r="BG255" i="3"/>
  <c r="BG235" i="3"/>
  <c r="BG215" i="3"/>
  <c r="BG195" i="3"/>
  <c r="BG175" i="3"/>
  <c r="BG155" i="3"/>
  <c r="BG135" i="3"/>
  <c r="BG115" i="3"/>
  <c r="BG95" i="3"/>
  <c r="BG75" i="3"/>
  <c r="BG55" i="3"/>
  <c r="BG34" i="3"/>
  <c r="BG11" i="3"/>
  <c r="BG354" i="3"/>
  <c r="BG334" i="3"/>
  <c r="BG314" i="3"/>
  <c r="BG294" i="3"/>
  <c r="BG274" i="3"/>
  <c r="BG254" i="3"/>
  <c r="BG234" i="3"/>
  <c r="BG214" i="3"/>
  <c r="BG194" i="3"/>
  <c r="BG174" i="3"/>
  <c r="BG154" i="3"/>
  <c r="BG134" i="3"/>
  <c r="BG114" i="3"/>
  <c r="BG94" i="3"/>
  <c r="BG74" i="3"/>
  <c r="BG54" i="3"/>
  <c r="BG33" i="3"/>
  <c r="BG10" i="3"/>
  <c r="BG22" i="3"/>
  <c r="BG353" i="3"/>
  <c r="BG333" i="3"/>
  <c r="BG313" i="3"/>
  <c r="BG293" i="3"/>
  <c r="BG273" i="3"/>
  <c r="BG253" i="3"/>
  <c r="BG233" i="3"/>
  <c r="BG213" i="3"/>
  <c r="BG193" i="3"/>
  <c r="BG173" i="3"/>
  <c r="BG153" i="3"/>
  <c r="BG133" i="3"/>
  <c r="BG113" i="3"/>
  <c r="BG93" i="3"/>
  <c r="BG73" i="3"/>
  <c r="BG53" i="3"/>
  <c r="BG32" i="3"/>
  <c r="BG9" i="3"/>
  <c r="BG352" i="3"/>
  <c r="BG332" i="3"/>
  <c r="BG312" i="3"/>
  <c r="BG292" i="3"/>
  <c r="BG272" i="3"/>
  <c r="BG252" i="3"/>
  <c r="BG232" i="3"/>
  <c r="BG212" i="3"/>
  <c r="BG192" i="3"/>
  <c r="BG172" i="3"/>
  <c r="BG152" i="3"/>
  <c r="BG132" i="3"/>
  <c r="BG112" i="3"/>
  <c r="BG92" i="3"/>
  <c r="BG72" i="3"/>
  <c r="BG52" i="3"/>
  <c r="BG31" i="3"/>
  <c r="BG8" i="3"/>
  <c r="BG351" i="3"/>
  <c r="BG331" i="3"/>
  <c r="BG311" i="3"/>
  <c r="BG291" i="3"/>
  <c r="BG271" i="3"/>
  <c r="BG251" i="3"/>
  <c r="BG231" i="3"/>
  <c r="BG211" i="3"/>
  <c r="BG191" i="3"/>
  <c r="BG171" i="3"/>
  <c r="BG151" i="3"/>
  <c r="BG131" i="3"/>
  <c r="BG111" i="3"/>
  <c r="BG91" i="3"/>
  <c r="BG71" i="3"/>
  <c r="BG51" i="3"/>
  <c r="BG29" i="3"/>
  <c r="BG7" i="3"/>
  <c r="BG2" i="3"/>
  <c r="BG350" i="3"/>
  <c r="BG330" i="3"/>
  <c r="BG310" i="3"/>
  <c r="BG290" i="3"/>
  <c r="BG270" i="3"/>
  <c r="BG250" i="3"/>
  <c r="BG230" i="3"/>
  <c r="BG210" i="3"/>
  <c r="BG190" i="3"/>
  <c r="BG170" i="3"/>
  <c r="BG150" i="3"/>
  <c r="BG130" i="3"/>
  <c r="BG110" i="3"/>
  <c r="BG90" i="3"/>
  <c r="BG70" i="3"/>
  <c r="BG50" i="3"/>
  <c r="BG28" i="3"/>
  <c r="BG5" i="3"/>
  <c r="BG369" i="3"/>
  <c r="BG349" i="3"/>
  <c r="BG329" i="3"/>
  <c r="BG309" i="3"/>
  <c r="BG289" i="3"/>
  <c r="BG269" i="3"/>
  <c r="BG249" i="3"/>
  <c r="BG229" i="3"/>
  <c r="BG209" i="3"/>
  <c r="BG189" i="3"/>
  <c r="BG169" i="3"/>
  <c r="BG149" i="3"/>
  <c r="BG129" i="3"/>
  <c r="BG109" i="3"/>
  <c r="BG89" i="3"/>
  <c r="BG69" i="3"/>
  <c r="BG49" i="3"/>
  <c r="BG27" i="3"/>
  <c r="BG4" i="3"/>
  <c r="BG368" i="3"/>
  <c r="BG348" i="3"/>
  <c r="BG328" i="3"/>
  <c r="BG308" i="3"/>
  <c r="BG288" i="3"/>
  <c r="BG268" i="3"/>
  <c r="BG248" i="3"/>
  <c r="BG228" i="3"/>
  <c r="BG208" i="3"/>
  <c r="BG188" i="3"/>
  <c r="BG168" i="3"/>
  <c r="BG148" i="3"/>
  <c r="BG128" i="3"/>
  <c r="BG108" i="3"/>
  <c r="BG88" i="3"/>
  <c r="BG68" i="3"/>
  <c r="BG48" i="3"/>
  <c r="BG26" i="3"/>
  <c r="BG3" i="3"/>
  <c r="BG367" i="3"/>
  <c r="BG347" i="3"/>
  <c r="BG327" i="3"/>
  <c r="BG307" i="3"/>
  <c r="BG287" i="3"/>
  <c r="BG267" i="3"/>
  <c r="BG247" i="3"/>
  <c r="BG227" i="3"/>
  <c r="BG207" i="3"/>
  <c r="BG187" i="3"/>
  <c r="BG167" i="3"/>
  <c r="BG147" i="3"/>
  <c r="BG127" i="3"/>
  <c r="BG107" i="3"/>
  <c r="BG87" i="3"/>
  <c r="BG67" i="3"/>
  <c r="BG47" i="3"/>
  <c r="BG38" i="3"/>
  <c r="BG14" i="3"/>
  <c r="BG30" i="3"/>
  <c r="BG6" i="3"/>
  <c r="AC12" i="6"/>
  <c r="AD11" i="6" s="1"/>
  <c r="AB17" i="7"/>
  <c r="AE24" i="7" s="1"/>
  <c r="U26" i="7"/>
  <c r="F11" i="2"/>
  <c r="E11" i="2"/>
  <c r="G11" i="2" s="1"/>
  <c r="D11" i="2"/>
  <c r="C11" i="2"/>
  <c r="B11" i="2"/>
  <c r="C8" i="6"/>
  <c r="C7" i="6"/>
  <c r="C8" i="12"/>
  <c r="C7" i="12"/>
  <c r="C8" i="2"/>
  <c r="C7" i="2"/>
  <c r="C8" i="8"/>
  <c r="C7" i="8"/>
  <c r="C8" i="7"/>
  <c r="C7" i="7"/>
  <c r="C8" i="9"/>
  <c r="C7" i="9"/>
  <c r="AR11" i="2" l="1"/>
  <c r="AS11" i="2"/>
  <c r="AT11" i="2"/>
  <c r="AU11" i="2"/>
  <c r="AV11" i="2"/>
  <c r="D37" i="18"/>
  <c r="K37" i="18" s="1"/>
  <c r="M37" i="18" s="1"/>
  <c r="AL35" i="6"/>
  <c r="D23" i="18"/>
  <c r="D25" i="18" s="1"/>
  <c r="C18" i="6"/>
  <c r="C21" i="6" s="1"/>
  <c r="AK13" i="6"/>
  <c r="C23" i="6" s="1"/>
  <c r="AK14" i="6"/>
  <c r="C22" i="6"/>
  <c r="T23" i="8"/>
  <c r="AK58" i="8" s="1"/>
  <c r="C12" i="12"/>
  <c r="F33" i="18" s="1"/>
  <c r="AM58" i="8"/>
  <c r="AE58" i="8"/>
  <c r="U23" i="8"/>
  <c r="F13" i="8" s="1"/>
  <c r="L36" i="18" s="1"/>
  <c r="V7" i="12"/>
  <c r="Y7" i="12" s="1"/>
  <c r="U11" i="12" s="1"/>
  <c r="V10" i="12" s="1"/>
  <c r="C20" i="7"/>
  <c r="T24" i="7"/>
  <c r="T25" i="7"/>
  <c r="T26" i="7"/>
  <c r="U24" i="7"/>
  <c r="U25" i="7"/>
  <c r="AT18" i="7"/>
  <c r="AD25" i="7"/>
  <c r="AD35" i="7"/>
  <c r="AD45" i="7"/>
  <c r="AD55" i="7"/>
  <c r="AD65" i="7"/>
  <c r="AE34" i="7"/>
  <c r="AE25" i="7"/>
  <c r="AE35" i="7"/>
  <c r="AE45" i="7"/>
  <c r="AE55" i="7"/>
  <c r="AE65" i="7"/>
  <c r="AD26" i="7"/>
  <c r="AD36" i="7"/>
  <c r="AD46" i="7"/>
  <c r="AD56" i="7"/>
  <c r="AD66" i="7"/>
  <c r="AE26" i="7"/>
  <c r="AE36" i="7"/>
  <c r="AE46" i="7"/>
  <c r="AE56" i="7"/>
  <c r="AE66" i="7"/>
  <c r="AD27" i="7"/>
  <c r="AD37" i="7"/>
  <c r="AD47" i="7"/>
  <c r="AD57" i="7"/>
  <c r="AD67" i="7"/>
  <c r="AE64" i="7"/>
  <c r="AE27" i="7"/>
  <c r="AE37" i="7"/>
  <c r="AE47" i="7"/>
  <c r="AE57" i="7"/>
  <c r="AE67" i="7"/>
  <c r="AD28" i="7"/>
  <c r="AD38" i="7"/>
  <c r="AD48" i="7"/>
  <c r="AD58" i="7"/>
  <c r="AD68" i="7"/>
  <c r="AE28" i="7"/>
  <c r="AE38" i="7"/>
  <c r="AE48" i="7"/>
  <c r="AE58" i="7"/>
  <c r="AE68" i="7"/>
  <c r="AD29" i="7"/>
  <c r="AD39" i="7"/>
  <c r="AD49" i="7"/>
  <c r="AD59" i="7"/>
  <c r="AD69" i="7"/>
  <c r="AE29" i="7"/>
  <c r="AE39" i="7"/>
  <c r="AE49" i="7"/>
  <c r="AE59" i="7"/>
  <c r="AE69" i="7"/>
  <c r="AD30" i="7"/>
  <c r="AD40" i="7"/>
  <c r="AD50" i="7"/>
  <c r="AD60" i="7"/>
  <c r="AD70" i="7"/>
  <c r="AE30" i="7"/>
  <c r="AE40" i="7"/>
  <c r="AE50" i="7"/>
  <c r="AE60" i="7"/>
  <c r="AE70" i="7"/>
  <c r="AD31" i="7"/>
  <c r="AD41" i="7"/>
  <c r="AD51" i="7"/>
  <c r="AD61" i="7"/>
  <c r="AD71" i="7"/>
  <c r="AE63" i="7"/>
  <c r="AE31" i="7"/>
  <c r="AE41" i="7"/>
  <c r="AE51" i="7"/>
  <c r="AE61" i="7"/>
  <c r="AE71" i="7"/>
  <c r="AE73" i="7"/>
  <c r="AD32" i="7"/>
  <c r="AD42" i="7"/>
  <c r="AD52" i="7"/>
  <c r="AD62" i="7"/>
  <c r="AD72" i="7"/>
  <c r="AE43" i="7"/>
  <c r="AD44" i="7"/>
  <c r="AD54" i="7"/>
  <c r="AD24" i="7"/>
  <c r="AE44" i="7"/>
  <c r="AE32" i="7"/>
  <c r="AE42" i="7"/>
  <c r="AE52" i="7"/>
  <c r="AE62" i="7"/>
  <c r="AE72" i="7"/>
  <c r="AE53" i="7"/>
  <c r="AD33" i="7"/>
  <c r="AD43" i="7"/>
  <c r="AD53" i="7"/>
  <c r="AD63" i="7"/>
  <c r="AD73" i="7"/>
  <c r="AE33" i="7"/>
  <c r="AD34" i="7"/>
  <c r="AD64" i="7"/>
  <c r="AE54" i="7"/>
  <c r="F29" i="18" l="1"/>
  <c r="G28" i="18" s="1"/>
  <c r="E29" i="18"/>
  <c r="F28" i="18" s="1"/>
  <c r="D29" i="18"/>
  <c r="E28" i="18" s="1"/>
  <c r="C11" i="6"/>
  <c r="E34" i="18" s="1"/>
  <c r="L34" i="18" s="1"/>
  <c r="M34" i="18" s="1"/>
  <c r="AU67" i="7"/>
  <c r="AV67" i="7"/>
  <c r="AU46" i="7"/>
  <c r="AV46" i="7"/>
  <c r="AU35" i="7"/>
  <c r="AV35" i="7"/>
  <c r="AU45" i="7"/>
  <c r="AV45" i="7"/>
  <c r="AU34" i="7"/>
  <c r="AV34" i="7"/>
  <c r="AU68" i="7"/>
  <c r="AV68" i="7"/>
  <c r="AU57" i="7"/>
  <c r="AV57" i="7"/>
  <c r="AU36" i="7"/>
  <c r="AV36" i="7"/>
  <c r="AU25" i="7"/>
  <c r="AV25" i="7"/>
  <c r="AU32" i="7"/>
  <c r="AV32" i="7"/>
  <c r="AU56" i="7"/>
  <c r="AV56" i="7"/>
  <c r="AU64" i="7"/>
  <c r="AV64" i="7"/>
  <c r="AU58" i="7"/>
  <c r="AV58" i="7"/>
  <c r="AU47" i="7"/>
  <c r="AV47" i="7"/>
  <c r="AU26" i="7"/>
  <c r="AV26" i="7"/>
  <c r="AU73" i="7"/>
  <c r="AV73" i="7"/>
  <c r="AV24" i="7"/>
  <c r="AU24" i="7"/>
  <c r="AU69" i="7"/>
  <c r="AV69" i="7"/>
  <c r="AU48" i="7"/>
  <c r="AV48" i="7"/>
  <c r="AU37" i="7"/>
  <c r="AV37" i="7"/>
  <c r="AU31" i="7"/>
  <c r="AV31" i="7"/>
  <c r="AU63" i="7"/>
  <c r="AV63" i="7"/>
  <c r="AU54" i="7"/>
  <c r="AV54" i="7"/>
  <c r="AU59" i="7"/>
  <c r="AV59" i="7"/>
  <c r="AU38" i="7"/>
  <c r="AV38" i="7"/>
  <c r="AU27" i="7"/>
  <c r="AV27" i="7"/>
  <c r="AU53" i="7"/>
  <c r="AV53" i="7"/>
  <c r="AU49" i="7"/>
  <c r="AV49" i="7"/>
  <c r="AU43" i="7"/>
  <c r="AV43" i="7"/>
  <c r="AU60" i="7"/>
  <c r="AV60" i="7"/>
  <c r="AU39" i="7"/>
  <c r="AV39" i="7"/>
  <c r="AU44" i="7"/>
  <c r="AV44" i="7"/>
  <c r="AU70" i="7"/>
  <c r="AV70" i="7"/>
  <c r="AU28" i="7"/>
  <c r="AV28" i="7"/>
  <c r="AU71" i="7"/>
  <c r="AV71" i="7"/>
  <c r="AU50" i="7"/>
  <c r="AV50" i="7"/>
  <c r="AU29" i="7"/>
  <c r="AV29" i="7"/>
  <c r="AU33" i="7"/>
  <c r="AV33" i="7"/>
  <c r="AU72" i="7"/>
  <c r="AV72" i="7"/>
  <c r="AU62" i="7"/>
  <c r="AV62" i="7"/>
  <c r="AU61" i="7"/>
  <c r="AV61" i="7"/>
  <c r="AU40" i="7"/>
  <c r="AV40" i="7"/>
  <c r="AU52" i="7"/>
  <c r="AV52" i="7"/>
  <c r="AU51" i="7"/>
  <c r="AV51" i="7"/>
  <c r="AU30" i="7"/>
  <c r="AV30" i="7"/>
  <c r="AU65" i="7"/>
  <c r="AV65" i="7"/>
  <c r="AU42" i="7"/>
  <c r="AV42" i="7"/>
  <c r="AU41" i="7"/>
  <c r="AV41" i="7"/>
  <c r="AU66" i="7"/>
  <c r="AV66" i="7"/>
  <c r="AU55" i="7"/>
  <c r="AV55" i="7"/>
  <c r="T27" i="8"/>
  <c r="C10" i="8" s="1"/>
  <c r="C11" i="7"/>
  <c r="C10" i="7"/>
  <c r="AN58" i="8"/>
  <c r="U27" i="8"/>
  <c r="AL58" i="8"/>
  <c r="W11" i="12"/>
  <c r="X10" i="12" s="1"/>
  <c r="V11" i="12"/>
  <c r="C19" i="7"/>
  <c r="AT43" i="7"/>
  <c r="AS43" i="7"/>
  <c r="AT30" i="7"/>
  <c r="AS30" i="7"/>
  <c r="AT28" i="7"/>
  <c r="AS28" i="7"/>
  <c r="AT36" i="7"/>
  <c r="AS36" i="7"/>
  <c r="AT61" i="7"/>
  <c r="AS61" i="7"/>
  <c r="AT69" i="7"/>
  <c r="AS69" i="7"/>
  <c r="AT59" i="7"/>
  <c r="AS59" i="7"/>
  <c r="AT65" i="7"/>
  <c r="AS65" i="7"/>
  <c r="AT33" i="7"/>
  <c r="AS33" i="7"/>
  <c r="AT39" i="7"/>
  <c r="AS39" i="7"/>
  <c r="AT41" i="7"/>
  <c r="AS41" i="7"/>
  <c r="AT24" i="7"/>
  <c r="AS24" i="7"/>
  <c r="AS54" i="7"/>
  <c r="AT54" i="7"/>
  <c r="AT29" i="7"/>
  <c r="AS29" i="7"/>
  <c r="AT37" i="7"/>
  <c r="AS37" i="7"/>
  <c r="AS45" i="7"/>
  <c r="AT45" i="7"/>
  <c r="AT55" i="7"/>
  <c r="AS55" i="7"/>
  <c r="AT25" i="7"/>
  <c r="AS25" i="7"/>
  <c r="AT72" i="7"/>
  <c r="AS72" i="7"/>
  <c r="AT62" i="7"/>
  <c r="AS62" i="7"/>
  <c r="AT67" i="7"/>
  <c r="AS67" i="7"/>
  <c r="AT31" i="7"/>
  <c r="AS31" i="7"/>
  <c r="AT44" i="7"/>
  <c r="AS44" i="7"/>
  <c r="AT64" i="7"/>
  <c r="AS64" i="7"/>
  <c r="AT71" i="7"/>
  <c r="AS71" i="7"/>
  <c r="AS51" i="7"/>
  <c r="AT51" i="7"/>
  <c r="AT27" i="7"/>
  <c r="AS27" i="7"/>
  <c r="AT68" i="7"/>
  <c r="AS68" i="7"/>
  <c r="AS49" i="7"/>
  <c r="AT49" i="7"/>
  <c r="AS34" i="7"/>
  <c r="AT34" i="7"/>
  <c r="AT42" i="7"/>
  <c r="AS42" i="7"/>
  <c r="AT70" i="7"/>
  <c r="AS70" i="7"/>
  <c r="AT73" i="7"/>
  <c r="AS73" i="7"/>
  <c r="AT32" i="7"/>
  <c r="AS32" i="7"/>
  <c r="AT60" i="7"/>
  <c r="AS60" i="7"/>
  <c r="AT58" i="7"/>
  <c r="AS58" i="7"/>
  <c r="AT66" i="7"/>
  <c r="AS66" i="7"/>
  <c r="AT57" i="7"/>
  <c r="AS57" i="7"/>
  <c r="AT35" i="7"/>
  <c r="AS35" i="7"/>
  <c r="AS52" i="7"/>
  <c r="AT52" i="7"/>
  <c r="AT63" i="7"/>
  <c r="AS63" i="7"/>
  <c r="AS50" i="7"/>
  <c r="AT50" i="7"/>
  <c r="AS48" i="7"/>
  <c r="AT48" i="7"/>
  <c r="AT26" i="7"/>
  <c r="AS26" i="7"/>
  <c r="AS47" i="7"/>
  <c r="AT47" i="7"/>
  <c r="AT56" i="7"/>
  <c r="AS56" i="7"/>
  <c r="AS53" i="7"/>
  <c r="AT53" i="7"/>
  <c r="AT40" i="7"/>
  <c r="AS40" i="7"/>
  <c r="AT38" i="7"/>
  <c r="AS38" i="7"/>
  <c r="AS46" i="7"/>
  <c r="AT46" i="7"/>
  <c r="D36" i="18" l="1"/>
  <c r="K36" i="18" s="1"/>
  <c r="M36" i="18" s="1"/>
  <c r="D35" i="18"/>
  <c r="K35" i="18" s="1"/>
  <c r="E35" i="18"/>
  <c r="L35" i="18" s="1"/>
  <c r="C12" i="6"/>
  <c r="F34" i="18" s="1"/>
  <c r="C11" i="8"/>
  <c r="AO58" i="8"/>
  <c r="AB19" i="7"/>
  <c r="AB20" i="7"/>
  <c r="C21" i="7"/>
  <c r="A36" i="18" l="1"/>
  <c r="D39" i="18"/>
  <c r="E36" i="18"/>
  <c r="E39" i="18" s="1"/>
  <c r="K39" i="18"/>
  <c r="M35" i="18"/>
  <c r="L39" i="18"/>
  <c r="C12" i="8"/>
  <c r="C12" i="7"/>
  <c r="AB21" i="7"/>
  <c r="AR19" i="7" s="1"/>
  <c r="S19" i="7"/>
  <c r="S18" i="7"/>
  <c r="R19" i="7" s="1"/>
  <c r="Q19" i="7"/>
  <c r="T18" i="7"/>
  <c r="R18" i="7"/>
  <c r="F39" i="18" l="1"/>
  <c r="G39" i="18" s="1"/>
  <c r="F35" i="18"/>
  <c r="F36" i="18"/>
  <c r="M39" i="18"/>
  <c r="AV10" i="7"/>
  <c r="W18" i="7"/>
  <c r="C13" i="7" s="1"/>
  <c r="AQ18" i="7"/>
  <c r="AP19" i="7"/>
  <c r="AV18" i="7" s="1"/>
  <c r="AR18" i="7"/>
  <c r="AQ19" i="7" s="1"/>
  <c r="AS18" i="7"/>
  <c r="G35" i="18" l="1"/>
  <c r="AE11" i="6"/>
  <c r="AI11" i="6" s="1"/>
  <c r="C13" i="6" s="1"/>
  <c r="Z11" i="8"/>
  <c r="G34" i="18" l="1"/>
  <c r="AD11" i="8"/>
  <c r="C13" i="8" s="1"/>
  <c r="G36" i="18" l="1"/>
  <c r="W10" i="12"/>
  <c r="AD10" i="12" s="1"/>
  <c r="C13" i="12" s="1"/>
  <c r="G33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C17" authorId="0" shapeId="0" xr:uid="{D4654596-0377-407A-8F84-9B542642154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Razão entre a área da envoltória e o volume da edificação.
Por exemplo: Em uma edificação quadrada, de um pavimento 25x25 com pé-direito de 3m, o fator de forma será:
Área das fachadas: 25x3 x 4 fachadas = 300m²
Área da cobertura: 25x25 = 625m²
Volume da edificação: 25x25x3 = 1875m³
</t>
        </r>
        <r>
          <rPr>
            <b/>
            <sz val="9"/>
            <color indexed="81"/>
            <rFont val="Segoe UI"/>
            <family val="2"/>
          </rPr>
          <t>FF = (300+625)/1875 = 0.493m²/m³</t>
        </r>
      </text>
    </comment>
    <comment ref="C22" authorId="0" shapeId="0" xr:uid="{FB68C2D0-E8B0-4DBD-8238-0CF47B8D2368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Esta célula representa a densidade de Potência de Equipamentos (DPE) da edificação.
Caso seja feito um levantamento das potências existentes, adota-se o valor levantado. Caso não, adota-se o valor de referência.
Em todo os casos, adota-se o mesmo valor para o cálculo do consumo real e referência.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E15" authorId="0" shapeId="0" xr:uid="{888CBD87-954B-4375-A6DC-A1FFBC56A25D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Intervalo de 2.3 a 10.0m</t>
        </r>
      </text>
    </comment>
    <comment ref="J15" authorId="0" shapeId="0" xr:uid="{A9A0127D-C5C5-4075-A555-242E4691049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K15" authorId="0" shapeId="0" xr:uid="{EB41E9A4-8C58-4552-8892-CEB11F109B0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L15" authorId="0" shapeId="0" xr:uid="{DD987994-76DF-40D7-AF8B-C92320E9D086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M15" authorId="0" shapeId="0" xr:uid="{2723C80F-E532-4C80-B49A-464DADFFB647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N15" authorId="0" shapeId="0" xr:uid="{190BAAEB-13DA-4D8C-9446-692B5C8BA3BE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O15" authorId="0" shapeId="0" xr:uid="{F8B75176-8CC2-4703-8B7B-84299002B5E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Intervalo de 0 a 90. 
</t>
        </r>
        <r>
          <rPr>
            <b/>
            <sz val="9"/>
            <color indexed="81"/>
            <rFont val="Segoe UI"/>
            <family val="2"/>
          </rPr>
          <t>INSERIR VALOR ABSOLUTO, NÃO EM PORCENTAGEM.</t>
        </r>
        <r>
          <rPr>
            <sz val="9"/>
            <color indexed="81"/>
            <rFont val="Segoe UI"/>
            <family val="2"/>
          </rPr>
          <t xml:space="preserve">
Assim como na interface, deve-se inserir o valor de percentual de abertura da fachada de forma adimensional, ou seja, como o fator.
</t>
        </r>
        <r>
          <rPr>
            <b/>
            <sz val="9"/>
            <color indexed="81"/>
            <rFont val="Segoe UI"/>
            <family val="2"/>
          </rPr>
          <t>CASO ZONA INTERNA, PAF = 0.</t>
        </r>
      </text>
    </comment>
    <comment ref="T15" authorId="0" shapeId="0" xr:uid="{6AF21511-BECE-4503-B467-B10B5F98391E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Intervalo é de 0 a 5%.
</t>
        </r>
        <r>
          <rPr>
            <b/>
            <sz val="9"/>
            <color indexed="81"/>
            <rFont val="Segoe UI"/>
            <family val="2"/>
          </rPr>
          <t>INSERIR VALOR ABSOLUTO, NÃO EM PORCENTAGEM.</t>
        </r>
        <r>
          <rPr>
            <sz val="9"/>
            <color indexed="81"/>
            <rFont val="Segoe UI"/>
            <family val="2"/>
          </rPr>
          <t xml:space="preserve">
Razão de área envidraçada em relação à cobertura. Caso a cobertura não seja exposta, considera-se wwr = 0. </t>
        </r>
      </text>
    </comment>
    <comment ref="U15" authorId="0" shapeId="0" xr:uid="{6FDFFE32-8BC7-477F-847C-AC88ADB0EDA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W15" authorId="0" shapeId="0" xr:uid="{57ED1E26-0B12-416F-BA22-709CD45D8F8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Em casos em que se deseje utilizar os valores reais ou levantados por meio de projeto, a DPE para a condição real e de referência devem ser iguais. Caso sejam adotados valores não tabelados, deve ser entregue memorial de cálculo e declaração de responsabilidade técnica (ART/RRT).</t>
        </r>
      </text>
    </comment>
    <comment ref="AA15" authorId="0" shapeId="0" xr:uid="{5B8CF531-5A62-41B2-9EEC-8B18F023CF1B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Calculado a partir da aba "ArCondicionado". Preencher a aba "Ar-condicionado" primeiro!</t>
        </r>
      </text>
    </comment>
    <comment ref="AC15" authorId="0" shapeId="0" xr:uid="{CE6FD06F-0C62-4C12-B7FD-7399EFA5558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A ser gerado na Interface.</t>
        </r>
      </text>
    </comment>
    <comment ref="AD15" authorId="0" shapeId="0" xr:uid="{0473F17C-152E-4E3D-ACBF-9B281BA442E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A ser gerado na Interface.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C19" authorId="0" shapeId="0" xr:uid="{C5B2D3BB-2637-45A3-B7BD-737776CC7FF4}">
      <text>
        <r>
          <rPr>
            <b/>
            <sz val="9"/>
            <color indexed="81"/>
            <rFont val="Segoe UI"/>
            <family val="2"/>
          </rPr>
          <t xml:space="preserve">CB3E:
SOMENTE SE NATURALMENTE VENTILADA OU HÍBRIDA!
</t>
        </r>
        <r>
          <rPr>
            <sz val="9"/>
            <color indexed="81"/>
            <rFont val="Segoe UI"/>
            <family val="2"/>
          </rPr>
          <t xml:space="preserve">
De acordo com 
http://pbeedifica.com.br/naturalcomfort/</t>
        </r>
      </text>
    </comment>
    <comment ref="S28" authorId="0" shapeId="0" xr:uid="{34F7F318-9770-4492-9616-B10C485A0D21}">
      <text>
        <r>
          <rPr>
            <b/>
            <sz val="9"/>
            <color indexed="81"/>
            <rFont val="Segoe UI"/>
            <family val="2"/>
          </rPr>
          <t>CB3E</t>
        </r>
        <r>
          <rPr>
            <sz val="9"/>
            <color indexed="81"/>
            <rFont val="Segoe UI"/>
            <family val="2"/>
          </rPr>
          <t xml:space="preserve">
Verificar no item 7.1.2.2 da INI-C, tabela 7.8 e textos complementares.</t>
        </r>
      </text>
    </comment>
    <comment ref="B29" authorId="0" shapeId="0" xr:uid="{0469604E-A20E-4174-B675-89B5BF38C917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Especifique como foi determinado o equipamento de condicionamento de ar.</t>
        </r>
      </text>
    </comment>
    <comment ref="F29" authorId="0" shapeId="0" xr:uid="{B8E40DD7-34E0-41D4-9DBE-91DBD12ECA0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Especifique o sistema de cada zona térmica aqui por meio da lista de equipamentos.
O sistema deve ser especificado na aba "Aux_Componentes".</t>
        </r>
      </text>
    </comment>
    <comment ref="S29" authorId="0" shapeId="0" xr:uid="{ACB61BF3-CADD-41D1-A8BE-25C0BC3448D3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Verificar no item 7.1.1 da INI-C.</t>
        </r>
      </text>
    </comment>
    <comment ref="R30" authorId="0" shapeId="0" xr:uid="{69A1945B-A0C9-43B9-8A85-4B63616119EE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Verificar no item 7.2.1 da INI-C.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  <author>Greici</author>
  </authors>
  <commentList>
    <comment ref="B23" authorId="0" shapeId="0" xr:uid="{D7B4652E-7029-44D4-8D6D-60349550C9F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Pode haver no máximo 3 funções. Caso haja mais, deve-se utilizar o método das atividades do edifício.</t>
        </r>
      </text>
    </comment>
    <comment ref="C23" authorId="0" shapeId="0" xr:uid="{E59A07E5-3942-4FD3-9061-EDA123E06F1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Soma das áreas ILUMINADAS que esta função compreende.</t>
        </r>
      </text>
    </comment>
    <comment ref="E23" authorId="0" shapeId="0" xr:uid="{6D2C6215-9FCD-460C-A260-39330C81BECC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Padronizado de acordo com a tipologia (Ver Tabelas do Anexo A).</t>
        </r>
      </text>
    </comment>
    <comment ref="F23" authorId="0" shapeId="0" xr:uid="{46DA0ECD-2C67-4BC5-A81D-0FD2CB8F6639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
Padronizado de acordo com a tipologia (Ver Tabelas do Anexo A).</t>
        </r>
      </text>
    </comment>
    <comment ref="G23" authorId="0" shapeId="0" xr:uid="{C8470AB7-EBD1-43D8-B6D3-3A043E9A0EED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De acordo com a Densidade de Potência de iluminação limite classe D [W].
</t>
        </r>
      </text>
    </comment>
    <comment ref="H23" authorId="0" shapeId="0" xr:uid="{A9645335-69F9-488E-A2FE-3750E445D9BB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De acordo com a Densidade de Potência de iluminação limite classe A [W].
</t>
        </r>
      </text>
    </comment>
    <comment ref="M23" authorId="0" shapeId="0" xr:uid="{21D102FA-09C0-4F08-82F1-4A023E216EE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 xml:space="preserve">B.III.3. Cálculo da potência de iluminação total da edificação real </t>
        </r>
        <r>
          <rPr>
            <sz val="9"/>
            <color indexed="81"/>
            <rFont val="Segoe UI"/>
            <family val="2"/>
          </rPr>
          <t xml:space="preserve">
A potência instalada de iluminação total deve considerar a potência referente a todos os conjuntos de luminárias instalados, incluindo as lâmpadas, reatores, transformadores e sistemas de controles da edificação em sua condição real (PITreal).
Nota 1: se existirem dois ou mais sistemas de iluminação independentes para atender as atividades de um mesmo espaço, e estes estiverem equipados com um sistema de controle que evite o seu uso simultâneo, a avaliação da potência instalada deste espaço deve considerar a potência instalada do sistema de maior potência.
A potência de iluminação total da edificação deve resultar da soma das duas parcelas do sistema de iluminação: 1) a parcela sem controle automatizado; e, 2) a parcela de luminárias controladas por sensores. Se não houver a inserção de sensores, a parcela controlada deve ser nula, e a potência de iluminação total deverá ser equivalente à potência instalada sem controle automatizado. A potência de iluminação em uso deve ser determinada conforme o item B.III.3.1.</t>
        </r>
      </text>
    </comment>
    <comment ref="P23" authorId="0" shapeId="0" xr:uid="{191F6EC3-1CB2-48EC-97D4-B7D23F41CBC9}">
      <text>
        <r>
          <rPr>
            <b/>
            <sz val="9"/>
            <color indexed="81"/>
            <rFont val="Segoe UI"/>
            <family val="2"/>
          </rPr>
          <t>CB3E:
B.III.3.3. Potencial de integração entre o sistema de iluminação e a luz natural disponível</t>
        </r>
        <r>
          <rPr>
            <sz val="9"/>
            <color indexed="81"/>
            <rFont val="Segoe UI"/>
            <family val="2"/>
          </rPr>
          <t xml:space="preserve">
O potencial de integração entre o sistema de iluminação e a luz natural disponível pode ser obtido tanto pelo método simplificado (item B.III.3.3.1), quanto pelo método de simulação (item B.III.3.3.2). O potencial de integração é informativo, e não possui restrições quanto aos valores máximos ou mínimos a serem atingidos; no entanto, sua determinação é obrigatória para as edificações que almejam quantificar o aproveitamento de iluminação natural na avaliação da envoltória e do sistema de iluminação. O valor da porcentagem da área com potencial de integração entre o sistema de iluminação e a luz natural disponível será declarado.
(ver texto INI-C, Anexo B.III.3.3).</t>
        </r>
      </text>
    </comment>
    <comment ref="Q23" authorId="1" shapeId="0" xr:uid="{00000000-0006-0000-0300-000001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R23" authorId="1" shapeId="0" xr:uid="{00000000-0006-0000-0300-000002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S23" authorId="1" shapeId="0" xr:uid="{00000000-0006-0000-0300-000003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C23" authorId="0" shapeId="0" xr:uid="{487EE7DB-E0EA-4FE6-A5F1-D6CEFC9EDF3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de acordo com a atividade do ambiente. Ver Tabela B.III.3 – Limite máximo aceitável de densidade de potência de iluminação (DPIL) para a classificação de eficiência pretendida – método das atividades do edifício.</t>
        </r>
      </text>
    </comment>
    <comment ref="AD23" authorId="0" shapeId="0" xr:uid="{4169A211-4E53-4EB0-BD7D-BD45B93198A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Padronizado de acordo com a tipologia (Ver Tabelas do Anexo A).</t>
        </r>
      </text>
    </comment>
    <comment ref="AE23" authorId="0" shapeId="0" xr:uid="{E8F33B1D-6827-484E-A281-866DCC484ABF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
Padronizado de acordo com a tipologia (Ver Tabelas do Anexo A).</t>
        </r>
      </text>
    </comment>
    <comment ref="AF23" authorId="0" shapeId="0" xr:uid="{E93F0CFF-F35A-40EF-BD19-DB757381A7B2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De acordo com a Densidade de Potência de iluminação limite classe D [W]. Tabela B.III.3 – Limite máximo aceitável de densidade de potência de iluminação (DPIL) para a classificação de eficiência pretendida – método das atividades do edifício.</t>
        </r>
      </text>
    </comment>
    <comment ref="AG23" authorId="0" shapeId="0" xr:uid="{8E6557C1-2FEC-4705-8A42-724DC4475262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De acordo com a Densidade de Potência de iluminação limite classe A [W], da Tabela B.III.3 – Limite máximo aceitável de densidade de potência de iluminação (DPIL) para a classificação de eficiência pretendida – método das atividades do edifício.</t>
        </r>
      </text>
    </comment>
    <comment ref="AL23" authorId="0" shapeId="0" xr:uid="{DEE5446A-E5FD-4CDB-B1D7-0A47381E7A89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 xml:space="preserve">B.III.3. Cálculo da potência de iluminação total da edificação real </t>
        </r>
        <r>
          <rPr>
            <sz val="9"/>
            <color indexed="81"/>
            <rFont val="Segoe UI"/>
            <family val="2"/>
          </rPr>
          <t xml:space="preserve">
A potência instalada de iluminação total deve considerar a potência referente a todos os conjuntos de luminárias instalados, incluindo as lâmpadas, reatores, transformadores e sistemas de controles da edificação em sua condição real (PITreal).
Nota 1: se existirem dois ou mais sistemas de iluminação independentes para atender as atividades de um mesmo espaço, e estes estiverem equipados com um sistema de controle que evite o seu uso simultâneo, a avaliação da potência instalada deste espaço deve considerar a potência instalada do sistema de maior potência.
A potência de iluminação total da edificação deve resultar da soma das duas parcelas do sistema de iluminação: 1) a parcela sem controle automatizado; e, 2) a parcela de luminárias controladas por sensores. Se não houver a inserção de sensores, a parcela controlada deve ser nula, e a potência de iluminação total deverá ser equivalente à potência instalada sem controle automatizado. A potência de iluminação em uso deve ser determinada conforme o item B.III.3.1.</t>
        </r>
      </text>
    </comment>
    <comment ref="AO23" authorId="0" shapeId="0" xr:uid="{141E814B-9DAC-4176-B741-CBD7BB2CB6D4}">
      <text>
        <r>
          <rPr>
            <b/>
            <sz val="9"/>
            <color indexed="81"/>
            <rFont val="Segoe UI"/>
            <family val="2"/>
          </rPr>
          <t>CB3E:
B.III.3.3. Potencial de integração entre o sistema de iluminação e a luz natural disponível</t>
        </r>
        <r>
          <rPr>
            <sz val="9"/>
            <color indexed="81"/>
            <rFont val="Segoe UI"/>
            <family val="2"/>
          </rPr>
          <t xml:space="preserve">
O potencial de integração entre o sistema de iluminação e a luz natural disponível pode ser obtido tanto pelo método simplificado (item B.III.3.3.1), quanto pelo método de simulação (item B.III.3.3.2). O potencial de integração é informativo, e não possui restrições quanto aos valores máximos ou mínimos a serem atingidos; no entanto, sua determinação é obrigatória para as edificações que almejam quantificar o aproveitamento de iluminação natural na avaliação da envoltória e do sistema de iluminação. O valor da porcentagem da área com potencial de integração entre o sistema de iluminação e a luz natural disponível será declarado.
(ver texto INI-C, Anexo B.III.3.3).</t>
        </r>
      </text>
    </comment>
    <comment ref="AP23" authorId="1" shapeId="0" xr:uid="{A6451FFA-A214-4AC4-A08E-50770E3F2F7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Q23" authorId="1" shapeId="0" xr:uid="{D394C691-F788-4092-A85C-3DD2CD48D39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R23" authorId="1" shapeId="0" xr:uid="{3D9E105C-13FB-48F9-9D6E-298ED258E059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E24" authorId="0" shapeId="0" xr:uid="{37B4D766-5150-4E2E-8BCD-EE7CE4D2C02B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Obter da etiqueta do INMETRO coletor escolhido.</t>
        </r>
      </text>
    </comment>
    <comment ref="E26" authorId="0" shapeId="0" xr:uid="{3B870876-F393-4023-B69A-EA0B30E59F0A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Obter em:
http://labren.ccst.inpe.br/atlas_2017.html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C11" authorId="0" shapeId="0" xr:uid="{9E973B84-7711-4F56-851C-D0E17BB4F110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da parede externa. Caso seja uma zona interna, deve-se usar -6. 
Seu intervalo é de 0,25 W/(m²K) a 5,0 W/(m²K).
</t>
        </r>
      </text>
    </comment>
    <comment ref="D11" authorId="0" shapeId="0" xr:uid="{F295D35C-5E47-4522-BC7B-466C2BFCF00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Capacidade térmica da parede externa. Caso seja uma zona interna, deve-se usar -400. </t>
        </r>
      </text>
    </comment>
    <comment ref="H11" authorId="0" shapeId="0" xr:uid="{EF3E4952-AE6B-4EF1-9484-E5AA41AF0F56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da parede interna. 
Seu intervalo é de 0,31 W/(m²K) a 5,0 W/(m²K).</t>
        </r>
      </text>
    </comment>
    <comment ref="I11" authorId="0" shapeId="0" xr:uid="{34BB215B-231D-4974-B41E-C0EEB8316859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Capacidade térmica da parede interna. 
Seu intervalo é de 25,0 kJ/(m²K)  a 400,0 kJ/(m²K).
</t>
        </r>
      </text>
    </comment>
    <comment ref="L11" authorId="0" shapeId="0" xr:uid="{443276DC-C014-4837-BEEC-9CE036B67A25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da cobertura da zona térmica. Caso seja uma zona sem cobertura exposta,  deve-se considerar o valor do piso/teto.
Seu intervalo é de 0,3 W/(m²K) a 5,20 W/(m²K).
</t>
        </r>
      </text>
    </comment>
    <comment ref="M11" authorId="0" shapeId="0" xr:uid="{8B780A96-5661-463E-BDB5-1D76FDE943F6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Capacidade térmica da cobertura da zona térmica. Caso seja uma zona sem cobertura exposta, deve-se considerar o valor do piso/teto.
Intervalo de 0,15 kJ/(m²K)  a 450,0 kJ/(m²K).
</t>
        </r>
      </text>
    </comment>
    <comment ref="Q11" authorId="0" shapeId="0" xr:uid="{B461CE4D-EEC7-499C-84D2-013E067C7C96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do piso. 
Seu intervalo é de 1,75 W/(m²K) a 3,75 W/(m²K).
</t>
        </r>
      </text>
    </comment>
    <comment ref="R11" authorId="0" shapeId="0" xr:uid="{5D81587B-773E-40BC-BCAA-73063FCFE3B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Capacidade térmica do piso.
Seu intervalo é de 130,0 kJ/(m²K) a 400,0 kJ/(m²K).
</t>
        </r>
      </text>
    </comment>
    <comment ref="U11" authorId="0" shapeId="0" xr:uid="{88643ED0-9387-49D7-8D3A-FA0571666742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da janela localizada na parede. Caso a zona térmica não possua janela, deve-se considerar como 0. 
Seu intervalo é de 1,5 W/(m²K) a 6,0 W/(m²K).
</t>
        </r>
      </text>
    </comment>
    <comment ref="V11" authorId="0" shapeId="0" xr:uid="{E77E8A94-2E7A-4DCD-8E7F-12F84CF8BD0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Fator solar da janela localizada na parede. Caso a zona térmica não possua janela, deve-se considerar como 0. 
Seu intervalo é de 0,2 a 0,9.
</t>
        </r>
      </text>
    </comment>
    <comment ref="Y11" authorId="0" shapeId="0" xr:uid="{4EE13497-0BDB-454C-86F3-796A9EA71D20}">
      <text>
        <r>
          <rPr>
            <b/>
            <sz val="9"/>
            <color indexed="81"/>
            <rFont val="Segoe UI"/>
            <charset val="1"/>
          </rPr>
          <t>CB3E:</t>
        </r>
        <r>
          <rPr>
            <sz val="9"/>
            <color indexed="81"/>
            <rFont val="Segoe UI"/>
            <charset val="1"/>
          </rPr>
          <t xml:space="preserve">
Transmitância térmica da janela localizada na cobertura. Caso a zona térmica não possua janela, deve-se considerar como 0. 
Seu intervalo é de 1,5 W/(m²K) a 6,0 W/(m²K).</t>
        </r>
      </text>
    </comment>
    <comment ref="Z11" authorId="0" shapeId="0" xr:uid="{282D9F0F-D745-430F-A57C-D2F75229DF1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Fator solar da janela localizada na cobertura. Caso a zona térmica não possua janela, deve-se considerar como 0. 
Seu intervalo é de 0,2 a 0,9.
</t>
        </r>
      </text>
    </comment>
    <comment ref="AD11" authorId="0" shapeId="0" xr:uid="{CAAB689F-2AF8-46A0-B572-0F3CAA3776C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Para converter o valor de BTU/h para kW, basta multiplicar por 0.2929 e dividir por 1000.
Exemplo:
12.000 BTU/h x0.2929/1000 = 3,5148 kW</t>
        </r>
      </text>
    </comment>
    <comment ref="AG11" authorId="0" shapeId="0" xr:uid="{45472269-44B0-4E73-9B26-2880267CD93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Soma das potências de equipamentos de renovação de ar das zonas térmicas atendidas pelos equipamentos de capacidade inferior a 17.6 kW.</t>
        </r>
      </text>
    </comment>
  </commentList>
</comments>
</file>

<file path=xl/sharedStrings.xml><?xml version="1.0" encoding="utf-8"?>
<sst xmlns="http://schemas.openxmlformats.org/spreadsheetml/2006/main" count="20312" uniqueCount="6230">
  <si>
    <t>Classe de Eficiência: Avaliação de Projeto</t>
  </si>
  <si>
    <t>Organismo de Inspeção</t>
  </si>
  <si>
    <t>Data da Emissão</t>
  </si>
  <si>
    <t>Envoltória</t>
  </si>
  <si>
    <t>Condicionamento de Ar</t>
  </si>
  <si>
    <t>Nome da Edificação</t>
  </si>
  <si>
    <t>Endereço da Edificação</t>
  </si>
  <si>
    <t>Cidade</t>
  </si>
  <si>
    <t>Tipologia</t>
  </si>
  <si>
    <t>Classe</t>
  </si>
  <si>
    <t>Geral</t>
  </si>
  <si>
    <t>Nº ENCEs
Emitidas</t>
  </si>
  <si>
    <t>Exemplo Ltda</t>
  </si>
  <si>
    <t>xxxxxxxxxx</t>
  </si>
  <si>
    <t>-</t>
  </si>
  <si>
    <t>xx/xx/xxxx</t>
  </si>
  <si>
    <t>Iluminação</t>
  </si>
  <si>
    <t>Aquecimento de Água</t>
  </si>
  <si>
    <t>Uso racional de água</t>
  </si>
  <si>
    <t>Geração de Energia</t>
  </si>
  <si>
    <t>UF</t>
  </si>
  <si>
    <t>Empresa/ Grupo Solicitante</t>
  </si>
  <si>
    <r>
      <t>Emissões de CO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</si>
  <si>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Brasília</t>
  </si>
  <si>
    <t>DF</t>
  </si>
  <si>
    <t>B</t>
  </si>
  <si>
    <t>Florianópolis</t>
  </si>
  <si>
    <t>SC</t>
  </si>
  <si>
    <t>Belém</t>
  </si>
  <si>
    <t>PA</t>
  </si>
  <si>
    <t>Carga térmica (kWh/ano.m²)</t>
  </si>
  <si>
    <t>Consumo em Energia Primária (kWh/ano.m²)</t>
  </si>
  <si>
    <r>
      <t>Consumo em Energia Primária (kWh/ano.</t>
    </r>
    <r>
      <rPr>
        <sz val="10"/>
        <color rgb="FFFF0000"/>
        <rFont val="Calibri"/>
        <family val="2"/>
        <scheme val="minor"/>
      </rPr>
      <t>m²</t>
    </r>
    <r>
      <rPr>
        <sz val="10"/>
        <color theme="1"/>
        <rFont val="Calibri"/>
        <family val="2"/>
        <scheme val="minor"/>
      </rPr>
      <t>)</t>
    </r>
  </si>
  <si>
    <t>Consumo em Energia Primária (kWh/ano)</t>
  </si>
  <si>
    <t>A</t>
  </si>
  <si>
    <t>85,9%</t>
  </si>
  <si>
    <t>Orientação</t>
  </si>
  <si>
    <t>Tipo de Zona</t>
  </si>
  <si>
    <t>Escritórios</t>
  </si>
  <si>
    <t>Educacional - Fundamental e médio</t>
  </si>
  <si>
    <t>Educacional - Superior</t>
  </si>
  <si>
    <t>Hospedagem - Pequeno</t>
  </si>
  <si>
    <t>Est. Assist. de Saúde</t>
  </si>
  <si>
    <t>Varejo - Mercados</t>
  </si>
  <si>
    <t>Restaurantes</t>
  </si>
  <si>
    <t>Outras</t>
  </si>
  <si>
    <t>ZT</t>
  </si>
  <si>
    <t>Pav.</t>
  </si>
  <si>
    <t>Área</t>
  </si>
  <si>
    <t>Perimetral</t>
  </si>
  <si>
    <t>Interna</t>
  </si>
  <si>
    <t>N</t>
  </si>
  <si>
    <t>NE</t>
  </si>
  <si>
    <t>NO</t>
  </si>
  <si>
    <t>L</t>
  </si>
  <si>
    <t>S</t>
  </si>
  <si>
    <t>SE</t>
  </si>
  <si>
    <t>SO</t>
  </si>
  <si>
    <t>O</t>
  </si>
  <si>
    <t>Classe de Eficiência: Avaliação da Edificação Construída</t>
  </si>
  <si>
    <t>Condicionamento de ar</t>
  </si>
  <si>
    <t>Iluminação artificial</t>
  </si>
  <si>
    <t>Software utilizado:</t>
  </si>
  <si>
    <t>Sistema</t>
  </si>
  <si>
    <t>Eficiência</t>
  </si>
  <si>
    <t>Requisitos Classe "A"</t>
  </si>
  <si>
    <t>Sistema: split</t>
  </si>
  <si>
    <t>Sistema: Central</t>
  </si>
  <si>
    <t>Cálculo da altura manométrica das bombas</t>
  </si>
  <si>
    <t>Controle de temperatura por zona</t>
  </si>
  <si>
    <t>Faixa de temperatura de controle</t>
  </si>
  <si>
    <t>Aquecimento suplementar</t>
  </si>
  <si>
    <t>Evitar aquecimento e refrigeração simultâneo</t>
  </si>
  <si>
    <t>Sistema de desligamento automático</t>
  </si>
  <si>
    <t>Agrupamento de zonas</t>
  </si>
  <si>
    <t>Equipamentos de rejeição de calor</t>
  </si>
  <si>
    <t>Controles e dim. do sistema de ventilação</t>
  </si>
  <si>
    <t>Controles e dim. dos sistemas hidrônicos</t>
  </si>
  <si>
    <t>Controle do ventilador:  sistemas VAV</t>
  </si>
  <si>
    <t>Posicionamento do sensor de pressão</t>
  </si>
  <si>
    <t>Sist. vazão de líquido variável</t>
  </si>
  <si>
    <t>Operação das bombas</t>
  </si>
  <si>
    <t>Controle reajuste da temp. água gelada e quente</t>
  </si>
  <si>
    <t>Controles de sist. de vent.: altas taxas de ocupação</t>
  </si>
  <si>
    <t>Parcela Avaliada</t>
  </si>
  <si>
    <t>Área iluminada (m²)</t>
  </si>
  <si>
    <t>Declaração/Projeto</t>
  </si>
  <si>
    <t>Área condicionada (m²)</t>
  </si>
  <si>
    <t>Contribuição da luz natural</t>
  </si>
  <si>
    <t>Controle Local</t>
  </si>
  <si>
    <t>Deslig. Automático</t>
  </si>
  <si>
    <t>Tubulação</t>
  </si>
  <si>
    <t>Aquecimento a gás</t>
  </si>
  <si>
    <t>Tipo</t>
  </si>
  <si>
    <t>Quantidade</t>
  </si>
  <si>
    <t>Área de cada coletor (m²)</t>
  </si>
  <si>
    <t>Inclinação</t>
  </si>
  <si>
    <t>Fração Solar</t>
  </si>
  <si>
    <t>Aquecimento Solar: Coletores</t>
  </si>
  <si>
    <t>Reservatório</t>
  </si>
  <si>
    <t>Perdas</t>
  </si>
  <si>
    <t>Dimensionamento</t>
  </si>
  <si>
    <t>Elétrico</t>
  </si>
  <si>
    <t>Isolamento</t>
  </si>
  <si>
    <t>Recirculação</t>
  </si>
  <si>
    <t>C</t>
  </si>
  <si>
    <t>Automação</t>
  </si>
  <si>
    <t>Controle Acionamento</t>
  </si>
  <si>
    <t>Outros</t>
  </si>
  <si>
    <t>Quant. de aquecedores</t>
  </si>
  <si>
    <t>Classe Inmetro</t>
  </si>
  <si>
    <t>Equipamentos Economizadores</t>
  </si>
  <si>
    <t>Vazão Mictório</t>
  </si>
  <si>
    <t>Torneira Lavatório</t>
  </si>
  <si>
    <t>Chuveiro</t>
  </si>
  <si>
    <t>Torneira cozinha</t>
  </si>
  <si>
    <t>Bacia Sanitária</t>
  </si>
  <si>
    <t>Oferta de água não potável</t>
  </si>
  <si>
    <t>Oferta  (L/ano)</t>
  </si>
  <si>
    <t>Equipamento (modelo)</t>
  </si>
  <si>
    <t>Características</t>
  </si>
  <si>
    <t>Geração estimada (kWh/ano)</t>
  </si>
  <si>
    <t>Etapa:</t>
  </si>
  <si>
    <t>Sistemas Construtivos:</t>
  </si>
  <si>
    <t>Sistemas avaliados</t>
  </si>
  <si>
    <t>Eficência do equip. (%)</t>
  </si>
  <si>
    <t>Eficiência do equip.</t>
  </si>
  <si>
    <t>Espessura do isolamento (cm)</t>
  </si>
  <si>
    <t>Vazão (L/min)</t>
  </si>
  <si>
    <t>Perdas (kWh/dia)</t>
  </si>
  <si>
    <t>Eficiência (%)</t>
  </si>
  <si>
    <t>Descrição Padrão de uso dos equipamentos</t>
  </si>
  <si>
    <t>Descrição Padrão de uso do sist. de iluminação</t>
  </si>
  <si>
    <t>Descrição Padrão de uso do sist. de condicionamento de ar</t>
  </si>
  <si>
    <t>Descrição Padrão de Ocupação</t>
  </si>
  <si>
    <t>Versão</t>
  </si>
  <si>
    <t>Arquivo Climático</t>
  </si>
  <si>
    <t>Taxa metabólica dos ocupantes</t>
  </si>
  <si>
    <t>Conisdera o entorno?</t>
  </si>
  <si>
    <t>Possui sombreamento (brises)?</t>
  </si>
  <si>
    <t>Tipo (parede / cobertura)</t>
  </si>
  <si>
    <t>Emissividade ε (face externa)</t>
  </si>
  <si>
    <t>Capacidade Térmica CT (kJ/(m².K))</t>
  </si>
  <si>
    <t>Transmitância Térmica U (W/(m².K))</t>
  </si>
  <si>
    <t>Ventilação Natural</t>
  </si>
  <si>
    <t>Possui uso de Ventilação natural?</t>
  </si>
  <si>
    <t>Ambientes</t>
  </si>
  <si>
    <t>Absortânica α (face externa)</t>
  </si>
  <si>
    <t>Coeficente de Pressão</t>
  </si>
  <si>
    <t>Preencher as abas dos sistemas avaliados</t>
  </si>
  <si>
    <t>Avaliado por simulação?</t>
  </si>
  <si>
    <t>Para outras informações: www.pbeedifica.com.br</t>
  </si>
  <si>
    <t xml:space="preserve">Data da atualização: </t>
  </si>
  <si>
    <t>Edificações Comerciais, de Serviços e Públicas</t>
  </si>
  <si>
    <t>PROGRAMA BRASILEIRO DE ETIQUETAGEM - PBE</t>
  </si>
  <si>
    <t>INSTITUTO NACIONAL DE METROLOGIA, QUALIDADE E TECNOLOGIA</t>
  </si>
  <si>
    <t>Em parceira com:</t>
  </si>
  <si>
    <t>Ministério da Economia</t>
  </si>
  <si>
    <t>XX/XX/XXXX</t>
  </si>
  <si>
    <t>OIA-EEE</t>
  </si>
  <si>
    <r>
      <t xml:space="preserve">V </t>
    </r>
    <r>
      <rPr>
        <b/>
        <vertAlign val="subscript"/>
        <sz val="10"/>
        <rFont val="Calibri"/>
        <family val="2"/>
        <scheme val="minor"/>
      </rPr>
      <t>armazenamento</t>
    </r>
    <r>
      <rPr>
        <b/>
        <sz val="10"/>
        <rFont val="Calibri"/>
        <family val="2"/>
        <scheme val="minor"/>
      </rPr>
      <t xml:space="preserve"> (L)</t>
    </r>
  </si>
  <si>
    <r>
      <t xml:space="preserve">V </t>
    </r>
    <r>
      <rPr>
        <b/>
        <vertAlign val="subscript"/>
        <sz val="10"/>
        <rFont val="Calibri"/>
        <family val="2"/>
        <scheme val="minor"/>
      </rPr>
      <t>consumo</t>
    </r>
    <r>
      <rPr>
        <b/>
        <sz val="10"/>
        <rFont val="Calibri"/>
        <family val="2"/>
        <scheme val="minor"/>
      </rPr>
      <t xml:space="preserve"> (L)</t>
    </r>
  </si>
  <si>
    <r>
      <t>T</t>
    </r>
    <r>
      <rPr>
        <b/>
        <vertAlign val="subscript"/>
        <sz val="10"/>
        <rFont val="Calibri"/>
        <family val="2"/>
        <scheme val="minor"/>
      </rPr>
      <t xml:space="preserve"> armaz.</t>
    </r>
    <r>
      <rPr>
        <b/>
        <sz val="10"/>
        <rFont val="Calibri"/>
        <family val="2"/>
        <scheme val="minor"/>
      </rPr>
      <t xml:space="preserve"> (°C)</t>
    </r>
  </si>
  <si>
    <r>
      <t xml:space="preserve">T </t>
    </r>
    <r>
      <rPr>
        <b/>
        <vertAlign val="subscript"/>
        <sz val="10"/>
        <rFont val="Calibri"/>
        <family val="2"/>
        <scheme val="minor"/>
      </rPr>
      <t>água fria</t>
    </r>
    <r>
      <rPr>
        <b/>
        <sz val="10"/>
        <rFont val="Calibri"/>
        <family val="2"/>
        <scheme val="minor"/>
      </rPr>
      <t xml:space="preserve"> (média anual) (°C)</t>
    </r>
  </si>
  <si>
    <r>
      <t>T</t>
    </r>
    <r>
      <rPr>
        <b/>
        <vertAlign val="subscript"/>
        <sz val="10"/>
        <rFont val="Calibri"/>
        <family val="2"/>
        <scheme val="minor"/>
      </rPr>
      <t xml:space="preserve"> consumo</t>
    </r>
    <r>
      <rPr>
        <b/>
        <sz val="10"/>
        <rFont val="Calibri"/>
        <family val="2"/>
        <scheme val="minor"/>
      </rPr>
      <t xml:space="preserve"> (°C)</t>
    </r>
  </si>
  <si>
    <r>
      <t>EAA</t>
    </r>
    <r>
      <rPr>
        <b/>
        <vertAlign val="subscript"/>
        <sz val="10"/>
        <rFont val="Calibri"/>
        <family val="2"/>
        <scheme val="minor"/>
      </rPr>
      <t xml:space="preserve">E </t>
    </r>
    <r>
      <rPr>
        <b/>
        <sz val="10"/>
        <rFont val="Calibri"/>
        <family val="2"/>
        <scheme val="minor"/>
      </rPr>
      <t>(kWh/dia)</t>
    </r>
  </si>
  <si>
    <r>
      <t>EAA</t>
    </r>
    <r>
      <rPr>
        <b/>
        <vertAlign val="subscript"/>
        <sz val="10"/>
        <rFont val="Calibri"/>
        <family val="2"/>
        <scheme val="minor"/>
      </rPr>
      <t>T</t>
    </r>
    <r>
      <rPr>
        <b/>
        <sz val="10"/>
        <rFont val="Calibri"/>
        <family val="2"/>
        <scheme val="minor"/>
      </rPr>
      <t xml:space="preserve"> (kWh/dia)</t>
    </r>
  </si>
  <si>
    <r>
      <t>EAA</t>
    </r>
    <r>
      <rPr>
        <b/>
        <vertAlign val="subscript"/>
        <sz val="10"/>
        <rFont val="Calibri"/>
        <family val="2"/>
        <scheme val="minor"/>
      </rPr>
      <t>Rec</t>
    </r>
    <r>
      <rPr>
        <b/>
        <sz val="10"/>
        <rFont val="Calibri"/>
        <family val="2"/>
        <scheme val="minor"/>
      </rPr>
      <t xml:space="preserve"> (kWh/dia)</t>
    </r>
  </si>
  <si>
    <r>
      <t>F</t>
    </r>
    <r>
      <rPr>
        <b/>
        <vertAlign val="subscript"/>
        <sz val="10"/>
        <rFont val="Calibri"/>
        <family val="2"/>
        <scheme val="minor"/>
      </rPr>
      <t>R</t>
    </r>
    <r>
      <rPr>
        <b/>
        <sz val="10"/>
        <rFont val="Calibri"/>
        <family val="2"/>
        <scheme val="minor"/>
      </rPr>
      <t xml:space="preserve"> (</t>
    </r>
    <r>
      <rPr>
        <b/>
        <sz val="10"/>
        <rFont val="Symbol"/>
        <family val="1"/>
        <charset val="2"/>
      </rPr>
      <t>ta</t>
    </r>
    <r>
      <rPr>
        <b/>
        <sz val="10"/>
        <rFont val="Calibri"/>
        <family val="2"/>
        <scheme val="minor"/>
      </rPr>
      <t>)</t>
    </r>
    <r>
      <rPr>
        <b/>
        <vertAlign val="subscript"/>
        <sz val="10"/>
        <rFont val="Calibri"/>
        <family val="2"/>
        <scheme val="minor"/>
      </rPr>
      <t>n</t>
    </r>
  </si>
  <si>
    <r>
      <t>F</t>
    </r>
    <r>
      <rPr>
        <b/>
        <vertAlign val="subscript"/>
        <sz val="10"/>
        <rFont val="Calibri"/>
        <family val="2"/>
        <scheme val="minor"/>
      </rPr>
      <t>R</t>
    </r>
    <r>
      <rPr>
        <b/>
        <sz val="10"/>
        <rFont val="Calibri"/>
        <family val="2"/>
        <scheme val="minor"/>
      </rPr>
      <t xml:space="preserve"> U</t>
    </r>
    <r>
      <rPr>
        <b/>
        <vertAlign val="subscript"/>
        <sz val="10"/>
        <rFont val="Calibri"/>
        <family val="2"/>
        <scheme val="minor"/>
      </rPr>
      <t xml:space="preserve">L </t>
    </r>
    <r>
      <rPr>
        <b/>
        <sz val="10"/>
        <rFont val="Calibri"/>
        <family val="2"/>
        <scheme val="minor"/>
      </rPr>
      <t>(kW/(m².K))</t>
    </r>
  </si>
  <si>
    <r>
      <t>Condutividade Térmica (</t>
    </r>
    <r>
      <rPr>
        <b/>
        <sz val="10"/>
        <color theme="1"/>
        <rFont val="Symbol"/>
        <family val="1"/>
        <charset val="2"/>
      </rPr>
      <t>l)</t>
    </r>
    <r>
      <rPr>
        <b/>
        <sz val="10"/>
        <color theme="1"/>
        <rFont val="Calibri"/>
        <family val="2"/>
        <scheme val="minor"/>
      </rPr>
      <t xml:space="preserve"> do isolamento (W/mK)</t>
    </r>
  </si>
  <si>
    <t>Nome da Edificação:</t>
  </si>
  <si>
    <t>SIMULAÇÃO</t>
  </si>
  <si>
    <t>GERAÇÃO DE ENERGIA</t>
  </si>
  <si>
    <t>USO RACIONAL DE ÁGUA</t>
  </si>
  <si>
    <t>#</t>
  </si>
  <si>
    <t>AQUECIMENTO DE ÁGUA</t>
  </si>
  <si>
    <t>ILUMINAÇÃO</t>
  </si>
  <si>
    <t>CONDICIONAMENTO DE AR</t>
  </si>
  <si>
    <t>ENVOLTÓRIA</t>
  </si>
  <si>
    <t>Pavimento</t>
  </si>
  <si>
    <t>Zona Térmica</t>
  </si>
  <si>
    <t>Uso</t>
  </si>
  <si>
    <t>Condição de piso</t>
  </si>
  <si>
    <t>U (W/m²k)</t>
  </si>
  <si>
    <t>CT (kJ/m²K)</t>
  </si>
  <si>
    <t>Absortância</t>
  </si>
  <si>
    <t>Fator Solar</t>
  </si>
  <si>
    <t>Cargas internas</t>
  </si>
  <si>
    <t>DPI (W/m²)</t>
  </si>
  <si>
    <t>Ocupação (m²/pessoa)</t>
  </si>
  <si>
    <t>Horas de ocupação</t>
  </si>
  <si>
    <t>DADOS GERAIS</t>
  </si>
  <si>
    <t>Dias de ocupação</t>
  </si>
  <si>
    <t>DPE (W/m²)</t>
  </si>
  <si>
    <t>Não preencher (Fórmula)</t>
  </si>
  <si>
    <t>Escolher na lista</t>
  </si>
  <si>
    <t>Preencher</t>
  </si>
  <si>
    <t>Legenda:</t>
  </si>
  <si>
    <t>Cidade:</t>
  </si>
  <si>
    <t>Área construída (m²):</t>
  </si>
  <si>
    <t>Zona Bioclimática:</t>
  </si>
  <si>
    <t>UF:</t>
  </si>
  <si>
    <t>Tipologia predominante:</t>
  </si>
  <si>
    <t>Projeto</t>
  </si>
  <si>
    <t>AC</t>
  </si>
  <si>
    <t>AM</t>
  </si>
  <si>
    <t>RS</t>
  </si>
  <si>
    <t>Fazenda Vilanova</t>
  </si>
  <si>
    <t>General Câmara</t>
  </si>
  <si>
    <t>Imbituba</t>
  </si>
  <si>
    <t>Paverama</t>
  </si>
  <si>
    <t>Tabaí</t>
  </si>
  <si>
    <t>Presidente Castelo Branco</t>
  </si>
  <si>
    <t>PR</t>
  </si>
  <si>
    <t>Mariópolis</t>
  </si>
  <si>
    <t>Bocaiúva do Sul</t>
  </si>
  <si>
    <t>PE</t>
  </si>
  <si>
    <t>Caetés</t>
  </si>
  <si>
    <t>ES</t>
  </si>
  <si>
    <t>Santa Leopoldina</t>
  </si>
  <si>
    <t>Santa Maria de Jetibá</t>
  </si>
  <si>
    <t>Garopaba</t>
  </si>
  <si>
    <t>Santa Teresa</t>
  </si>
  <si>
    <t>Paulo Lopes</t>
  </si>
  <si>
    <t>Palma Sola</t>
  </si>
  <si>
    <t>Bom Jardim da Serra</t>
  </si>
  <si>
    <t>RJ</t>
  </si>
  <si>
    <t>Trajano de Morais</t>
  </si>
  <si>
    <t>Urubici</t>
  </si>
  <si>
    <t>Guarapuava</t>
  </si>
  <si>
    <t>Erval Velho</t>
  </si>
  <si>
    <t>Jaborá</t>
  </si>
  <si>
    <t>SP</t>
  </si>
  <si>
    <t>São Paulo</t>
  </si>
  <si>
    <t>Santa Maria Madalena</t>
  </si>
  <si>
    <t>Santo André</t>
  </si>
  <si>
    <t>São Bernardo do Campo</t>
  </si>
  <si>
    <t>Vargeão</t>
  </si>
  <si>
    <t>Capinzal</t>
  </si>
  <si>
    <t>Ouro</t>
  </si>
  <si>
    <t>Diadema</t>
  </si>
  <si>
    <t>São Caetano do Sul</t>
  </si>
  <si>
    <t>Ribeirão Pires</t>
  </si>
  <si>
    <t>Rio Grande da Serra</t>
  </si>
  <si>
    <t>Faxinal dos Guedes</t>
  </si>
  <si>
    <t>Zortéa</t>
  </si>
  <si>
    <t>São Sebastião do Alto</t>
  </si>
  <si>
    <t>Lacerdópolis</t>
  </si>
  <si>
    <t>MG</t>
  </si>
  <si>
    <t>Bela Vista de Minas</t>
  </si>
  <si>
    <t>Três Barras do Paraná</t>
  </si>
  <si>
    <t>Colombo</t>
  </si>
  <si>
    <t>Campina Grande do Sul</t>
  </si>
  <si>
    <t>Mauá</t>
  </si>
  <si>
    <t>Xavantina</t>
  </si>
  <si>
    <t>Ipumirim</t>
  </si>
  <si>
    <t>Paial</t>
  </si>
  <si>
    <t>Catanduvas</t>
  </si>
  <si>
    <t>Cascavel</t>
  </si>
  <si>
    <t>Barra do Rio Azul</t>
  </si>
  <si>
    <t>Campo Erê</t>
  </si>
  <si>
    <t>Capoeiras</t>
  </si>
  <si>
    <t>Tanguá</t>
  </si>
  <si>
    <t>Itatiba do Sul</t>
  </si>
  <si>
    <t>Ibema</t>
  </si>
  <si>
    <t>Santa Maria do Oeste</t>
  </si>
  <si>
    <t>Taboão da Serra</t>
  </si>
  <si>
    <t>Balsa Nova</t>
  </si>
  <si>
    <t>Jucati</t>
  </si>
  <si>
    <t>Calmon</t>
  </si>
  <si>
    <t>Arvoredo</t>
  </si>
  <si>
    <t>Garuva</t>
  </si>
  <si>
    <t>Nova Veneza</t>
  </si>
  <si>
    <t>Contenda</t>
  </si>
  <si>
    <t>Ajuricaba</t>
  </si>
  <si>
    <t>Corbélia</t>
  </si>
  <si>
    <t>Osasco</t>
  </si>
  <si>
    <t>Palhoça</t>
  </si>
  <si>
    <t>Itaboraí</t>
  </si>
  <si>
    <t>Rio Branco do Sul</t>
  </si>
  <si>
    <t>Cruz Machado</t>
  </si>
  <si>
    <t>Santa Lúcia</t>
  </si>
  <si>
    <t>Pomerode</t>
  </si>
  <si>
    <t>Tunas do Paraná</t>
  </si>
  <si>
    <t>Ibirité</t>
  </si>
  <si>
    <t>Schroeder</t>
  </si>
  <si>
    <t>Itaperuçu</t>
  </si>
  <si>
    <t>Campo Largo</t>
  </si>
  <si>
    <t>Biguaçu</t>
  </si>
  <si>
    <t>Jandira</t>
  </si>
  <si>
    <t>Contagem</t>
  </si>
  <si>
    <t>Sem-Peixe</t>
  </si>
  <si>
    <t>Pinhais</t>
  </si>
  <si>
    <t>Ipira</t>
  </si>
  <si>
    <t>Rio Piracicaba</t>
  </si>
  <si>
    <t>Treviso</t>
  </si>
  <si>
    <t>Machadinho</t>
  </si>
  <si>
    <t>São José</t>
  </si>
  <si>
    <t>João Monlevade</t>
  </si>
  <si>
    <t>Alvinópolis</t>
  </si>
  <si>
    <t>Dom Silvério</t>
  </si>
  <si>
    <t>Cachoeiras de Macacu</t>
  </si>
  <si>
    <t>São José dos Ausentes</t>
  </si>
  <si>
    <t>Mandirituba</t>
  </si>
  <si>
    <t>Rio Paranaíba</t>
  </si>
  <si>
    <t>Marquinho</t>
  </si>
  <si>
    <t>São José dos Pinhais</t>
  </si>
  <si>
    <t>Piratuba</t>
  </si>
  <si>
    <t>Santa Cruz do Escalvado</t>
  </si>
  <si>
    <t>Rio Doce</t>
  </si>
  <si>
    <t>Quatro Barras</t>
  </si>
  <si>
    <t>Fazenda Rio Grande</t>
  </si>
  <si>
    <t>Matos Costa</t>
  </si>
  <si>
    <t>Araucária</t>
  </si>
  <si>
    <t>Juiz de Fora</t>
  </si>
  <si>
    <t>São Joaquim</t>
  </si>
  <si>
    <t>Tijucas do Sul</t>
  </si>
  <si>
    <t>Palmital</t>
  </si>
  <si>
    <t>Quitandinha</t>
  </si>
  <si>
    <t>Siderópolis</t>
  </si>
  <si>
    <t>Guapimirim</t>
  </si>
  <si>
    <t>Lapa</t>
  </si>
  <si>
    <t>Piedade de Ponte Nova</t>
  </si>
  <si>
    <t>Embu</t>
  </si>
  <si>
    <t>Nova Resende</t>
  </si>
  <si>
    <t>Diamantina</t>
  </si>
  <si>
    <t>Rio Casca</t>
  </si>
  <si>
    <t>Timbé do Sul</t>
  </si>
  <si>
    <t>Urucânia</t>
  </si>
  <si>
    <t>Barra Longa</t>
  </si>
  <si>
    <t>Matias Barbosa</t>
  </si>
  <si>
    <t>Curiúva</t>
  </si>
  <si>
    <t>Morro Grande</t>
  </si>
  <si>
    <t>Ponte Nova</t>
  </si>
  <si>
    <t>Bom Jardim</t>
  </si>
  <si>
    <t>Campo Magro</t>
  </si>
  <si>
    <t>Corupá</t>
  </si>
  <si>
    <t>Mário Campos</t>
  </si>
  <si>
    <t>Sarzedo</t>
  </si>
  <si>
    <t>Oratórios</t>
  </si>
  <si>
    <t>Nova Friburgo</t>
  </si>
  <si>
    <t>Nova Lima</t>
  </si>
  <si>
    <t>Guarulhos</t>
  </si>
  <si>
    <t>Rio dos Cedros</t>
  </si>
  <si>
    <t>Almirante Tamandaré</t>
  </si>
  <si>
    <t>Jequeri</t>
  </si>
  <si>
    <t>Ouro Branco</t>
  </si>
  <si>
    <t>Magé</t>
  </si>
  <si>
    <t>Simão Pereira</t>
  </si>
  <si>
    <t>Moeda</t>
  </si>
  <si>
    <t>Santo Antônio do Grama</t>
  </si>
  <si>
    <t>Belmiro Braga</t>
  </si>
  <si>
    <t>Amparo do Serra</t>
  </si>
  <si>
    <t>Couto de Magalhães de Minas</t>
  </si>
  <si>
    <t>Carapicuíba</t>
  </si>
  <si>
    <t>Agudos do Sul</t>
  </si>
  <si>
    <t>Pinhalão</t>
  </si>
  <si>
    <t>Olaria</t>
  </si>
  <si>
    <t>Jaboti</t>
  </si>
  <si>
    <t>Sapopema</t>
  </si>
  <si>
    <t>Pedro Teixeira</t>
  </si>
  <si>
    <t>Guaraciaba</t>
  </si>
  <si>
    <t>Figueira</t>
  </si>
  <si>
    <t>Datas</t>
  </si>
  <si>
    <t>Bonfim</t>
  </si>
  <si>
    <t>Catas Altas da Noruega</t>
  </si>
  <si>
    <t>Abre Campo</t>
  </si>
  <si>
    <t>Congonhas</t>
  </si>
  <si>
    <t>Pedra do Anta</t>
  </si>
  <si>
    <t>Belo Vale</t>
  </si>
  <si>
    <t>Nova Tebas</t>
  </si>
  <si>
    <t>Rio Acima</t>
  </si>
  <si>
    <t>BA</t>
  </si>
  <si>
    <t>Abaíra</t>
  </si>
  <si>
    <t>Piatã</t>
  </si>
  <si>
    <t>Conceição do Castelo</t>
  </si>
  <si>
    <t>Acaiaca</t>
  </si>
  <si>
    <t>Aiuruoca</t>
  </si>
  <si>
    <t>Alagoa</t>
  </si>
  <si>
    <t>Alfenas</t>
  </si>
  <si>
    <t>Alfredo Vasconcelos</t>
  </si>
  <si>
    <t>Alpinópolis</t>
  </si>
  <si>
    <t>Alterosa</t>
  </si>
  <si>
    <t>Alto Rio Doce</t>
  </si>
  <si>
    <t>Andrelândia</t>
  </si>
  <si>
    <t>Antônio Carlos</t>
  </si>
  <si>
    <t>Aracitaba</t>
  </si>
  <si>
    <t>Arantina</t>
  </si>
  <si>
    <t>Areado</t>
  </si>
  <si>
    <t>Bandeira do Sul</t>
  </si>
  <si>
    <t>Barbacena</t>
  </si>
  <si>
    <t>Barroso</t>
  </si>
  <si>
    <t>Bias Fortes</t>
  </si>
  <si>
    <t>Boa Esperança</t>
  </si>
  <si>
    <t>Bocaina de Minas</t>
  </si>
  <si>
    <t>Bom Jardim de Minas</t>
  </si>
  <si>
    <t>Bom Jesus da Penha</t>
  </si>
  <si>
    <t>Bom Sucesso</t>
  </si>
  <si>
    <t>Botelhos</t>
  </si>
  <si>
    <t>Brás Pires</t>
  </si>
  <si>
    <t>Brumadinho</t>
  </si>
  <si>
    <t>Cambuí</t>
  </si>
  <si>
    <t>Campo do Meio</t>
  </si>
  <si>
    <t>Campos Gerais</t>
  </si>
  <si>
    <t>Capela Nova</t>
  </si>
  <si>
    <t>Capelinha</t>
  </si>
  <si>
    <t>Caputira</t>
  </si>
  <si>
    <t>Caranaíba</t>
  </si>
  <si>
    <t>Carandaí</t>
  </si>
  <si>
    <t>Carmo da Cachoeira</t>
  </si>
  <si>
    <t>Carmo do Rio Claro</t>
  </si>
  <si>
    <t>Carmópolis de Minas</t>
  </si>
  <si>
    <t>Carrancas</t>
  </si>
  <si>
    <t>Carvalhos</t>
  </si>
  <si>
    <t>Casa Grande</t>
  </si>
  <si>
    <t>Catas Altas</t>
  </si>
  <si>
    <t>Chiador</t>
  </si>
  <si>
    <t>Cipotânea</t>
  </si>
  <si>
    <t>Conceição da Aparecida</t>
  </si>
  <si>
    <t>Conceição da Barra de Minas</t>
  </si>
  <si>
    <t>Conselheiro Lafaiete</t>
  </si>
  <si>
    <t>Consolação</t>
  </si>
  <si>
    <t>Coqueiral</t>
  </si>
  <si>
    <t>Coronel Xavier Chaves</t>
  </si>
  <si>
    <t>Córrego do Bom Jesus</t>
  </si>
  <si>
    <t>Cristiano Otoni</t>
  </si>
  <si>
    <t>Crucilândia</t>
  </si>
  <si>
    <t>Desterro de Entre Rios</t>
  </si>
  <si>
    <t>Desterro do Melo</t>
  </si>
  <si>
    <t>Diogo de Vasconcelos</t>
  </si>
  <si>
    <t>Divisa Nova</t>
  </si>
  <si>
    <t>Dores de Campos</t>
  </si>
  <si>
    <t>Entre Rios de Minas</t>
  </si>
  <si>
    <t>Ewbank da Câmara</t>
  </si>
  <si>
    <t>Fama</t>
  </si>
  <si>
    <t>Felício dos Santos</t>
  </si>
  <si>
    <t>Gonçalves</t>
  </si>
  <si>
    <t>Ibertioga</t>
  </si>
  <si>
    <t>Ijaci</t>
  </si>
  <si>
    <t>Ilicínea</t>
  </si>
  <si>
    <t>Itaguara</t>
  </si>
  <si>
    <t>Itamonte</t>
  </si>
  <si>
    <t>Itaverava</t>
  </si>
  <si>
    <t>Itutinga</t>
  </si>
  <si>
    <t>Jeceaba</t>
  </si>
  <si>
    <t>Lagoa Dourada</t>
  </si>
  <si>
    <t>Lamim</t>
  </si>
  <si>
    <t>Liberdade</t>
  </si>
  <si>
    <t>Lima Duarte</t>
  </si>
  <si>
    <t>Mar de Espanha</t>
  </si>
  <si>
    <t>Maria da Fé</t>
  </si>
  <si>
    <t>Mariana</t>
  </si>
  <si>
    <t>Matipó</t>
  </si>
  <si>
    <t>Medeiros</t>
  </si>
  <si>
    <t>Mercês</t>
  </si>
  <si>
    <t>Minduri</t>
  </si>
  <si>
    <t>Nazareno</t>
  </si>
  <si>
    <t>Oliveira Fortes</t>
  </si>
  <si>
    <t>Oliveira</t>
  </si>
  <si>
    <t>Ouro Preto</t>
  </si>
  <si>
    <t>Paiva</t>
  </si>
  <si>
    <t>Paraisópolis</t>
  </si>
  <si>
    <t>Passa Quatro</t>
  </si>
  <si>
    <t>Pequeri</t>
  </si>
  <si>
    <t>Piedade do Rio Grande</t>
  </si>
  <si>
    <t>Piedade dos Gerais</t>
  </si>
  <si>
    <t>Piracema</t>
  </si>
  <si>
    <t>Piranga</t>
  </si>
  <si>
    <t>Porto Firme</t>
  </si>
  <si>
    <t>Prados</t>
  </si>
  <si>
    <t>Pratinha</t>
  </si>
  <si>
    <t>Presidente Bernardes</t>
  </si>
  <si>
    <t>Presidente Kubitschek</t>
  </si>
  <si>
    <t>Presidente Olegário</t>
  </si>
  <si>
    <t>Resende Costa</t>
  </si>
  <si>
    <t>Ressaquinha</t>
  </si>
  <si>
    <t>Rio Espera</t>
  </si>
  <si>
    <t>Rio Manso</t>
  </si>
  <si>
    <t>Ritápolis</t>
  </si>
  <si>
    <t>Santa Bárbara do Monte Verde</t>
  </si>
  <si>
    <t>Santa Bárbara do Tugúrio</t>
  </si>
  <si>
    <t>Santa Bárbara</t>
  </si>
  <si>
    <t>Santa Cruz de Minas</t>
  </si>
  <si>
    <t>Santa Margarida</t>
  </si>
  <si>
    <t>Santa Rita de Jacutinga</t>
  </si>
  <si>
    <t>Santana da Vargem</t>
  </si>
  <si>
    <t>Santana do Deserto</t>
  </si>
  <si>
    <t>Santana do Garambéu</t>
  </si>
  <si>
    <t>Santana dos Montes</t>
  </si>
  <si>
    <t>Santo Antônio do Itambé</t>
  </si>
  <si>
    <t>Santos Dumont</t>
  </si>
  <si>
    <t>São Brás do Suaçuí</t>
  </si>
  <si>
    <t>São Francisco de Paula</t>
  </si>
  <si>
    <t>São Gonçalo do Rio Preto</t>
  </si>
  <si>
    <t>São João del Rei</t>
  </si>
  <si>
    <t>São Pedro da União</t>
  </si>
  <si>
    <t>São Roque de Minas</t>
  </si>
  <si>
    <t>São Tiago</t>
  </si>
  <si>
    <t>São Vicente de Minas</t>
  </si>
  <si>
    <t>Sapucaí-Mirim</t>
  </si>
  <si>
    <t>Senador Firmino</t>
  </si>
  <si>
    <t>Senador Modestino Gonçalves</t>
  </si>
  <si>
    <t>Senhora de Oliveira</t>
  </si>
  <si>
    <t>Senhora dos Remédios</t>
  </si>
  <si>
    <t>Seritinga</t>
  </si>
  <si>
    <t>Serra Azul de Minas</t>
  </si>
  <si>
    <t>Serranos</t>
  </si>
  <si>
    <t>Serro</t>
  </si>
  <si>
    <t>Teixeiras</t>
  </si>
  <si>
    <t>Três Pontas</t>
  </si>
  <si>
    <t>Varginha</t>
  </si>
  <si>
    <t>Viçosa</t>
  </si>
  <si>
    <t>Castro</t>
  </si>
  <si>
    <t>Curitiba</t>
  </si>
  <si>
    <t>Ibaiti</t>
  </si>
  <si>
    <t>Japira</t>
  </si>
  <si>
    <t>Piên</t>
  </si>
  <si>
    <t>Piraí do Sul</t>
  </si>
  <si>
    <t>Areal</t>
  </si>
  <si>
    <t>Comendador Levy Gasparian</t>
  </si>
  <si>
    <t>Paraíba do Sul</t>
  </si>
  <si>
    <t>São José do Vale do Rio Preto</t>
  </si>
  <si>
    <t>Sapucaia</t>
  </si>
  <si>
    <t>Teresópolis</t>
  </si>
  <si>
    <t>Três Rios</t>
  </si>
  <si>
    <t>Campo Alegre</t>
  </si>
  <si>
    <t>Itapoá</t>
  </si>
  <si>
    <t>São Bento do Sul</t>
  </si>
  <si>
    <t>Avaré</t>
  </si>
  <si>
    <t>Barueri</t>
  </si>
  <si>
    <t>Caieiras</t>
  </si>
  <si>
    <t>Campos do Jordão</t>
  </si>
  <si>
    <t>Embu-Guaçu</t>
  </si>
  <si>
    <t>Franco da Rocha</t>
  </si>
  <si>
    <t>Itapecerica da Serra</t>
  </si>
  <si>
    <t>Itapeva</t>
  </si>
  <si>
    <t>Nova Campina</t>
  </si>
  <si>
    <t>Santo Antônio do Pinhal</t>
  </si>
  <si>
    <t>São Bento do Sapucaí</t>
  </si>
  <si>
    <t>São Carlos</t>
  </si>
  <si>
    <t>São Luís do Paraitinga</t>
  </si>
  <si>
    <t>Bom Retiro do Sul</t>
  </si>
  <si>
    <t>Mariano Moro</t>
  </si>
  <si>
    <t>Turvo</t>
  </si>
  <si>
    <t>Aratiba</t>
  </si>
  <si>
    <t>Arabutã</t>
  </si>
  <si>
    <t>Campina da Lagoa</t>
  </si>
  <si>
    <t>Honório Serpa</t>
  </si>
  <si>
    <t>Santa Tereza do Oeste</t>
  </si>
  <si>
    <t>Altamira do Paraná</t>
  </si>
  <si>
    <t>Boa Ventura de São Roque</t>
  </si>
  <si>
    <t>Coronel Domingos Soares</t>
  </si>
  <si>
    <t>Braganey</t>
  </si>
  <si>
    <t>Campina do Simão</t>
  </si>
  <si>
    <t>Campo Bonito</t>
  </si>
  <si>
    <t>Pitanga</t>
  </si>
  <si>
    <t>Mato Rico</t>
  </si>
  <si>
    <t>Juranda</t>
  </si>
  <si>
    <t>Ponta Grossa</t>
  </si>
  <si>
    <t>Lindoeste</t>
  </si>
  <si>
    <t>Iguatu</t>
  </si>
  <si>
    <t>Guaraniaçu</t>
  </si>
  <si>
    <t>Passos Maia</t>
  </si>
  <si>
    <t>Nova Cantu</t>
  </si>
  <si>
    <t>Mamborê</t>
  </si>
  <si>
    <t>Mangueirinha</t>
  </si>
  <si>
    <t>São João do Triunfo</t>
  </si>
  <si>
    <t>Vargem Bonita</t>
  </si>
  <si>
    <t>Arapuã</t>
  </si>
  <si>
    <t>Lindóia do Sul</t>
  </si>
  <si>
    <t>Manoel Ribas</t>
  </si>
  <si>
    <t>Ariranha do Ivaí</t>
  </si>
  <si>
    <t>Marmeleiro</t>
  </si>
  <si>
    <t>Goioxim</t>
  </si>
  <si>
    <t>Diamante do Sul</t>
  </si>
  <si>
    <t>Luiziana</t>
  </si>
  <si>
    <t>Chopinzinho</t>
  </si>
  <si>
    <t>Rio Bonito do Iguaçu</t>
  </si>
  <si>
    <t>Porto Amazonas</t>
  </si>
  <si>
    <t>Roncador</t>
  </si>
  <si>
    <t>São João</t>
  </si>
  <si>
    <t>Saudade do Iguaçu</t>
  </si>
  <si>
    <t>Renascença</t>
  </si>
  <si>
    <t>Laranjeiras do Sul</t>
  </si>
  <si>
    <t>Irani</t>
  </si>
  <si>
    <t>Porto Barreiro</t>
  </si>
  <si>
    <t>Sulina</t>
  </si>
  <si>
    <t>Laranjal</t>
  </si>
  <si>
    <t>Coronel Vivida</t>
  </si>
  <si>
    <t>Nova Laranjeiras</t>
  </si>
  <si>
    <t>Virmond</t>
  </si>
  <si>
    <t>Concórdia</t>
  </si>
  <si>
    <t>Itapejara d'Oeste</t>
  </si>
  <si>
    <t>Foz do Jordão</t>
  </si>
  <si>
    <t>São Jorge d'Oeste</t>
  </si>
  <si>
    <t>Palmeira</t>
  </si>
  <si>
    <t>Francisco Beltrão</t>
  </si>
  <si>
    <t>São Pedro do Iguaçu</t>
  </si>
  <si>
    <t>Candói</t>
  </si>
  <si>
    <t>Cantagalo</t>
  </si>
  <si>
    <t>Reserva do Iguaçu</t>
  </si>
  <si>
    <t>Verê</t>
  </si>
  <si>
    <t>Jardim Alegre</t>
  </si>
  <si>
    <t>Porto Vitória</t>
  </si>
  <si>
    <t>Bom Sucesso do Sul</t>
  </si>
  <si>
    <t>Campo Mourão</t>
  </si>
  <si>
    <t>Cianorte</t>
  </si>
  <si>
    <t>Pato Branco</t>
  </si>
  <si>
    <t>Poá</t>
  </si>
  <si>
    <t>Suzano</t>
  </si>
  <si>
    <t>Fernandes Pinheiro</t>
  </si>
  <si>
    <t>Bituruna</t>
  </si>
  <si>
    <t>Imbituva</t>
  </si>
  <si>
    <t>Rio Branco do Ivaí</t>
  </si>
  <si>
    <t>Vera Cruz do Oeste</t>
  </si>
  <si>
    <t>Ferraz de Vasconcelos</t>
  </si>
  <si>
    <t>Ventania</t>
  </si>
  <si>
    <t>Moji das Cruzes</t>
  </si>
  <si>
    <t>Biritiba-Mirim</t>
  </si>
  <si>
    <t>Teixeira Soares</t>
  </si>
  <si>
    <t>Céu Azul</t>
  </si>
  <si>
    <t>Ponte Serrada</t>
  </si>
  <si>
    <t>Tibagi</t>
  </si>
  <si>
    <t>Jussiape</t>
  </si>
  <si>
    <t>Barra da Estiva</t>
  </si>
  <si>
    <t>Itaquaquecetuba</t>
  </si>
  <si>
    <t>União da Vitória</t>
  </si>
  <si>
    <t>Pinhão</t>
  </si>
  <si>
    <t>Itatiaia</t>
  </si>
  <si>
    <t>Arapongas</t>
  </si>
  <si>
    <t>Ipiranga</t>
  </si>
  <si>
    <t>Guararema</t>
  </si>
  <si>
    <t>Grão Mogol</t>
  </si>
  <si>
    <t>Piraquara</t>
  </si>
  <si>
    <t>Jacareí</t>
  </si>
  <si>
    <t>Monte Santo de Minas</t>
  </si>
  <si>
    <t>Itumirim</t>
  </si>
  <si>
    <t>Monte Carmelo</t>
  </si>
  <si>
    <t>Arapoti</t>
  </si>
  <si>
    <t>Itabirito</t>
  </si>
  <si>
    <t>Guanhães</t>
  </si>
  <si>
    <t>Imbaú</t>
  </si>
  <si>
    <t>São Miguel Arcanjo</t>
  </si>
  <si>
    <t>Jaguariaíva</t>
  </si>
  <si>
    <t>Santa Branca</t>
  </si>
  <si>
    <t>Petrópolis</t>
  </si>
  <si>
    <t>Ibituruna</t>
  </si>
  <si>
    <t>Camanducaia</t>
  </si>
  <si>
    <t>Madre de Deus de Minas</t>
  </si>
  <si>
    <t>Carambeí</t>
  </si>
  <si>
    <t>Reserva</t>
  </si>
  <si>
    <t>Tiradentes</t>
  </si>
  <si>
    <t>Perdizes</t>
  </si>
  <si>
    <t>Guaxupé</t>
  </si>
  <si>
    <t>São José dos Campos</t>
  </si>
  <si>
    <t>Salesópolis</t>
  </si>
  <si>
    <t>Telêmaco Borba</t>
  </si>
  <si>
    <t>Ouro Fino</t>
  </si>
  <si>
    <t>Sabáudia</t>
  </si>
  <si>
    <t>Doutor Ulysses</t>
  </si>
  <si>
    <t>Ingaí</t>
  </si>
  <si>
    <t>Itararé</t>
  </si>
  <si>
    <t>Cotia</t>
  </si>
  <si>
    <t>Luminárias</t>
  </si>
  <si>
    <t>Tomazina</t>
  </si>
  <si>
    <t>Bofete</t>
  </si>
  <si>
    <t>Itapevi</t>
  </si>
  <si>
    <t>Sengés</t>
  </si>
  <si>
    <t>Piranguçu</t>
  </si>
  <si>
    <t>Areias</t>
  </si>
  <si>
    <t>Arujá</t>
  </si>
  <si>
    <t>Inconfidentes</t>
  </si>
  <si>
    <t>Santa Isabel</t>
  </si>
  <si>
    <t>Torre de Pedra</t>
  </si>
  <si>
    <t>Porangaba</t>
  </si>
  <si>
    <t>Natividade da Serra</t>
  </si>
  <si>
    <t>Wenceslau Braz</t>
  </si>
  <si>
    <t>Cambuquira</t>
  </si>
  <si>
    <t>Lagoinha</t>
  </si>
  <si>
    <t>Sabinópolis</t>
  </si>
  <si>
    <t>Jacuí</t>
  </si>
  <si>
    <t>São João do Manhuaçu</t>
  </si>
  <si>
    <t>Guaranésia</t>
  </si>
  <si>
    <t>Cunha</t>
  </si>
  <si>
    <t>Senador Amaral</t>
  </si>
  <si>
    <t>Itatiaiuçu</t>
  </si>
  <si>
    <t>Juruaia</t>
  </si>
  <si>
    <t>Itajubá</t>
  </si>
  <si>
    <t>Materlândia</t>
  </si>
  <si>
    <t>Luisburgo</t>
  </si>
  <si>
    <t>Rolândia</t>
  </si>
  <si>
    <t>Lavras</t>
  </si>
  <si>
    <t>Bom Repouso</t>
  </si>
  <si>
    <t>Cabo Verde</t>
  </si>
  <si>
    <t>Brasópolis</t>
  </si>
  <si>
    <t>Venda Nova do Imigrante</t>
  </si>
  <si>
    <t>Bueno Brandão</t>
  </si>
  <si>
    <t>Echaporã</t>
  </si>
  <si>
    <t>Jambeiro</t>
  </si>
  <si>
    <t>Paraibuna</t>
  </si>
  <si>
    <t>Cruzília</t>
  </si>
  <si>
    <t>São Bento Abade</t>
  </si>
  <si>
    <t>Araçoiaba da Serra</t>
  </si>
  <si>
    <t>Reduto</t>
  </si>
  <si>
    <t>São Tomé das Letras</t>
  </si>
  <si>
    <t>Alvorada de Minas</t>
  </si>
  <si>
    <t>Delfim Moreira</t>
  </si>
  <si>
    <t>Tocos do Moji</t>
  </si>
  <si>
    <t>Martins Soares</t>
  </si>
  <si>
    <t>Redenção da Serra</t>
  </si>
  <si>
    <t>São José da Boa Vista</t>
  </si>
  <si>
    <t>Igaratá</t>
  </si>
  <si>
    <t>Bom Sucesso de Itararé</t>
  </si>
  <si>
    <t>Iraí de Minas</t>
  </si>
  <si>
    <t>Manhuaçu</t>
  </si>
  <si>
    <t>Carmo da Mata</t>
  </si>
  <si>
    <t>Caçapava</t>
  </si>
  <si>
    <t>Estiva</t>
  </si>
  <si>
    <t>Mairiporã</t>
  </si>
  <si>
    <t>Manhumirim</t>
  </si>
  <si>
    <t>Monteiro Lobato</t>
  </si>
  <si>
    <t>Águas da Prata</t>
  </si>
  <si>
    <t>Itabira</t>
  </si>
  <si>
    <t>Piranguinho</t>
  </si>
  <si>
    <t>Salto de Pirapora</t>
  </si>
  <si>
    <t>Votorantim</t>
  </si>
  <si>
    <t>Pereiras</t>
  </si>
  <si>
    <t>Siqueira Campos</t>
  </si>
  <si>
    <t>Borda da Mata</t>
  </si>
  <si>
    <t>Alto Jequitibá</t>
  </si>
  <si>
    <t>Conceição dos Ouros</t>
  </si>
  <si>
    <t>Pilar do Sul</t>
  </si>
  <si>
    <t>Conchas</t>
  </si>
  <si>
    <t>Marmelópolis</t>
  </si>
  <si>
    <t>Tapiratiba</t>
  </si>
  <si>
    <t>Itamogi</t>
  </si>
  <si>
    <t>Alto Caparaó</t>
  </si>
  <si>
    <t>Muzambinho</t>
  </si>
  <si>
    <t>Caconde</t>
  </si>
  <si>
    <t>Quadra</t>
  </si>
  <si>
    <t>Cachoeira de Minas</t>
  </si>
  <si>
    <t>Itanhandu</t>
  </si>
  <si>
    <t>Itapirapuã Paulista</t>
  </si>
  <si>
    <t>Quatiguá</t>
  </si>
  <si>
    <t>Sarapuí</t>
  </si>
  <si>
    <t>Caparaó</t>
  </si>
  <si>
    <t>Taquarivaí</t>
  </si>
  <si>
    <t>Munhoz</t>
  </si>
  <si>
    <t>Baependi</t>
  </si>
  <si>
    <t>São José do Alegre</t>
  </si>
  <si>
    <t>Vargem Grande Paulista</t>
  </si>
  <si>
    <t>Santa Rita do Sapucaí</t>
  </si>
  <si>
    <t>Ribeirão Branco</t>
  </si>
  <si>
    <t>Divinolândia</t>
  </si>
  <si>
    <t>Conceição do Rio Verde</t>
  </si>
  <si>
    <t>Guareí</t>
  </si>
  <si>
    <t>Santana do Itararé</t>
  </si>
  <si>
    <t>Santana de Parnaíba</t>
  </si>
  <si>
    <t>Pouso Alegre</t>
  </si>
  <si>
    <t>Monte Sião</t>
  </si>
  <si>
    <t>Analândia</t>
  </si>
  <si>
    <t>Arandu</t>
  </si>
  <si>
    <t>Guapiara</t>
  </si>
  <si>
    <t>Virgínia</t>
  </si>
  <si>
    <t>Paraguaçu</t>
  </si>
  <si>
    <t>Elói Mendes</t>
  </si>
  <si>
    <t>Congonhal</t>
  </si>
  <si>
    <t>São Sebastião do Rio Verde</t>
  </si>
  <si>
    <t>Senador José Bento</t>
  </si>
  <si>
    <t>Serrania</t>
  </si>
  <si>
    <t>São Sebastião da Bela Vista</t>
  </si>
  <si>
    <t>Caxambu</t>
  </si>
  <si>
    <t>Campanha</t>
  </si>
  <si>
    <t>Dom Viçoso</t>
  </si>
  <si>
    <t>Piedade</t>
  </si>
  <si>
    <t>São Sebastião da Grama</t>
  </si>
  <si>
    <t>Poços de Caldas</t>
  </si>
  <si>
    <t>Porto Feliz</t>
  </si>
  <si>
    <t>Águas de Lindóia</t>
  </si>
  <si>
    <t>Monsenhor Paulo</t>
  </si>
  <si>
    <t>Silvianópolis</t>
  </si>
  <si>
    <t>Carvalhópolis</t>
  </si>
  <si>
    <t>Cordislândia</t>
  </si>
  <si>
    <t>Careaçu</t>
  </si>
  <si>
    <t>Lindóia</t>
  </si>
  <si>
    <t>Itirapina</t>
  </si>
  <si>
    <t>Pouso Alto</t>
  </si>
  <si>
    <t>Espírito Santo do Dourado</t>
  </si>
  <si>
    <t>Três Corações</t>
  </si>
  <si>
    <t>Anhembi</t>
  </si>
  <si>
    <t>Pedralva</t>
  </si>
  <si>
    <t>Poço Fundo</t>
  </si>
  <si>
    <t>Barra do Chapéu</t>
  </si>
  <si>
    <t>Laranjal Paulista</t>
  </si>
  <si>
    <t>Monte Belo</t>
  </si>
  <si>
    <t>Ribeirão Grande</t>
  </si>
  <si>
    <t>Salto do Itararé</t>
  </si>
  <si>
    <t>Buri</t>
  </si>
  <si>
    <t>Turvolândia</t>
  </si>
  <si>
    <t>Ipeúna</t>
  </si>
  <si>
    <t>Ipuiúna</t>
  </si>
  <si>
    <t>Carlópolis</t>
  </si>
  <si>
    <t>Campestre</t>
  </si>
  <si>
    <t>Pratânia</t>
  </si>
  <si>
    <t>São Gonçalo do Sapucaí</t>
  </si>
  <si>
    <t>Cajamar</t>
  </si>
  <si>
    <t>Francisco Morato</t>
  </si>
  <si>
    <t>Cristina</t>
  </si>
  <si>
    <t>Natércia</t>
  </si>
  <si>
    <t>São João da Mata</t>
  </si>
  <si>
    <t>Carmo de Minas</t>
  </si>
  <si>
    <t>Jacutinga</t>
  </si>
  <si>
    <t>Conceição das Pedras</t>
  </si>
  <si>
    <t>Barão de Antonina</t>
  </si>
  <si>
    <t>Soledade de Minas</t>
  </si>
  <si>
    <t>Heliodora</t>
  </si>
  <si>
    <t>Borebi</t>
  </si>
  <si>
    <t>Andradas</t>
  </si>
  <si>
    <t>São Lourenço</t>
  </si>
  <si>
    <t>Socorro</t>
  </si>
  <si>
    <t>Toledo</t>
  </si>
  <si>
    <t>Areiópolis</t>
  </si>
  <si>
    <t>Joanópolis</t>
  </si>
  <si>
    <t>Angatuba</t>
  </si>
  <si>
    <t>Vinhedo</t>
  </si>
  <si>
    <t>Jesuânia</t>
  </si>
  <si>
    <t>Olímpio Noronha</t>
  </si>
  <si>
    <t>Patrocínio</t>
  </si>
  <si>
    <t>Itu</t>
  </si>
  <si>
    <t>Salto</t>
  </si>
  <si>
    <t>Pirapora do Bom Jesus</t>
  </si>
  <si>
    <t>Itatinga</t>
  </si>
  <si>
    <t>Alumínio</t>
  </si>
  <si>
    <t>Ibitiúra de Minas</t>
  </si>
  <si>
    <t>Capão Bonito</t>
  </si>
  <si>
    <t>Campina do Monte Alegre</t>
  </si>
  <si>
    <t>Itupeva</t>
  </si>
  <si>
    <t>Albertina</t>
  </si>
  <si>
    <t>Cerqueira César</t>
  </si>
  <si>
    <t>Lambari</t>
  </si>
  <si>
    <t>Santa Cruz das Palmeiras</t>
  </si>
  <si>
    <t>Santo Antônio da Alegria</t>
  </si>
  <si>
    <t>Iaras</t>
  </si>
  <si>
    <t>Itaí</t>
  </si>
  <si>
    <t>Indaiatuba</t>
  </si>
  <si>
    <t>Serra Negra</t>
  </si>
  <si>
    <t>Monte Alegre do Sul</t>
  </si>
  <si>
    <t>Extrema</t>
  </si>
  <si>
    <t>Jarinu</t>
  </si>
  <si>
    <t>Santa Rita de Caldas</t>
  </si>
  <si>
    <t>Charqueada</t>
  </si>
  <si>
    <t>Torrinha</t>
  </si>
  <si>
    <t>Louveira</t>
  </si>
  <si>
    <t>Pedreira</t>
  </si>
  <si>
    <t>Cabreúva</t>
  </si>
  <si>
    <t>Pedra Bela</t>
  </si>
  <si>
    <t>Várzea Paulista</t>
  </si>
  <si>
    <t>Bom Jesus dos Perdões</t>
  </si>
  <si>
    <t>Claraval</t>
  </si>
  <si>
    <t>Araçariguama</t>
  </si>
  <si>
    <t>Campo Limpo Paulista</t>
  </si>
  <si>
    <t>Pinhalzinho</t>
  </si>
  <si>
    <t>Piracaia</t>
  </si>
  <si>
    <t>Morungaba</t>
  </si>
  <si>
    <t>Fartura</t>
  </si>
  <si>
    <t>Espírito Santo do Pinhal</t>
  </si>
  <si>
    <t>Arceburgo</t>
  </si>
  <si>
    <t>Bragança Paulista</t>
  </si>
  <si>
    <t>São Manuel</t>
  </si>
  <si>
    <t>Santa Maria da Serra</t>
  </si>
  <si>
    <t>Jundiaí</t>
  </si>
  <si>
    <t>Mairinque</t>
  </si>
  <si>
    <t>Timburi</t>
  </si>
  <si>
    <t>São Roque</t>
  </si>
  <si>
    <t>Tuiuti</t>
  </si>
  <si>
    <t>Itatiba</t>
  </si>
  <si>
    <t>Garça</t>
  </si>
  <si>
    <t>Atibaia</t>
  </si>
  <si>
    <t>Tejupá</t>
  </si>
  <si>
    <t>Águas de São Pedro</t>
  </si>
  <si>
    <t>Sarutaiá</t>
  </si>
  <si>
    <t>Pardinho</t>
  </si>
  <si>
    <t>Santo Antônio do Jardim</t>
  </si>
  <si>
    <t>Caldas</t>
  </si>
  <si>
    <t>Cássia dos Coqueiros</t>
  </si>
  <si>
    <t>Amparo</t>
  </si>
  <si>
    <t>Vargem</t>
  </si>
  <si>
    <t>Piraju</t>
  </si>
  <si>
    <t>São Pedro</t>
  </si>
  <si>
    <t>Cajuru</t>
  </si>
  <si>
    <t>Cristais Paulista</t>
  </si>
  <si>
    <t>Laguna</t>
  </si>
  <si>
    <t>São José do Norte</t>
  </si>
  <si>
    <t>Rio Grande</t>
  </si>
  <si>
    <t>São Bernardino</t>
  </si>
  <si>
    <t>Imaruí</t>
  </si>
  <si>
    <t>Jupiá</t>
  </si>
  <si>
    <t>Santo Antônio da Patrulha</t>
  </si>
  <si>
    <t>Galvão</t>
  </si>
  <si>
    <t>Rio Fortuna</t>
  </si>
  <si>
    <t>Santa Rosa de Lima</t>
  </si>
  <si>
    <t>Coronel Martins</t>
  </si>
  <si>
    <t>Anitápolis</t>
  </si>
  <si>
    <t>Saltinho</t>
  </si>
  <si>
    <t>Riozinho</t>
  </si>
  <si>
    <t>São Martinho</t>
  </si>
  <si>
    <t>Irati</t>
  </si>
  <si>
    <t>Jaquirana</t>
  </si>
  <si>
    <t>Tapes</t>
  </si>
  <si>
    <t>Monte Carlo</t>
  </si>
  <si>
    <t>Armazém</t>
  </si>
  <si>
    <t>Sentinela do Sul</t>
  </si>
  <si>
    <t>Arroio dos Ratos</t>
  </si>
  <si>
    <t>Novo Horizonte</t>
  </si>
  <si>
    <t>Pelotas</t>
  </si>
  <si>
    <t>São Bonifácio</t>
  </si>
  <si>
    <t>Grão Pará</t>
  </si>
  <si>
    <t>Formosa do Sul</t>
  </si>
  <si>
    <t>Santiago do Sul</t>
  </si>
  <si>
    <t>São Lourenço do Oeste</t>
  </si>
  <si>
    <t>Capivari de Baixo</t>
  </si>
  <si>
    <t>Jardinópolis</t>
  </si>
  <si>
    <t>Palmares do Sul</t>
  </si>
  <si>
    <t>Capivari do Sul</t>
  </si>
  <si>
    <t>Mariana Pimentel</t>
  </si>
  <si>
    <t>Correia Pinto</t>
  </si>
  <si>
    <t>União do Oeste</t>
  </si>
  <si>
    <t>Vitor Meireles</t>
  </si>
  <si>
    <t>Eldorado do Sul</t>
  </si>
  <si>
    <t>São José do Cerrito</t>
  </si>
  <si>
    <t>Alfredo Wagner</t>
  </si>
  <si>
    <t>Glorinha</t>
  </si>
  <si>
    <t>Sertão Santana</t>
  </si>
  <si>
    <t>Turuçu</t>
  </si>
  <si>
    <t>Sul Brasil</t>
  </si>
  <si>
    <t>Quilombo</t>
  </si>
  <si>
    <t>Rolante</t>
  </si>
  <si>
    <t>Flor da Serra do Sul</t>
  </si>
  <si>
    <t>Barão do Triunfo</t>
  </si>
  <si>
    <t>Butiá</t>
  </si>
  <si>
    <t>Capão do Leão</t>
  </si>
  <si>
    <t>Muitos Capões</t>
  </si>
  <si>
    <t>São Lourenço do Sul</t>
  </si>
  <si>
    <t>Bom Jesus do Oeste</t>
  </si>
  <si>
    <t>Terra de Areia</t>
  </si>
  <si>
    <t>Mirim Doce</t>
  </si>
  <si>
    <t>Taió</t>
  </si>
  <si>
    <t>Brunópolis</t>
  </si>
  <si>
    <t>Painel</t>
  </si>
  <si>
    <t>Osório</t>
  </si>
  <si>
    <t>Igrejinha</t>
  </si>
  <si>
    <t>Três Forquilhas</t>
  </si>
  <si>
    <t>Taquara</t>
  </si>
  <si>
    <t>Lages</t>
  </si>
  <si>
    <t>Maquiné</t>
  </si>
  <si>
    <t>Bom Retiro</t>
  </si>
  <si>
    <t>Serra Alta</t>
  </si>
  <si>
    <t>Witmarsum</t>
  </si>
  <si>
    <t>Modelo</t>
  </si>
  <si>
    <t>Ponte Alta</t>
  </si>
  <si>
    <t>Itati</t>
  </si>
  <si>
    <t>Gravatal</t>
  </si>
  <si>
    <t>Otacílio Costa</t>
  </si>
  <si>
    <t>Campestre da Serra</t>
  </si>
  <si>
    <t>Capela de Santana</t>
  </si>
  <si>
    <t>Rio Rufino</t>
  </si>
  <si>
    <t>Parobé</t>
  </si>
  <si>
    <t>Águas Frias</t>
  </si>
  <si>
    <t>Barra do Ribeiro</t>
  </si>
  <si>
    <t>Guabiruba</t>
  </si>
  <si>
    <t>Capão da Canoa</t>
  </si>
  <si>
    <t>Xangri-lá</t>
  </si>
  <si>
    <t>Rancho Queimado</t>
  </si>
  <si>
    <t>Três Coroas</t>
  </si>
  <si>
    <t>Bom Princípio</t>
  </si>
  <si>
    <t>Nova Erechim</t>
  </si>
  <si>
    <t>Antônio Prado</t>
  </si>
  <si>
    <t>Ipê</t>
  </si>
  <si>
    <t>Urupema</t>
  </si>
  <si>
    <t>Entre Rios</t>
  </si>
  <si>
    <t>Tigrinhos</t>
  </si>
  <si>
    <t>Tubarão</t>
  </si>
  <si>
    <t>André da Rocha</t>
  </si>
  <si>
    <t>Arambaré</t>
  </si>
  <si>
    <t>Nova Hartz</t>
  </si>
  <si>
    <t>Nova Itaberaba</t>
  </si>
  <si>
    <t>Arroio do Padre</t>
  </si>
  <si>
    <t>São Marcos</t>
  </si>
  <si>
    <t>Marema</t>
  </si>
  <si>
    <t>Coronel Freitas</t>
  </si>
  <si>
    <t>São Vendelino</t>
  </si>
  <si>
    <t>Morro Redondo</t>
  </si>
  <si>
    <t>Guabiju</t>
  </si>
  <si>
    <t>Protásio Alves</t>
  </si>
  <si>
    <t>Portão</t>
  </si>
  <si>
    <t>Feliz</t>
  </si>
  <si>
    <t>Lagoa dos Três Cantos</t>
  </si>
  <si>
    <t>Viamão</t>
  </si>
  <si>
    <t>Santa Terezinha do Progresso</t>
  </si>
  <si>
    <t>Nova Prata</t>
  </si>
  <si>
    <t>Angelina</t>
  </si>
  <si>
    <t>Lajeado Grande</t>
  </si>
  <si>
    <t>Santa Vitória do Palmar</t>
  </si>
  <si>
    <t>Bocaina do Sul</t>
  </si>
  <si>
    <t>Nova Santa Rita</t>
  </si>
  <si>
    <t>Cambará do Sul</t>
  </si>
  <si>
    <t>Dona Emma</t>
  </si>
  <si>
    <t>Araricá</t>
  </si>
  <si>
    <t>Alvorada</t>
  </si>
  <si>
    <t>Leoberto Leal</t>
  </si>
  <si>
    <t>Capão Bonito do Sul</t>
  </si>
  <si>
    <t>Victor Graeff</t>
  </si>
  <si>
    <t>São Francisco do Sul</t>
  </si>
  <si>
    <t>São Jorge</t>
  </si>
  <si>
    <t>Pouso Redondo</t>
  </si>
  <si>
    <t>São José do Hortêncio</t>
  </si>
  <si>
    <t>São Leopoldo</t>
  </si>
  <si>
    <t>Brusque</t>
  </si>
  <si>
    <t>Major Gercino</t>
  </si>
  <si>
    <t>Esteio</t>
  </si>
  <si>
    <t>Sapucaia do Sul</t>
  </si>
  <si>
    <t>Gravataí</t>
  </si>
  <si>
    <t>Águas Mornas</t>
  </si>
  <si>
    <t>Cordilheira Alta</t>
  </si>
  <si>
    <t>Espumoso</t>
  </si>
  <si>
    <t>Botuverá</t>
  </si>
  <si>
    <t>Cerro Grande do Sul</t>
  </si>
  <si>
    <t>Lindolfo Collor</t>
  </si>
  <si>
    <t>Tio Hugo</t>
  </si>
  <si>
    <t>Alto Feliz</t>
  </si>
  <si>
    <t>Ivoti</t>
  </si>
  <si>
    <t>Nova Trento</t>
  </si>
  <si>
    <t>Não-Me-Toque</t>
  </si>
  <si>
    <t>Estância Velha</t>
  </si>
  <si>
    <t>Maravilha</t>
  </si>
  <si>
    <t>Vale Real</t>
  </si>
  <si>
    <t>Novo Hamburgo</t>
  </si>
  <si>
    <t>Bom Jesus do Sul</t>
  </si>
  <si>
    <t>Sapiranga</t>
  </si>
  <si>
    <t>Minas do Leão</t>
  </si>
  <si>
    <t>Rio do Oeste</t>
  </si>
  <si>
    <t>Santa Maria do Herval</t>
  </si>
  <si>
    <t>Morro Reuter</t>
  </si>
  <si>
    <t>Nicolau Vergueiro</t>
  </si>
  <si>
    <t>Ernestina</t>
  </si>
  <si>
    <t>Presidente Lucena</t>
  </si>
  <si>
    <t>Anchieta</t>
  </si>
  <si>
    <t>Santo Amaro da Imperatriz</t>
  </si>
  <si>
    <t>Flores da Cunha</t>
  </si>
  <si>
    <t>Dois Irmãos</t>
  </si>
  <si>
    <t>Mormaço</t>
  </si>
  <si>
    <t>Linha Nova</t>
  </si>
  <si>
    <t>Vidal Ramos</t>
  </si>
  <si>
    <t>São Miguel da Boa Vista</t>
  </si>
  <si>
    <t>São Pedro de Alcântara</t>
  </si>
  <si>
    <t>Nova Roma do Sul</t>
  </si>
  <si>
    <t>Xaxim</t>
  </si>
  <si>
    <t>Nova Pádua</t>
  </si>
  <si>
    <t>David Canabarro</t>
  </si>
  <si>
    <t>Ponte Alta do Norte</t>
  </si>
  <si>
    <t>Balneário Pinhal</t>
  </si>
  <si>
    <t>Braço do Trombudo</t>
  </si>
  <si>
    <t>Picada Café</t>
  </si>
  <si>
    <t>Vila Flores</t>
  </si>
  <si>
    <t>Marau</t>
  </si>
  <si>
    <t>Ibirapuitã</t>
  </si>
  <si>
    <t>Cachoeirinha</t>
  </si>
  <si>
    <t>Três Cachoeiras</t>
  </si>
  <si>
    <t>Nova Petrópolis</t>
  </si>
  <si>
    <t>Cerrito</t>
  </si>
  <si>
    <t>Ibiraiaras</t>
  </si>
  <si>
    <t>Imbuia</t>
  </si>
  <si>
    <t>Presidente Getúlio</t>
  </si>
  <si>
    <t>Santo Antônio do Planalto</t>
  </si>
  <si>
    <t>São Cristovão do Sul</t>
  </si>
  <si>
    <t>Tavares</t>
  </si>
  <si>
    <t>Caxias do Sul</t>
  </si>
  <si>
    <t>Cidreira</t>
  </si>
  <si>
    <t>Monte Belo do Sul</t>
  </si>
  <si>
    <t>Pedro Osório</t>
  </si>
  <si>
    <t>Presidente Nereu</t>
  </si>
  <si>
    <t>Muliterno</t>
  </si>
  <si>
    <t>São João Batista</t>
  </si>
  <si>
    <t>Rio do Sul</t>
  </si>
  <si>
    <t>Lontras</t>
  </si>
  <si>
    <t>Mampituba</t>
  </si>
  <si>
    <t>Praia Grande</t>
  </si>
  <si>
    <t>Chapadão do Lageado</t>
  </si>
  <si>
    <t>Morrinhos do Sul</t>
  </si>
  <si>
    <t>Guaíba</t>
  </si>
  <si>
    <t>Jaguaruna</t>
  </si>
  <si>
    <t>Laurentino</t>
  </si>
  <si>
    <t>Caseiros</t>
  </si>
  <si>
    <t>Trombudo Central</t>
  </si>
  <si>
    <t>Arroio do Sal</t>
  </si>
  <si>
    <t>Gramado</t>
  </si>
  <si>
    <t>José Boiteux</t>
  </si>
  <si>
    <t>Carazinho</t>
  </si>
  <si>
    <t>São José do Cedro</t>
  </si>
  <si>
    <t>Canelinha</t>
  </si>
  <si>
    <t>Canguçu</t>
  </si>
  <si>
    <t>Farroupilha</t>
  </si>
  <si>
    <t>Cristal</t>
  </si>
  <si>
    <t>Veranópolis</t>
  </si>
  <si>
    <t>Canela</t>
  </si>
  <si>
    <t>Chuí</t>
  </si>
  <si>
    <t>Agronômica</t>
  </si>
  <si>
    <t>Santa Cecília do Sul</t>
  </si>
  <si>
    <t>Governador Celso Ramos</t>
  </si>
  <si>
    <t>Amaral Ferrador</t>
  </si>
  <si>
    <t>Mostardas</t>
  </si>
  <si>
    <t>Romelândia</t>
  </si>
  <si>
    <t>Água Santa</t>
  </si>
  <si>
    <t>Agrolândia</t>
  </si>
  <si>
    <t>Frei Rogério</t>
  </si>
  <si>
    <t>Pedras Grandes</t>
  </si>
  <si>
    <t>Guarujá do Sul</t>
  </si>
  <si>
    <t>Mato Castelhano</t>
  </si>
  <si>
    <t>Xanxerê</t>
  </si>
  <si>
    <t>Ibirama</t>
  </si>
  <si>
    <t>Almirante Tamandaré do Sul</t>
  </si>
  <si>
    <t>Bento Gonçalves</t>
  </si>
  <si>
    <t>Porto Alegre</t>
  </si>
  <si>
    <t>Princesa</t>
  </si>
  <si>
    <t>Imbé</t>
  </si>
  <si>
    <t>Tramandaí</t>
  </si>
  <si>
    <t>Coqueiros do Sul</t>
  </si>
  <si>
    <t>Pontão</t>
  </si>
  <si>
    <t>Aurora</t>
  </si>
  <si>
    <t>Criciúma</t>
  </si>
  <si>
    <t>Tijucas</t>
  </si>
  <si>
    <t>Petrolândia</t>
  </si>
  <si>
    <t>Erval Seco</t>
  </si>
  <si>
    <t>Flor do Sertão</t>
  </si>
  <si>
    <t>Dom Feliciano</t>
  </si>
  <si>
    <t>Atalanta</t>
  </si>
  <si>
    <t>Lagoa Vermelha</t>
  </si>
  <si>
    <t>Dionísio Cerqueira</t>
  </si>
  <si>
    <t>Vila Lângaro</t>
  </si>
  <si>
    <t>Soledade</t>
  </si>
  <si>
    <t>Sarandi</t>
  </si>
  <si>
    <t>Chuvisca</t>
  </si>
  <si>
    <t>Rondinha</t>
  </si>
  <si>
    <t>Ituporanga</t>
  </si>
  <si>
    <t>Chapada</t>
  </si>
  <si>
    <t>Coxilha</t>
  </si>
  <si>
    <t>Lajeado do Bugre</t>
  </si>
  <si>
    <t>Sangão</t>
  </si>
  <si>
    <t>Barra Funda</t>
  </si>
  <si>
    <t>Boa Vista das Missões</t>
  </si>
  <si>
    <t>Porto Belo</t>
  </si>
  <si>
    <t>Sertão</t>
  </si>
  <si>
    <t>Jaboticaba</t>
  </si>
  <si>
    <t>Seberi</t>
  </si>
  <si>
    <t>Piratini</t>
  </si>
  <si>
    <t>Paraíso</t>
  </si>
  <si>
    <t>Sagrada Família</t>
  </si>
  <si>
    <t>Camboriú</t>
  </si>
  <si>
    <t>Passo Fundo</t>
  </si>
  <si>
    <t>Dois Irmãos das Missões</t>
  </si>
  <si>
    <t>Redentora</t>
  </si>
  <si>
    <t>Ipiranga do Sul</t>
  </si>
  <si>
    <t>Nova Boa Vista</t>
  </si>
  <si>
    <t>Quatro Irmãos</t>
  </si>
  <si>
    <t>Dom Pedro de Alcântara</t>
  </si>
  <si>
    <t>Novo Barreiro</t>
  </si>
  <si>
    <t>São João do Sul</t>
  </si>
  <si>
    <t>São José das Missões</t>
  </si>
  <si>
    <t>Barra Bonita</t>
  </si>
  <si>
    <t>Barracão</t>
  </si>
  <si>
    <t>Itapema</t>
  </si>
  <si>
    <t>Taquaruçu do Sul</t>
  </si>
  <si>
    <t>Bombinhas</t>
  </si>
  <si>
    <t>Apiúna</t>
  </si>
  <si>
    <t>Curitibanos</t>
  </si>
  <si>
    <t>Doutor Pedrinho</t>
  </si>
  <si>
    <t>Monte Castelo</t>
  </si>
  <si>
    <t>Indaial</t>
  </si>
  <si>
    <t>Santiago</t>
  </si>
  <si>
    <t>Treze de Maio</t>
  </si>
  <si>
    <t>Camaquã</t>
  </si>
  <si>
    <t>Palmeira das Missões</t>
  </si>
  <si>
    <t>Bandeirante</t>
  </si>
  <si>
    <t>Benedito Novo</t>
  </si>
  <si>
    <t>Arroio Grande</t>
  </si>
  <si>
    <t>Timbó</t>
  </si>
  <si>
    <t>Coronel Bicaco</t>
  </si>
  <si>
    <t>Balneário Camboriú</t>
  </si>
  <si>
    <t>Rio Pardo</t>
  </si>
  <si>
    <t>Descanso</t>
  </si>
  <si>
    <t>Jacinto Machado</t>
  </si>
  <si>
    <t>Belmonte</t>
  </si>
  <si>
    <t>Formigueiro</t>
  </si>
  <si>
    <t>Santana da Boa Vista</t>
  </si>
  <si>
    <t>Ascurra</t>
  </si>
  <si>
    <t>Rodeio</t>
  </si>
  <si>
    <t>Pinheiro Machado</t>
  </si>
  <si>
    <t>Içara</t>
  </si>
  <si>
    <t>Encruzilhada do Sul</t>
  </si>
  <si>
    <t>Morro da Fumaça</t>
  </si>
  <si>
    <t>Inácio Martins</t>
  </si>
  <si>
    <t>Meleiro</t>
  </si>
  <si>
    <t>Herval</t>
  </si>
  <si>
    <t>Santa Rosa do Sul</t>
  </si>
  <si>
    <t>Cocal do Sul</t>
  </si>
  <si>
    <t>São Sepé</t>
  </si>
  <si>
    <t>Torres</t>
  </si>
  <si>
    <t>Passo de Torres</t>
  </si>
  <si>
    <t>Pedras Altas</t>
  </si>
  <si>
    <t>Major Vieira</t>
  </si>
  <si>
    <t>Vila Nova do Sul</t>
  </si>
  <si>
    <t>Santo Augusto</t>
  </si>
  <si>
    <t>Candiota</t>
  </si>
  <si>
    <t>Maracajá</t>
  </si>
  <si>
    <t>Ermo</t>
  </si>
  <si>
    <t>Santa Margarida do Sul</t>
  </si>
  <si>
    <t>Caçapava do Sul</t>
  </si>
  <si>
    <t>Sombrio</t>
  </si>
  <si>
    <t>Rio Negrinho</t>
  </si>
  <si>
    <t>Jaguarão</t>
  </si>
  <si>
    <t>Lavras do Sul</t>
  </si>
  <si>
    <t>Balneário Gaivota</t>
  </si>
  <si>
    <t>Hulha Negra</t>
  </si>
  <si>
    <t>Balneário Arroio do Silva</t>
  </si>
  <si>
    <t>Araranguá</t>
  </si>
  <si>
    <t>Cruzeiro do Sul</t>
  </si>
  <si>
    <t>Estrela</t>
  </si>
  <si>
    <t>Lajeado</t>
  </si>
  <si>
    <t>Santa Clara do Sul</t>
  </si>
  <si>
    <t>Mato Leitão</t>
  </si>
  <si>
    <t>Travesseiro</t>
  </si>
  <si>
    <t>Arroio do Meio</t>
  </si>
  <si>
    <t>Marques de Souza</t>
  </si>
  <si>
    <t>Forquetinha</t>
  </si>
  <si>
    <t>Doutor Ricardo</t>
  </si>
  <si>
    <t>Venâncio Aires</t>
  </si>
  <si>
    <t>Coqueiro Baixo</t>
  </si>
  <si>
    <t>Capitão</t>
  </si>
  <si>
    <t>Colinas</t>
  </si>
  <si>
    <t>Relvado</t>
  </si>
  <si>
    <t>Teutônia</t>
  </si>
  <si>
    <t>Nova Bréscia</t>
  </si>
  <si>
    <t>Westfalia</t>
  </si>
  <si>
    <t>São Jerônimo</t>
  </si>
  <si>
    <t>Triunfo</t>
  </si>
  <si>
    <t>Muçum</t>
  </si>
  <si>
    <t>Encantado</t>
  </si>
  <si>
    <t>Canudos do Vale</t>
  </si>
  <si>
    <t>Roca Sales</t>
  </si>
  <si>
    <t>Anta Gorda</t>
  </si>
  <si>
    <t>Sério</t>
  </si>
  <si>
    <t>Imigrante</t>
  </si>
  <si>
    <t>Dois Lajeados</t>
  </si>
  <si>
    <t>Abdon Batista</t>
  </si>
  <si>
    <t>Ilópolis</t>
  </si>
  <si>
    <t>Ibiam</t>
  </si>
  <si>
    <t>Brochier</t>
  </si>
  <si>
    <t>Vespasiano Correa</t>
  </si>
  <si>
    <t>Cerro Negro</t>
  </si>
  <si>
    <t>Pouso Novo</t>
  </si>
  <si>
    <t>Tangará</t>
  </si>
  <si>
    <t>Poço das Antas</t>
  </si>
  <si>
    <t>Guaporé</t>
  </si>
  <si>
    <t>União da Serra</t>
  </si>
  <si>
    <t>Maratá</t>
  </si>
  <si>
    <t>Vale Verde</t>
  </si>
  <si>
    <t>Putinga</t>
  </si>
  <si>
    <t>Campo Belo do Sul</t>
  </si>
  <si>
    <t>Capão do Cipó</t>
  </si>
  <si>
    <t>Anita Garibaldi</t>
  </si>
  <si>
    <t>Serafina Corrêa</t>
  </si>
  <si>
    <t>Pinhal da Serra</t>
  </si>
  <si>
    <t>Eugênio de Castro</t>
  </si>
  <si>
    <t>Salete</t>
  </si>
  <si>
    <t>Capão Alto</t>
  </si>
  <si>
    <t>Arvorezinha</t>
  </si>
  <si>
    <t>Pinheiro Preto</t>
  </si>
  <si>
    <t>Charqueadas</t>
  </si>
  <si>
    <t>Iomerê</t>
  </si>
  <si>
    <t>Esmeralda</t>
  </si>
  <si>
    <t>Vista Alegre do Prata</t>
  </si>
  <si>
    <t>São Valentim do Sul</t>
  </si>
  <si>
    <t>São José do Sul</t>
  </si>
  <si>
    <t>Arroio Trinta</t>
  </si>
  <si>
    <t>Jóia</t>
  </si>
  <si>
    <t>Paulo Frontin</t>
  </si>
  <si>
    <t>São Domingos</t>
  </si>
  <si>
    <t>Boa Vista do Sul</t>
  </si>
  <si>
    <t>Santa Terezinha</t>
  </si>
  <si>
    <t>Porto União</t>
  </si>
  <si>
    <t>Entre-Ijuís</t>
  </si>
  <si>
    <t>Salvador do Sul</t>
  </si>
  <si>
    <t>São Pedro da Serra</t>
  </si>
  <si>
    <t>Harmonia</t>
  </si>
  <si>
    <t>Progresso</t>
  </si>
  <si>
    <t>Paula Freitas</t>
  </si>
  <si>
    <t>Itapuca</t>
  </si>
  <si>
    <t>Montenegro</t>
  </si>
  <si>
    <t>Boqueirão do Leão</t>
  </si>
  <si>
    <t>Nova Araçá</t>
  </si>
  <si>
    <t>Treze Tílias</t>
  </si>
  <si>
    <t>Montauri</t>
  </si>
  <si>
    <t>Barão</t>
  </si>
  <si>
    <t>Severiano de Almeida</t>
  </si>
  <si>
    <t>Nova Bassano</t>
  </si>
  <si>
    <t>Coronel Pilar</t>
  </si>
  <si>
    <t>Tupandi</t>
  </si>
  <si>
    <t>Passo do Sobrado</t>
  </si>
  <si>
    <t>Fagundes Varela</t>
  </si>
  <si>
    <t>Pareci Novo</t>
  </si>
  <si>
    <t>São Sebastião do Caí</t>
  </si>
  <si>
    <t>Ibicaré</t>
  </si>
  <si>
    <t>São José do Herval</t>
  </si>
  <si>
    <t>Mallet</t>
  </si>
  <si>
    <t>Garibaldi</t>
  </si>
  <si>
    <t>Nova Alvorada</t>
  </si>
  <si>
    <t>Santo Ângelo</t>
  </si>
  <si>
    <t>Bom Jesus</t>
  </si>
  <si>
    <t>Rio das Antas</t>
  </si>
  <si>
    <t>Cotiporã</t>
  </si>
  <si>
    <t>Salto Veloso</t>
  </si>
  <si>
    <t>Peritiba</t>
  </si>
  <si>
    <t>São Domingos do Sul</t>
  </si>
  <si>
    <t>Santa Tereza</t>
  </si>
  <si>
    <t>Paraí</t>
  </si>
  <si>
    <t>Manfrinópolis</t>
  </si>
  <si>
    <t>Salgado Filho</t>
  </si>
  <si>
    <t>Monte Alegre dos Campos</t>
  </si>
  <si>
    <t>Carlos Barbosa</t>
  </si>
  <si>
    <t>Camargo</t>
  </si>
  <si>
    <t>Campos Novos</t>
  </si>
  <si>
    <t>Tapera</t>
  </si>
  <si>
    <t>Vitória das Missões</t>
  </si>
  <si>
    <t>Braço do Norte</t>
  </si>
  <si>
    <t>Casca</t>
  </si>
  <si>
    <t>Jaguari</t>
  </si>
  <si>
    <t>Ouro Verde</t>
  </si>
  <si>
    <t>Videira</t>
  </si>
  <si>
    <t>Rio do Campo</t>
  </si>
  <si>
    <t>Tupanci do Sul</t>
  </si>
  <si>
    <t>Celso Ramos</t>
  </si>
  <si>
    <t>Gramado Xavier</t>
  </si>
  <si>
    <t>Herveiras</t>
  </si>
  <si>
    <t>Ipuaçu</t>
  </si>
  <si>
    <t>Jari</t>
  </si>
  <si>
    <t>Sinimbu</t>
  </si>
  <si>
    <t>Vanini</t>
  </si>
  <si>
    <t>Selbach</t>
  </si>
  <si>
    <t>Jacuizinho</t>
  </si>
  <si>
    <t>Saudades</t>
  </si>
  <si>
    <t>Vila Maria</t>
  </si>
  <si>
    <t>Clevelândia</t>
  </si>
  <si>
    <t>Fontoura Xavier</t>
  </si>
  <si>
    <t>Nova Esperança do Sul</t>
  </si>
  <si>
    <t>Tunas</t>
  </si>
  <si>
    <t>São Ludgero</t>
  </si>
  <si>
    <t>Águas de Chapecó</t>
  </si>
  <si>
    <t>Alto Alegre</t>
  </si>
  <si>
    <t>Santo Antônio do Palma</t>
  </si>
  <si>
    <t>Campos Borges</t>
  </si>
  <si>
    <t>Estrela Velha</t>
  </si>
  <si>
    <t>Pinhal de São Bento</t>
  </si>
  <si>
    <t>Lagoão</t>
  </si>
  <si>
    <t>Guatambu</t>
  </si>
  <si>
    <t>Cunhataí</t>
  </si>
  <si>
    <t>Santa Cecília</t>
  </si>
  <si>
    <t>Macieira</t>
  </si>
  <si>
    <t>Chapecó</t>
  </si>
  <si>
    <t>Três Arroios</t>
  </si>
  <si>
    <t>Segredo</t>
  </si>
  <si>
    <t>Planalto Alegre</t>
  </si>
  <si>
    <t>Santo Antônio do Sudoeste</t>
  </si>
  <si>
    <t>São Miguel das Missões</t>
  </si>
  <si>
    <t>São Mateus do Sul</t>
  </si>
  <si>
    <t>Rio Azul</t>
  </si>
  <si>
    <t>Caxambu do Sul</t>
  </si>
  <si>
    <t>Barros Cassal</t>
  </si>
  <si>
    <t>Santo Expedito do Sul</t>
  </si>
  <si>
    <t>Tupanciretã</t>
  </si>
  <si>
    <t>Gentil</t>
  </si>
  <si>
    <t>Quinze de Novembro</t>
  </si>
  <si>
    <t>Colorado</t>
  </si>
  <si>
    <t>Palmitos</t>
  </si>
  <si>
    <t>Abelardo Luz</t>
  </si>
  <si>
    <t>Alpestre</t>
  </si>
  <si>
    <t>Rebouças</t>
  </si>
  <si>
    <t>Passa Sete</t>
  </si>
  <si>
    <t>Quevedos</t>
  </si>
  <si>
    <t>Itaiópolis</t>
  </si>
  <si>
    <t>Santa Cruz do Sul</t>
  </si>
  <si>
    <t>Cunha Porã</t>
  </si>
  <si>
    <t>Salto do Jacuí</t>
  </si>
  <si>
    <t>Rio dos Índios</t>
  </si>
  <si>
    <t>Viadutos</t>
  </si>
  <si>
    <t>Erval Grande</t>
  </si>
  <si>
    <t>São Pedro das Missões</t>
  </si>
  <si>
    <t>Caibi</t>
  </si>
  <si>
    <t>São José do Ouro</t>
  </si>
  <si>
    <t>Arroio do Tigre</t>
  </si>
  <si>
    <t>Ibarama</t>
  </si>
  <si>
    <t>Fortaleza dos Valos</t>
  </si>
  <si>
    <t>Ametista do Sul</t>
  </si>
  <si>
    <t>Lauro Muller</t>
  </si>
  <si>
    <t>Mata</t>
  </si>
  <si>
    <t>Prudentópolis</t>
  </si>
  <si>
    <t>Vitorino</t>
  </si>
  <si>
    <t>Vale do Sol</t>
  </si>
  <si>
    <t>Luzerna</t>
  </si>
  <si>
    <t>Pinhal Grande</t>
  </si>
  <si>
    <t>Orleans</t>
  </si>
  <si>
    <t>Sobradinho</t>
  </si>
  <si>
    <t>Toropi</t>
  </si>
  <si>
    <t>Vera Cruz</t>
  </si>
  <si>
    <t>Ibirubá</t>
  </si>
  <si>
    <t>Nonoai</t>
  </si>
  <si>
    <t>Vicente Dutra</t>
  </si>
  <si>
    <t>Mondaí</t>
  </si>
  <si>
    <t>Riqueza</t>
  </si>
  <si>
    <t>São Vicente do Sul</t>
  </si>
  <si>
    <t>Tenente Portela</t>
  </si>
  <si>
    <t>Planalto</t>
  </si>
  <si>
    <t>Lagoa Bonita do Sul</t>
  </si>
  <si>
    <t>Cacique Doble</t>
  </si>
  <si>
    <t>Antônio Olinto</t>
  </si>
  <si>
    <t>Fraiburgo</t>
  </si>
  <si>
    <t>São João da Urtiga</t>
  </si>
  <si>
    <t>Ciríaco</t>
  </si>
  <si>
    <t>Canoas</t>
  </si>
  <si>
    <t>Marcelino Ramos</t>
  </si>
  <si>
    <t>Alto Bela Vista</t>
  </si>
  <si>
    <t>Saldanha Marinho</t>
  </si>
  <si>
    <t>Faxinalzinho</t>
  </si>
  <si>
    <t>São Francisco de Assis</t>
  </si>
  <si>
    <t>Boa Vista do Cadeado</t>
  </si>
  <si>
    <t>Paim Filho</t>
  </si>
  <si>
    <t>Sananduva</t>
  </si>
  <si>
    <t>Boa Vista do Incra</t>
  </si>
  <si>
    <t>Palmas</t>
  </si>
  <si>
    <t>Pranchita</t>
  </si>
  <si>
    <t>Nova Palma</t>
  </si>
  <si>
    <t>Ivaiporã</t>
  </si>
  <si>
    <t>Maximiliano de Almeida</t>
  </si>
  <si>
    <t>Alegria</t>
  </si>
  <si>
    <t>Carlos Gomes</t>
  </si>
  <si>
    <t>Candelária</t>
  </si>
  <si>
    <t>Água Doce</t>
  </si>
  <si>
    <t>Cerro Branco</t>
  </si>
  <si>
    <t>Ibiaçá</t>
  </si>
  <si>
    <t>Júlio de Castilhos</t>
  </si>
  <si>
    <t>Benjamin Constant do Sul</t>
  </si>
  <si>
    <t>Trindade do Sul</t>
  </si>
  <si>
    <t>Gaurama</t>
  </si>
  <si>
    <t>Gramado dos Loureiros</t>
  </si>
  <si>
    <t>Caçador</t>
  </si>
  <si>
    <t>Ivorá</t>
  </si>
  <si>
    <t>Três Barras</t>
  </si>
  <si>
    <t>Iraceminha</t>
  </si>
  <si>
    <t>Vacaria</t>
  </si>
  <si>
    <t>Miraguaí</t>
  </si>
  <si>
    <t>Rio Negro</t>
  </si>
  <si>
    <t>Mafra</t>
  </si>
  <si>
    <t>Rodeio Bonito</t>
  </si>
  <si>
    <t>Áurea</t>
  </si>
  <si>
    <t>São Valentim</t>
  </si>
  <si>
    <t>Entre Rios do Sul</t>
  </si>
  <si>
    <t>Ampére</t>
  </si>
  <si>
    <t>Timbó Grande</t>
  </si>
  <si>
    <t>Tapejara</t>
  </si>
  <si>
    <t>Bom Progresso</t>
  </si>
  <si>
    <t>Novo Cabrais</t>
  </si>
  <si>
    <t>Cristal do Sul</t>
  </si>
  <si>
    <t>Palmitinho</t>
  </si>
  <si>
    <t>Enéas Marques</t>
  </si>
  <si>
    <t>Agudo</t>
  </si>
  <si>
    <t>Bossoroca</t>
  </si>
  <si>
    <t>Caiçara</t>
  </si>
  <si>
    <t>Dona Francisca</t>
  </si>
  <si>
    <t>Charrua</t>
  </si>
  <si>
    <t>Três Palmeiras</t>
  </si>
  <si>
    <t>Santa Bárbara do Sul</t>
  </si>
  <si>
    <t>Pejuçara</t>
  </si>
  <si>
    <t>Paraíso do Sul</t>
  </si>
  <si>
    <t>Irineópolis</t>
  </si>
  <si>
    <t>Sede Nova</t>
  </si>
  <si>
    <t>Frederico Westphalen</t>
  </si>
  <si>
    <t>Centenário</t>
  </si>
  <si>
    <t>Unistalda</t>
  </si>
  <si>
    <t>Inhacorá</t>
  </si>
  <si>
    <t>Faxinal do Soturno</t>
  </si>
  <si>
    <t>Panambi</t>
  </si>
  <si>
    <t>Cruzaltense</t>
  </si>
  <si>
    <t>Liberato Salzano</t>
  </si>
  <si>
    <t>Canoinhas</t>
  </si>
  <si>
    <t>São João do Polêsine</t>
  </si>
  <si>
    <t>São Pedro do Sul</t>
  </si>
  <si>
    <t>Pinhal</t>
  </si>
  <si>
    <t>Novo Tiradentes</t>
  </si>
  <si>
    <t>Iporã do Oeste</t>
  </si>
  <si>
    <t>Herval d'Oeste</t>
  </si>
  <si>
    <t>Joaçaba</t>
  </si>
  <si>
    <t>Condor</t>
  </si>
  <si>
    <t>Cerro Grande</t>
  </si>
  <si>
    <t>Floriano Peixoto</t>
  </si>
  <si>
    <t>Engenho Velho</t>
  </si>
  <si>
    <t>Santa Helena</t>
  </si>
  <si>
    <t>Chiapetta</t>
  </si>
  <si>
    <t>Guamiranga</t>
  </si>
  <si>
    <t>Campinas do Sul</t>
  </si>
  <si>
    <t>Novo Xingu</t>
  </si>
  <si>
    <t>Ponte Preta</t>
  </si>
  <si>
    <t>Vista Alegre</t>
  </si>
  <si>
    <t>Ronda Alta</t>
  </si>
  <si>
    <t>Constantina</t>
  </si>
  <si>
    <t>Nova Esperança do Sudoeste</t>
  </si>
  <si>
    <t>Braga</t>
  </si>
  <si>
    <t>Paulo Bento</t>
  </si>
  <si>
    <t>Cruzeiro do Iguaçu</t>
  </si>
  <si>
    <t>Estação</t>
  </si>
  <si>
    <t>Papanduva</t>
  </si>
  <si>
    <t>Barão de Cotegipe</t>
  </si>
  <si>
    <t>Dilermando de Aguiar</t>
  </si>
  <si>
    <t>Getúlio Vargas</t>
  </si>
  <si>
    <t>Itacurubi</t>
  </si>
  <si>
    <t>Bela Vista do Toldo</t>
  </si>
  <si>
    <t>Nova Ramada</t>
  </si>
  <si>
    <t>Erebango</t>
  </si>
  <si>
    <t>Cacequi</t>
  </si>
  <si>
    <t>São Martinho da Serra</t>
  </si>
  <si>
    <t>São Valério do Sul</t>
  </si>
  <si>
    <t>Dois Vizinhos</t>
  </si>
  <si>
    <t>Silveira Martins</t>
  </si>
  <si>
    <t>Campo Novo</t>
  </si>
  <si>
    <t>Cachoeira do Sul</t>
  </si>
  <si>
    <t>Restinga Seca</t>
  </si>
  <si>
    <t>Erechim</t>
  </si>
  <si>
    <t>Itaara</t>
  </si>
  <si>
    <t>Campo do Tenente</t>
  </si>
  <si>
    <t>Rolador</t>
  </si>
  <si>
    <t>Cruz Alta</t>
  </si>
  <si>
    <t>Maçambará</t>
  </si>
  <si>
    <t>Lebon Régis</t>
  </si>
  <si>
    <t>São Borja</t>
  </si>
  <si>
    <t>Manoel Viana</t>
  </si>
  <si>
    <t>Santo Antônio das Missões</t>
  </si>
  <si>
    <t>Urussanga</t>
  </si>
  <si>
    <t>Rosário do Sul</t>
  </si>
  <si>
    <t>Barra do Quaraí</t>
  </si>
  <si>
    <t>Ivaí</t>
  </si>
  <si>
    <t>São Luiz Gonzaga</t>
  </si>
  <si>
    <t>Aceguá</t>
  </si>
  <si>
    <t>Santa Maria</t>
  </si>
  <si>
    <t>General Carneiro</t>
  </si>
  <si>
    <t>Alegrete</t>
  </si>
  <si>
    <t>Uruguaiana</t>
  </si>
  <si>
    <t>Juquitiba</t>
  </si>
  <si>
    <t>São Gabriel</t>
  </si>
  <si>
    <t>Capela do Alto</t>
  </si>
  <si>
    <t>Bagé</t>
  </si>
  <si>
    <t>Iperó</t>
  </si>
  <si>
    <t>Cesário Lange</t>
  </si>
  <si>
    <t>Riversul</t>
  </si>
  <si>
    <t>Alambari</t>
  </si>
  <si>
    <t>Dom Pedrito</t>
  </si>
  <si>
    <t>Boituva</t>
  </si>
  <si>
    <t>Quaraí</t>
  </si>
  <si>
    <t>Itaporanga</t>
  </si>
  <si>
    <t>Tapiraí</t>
  </si>
  <si>
    <t>São Lourenço da Serra</t>
  </si>
  <si>
    <t>Jaguariúna</t>
  </si>
  <si>
    <t>Jumirim</t>
  </si>
  <si>
    <t>Cerquilho</t>
  </si>
  <si>
    <t>Coronel Macedo</t>
  </si>
  <si>
    <t>Itaberá</t>
  </si>
  <si>
    <t>Nazaré Paulista</t>
  </si>
  <si>
    <t>Taquarituba</t>
  </si>
  <si>
    <t>Tietê</t>
  </si>
  <si>
    <t>Itapetininga</t>
  </si>
  <si>
    <t>Tatuí</t>
  </si>
  <si>
    <t>Descalvado</t>
  </si>
  <si>
    <t>Águas de Santa Bárbara</t>
  </si>
  <si>
    <t>Taguaí</t>
  </si>
  <si>
    <t>Ibiúna</t>
  </si>
  <si>
    <t>Bernardino de Campos</t>
  </si>
  <si>
    <t>Vargem Grande do Sul</t>
  </si>
  <si>
    <t>Óleo</t>
  </si>
  <si>
    <t>São Pedro do Turvo</t>
  </si>
  <si>
    <t>Gália</t>
  </si>
  <si>
    <t>Apiaí</t>
  </si>
  <si>
    <t>Ibirarema</t>
  </si>
  <si>
    <t>Manduri</t>
  </si>
  <si>
    <t>Santa Bárbara d'Oeste</t>
  </si>
  <si>
    <t>São João da Boa Vista</t>
  </si>
  <si>
    <t>Assis</t>
  </si>
  <si>
    <t>Paranapanema</t>
  </si>
  <si>
    <t>Bela Vista do Paraíso</t>
  </si>
  <si>
    <t>Piratininga</t>
  </si>
  <si>
    <t>Cabo Frio</t>
  </si>
  <si>
    <t>Arraial do Cabo</t>
  </si>
  <si>
    <t>Mucuri</t>
  </si>
  <si>
    <t>Nova Viçosa</t>
  </si>
  <si>
    <t>Itabela</t>
  </si>
  <si>
    <t>João Neiva</t>
  </si>
  <si>
    <t>Teixeira de Freitas</t>
  </si>
  <si>
    <t>Itamaraju</t>
  </si>
  <si>
    <t>Jaguaraçu</t>
  </si>
  <si>
    <t>Timóteo</t>
  </si>
  <si>
    <t>Sooretama</t>
  </si>
  <si>
    <t>Conceição da Barra</t>
  </si>
  <si>
    <t>Prado</t>
  </si>
  <si>
    <t>Guaratinga</t>
  </si>
  <si>
    <t>Colatina</t>
  </si>
  <si>
    <t>Aracruz</t>
  </si>
  <si>
    <t>Santa Inês</t>
  </si>
  <si>
    <t>Ibiraçu</t>
  </si>
  <si>
    <t>Jucuruçu</t>
  </si>
  <si>
    <t>Alcobaça</t>
  </si>
  <si>
    <t>Palmópolis</t>
  </si>
  <si>
    <t>Rio do Prado</t>
  </si>
  <si>
    <t>São Roque do Canaã</t>
  </si>
  <si>
    <t>Limoeiro</t>
  </si>
  <si>
    <t>Pojuca</t>
  </si>
  <si>
    <t>Brejões</t>
  </si>
  <si>
    <t>Saloá</t>
  </si>
  <si>
    <t>Jandaíra</t>
  </si>
  <si>
    <t>Araruama</t>
  </si>
  <si>
    <t>Paripiranga</t>
  </si>
  <si>
    <t>Itagimirim</t>
  </si>
  <si>
    <t>Una</t>
  </si>
  <si>
    <t>Mascote</t>
  </si>
  <si>
    <t>Pedro Alexandre</t>
  </si>
  <si>
    <t>Quissamã</t>
  </si>
  <si>
    <t>Felisburgo</t>
  </si>
  <si>
    <t>João Alfredo</t>
  </si>
  <si>
    <t>Saquarema</t>
  </si>
  <si>
    <t>Iguaba Grande</t>
  </si>
  <si>
    <t>Itapebi</t>
  </si>
  <si>
    <t>Vereda</t>
  </si>
  <si>
    <t>Marliéria</t>
  </si>
  <si>
    <t>Bertópolis</t>
  </si>
  <si>
    <t>Salto da Divisa</t>
  </si>
  <si>
    <t>Carpina</t>
  </si>
  <si>
    <t>RN</t>
  </si>
  <si>
    <t>Serra de São Bento</t>
  </si>
  <si>
    <t>Antônio Dias</t>
  </si>
  <si>
    <t>Rio Novo do Sul</t>
  </si>
  <si>
    <t>Santa Helena de Minas</t>
  </si>
  <si>
    <t>Itanhém</t>
  </si>
  <si>
    <t>Condeúba</t>
  </si>
  <si>
    <t>Canavieiras</t>
  </si>
  <si>
    <t>Maricá</t>
  </si>
  <si>
    <t>Cordeiros</t>
  </si>
  <si>
    <t>Cravolândia</t>
  </si>
  <si>
    <t>Passa e Fica</t>
  </si>
  <si>
    <t>Vila Pavão</t>
  </si>
  <si>
    <t>Paranatama</t>
  </si>
  <si>
    <t>Cumaru</t>
  </si>
  <si>
    <t>Fundão</t>
  </si>
  <si>
    <t>Pedro Canário</t>
  </si>
  <si>
    <t>Tobias Barreto</t>
  </si>
  <si>
    <t>Piripá</t>
  </si>
  <si>
    <t>Santo Antônio do Jacinto</t>
  </si>
  <si>
    <t>Dionísio</t>
  </si>
  <si>
    <t>Barra de São Francisco</t>
  </si>
  <si>
    <t>Santa Luzia</t>
  </si>
  <si>
    <t>São Domingos do Prata</t>
  </si>
  <si>
    <t>Cariacica</t>
  </si>
  <si>
    <t>Água Doce do Norte</t>
  </si>
  <si>
    <t>Jaguaré</t>
  </si>
  <si>
    <t>RR</t>
  </si>
  <si>
    <t>Normandia</t>
  </si>
  <si>
    <t>Machacalis</t>
  </si>
  <si>
    <t>Nova Belém</t>
  </si>
  <si>
    <t>Rubim</t>
  </si>
  <si>
    <t>Itapemirim</t>
  </si>
  <si>
    <t>São Joaquim do Monte</t>
  </si>
  <si>
    <t>Serra</t>
  </si>
  <si>
    <t>Linhares</t>
  </si>
  <si>
    <t>Brasilândia de Minas</t>
  </si>
  <si>
    <t>Umburatiba</t>
  </si>
  <si>
    <t>São João do Manteninha</t>
  </si>
  <si>
    <t>Fronteira dos Vales</t>
  </si>
  <si>
    <t>Rio Bonito</t>
  </si>
  <si>
    <t>São José do Divino</t>
  </si>
  <si>
    <t>Cardeal da Silva</t>
  </si>
  <si>
    <t>Uiramutã</t>
  </si>
  <si>
    <t>Cuparaque</t>
  </si>
  <si>
    <t>Camacan</t>
  </si>
  <si>
    <t>Central de Minas</t>
  </si>
  <si>
    <t>Goiabeira</t>
  </si>
  <si>
    <t>Monte das Gameleiras</t>
  </si>
  <si>
    <t>AL</t>
  </si>
  <si>
    <t>Santa Luzia do Norte</t>
  </si>
  <si>
    <t>Mendes Pimentel</t>
  </si>
  <si>
    <t>São José do Campestre</t>
  </si>
  <si>
    <t>Mantena</t>
  </si>
  <si>
    <t>Lafaiete Coutinho</t>
  </si>
  <si>
    <t>Amajari</t>
  </si>
  <si>
    <t>Mortugaba</t>
  </si>
  <si>
    <t>Ubaíra</t>
  </si>
  <si>
    <t>Medeiros Neto</t>
  </si>
  <si>
    <t>Nova Módica</t>
  </si>
  <si>
    <t>Divino das Laranjeiras</t>
  </si>
  <si>
    <t>São Sebastião do Passé</t>
  </si>
  <si>
    <t>Frutal</t>
  </si>
  <si>
    <t>Arataca</t>
  </si>
  <si>
    <t>Águas Formosas</t>
  </si>
  <si>
    <t>São Félix de Minas</t>
  </si>
  <si>
    <t>Mantenópolis</t>
  </si>
  <si>
    <t>São Geraldo do Baixio</t>
  </si>
  <si>
    <t>Ecoporanga</t>
  </si>
  <si>
    <t>Presidente Jânio Quadros</t>
  </si>
  <si>
    <t>Jurema</t>
  </si>
  <si>
    <t>Catu</t>
  </si>
  <si>
    <t>Crisólita</t>
  </si>
  <si>
    <t>GO</t>
  </si>
  <si>
    <t>Jupi</t>
  </si>
  <si>
    <t>Lagoa d'Anta</t>
  </si>
  <si>
    <t>São José do Goiabal</t>
  </si>
  <si>
    <t>Guarapari</t>
  </si>
  <si>
    <t>Nova Era</t>
  </si>
  <si>
    <t>Estrela de Alagoas</t>
  </si>
  <si>
    <t>Ouriçangas</t>
  </si>
  <si>
    <t>São José da Vitória</t>
  </si>
  <si>
    <t>Pescador</t>
  </si>
  <si>
    <t>Galiléia</t>
  </si>
  <si>
    <t>Itaquara</t>
  </si>
  <si>
    <t>Lajedo</t>
  </si>
  <si>
    <t>Buerarema</t>
  </si>
  <si>
    <t>Resplendor</t>
  </si>
  <si>
    <t>Montezuma</t>
  </si>
  <si>
    <t>Mutuípe</t>
  </si>
  <si>
    <t>Jiquiriçá</t>
  </si>
  <si>
    <t>Pau Brasil</t>
  </si>
  <si>
    <t>Tumiritinga</t>
  </si>
  <si>
    <t>Vargem Alta</t>
  </si>
  <si>
    <t>Campanário</t>
  </si>
  <si>
    <t>Conselheiro Pena</t>
  </si>
  <si>
    <t>PB</t>
  </si>
  <si>
    <t>Campo de Santana</t>
  </si>
  <si>
    <t>Riachão</t>
  </si>
  <si>
    <t>Lagoa dos Gatos</t>
  </si>
  <si>
    <t>São João da Barra</t>
  </si>
  <si>
    <t>Jacaraci</t>
  </si>
  <si>
    <t>Laje</t>
  </si>
  <si>
    <t>Esplanada</t>
  </si>
  <si>
    <t>Amargosa</t>
  </si>
  <si>
    <t>Santa Rita do Itueto</t>
  </si>
  <si>
    <t>Apucarana</t>
  </si>
  <si>
    <t>Ilhéus</t>
  </si>
  <si>
    <t>Iconha</t>
  </si>
  <si>
    <t>Pavão</t>
  </si>
  <si>
    <t>Araruna</t>
  </si>
  <si>
    <t>Joinville</t>
  </si>
  <si>
    <t>Jampruca</t>
  </si>
  <si>
    <t>Marechal Deodoro</t>
  </si>
  <si>
    <t>Piúma</t>
  </si>
  <si>
    <t>Ibirapuã</t>
  </si>
  <si>
    <t>Frei Gaspar</t>
  </si>
  <si>
    <t>Lajedão</t>
  </si>
  <si>
    <t>Santa Maria do Salto</t>
  </si>
  <si>
    <t>Itabuna</t>
  </si>
  <si>
    <t>Mangaratiba</t>
  </si>
  <si>
    <t>São Miguel das Matas</t>
  </si>
  <si>
    <t>Itambacuri</t>
  </si>
  <si>
    <t>Itatim</t>
  </si>
  <si>
    <t>Salgadinho</t>
  </si>
  <si>
    <t>Ouro Verde de Minas</t>
  </si>
  <si>
    <t>Pariconha</t>
  </si>
  <si>
    <t>Coromandel</t>
  </si>
  <si>
    <t>Caculé</t>
  </si>
  <si>
    <t>Licínio de Almeida</t>
  </si>
  <si>
    <t>Novo Oriente de Minas</t>
  </si>
  <si>
    <t>Jussari</t>
  </si>
  <si>
    <t>Santo Antônio do Retiro</t>
  </si>
  <si>
    <t>Poté</t>
  </si>
  <si>
    <t>Lajedo do Tabocal</t>
  </si>
  <si>
    <t>Frei Inocêncio</t>
  </si>
  <si>
    <t>Mathias Lobato</t>
  </si>
  <si>
    <t>Elísio Medrado</t>
  </si>
  <si>
    <t>Pacaraima</t>
  </si>
  <si>
    <t>Bezerros</t>
  </si>
  <si>
    <t>Franciscópolis</t>
  </si>
  <si>
    <t>São Gonçalo</t>
  </si>
  <si>
    <t>Ituberá</t>
  </si>
  <si>
    <t>Ataléia</t>
  </si>
  <si>
    <t>Palmeirina</t>
  </si>
  <si>
    <t>Malacacheta</t>
  </si>
  <si>
    <t>Varzedo</t>
  </si>
  <si>
    <t>Três Marias</t>
  </si>
  <si>
    <t>Uruçuca</t>
  </si>
  <si>
    <t>Capitão Andrade</t>
  </si>
  <si>
    <t>Iaçu</t>
  </si>
  <si>
    <t>Hidrolândia</t>
  </si>
  <si>
    <t>Ladainha</t>
  </si>
  <si>
    <t>Santa Cruz Cabrália</t>
  </si>
  <si>
    <t>Governador Valadares</t>
  </si>
  <si>
    <t>Alvarenga</t>
  </si>
  <si>
    <t>Calçado</t>
  </si>
  <si>
    <t>Marilac</t>
  </si>
  <si>
    <t>Teixeira</t>
  </si>
  <si>
    <t>São João do Paraíso</t>
  </si>
  <si>
    <t>Cristalina</t>
  </si>
  <si>
    <t>Ibiassucê</t>
  </si>
  <si>
    <t>Itanhomi</t>
  </si>
  <si>
    <t>Acajutiba</t>
  </si>
  <si>
    <t>Guajeru</t>
  </si>
  <si>
    <t>Santo Antônio de Jesus</t>
  </si>
  <si>
    <t>Catuji</t>
  </si>
  <si>
    <t>Itaipé</t>
  </si>
  <si>
    <t>Niterói</t>
  </si>
  <si>
    <t>Presidente Tancredo Neves</t>
  </si>
  <si>
    <t>Alfredo Chaves</t>
  </si>
  <si>
    <t>Serra dos Aimorés</t>
  </si>
  <si>
    <t>São Domingos das Dores</t>
  </si>
  <si>
    <t>São Sebastião do Anta</t>
  </si>
  <si>
    <t>Itapicuru</t>
  </si>
  <si>
    <t>Nilo Peçanha</t>
  </si>
  <si>
    <t>Bonito</t>
  </si>
  <si>
    <t>Cafarnaum</t>
  </si>
  <si>
    <t>Caetité</t>
  </si>
  <si>
    <t>Entre Folhas</t>
  </si>
  <si>
    <t>Inhapim</t>
  </si>
  <si>
    <t>Vargem Alegre</t>
  </si>
  <si>
    <t>Novo Cruzeiro</t>
  </si>
  <si>
    <t>Itapé</t>
  </si>
  <si>
    <t>Inhambupe</t>
  </si>
  <si>
    <t>Aporá</t>
  </si>
  <si>
    <t>Setubinha</t>
  </si>
  <si>
    <t>Santa Teresinha</t>
  </si>
  <si>
    <t>Terra Nova</t>
  </si>
  <si>
    <t>São José da Safira</t>
  </si>
  <si>
    <t>Barra de Santana</t>
  </si>
  <si>
    <t>Arapuá</t>
  </si>
  <si>
    <t>Imaculada</t>
  </si>
  <si>
    <t>Teófilo Otoni</t>
  </si>
  <si>
    <t>Barro Preto</t>
  </si>
  <si>
    <t>Córrego Novo</t>
  </si>
  <si>
    <t>Castro Alves</t>
  </si>
  <si>
    <t>São Pedro dos Ferros</t>
  </si>
  <si>
    <t>Água Fria</t>
  </si>
  <si>
    <t>Itaju do Colônia</t>
  </si>
  <si>
    <t>Utinga</t>
  </si>
  <si>
    <t>Pocrane</t>
  </si>
  <si>
    <t>Muniz Ferreira</t>
  </si>
  <si>
    <t>Porto Seguro</t>
  </si>
  <si>
    <t>Angelândia</t>
  </si>
  <si>
    <t>Ninheira</t>
  </si>
  <si>
    <t>Aratuípe</t>
  </si>
  <si>
    <t>Nazaré</t>
  </si>
  <si>
    <t>América Dourada</t>
  </si>
  <si>
    <t>Irará</t>
  </si>
  <si>
    <t>Vila Velha</t>
  </si>
  <si>
    <t>Livramento</t>
  </si>
  <si>
    <t>Wagner</t>
  </si>
  <si>
    <t>Ubaporanga</t>
  </si>
  <si>
    <t>Rio Real</t>
  </si>
  <si>
    <t>Nacip Raydan</t>
  </si>
  <si>
    <t>Imbé de Minas</t>
  </si>
  <si>
    <t>Dom Macedo Costa</t>
  </si>
  <si>
    <t>Buenópolis</t>
  </si>
  <si>
    <t>Vargem Grande do Rio Pardo</t>
  </si>
  <si>
    <t>São Gonçalo do Abaeté</t>
  </si>
  <si>
    <t>Dona Inês</t>
  </si>
  <si>
    <t>Morro do Chapéu</t>
  </si>
  <si>
    <t>Lajedinho</t>
  </si>
  <si>
    <t>Taperoá</t>
  </si>
  <si>
    <t>Posse</t>
  </si>
  <si>
    <t>Riacho de Santo Antônio</t>
  </si>
  <si>
    <t>São Francisco de Itabapoana</t>
  </si>
  <si>
    <t>São Felipe</t>
  </si>
  <si>
    <t>Macarani</t>
  </si>
  <si>
    <t>Joaquim Felício</t>
  </si>
  <si>
    <t>Itajuípe</t>
  </si>
  <si>
    <t>Água Boa</t>
  </si>
  <si>
    <t>Teolândia</t>
  </si>
  <si>
    <t>Raul Soares</t>
  </si>
  <si>
    <t>Lagoa Real</t>
  </si>
  <si>
    <t>Bom Jesus do Galho</t>
  </si>
  <si>
    <t>Muniz Freire</t>
  </si>
  <si>
    <t>Aricanduva</t>
  </si>
  <si>
    <t>Crisópolis</t>
  </si>
  <si>
    <t>Panelas</t>
  </si>
  <si>
    <t>Conceição do Almeida</t>
  </si>
  <si>
    <t>Santa Maria do Suaçuí</t>
  </si>
  <si>
    <t>Rio do Antônio</t>
  </si>
  <si>
    <t>Japi</t>
  </si>
  <si>
    <t>Raposos</t>
  </si>
  <si>
    <t>Luziânia</t>
  </si>
  <si>
    <t>Morada Nova de Minas</t>
  </si>
  <si>
    <t>Guarani de Goiás</t>
  </si>
  <si>
    <t>Turmalina</t>
  </si>
  <si>
    <t>Ibicaraí</t>
  </si>
  <si>
    <t>Piraí do Norte</t>
  </si>
  <si>
    <t>Teodoro Sampaio</t>
  </si>
  <si>
    <t>Mata Verde</t>
  </si>
  <si>
    <t>São José do Bonfim</t>
  </si>
  <si>
    <t>Cairu</t>
  </si>
  <si>
    <t>Divisópolis</t>
  </si>
  <si>
    <t>Lagamar</t>
  </si>
  <si>
    <t>Sairé</t>
  </si>
  <si>
    <t>São Gotardo</t>
  </si>
  <si>
    <t>Mambaí</t>
  </si>
  <si>
    <t>Sabará</t>
  </si>
  <si>
    <t>João Pinheiro</t>
  </si>
  <si>
    <t>Wenceslau Guimarães</t>
  </si>
  <si>
    <t>Varjão de Minas</t>
  </si>
  <si>
    <t>Tapiramutá</t>
  </si>
  <si>
    <t>Carmo do Paranaíba</t>
  </si>
  <si>
    <t>Sátiro Dias</t>
  </si>
  <si>
    <t>Jitaúna</t>
  </si>
  <si>
    <t>Caratinga</t>
  </si>
  <si>
    <t>Desterro</t>
  </si>
  <si>
    <t>Piedade de Caratinga</t>
  </si>
  <si>
    <t>Itatuba</t>
  </si>
  <si>
    <t>Ibiá</t>
  </si>
  <si>
    <t>Ipatinga</t>
  </si>
  <si>
    <t>Alcantil</t>
  </si>
  <si>
    <t>CE</t>
  </si>
  <si>
    <t>Barro</t>
  </si>
  <si>
    <t>Poção</t>
  </si>
  <si>
    <t>Lagoa Grande</t>
  </si>
  <si>
    <t>João Dourado</t>
  </si>
  <si>
    <t>Queimadas</t>
  </si>
  <si>
    <t>Conceição da Feira</t>
  </si>
  <si>
    <t>Cubati</t>
  </si>
  <si>
    <t>Vazante</t>
  </si>
  <si>
    <t>Vermelho Novo</t>
  </si>
  <si>
    <t>Cacimbas</t>
  </si>
  <si>
    <t>Coronel Fabriciano</t>
  </si>
  <si>
    <t>Juazeirinho</t>
  </si>
  <si>
    <t>Campos Altos</t>
  </si>
  <si>
    <t>Aurelino Leal</t>
  </si>
  <si>
    <t>Ubaitaba</t>
  </si>
  <si>
    <t>Mãe d'Água</t>
  </si>
  <si>
    <t>São José dos Cordeiros</t>
  </si>
  <si>
    <t>Gandu</t>
  </si>
  <si>
    <t>Mauriti</t>
  </si>
  <si>
    <t>Sapeaçu</t>
  </si>
  <si>
    <t>Tenório</t>
  </si>
  <si>
    <t>Duas Estradas</t>
  </si>
  <si>
    <t>Serra da Raiz</t>
  </si>
  <si>
    <t>Juarez Távora</t>
  </si>
  <si>
    <t>Caeté</t>
  </si>
  <si>
    <t>Engenheiro Navarro</t>
  </si>
  <si>
    <t>Ouvidor</t>
  </si>
  <si>
    <t>Congonhinhas</t>
  </si>
  <si>
    <t>Olindina</t>
  </si>
  <si>
    <t>Encruzilhada</t>
  </si>
  <si>
    <t>Matutina</t>
  </si>
  <si>
    <t>Santa Bárbara do Leste</t>
  </si>
  <si>
    <t>TO</t>
  </si>
  <si>
    <t>Dianópolis</t>
  </si>
  <si>
    <t>MS</t>
  </si>
  <si>
    <t>Ribas do Rio Pardo</t>
  </si>
  <si>
    <t>Logradouro</t>
  </si>
  <si>
    <t>Floresta Azul</t>
  </si>
  <si>
    <t>Santanópolis</t>
  </si>
  <si>
    <t>Bocaiúva</t>
  </si>
  <si>
    <t>Ribeirão do Largo</t>
  </si>
  <si>
    <t>Iaciara</t>
  </si>
  <si>
    <t>Ourolândia</t>
  </si>
  <si>
    <t>Gurjão</t>
  </si>
  <si>
    <t>Várzea Nova</t>
  </si>
  <si>
    <t>Indaiabira</t>
  </si>
  <si>
    <t>Prata</t>
  </si>
  <si>
    <t>Junco do Seridó</t>
  </si>
  <si>
    <t>Equador</t>
  </si>
  <si>
    <t>Itamari</t>
  </si>
  <si>
    <t>Cabaceiras do Paraguaçu</t>
  </si>
  <si>
    <t>Biritinga</t>
  </si>
  <si>
    <t>Vespasiano</t>
  </si>
  <si>
    <t>Coaraci</t>
  </si>
  <si>
    <t>Almadina</t>
  </si>
  <si>
    <t>Areia de Baraúnas</t>
  </si>
  <si>
    <t>Novo Jardim</t>
  </si>
  <si>
    <t>Rafael Jambeiro</t>
  </si>
  <si>
    <t>Santa Cruz da Vitória</t>
  </si>
  <si>
    <t>São José da Lapa</t>
  </si>
  <si>
    <t>Assunção</t>
  </si>
  <si>
    <t>Zabelê</t>
  </si>
  <si>
    <t>Pedra Lavrada</t>
  </si>
  <si>
    <t>Canudos</t>
  </si>
  <si>
    <t>Mundo Novo</t>
  </si>
  <si>
    <t>Pé de Serra</t>
  </si>
  <si>
    <t>Caraúbas</t>
  </si>
  <si>
    <t>Apuarema</t>
  </si>
  <si>
    <t>Nova Palmeira</t>
  </si>
  <si>
    <t>Pintadas</t>
  </si>
  <si>
    <t>Serraria</t>
  </si>
  <si>
    <t>Santo Antônio do Amparo</t>
  </si>
  <si>
    <t>Lagoa Santa</t>
  </si>
  <si>
    <t>Ribeirão Vermelho</t>
  </si>
  <si>
    <t>Damião</t>
  </si>
  <si>
    <t>Baixa Grande</t>
  </si>
  <si>
    <t>Picuí</t>
  </si>
  <si>
    <t>Ribeirão das Neves</t>
  </si>
  <si>
    <t>Perdões</t>
  </si>
  <si>
    <t>Água Branca</t>
  </si>
  <si>
    <t>Cupira</t>
  </si>
  <si>
    <t>Coração de Maria</t>
  </si>
  <si>
    <t>Araxá</t>
  </si>
  <si>
    <t>Puxinanã</t>
  </si>
  <si>
    <t>Parari</t>
  </si>
  <si>
    <t>Chapada Gaúcha</t>
  </si>
  <si>
    <t>Toritama</t>
  </si>
  <si>
    <t>Serra Branca</t>
  </si>
  <si>
    <t>Pesqueira</t>
  </si>
  <si>
    <t>Franca</t>
  </si>
  <si>
    <t>Piritiba</t>
  </si>
  <si>
    <t>Malhada de Pedras</t>
  </si>
  <si>
    <t>Montadas</t>
  </si>
  <si>
    <t>Araripe</t>
  </si>
  <si>
    <t>Cruz das Almas</t>
  </si>
  <si>
    <t>Olivedos</t>
  </si>
  <si>
    <t>Confins</t>
  </si>
  <si>
    <t>Nova Floresta</t>
  </si>
  <si>
    <t>Jaçanã</t>
  </si>
  <si>
    <t>São Bento do Trairí</t>
  </si>
  <si>
    <t>São José de Princesa</t>
  </si>
  <si>
    <t>Taquaraçu de Minas</t>
  </si>
  <si>
    <t>Congo</t>
  </si>
  <si>
    <t>Riachão do Bacamarte</t>
  </si>
  <si>
    <t>Aroeiras</t>
  </si>
  <si>
    <t>Pilõezinhos</t>
  </si>
  <si>
    <t>Pilar</t>
  </si>
  <si>
    <t>Amélia Rodrigues</t>
  </si>
  <si>
    <t>Coronel Ezequiel</t>
  </si>
  <si>
    <t>Nova Fátima</t>
  </si>
  <si>
    <t>Jaguaquara</t>
  </si>
  <si>
    <t>Araci</t>
  </si>
  <si>
    <t>Fagundes</t>
  </si>
  <si>
    <t>Boa Vista</t>
  </si>
  <si>
    <t>Riachão do Jacuípe</t>
  </si>
  <si>
    <t>Cuité</t>
  </si>
  <si>
    <t>Ibicuí</t>
  </si>
  <si>
    <t>Camalaú</t>
  </si>
  <si>
    <t>Mairi</t>
  </si>
  <si>
    <t>Serra Redonda</t>
  </si>
  <si>
    <t>Nova Canaã</t>
  </si>
  <si>
    <t>Nova Ibiá</t>
  </si>
  <si>
    <t>Pocinhos</t>
  </si>
  <si>
    <t>Buritis</t>
  </si>
  <si>
    <t>Passa Tempo</t>
  </si>
  <si>
    <t>Iguaí</t>
  </si>
  <si>
    <t>Capela do Alto Alegre</t>
  </si>
  <si>
    <t>Barra de São Miguel</t>
  </si>
  <si>
    <t>Cana Verde</t>
  </si>
  <si>
    <t>Solânea</t>
  </si>
  <si>
    <t>Ruy Barbosa</t>
  </si>
  <si>
    <t>Teofilândia</t>
  </si>
  <si>
    <t>São João do Cariri</t>
  </si>
  <si>
    <t>Guarda-Mor</t>
  </si>
  <si>
    <t>Saúde</t>
  </si>
  <si>
    <t>Tabira</t>
  </si>
  <si>
    <t>Várzea da Roça</t>
  </si>
  <si>
    <t>Alagoa Nova</t>
  </si>
  <si>
    <t>Belo Horizonte</t>
  </si>
  <si>
    <t>Alvorada do Norte</t>
  </si>
  <si>
    <t>Simolândia</t>
  </si>
  <si>
    <t>Massaranduba</t>
  </si>
  <si>
    <t>Santo Estêvão</t>
  </si>
  <si>
    <t>Alagoinha</t>
  </si>
  <si>
    <t>São Sebastião de Lagoa de Roça</t>
  </si>
  <si>
    <t>Ichu</t>
  </si>
  <si>
    <t>Lagoa Seca</t>
  </si>
  <si>
    <t>Areial</t>
  </si>
  <si>
    <t>Matinhas</t>
  </si>
  <si>
    <t>Cacimba de Dentro</t>
  </si>
  <si>
    <t>São João do Tigre</t>
  </si>
  <si>
    <t>Barão de Cocais</t>
  </si>
  <si>
    <t>Parambu</t>
  </si>
  <si>
    <t>Potengi</t>
  </si>
  <si>
    <t>Gado Bravo</t>
  </si>
  <si>
    <t>Bananeiras</t>
  </si>
  <si>
    <t>Borborema</t>
  </si>
  <si>
    <t>Caatiba</t>
  </si>
  <si>
    <t>Mirangaba</t>
  </si>
  <si>
    <t>Conceição do Jacuípe</t>
  </si>
  <si>
    <t>Casserengue</t>
  </si>
  <si>
    <t>Pilões</t>
  </si>
  <si>
    <t>Valença</t>
  </si>
  <si>
    <t>Remígio</t>
  </si>
  <si>
    <t>Retirolândia</t>
  </si>
  <si>
    <t>Coxixola</t>
  </si>
  <si>
    <t>Arara</t>
  </si>
  <si>
    <t>São Domingos do Cariri</t>
  </si>
  <si>
    <t>Pimenta</t>
  </si>
  <si>
    <t>Itambé</t>
  </si>
  <si>
    <t>Esperança</t>
  </si>
  <si>
    <t>Baraúna</t>
  </si>
  <si>
    <t>Conceição do Coité</t>
  </si>
  <si>
    <t>Nepomuceno</t>
  </si>
  <si>
    <t>Santa Rosa da Serra</t>
  </si>
  <si>
    <t>Caldeirão Grande</t>
  </si>
  <si>
    <t>Alagoa Grande</t>
  </si>
  <si>
    <t>Antônio Cardoso</t>
  </si>
  <si>
    <t>Santana do Jacaré</t>
  </si>
  <si>
    <t>Camapuã</t>
  </si>
  <si>
    <t>Algodão de Jandaíra</t>
  </si>
  <si>
    <t>Ipecaetá</t>
  </si>
  <si>
    <t>Barra de Santa Rosa</t>
  </si>
  <si>
    <t>Ibirajuba</t>
  </si>
  <si>
    <t>Macajuba</t>
  </si>
  <si>
    <t>Manaíra</t>
  </si>
  <si>
    <t>Barra do Choça</t>
  </si>
  <si>
    <t>Campina Grande</t>
  </si>
  <si>
    <t>Sumé</t>
  </si>
  <si>
    <t>Várzea do Poço</t>
  </si>
  <si>
    <t>Miguel Calmon</t>
  </si>
  <si>
    <t>Serra Preta</t>
  </si>
  <si>
    <t>Ribeira do Pombal</t>
  </si>
  <si>
    <t>Valente</t>
  </si>
  <si>
    <t>Catalão</t>
  </si>
  <si>
    <t>Campo Belo</t>
  </si>
  <si>
    <t>Cumari</t>
  </si>
  <si>
    <t>Aiquara</t>
  </si>
  <si>
    <t>Caridade</t>
  </si>
  <si>
    <t>Jaraguari</t>
  </si>
  <si>
    <t>Anhanguera</t>
  </si>
  <si>
    <t>Cristais</t>
  </si>
  <si>
    <t>Caém</t>
  </si>
  <si>
    <t>Araguari</t>
  </si>
  <si>
    <t>São Gonçalo dos Campos</t>
  </si>
  <si>
    <t>Ponto Novo</t>
  </si>
  <si>
    <t>Flores de Goiás</t>
  </si>
  <si>
    <t>Palmácia</t>
  </si>
  <si>
    <t>Aguanil</t>
  </si>
  <si>
    <t>Casa Branca</t>
  </si>
  <si>
    <t>Tapira</t>
  </si>
  <si>
    <t>Goiandira</t>
  </si>
  <si>
    <t>Vila Boa</t>
  </si>
  <si>
    <t>Guaramiranga</t>
  </si>
  <si>
    <t>Mulungu</t>
  </si>
  <si>
    <t>Terenos</t>
  </si>
  <si>
    <t>Pains</t>
  </si>
  <si>
    <t>Nova Roma</t>
  </si>
  <si>
    <t>Uberlândia</t>
  </si>
  <si>
    <t>Areia</t>
  </si>
  <si>
    <t>Bandeirantes</t>
  </si>
  <si>
    <t>Resende</t>
  </si>
  <si>
    <t>São Sebastião do Umbuzeiro</t>
  </si>
  <si>
    <t>Tucano</t>
  </si>
  <si>
    <t>Filadélfia</t>
  </si>
  <si>
    <t>Serrolândia</t>
  </si>
  <si>
    <t>Serra do Salitre</t>
  </si>
  <si>
    <t>Baturité</t>
  </si>
  <si>
    <t>Jacobina</t>
  </si>
  <si>
    <t>Pacoti</t>
  </si>
  <si>
    <t>Costa Rica</t>
  </si>
  <si>
    <t>São João d'Aliança</t>
  </si>
  <si>
    <t>Candeias</t>
  </si>
  <si>
    <t>Campo Formoso</t>
  </si>
  <si>
    <t>Figueirão</t>
  </si>
  <si>
    <t>Cabeceiras</t>
  </si>
  <si>
    <t>São José de Caiana</t>
  </si>
  <si>
    <t>Campo Grande</t>
  </si>
  <si>
    <t>Antônio Gonçalves</t>
  </si>
  <si>
    <t>Agrestina</t>
  </si>
  <si>
    <t>Água Fria de Goiás</t>
  </si>
  <si>
    <t>MT</t>
  </si>
  <si>
    <t>Tapurah</t>
  </si>
  <si>
    <t>Serra da Saudade</t>
  </si>
  <si>
    <t>Formosa</t>
  </si>
  <si>
    <t>Teresina de Goiás</t>
  </si>
  <si>
    <t>Vitória da Conquista</t>
  </si>
  <si>
    <t>Jaguarari</t>
  </si>
  <si>
    <t>Serra Grande</t>
  </si>
  <si>
    <t>Alto Paraíso de Goiás</t>
  </si>
  <si>
    <t>Altinho</t>
  </si>
  <si>
    <t>Angelim</t>
  </si>
  <si>
    <t>Jales</t>
  </si>
  <si>
    <t>Colinas do Sul</t>
  </si>
  <si>
    <t>RO</t>
  </si>
  <si>
    <t>Vilhena</t>
  </si>
  <si>
    <t>Cavalcante</t>
  </si>
  <si>
    <t>Alto Taquari</t>
  </si>
  <si>
    <t>Ibirataia</t>
  </si>
  <si>
    <t>Córrego Fundo</t>
  </si>
  <si>
    <t>Camocim de São Félix</t>
  </si>
  <si>
    <t>Senhor do Bonfim</t>
  </si>
  <si>
    <t>Niquelândia</t>
  </si>
  <si>
    <t>Itiquira</t>
  </si>
  <si>
    <t>Dores do Indaiá</t>
  </si>
  <si>
    <t>Monteiro</t>
  </si>
  <si>
    <t>Caruaru</t>
  </si>
  <si>
    <t>Alcinópolis</t>
  </si>
  <si>
    <t>Chapadão do Sul</t>
  </si>
  <si>
    <t>Anastácio</t>
  </si>
  <si>
    <t>Campos de Júlio</t>
  </si>
  <si>
    <t>Aquidauana</t>
  </si>
  <si>
    <t>Brumado</t>
  </si>
  <si>
    <t>Campo Verde</t>
  </si>
  <si>
    <t>Rio Verde</t>
  </si>
  <si>
    <t>Formiga</t>
  </si>
  <si>
    <t>Colorado do Oeste</t>
  </si>
  <si>
    <t>Sonora</t>
  </si>
  <si>
    <t>Ipiranga do Norte</t>
  </si>
  <si>
    <t>Arcoverde</t>
  </si>
  <si>
    <t>Garanhuns</t>
  </si>
  <si>
    <t>Cabixi</t>
  </si>
  <si>
    <t>Campo Novo do Parecis</t>
  </si>
  <si>
    <t>Dom Aquino</t>
  </si>
  <si>
    <t>Jaciara</t>
  </si>
  <si>
    <t>São Pedro da Cipa</t>
  </si>
  <si>
    <t>Caiapônia</t>
  </si>
  <si>
    <t>Nova Itarana</t>
  </si>
  <si>
    <t>Maribondo</t>
  </si>
  <si>
    <t>Rio Bananal</t>
  </si>
  <si>
    <t>Pinheiros</t>
  </si>
  <si>
    <t>Lagoa do Ouro</t>
  </si>
  <si>
    <t>Águia Branca</t>
  </si>
  <si>
    <t>Vila Valério</t>
  </si>
  <si>
    <t>Terezinha</t>
  </si>
  <si>
    <t>Taquarana</t>
  </si>
  <si>
    <t>São Gabriel da Palha</t>
  </si>
  <si>
    <t>Barra de Guabiraba</t>
  </si>
  <si>
    <t>Brejão</t>
  </si>
  <si>
    <t>São Domingos do Norte</t>
  </si>
  <si>
    <t>Ituaçu</t>
  </si>
  <si>
    <t>Tanque d'Arca</t>
  </si>
  <si>
    <t>Gravatá</t>
  </si>
  <si>
    <t>Santa Cruz do Capibaribe</t>
  </si>
  <si>
    <t>Iati</t>
  </si>
  <si>
    <t>Limoeiro de Anadia</t>
  </si>
  <si>
    <t>São Bento do Una</t>
  </si>
  <si>
    <t>Mirante</t>
  </si>
  <si>
    <t>Pedra Azul</t>
  </si>
  <si>
    <t>Itacuruba</t>
  </si>
  <si>
    <t>Caetanos</t>
  </si>
  <si>
    <t>Minador do Negrão</t>
  </si>
  <si>
    <t>Milagres</t>
  </si>
  <si>
    <t>Rodelas</t>
  </si>
  <si>
    <t>Maracás</t>
  </si>
  <si>
    <t>Bom Conselho</t>
  </si>
  <si>
    <t>Pindoba</t>
  </si>
  <si>
    <t>Marília</t>
  </si>
  <si>
    <t>Coité do Nóia</t>
  </si>
  <si>
    <t>Chã Grande</t>
  </si>
  <si>
    <t>Inajá</t>
  </si>
  <si>
    <t>Santa Maria do Cambucá</t>
  </si>
  <si>
    <t>Brejo da Madre de Deus</t>
  </si>
  <si>
    <t>Curaçá</t>
  </si>
  <si>
    <t>Planaltino</t>
  </si>
  <si>
    <t>São Benedito do Sul</t>
  </si>
  <si>
    <t>Maetinga</t>
  </si>
  <si>
    <t>Maraial</t>
  </si>
  <si>
    <t>Iraquara</t>
  </si>
  <si>
    <t>Souto Soares</t>
  </si>
  <si>
    <t>Correntes</t>
  </si>
  <si>
    <t>Canhotinho</t>
  </si>
  <si>
    <t>Quipapá</t>
  </si>
  <si>
    <t>Contendas do Sincorá</t>
  </si>
  <si>
    <t>Tanhaçu</t>
  </si>
  <si>
    <t>Itaeté</t>
  </si>
  <si>
    <t>Caturité</t>
  </si>
  <si>
    <t>Riacho das Almas</t>
  </si>
  <si>
    <t>Iramaia</t>
  </si>
  <si>
    <t>Carlos Chagas</t>
  </si>
  <si>
    <t>Venturosa</t>
  </si>
  <si>
    <t>Domingos Martins</t>
  </si>
  <si>
    <t>Marechal Floriano</t>
  </si>
  <si>
    <t>Pombos</t>
  </si>
  <si>
    <t>Afrânio</t>
  </si>
  <si>
    <t>Vertentes</t>
  </si>
  <si>
    <t>Mulungu do Morro</t>
  </si>
  <si>
    <t>Andaraí</t>
  </si>
  <si>
    <t>Caraíbas</t>
  </si>
  <si>
    <t>Nanuque</t>
  </si>
  <si>
    <t>Anagé</t>
  </si>
  <si>
    <t>Manoel Vitorino</t>
  </si>
  <si>
    <t>Águas Belas</t>
  </si>
  <si>
    <t>Tacaratu</t>
  </si>
  <si>
    <t>Nova Redenção</t>
  </si>
  <si>
    <t>Belo Jardim</t>
  </si>
  <si>
    <t>Frei Paulo</t>
  </si>
  <si>
    <t>Mucugê</t>
  </si>
  <si>
    <t>Joaíma</t>
  </si>
  <si>
    <t>Joaquim Nabuco</t>
  </si>
  <si>
    <t>Montanha</t>
  </si>
  <si>
    <t>Serrita</t>
  </si>
  <si>
    <t>Belo Oriente</t>
  </si>
  <si>
    <t>Campo do Brito</t>
  </si>
  <si>
    <t>Pedra</t>
  </si>
  <si>
    <t>Sertânia</t>
  </si>
  <si>
    <t>Sanharó</t>
  </si>
  <si>
    <t>Dormentes</t>
  </si>
  <si>
    <t>Santa Maria da Boa Vista</t>
  </si>
  <si>
    <t>Nossa Senhora da Glória</t>
  </si>
  <si>
    <t>Frei Miguelinho</t>
  </si>
  <si>
    <t>Granito</t>
  </si>
  <si>
    <t>Santa Cruz</t>
  </si>
  <si>
    <t>Timbaúba</t>
  </si>
  <si>
    <t>Bom Jesus da Serra</t>
  </si>
  <si>
    <t>Naque</t>
  </si>
  <si>
    <t>Tremedal</t>
  </si>
  <si>
    <t>Bugre</t>
  </si>
  <si>
    <t>Macambira</t>
  </si>
  <si>
    <t>Moreilândia</t>
  </si>
  <si>
    <t>Parnamirim</t>
  </si>
  <si>
    <t>Salgado</t>
  </si>
  <si>
    <t>Barro Alto</t>
  </si>
  <si>
    <t>Capela</t>
  </si>
  <si>
    <t>Cristinápolis</t>
  </si>
  <si>
    <t>Nossa Senhora Aparecida</t>
  </si>
  <si>
    <t>Tomar do Geru</t>
  </si>
  <si>
    <t>Ribeirópolis</t>
  </si>
  <si>
    <t>Crixás</t>
  </si>
  <si>
    <t>Moita Bonita</t>
  </si>
  <si>
    <t>Nossa Senhora de Lourdes</t>
  </si>
  <si>
    <t>Santana do Paraíso</t>
  </si>
  <si>
    <t>Iapu</t>
  </si>
  <si>
    <t>Carnaubeira da Penha</t>
  </si>
  <si>
    <t>Poço Redondo</t>
  </si>
  <si>
    <t>Afogados da Ingazeira</t>
  </si>
  <si>
    <t>Arauá</t>
  </si>
  <si>
    <t>Jacinto</t>
  </si>
  <si>
    <t>São João do Oriente</t>
  </si>
  <si>
    <t>Iguaraci</t>
  </si>
  <si>
    <t>Periquito</t>
  </si>
  <si>
    <t>Salgueiro</t>
  </si>
  <si>
    <t>Ibicoara</t>
  </si>
  <si>
    <t>Flores</t>
  </si>
  <si>
    <t>Belém de São Francisco</t>
  </si>
  <si>
    <t>Seabra</t>
  </si>
  <si>
    <t>Ponto Belo</t>
  </si>
  <si>
    <t>Monte Alegre de Sergipe</t>
  </si>
  <si>
    <t>Barra do Mendes</t>
  </si>
  <si>
    <t>Sobrália</t>
  </si>
  <si>
    <t>Quebrangulo</t>
  </si>
  <si>
    <t>Ladário</t>
  </si>
  <si>
    <t>Pedrinhas</t>
  </si>
  <si>
    <t>Ipubi</t>
  </si>
  <si>
    <t>Aracatu</t>
  </si>
  <si>
    <t>Santa Rita do Araguaia</t>
  </si>
  <si>
    <t>Alto Araguaia</t>
  </si>
  <si>
    <t>Mesquita</t>
  </si>
  <si>
    <t>São José do Egito</t>
  </si>
  <si>
    <t>Dom Cavati</t>
  </si>
  <si>
    <t>Tarumirim</t>
  </si>
  <si>
    <t>Riachão do Dantas</t>
  </si>
  <si>
    <t>Itaguaçu</t>
  </si>
  <si>
    <t>Palmeiras</t>
  </si>
  <si>
    <t>Jequitinhonha</t>
  </si>
  <si>
    <t>Monte Formoso</t>
  </si>
  <si>
    <t>Feira Nova</t>
  </si>
  <si>
    <t>Nossa Senhora das Dores</t>
  </si>
  <si>
    <t>Fernandes Tourinho</t>
  </si>
  <si>
    <t>Engenheiro Caldas</t>
  </si>
  <si>
    <t>Umbaúba</t>
  </si>
  <si>
    <t>Canarana</t>
  </si>
  <si>
    <t>Itapetim</t>
  </si>
  <si>
    <t>Boninal</t>
  </si>
  <si>
    <t>Gracho Cardoso</t>
  </si>
  <si>
    <t>Ibipeba</t>
  </si>
  <si>
    <t>Teotônio Vilela</t>
  </si>
  <si>
    <t>São Geraldo da Piedade</t>
  </si>
  <si>
    <t>São José da Laje</t>
  </si>
  <si>
    <t>Medina</t>
  </si>
  <si>
    <t>Tacaimbó</t>
  </si>
  <si>
    <t>Major Isidoro</t>
  </si>
  <si>
    <t>Feira Grande</t>
  </si>
  <si>
    <t>Cumbe</t>
  </si>
  <si>
    <t>Belo Campo</t>
  </si>
  <si>
    <t>Olho d'Água das Flores</t>
  </si>
  <si>
    <t>Cacimbinhas</t>
  </si>
  <si>
    <t>Uibaí</t>
  </si>
  <si>
    <t>Canapi</t>
  </si>
  <si>
    <t>Mar Vermelho</t>
  </si>
  <si>
    <t>Mato Verde</t>
  </si>
  <si>
    <t>Simão Dias</t>
  </si>
  <si>
    <t>Ibateguara</t>
  </si>
  <si>
    <t>Passo de Camaragibe</t>
  </si>
  <si>
    <t>Mirandiba</t>
  </si>
  <si>
    <t>Açucena</t>
  </si>
  <si>
    <t>Monte Horebe</t>
  </si>
  <si>
    <t>Custódia</t>
  </si>
  <si>
    <t>Bonito de Santa Fé</t>
  </si>
  <si>
    <t>Amaralina</t>
  </si>
  <si>
    <t>Penaforte</t>
  </si>
  <si>
    <t>Davinópolis</t>
  </si>
  <si>
    <t>Mucurici</t>
  </si>
  <si>
    <t>Alpercata</t>
  </si>
  <si>
    <t>Irajuba</t>
  </si>
  <si>
    <t>Jussara</t>
  </si>
  <si>
    <t>Princesa Isabel</t>
  </si>
  <si>
    <t>Paulo Jacinto</t>
  </si>
  <si>
    <t>Coroaci</t>
  </si>
  <si>
    <t>Padre Paraíso</t>
  </si>
  <si>
    <t>Ibititá</t>
  </si>
  <si>
    <t>Poço das Trincheiras</t>
  </si>
  <si>
    <t>Santana do Mundaú</t>
  </si>
  <si>
    <t>Campos Verdes</t>
  </si>
  <si>
    <t>Cambará</t>
  </si>
  <si>
    <t>Presidente Dutra</t>
  </si>
  <si>
    <t>Caraí</t>
  </si>
  <si>
    <t>Joaquim Gomes</t>
  </si>
  <si>
    <t>Igaci</t>
  </si>
  <si>
    <t>Rio de Contas</t>
  </si>
  <si>
    <t>Senador Rui Palmeira</t>
  </si>
  <si>
    <t>Dois Riachos</t>
  </si>
  <si>
    <t>Cajueiro</t>
  </si>
  <si>
    <t>Chã Preta</t>
  </si>
  <si>
    <t>Faina</t>
  </si>
  <si>
    <t>Três Ranchos</t>
  </si>
  <si>
    <t>Inhapi</t>
  </si>
  <si>
    <t>Central</t>
  </si>
  <si>
    <t>Boa Nova</t>
  </si>
  <si>
    <t>Biquinhas</t>
  </si>
  <si>
    <t>Joanésia</t>
  </si>
  <si>
    <t>Lagoa da Canoa</t>
  </si>
  <si>
    <t>Braúnas</t>
  </si>
  <si>
    <t>Olivença</t>
  </si>
  <si>
    <t>Taparuba</t>
  </si>
  <si>
    <t>Santana do Ipanema</t>
  </si>
  <si>
    <t>Mutum</t>
  </si>
  <si>
    <t>Douradoquara</t>
  </si>
  <si>
    <t>Livramento de Nossa Senhora</t>
  </si>
  <si>
    <t>Porteirinha</t>
  </si>
  <si>
    <t>São Sebastião do Maranhão</t>
  </si>
  <si>
    <t>Poções</t>
  </si>
  <si>
    <t>Itaguaçu da Bahia</t>
  </si>
  <si>
    <t>Mara Rosa</t>
  </si>
  <si>
    <t>Carneiros</t>
  </si>
  <si>
    <t>Delmiro Gouveia</t>
  </si>
  <si>
    <t>Caldas Novas</t>
  </si>
  <si>
    <t>Érico Cardoso</t>
  </si>
  <si>
    <t>Rio do Pires</t>
  </si>
  <si>
    <t>Ponto dos Volantes</t>
  </si>
  <si>
    <t>Araripina</t>
  </si>
  <si>
    <t>Alto Horizonte</t>
  </si>
  <si>
    <t>Riacho dos Machados</t>
  </si>
  <si>
    <t>Ouro Velho</t>
  </si>
  <si>
    <t>Grupiara</t>
  </si>
  <si>
    <t>Paineiras</t>
  </si>
  <si>
    <t>Itagi</t>
  </si>
  <si>
    <t>Estrela do Norte</t>
  </si>
  <si>
    <t>Ji-Paraná</t>
  </si>
  <si>
    <t>Veredinha</t>
  </si>
  <si>
    <t>Itaobim</t>
  </si>
  <si>
    <t>Serranópolis de Minas</t>
  </si>
  <si>
    <t>Monjolos</t>
  </si>
  <si>
    <t>Dom Basílio</t>
  </si>
  <si>
    <t>Caturama</t>
  </si>
  <si>
    <t>Paramirim</t>
  </si>
  <si>
    <t>Pirajuba</t>
  </si>
  <si>
    <t>Quirinópolis</t>
  </si>
  <si>
    <t>Aragoiânia</t>
  </si>
  <si>
    <t>Ibitiara</t>
  </si>
  <si>
    <t>Dom Bosco</t>
  </si>
  <si>
    <t>Igaporã</t>
  </si>
  <si>
    <t>Matina</t>
  </si>
  <si>
    <t>Tanque Novo</t>
  </si>
  <si>
    <t>Bambuí</t>
  </si>
  <si>
    <t>Nova Iguaçu de Goiás</t>
  </si>
  <si>
    <t>Josenópolis</t>
  </si>
  <si>
    <t>Cachoeira de Pajeú</t>
  </si>
  <si>
    <t>Ingazeira</t>
  </si>
  <si>
    <t>Campinorte</t>
  </si>
  <si>
    <t>Cristália</t>
  </si>
  <si>
    <t>Campo Alegre de Goiás</t>
  </si>
  <si>
    <t>Padre Carvalho</t>
  </si>
  <si>
    <t>Inaciolândia</t>
  </si>
  <si>
    <t>Maturéia</t>
  </si>
  <si>
    <t>Umburanas</t>
  </si>
  <si>
    <t>Damianópolis</t>
  </si>
  <si>
    <t>Orobó</t>
  </si>
  <si>
    <t>Santa Cruz de Salinas</t>
  </si>
  <si>
    <t>Planura</t>
  </si>
  <si>
    <t>Bonfinópolis de Minas</t>
  </si>
  <si>
    <t>Cascalho Rico</t>
  </si>
  <si>
    <t>Santa Terezinha de Goiás</t>
  </si>
  <si>
    <t>Botuporã</t>
  </si>
  <si>
    <t>Estrela do Sul</t>
  </si>
  <si>
    <t>Comercinho</t>
  </si>
  <si>
    <t>Rubelita</t>
  </si>
  <si>
    <t>Irecê</t>
  </si>
  <si>
    <t>Virgem da Lapa</t>
  </si>
  <si>
    <t>Rio Pardo de Minas</t>
  </si>
  <si>
    <t>Guapó</t>
  </si>
  <si>
    <t>Bom Jesus do Amparo</t>
  </si>
  <si>
    <t>Francisco Badaró</t>
  </si>
  <si>
    <t>Jenipapo de Minas</t>
  </si>
  <si>
    <t>Castelândia</t>
  </si>
  <si>
    <t>Olhos-d'Água</t>
  </si>
  <si>
    <t>Francisco Dumont</t>
  </si>
  <si>
    <t>Ibipitanga</t>
  </si>
  <si>
    <t>José Gonçalves de Minas</t>
  </si>
  <si>
    <t>Junqueiro</t>
  </si>
  <si>
    <t>Botumirim</t>
  </si>
  <si>
    <t>Buritinópolis</t>
  </si>
  <si>
    <t>Rio Quente</t>
  </si>
  <si>
    <t>Lapão</t>
  </si>
  <si>
    <t>Seridó</t>
  </si>
  <si>
    <t>Uruaçu</t>
  </si>
  <si>
    <t>Anápolis</t>
  </si>
  <si>
    <t>Berilo</t>
  </si>
  <si>
    <t>Abadia de Goiás</t>
  </si>
  <si>
    <t>Gentio do Ouro</t>
  </si>
  <si>
    <t>Nova União</t>
  </si>
  <si>
    <t>Presidente Juscelino</t>
  </si>
  <si>
    <t>Guajará-Mirim</t>
  </si>
  <si>
    <t>Goiatuba</t>
  </si>
  <si>
    <t>Gouvelândia</t>
  </si>
  <si>
    <t>Leme do Prado</t>
  </si>
  <si>
    <t>Cândido Sales</t>
  </si>
  <si>
    <t>Goianápolis</t>
  </si>
  <si>
    <t>Salitre</t>
  </si>
  <si>
    <t>Bela Vista de Goiás</t>
  </si>
  <si>
    <t>Mairipotaba</t>
  </si>
  <si>
    <t>Cromínia</t>
  </si>
  <si>
    <t>Anadia</t>
  </si>
  <si>
    <t>Ipiaçu</t>
  </si>
  <si>
    <t>Pedro Leopoldo</t>
  </si>
  <si>
    <t>Macaúbas</t>
  </si>
  <si>
    <t>Aparecida de Goiânia</t>
  </si>
  <si>
    <t>Trindade</t>
  </si>
  <si>
    <t>Coronel Murta</t>
  </si>
  <si>
    <t>Cedro do Abaeté</t>
  </si>
  <si>
    <t>Vicentinópolis</t>
  </si>
  <si>
    <t>Terezópolis de Goiás</t>
  </si>
  <si>
    <t>Comendador Gomes</t>
  </si>
  <si>
    <t>Jaboticatubas</t>
  </si>
  <si>
    <t>Pindobaçu</t>
  </si>
  <si>
    <t>Córrego Danta</t>
  </si>
  <si>
    <t>Lagoa Formosa</t>
  </si>
  <si>
    <t>Inhumas</t>
  </si>
  <si>
    <t>Manari</t>
  </si>
  <si>
    <t>Francisco Sá</t>
  </si>
  <si>
    <t>Cláudio</t>
  </si>
  <si>
    <t>Chapadão do Céu</t>
  </si>
  <si>
    <t>Boquira</t>
  </si>
  <si>
    <t>Botucatu</t>
  </si>
  <si>
    <t>Bonito de Minas</t>
  </si>
  <si>
    <t>Matozinhos</t>
  </si>
  <si>
    <t>Itacambira</t>
  </si>
  <si>
    <t>Ipupiara</t>
  </si>
  <si>
    <t>Romaria</t>
  </si>
  <si>
    <t>Porteirão</t>
  </si>
  <si>
    <t>Ibaté</t>
  </si>
  <si>
    <t>Curral de Dentro</t>
  </si>
  <si>
    <t>Marzagão</t>
  </si>
  <si>
    <t>Minas Novas</t>
  </si>
  <si>
    <t>Senador Canedo</t>
  </si>
  <si>
    <t>Panamá</t>
  </si>
  <si>
    <t>Berizal</t>
  </si>
  <si>
    <t>Guaraciama</t>
  </si>
  <si>
    <t>Itinga</t>
  </si>
  <si>
    <t>Professor Jamil</t>
  </si>
  <si>
    <t>Brotas de Macaúbas</t>
  </si>
  <si>
    <t>Maurilândia</t>
  </si>
  <si>
    <t>Santa Vitória</t>
  </si>
  <si>
    <t>Campo Florido</t>
  </si>
  <si>
    <t>Colômbia</t>
  </si>
  <si>
    <t>Divisa Alegre</t>
  </si>
  <si>
    <t>Caldazinha</t>
  </si>
  <si>
    <t>Santa Cruz da Baixa Verde</t>
  </si>
  <si>
    <t>Bonfinópolis</t>
  </si>
  <si>
    <t>Fruta de Leite</t>
  </si>
  <si>
    <t>Santa Juliana</t>
  </si>
  <si>
    <t>Campestre de Goiás</t>
  </si>
  <si>
    <t>Edealina</t>
  </si>
  <si>
    <t>Pedrinópolis</t>
  </si>
  <si>
    <t>Campo Limpo de Goiás</t>
  </si>
  <si>
    <t>Valparaíso de Goiás</t>
  </si>
  <si>
    <t>Casinhas</t>
  </si>
  <si>
    <t>Capim Branco</t>
  </si>
  <si>
    <t>Chapada do Norte</t>
  </si>
  <si>
    <t>Novo Gama</t>
  </si>
  <si>
    <t>Cachoeira Dourada</t>
  </si>
  <si>
    <t>Joviânia</t>
  </si>
  <si>
    <t>Turvelândia</t>
  </si>
  <si>
    <t>Caturaí</t>
  </si>
  <si>
    <t>Bauru</t>
  </si>
  <si>
    <t>Morro Agudo de Goiás</t>
  </si>
  <si>
    <t>Porto dos Gaúchos</t>
  </si>
  <si>
    <t>São Sebastião</t>
  </si>
  <si>
    <t>Morro da Garça</t>
  </si>
  <si>
    <t>Funilândia</t>
  </si>
  <si>
    <t>Sítio d'Abadia</t>
  </si>
  <si>
    <t>Baldim</t>
  </si>
  <si>
    <t>Barretos</t>
  </si>
  <si>
    <t>Nova Aurora</t>
  </si>
  <si>
    <t>Cidade Ocidental</t>
  </si>
  <si>
    <t>Santa Bárbara de Goiás</t>
  </si>
  <si>
    <t>Corumbaíba</t>
  </si>
  <si>
    <t>Goiânia</t>
  </si>
  <si>
    <t>Cezarina</t>
  </si>
  <si>
    <t>Damolândia</t>
  </si>
  <si>
    <t>Araguapaz</t>
  </si>
  <si>
    <t>Patrocínio Paulista</t>
  </si>
  <si>
    <t>Guaraíta</t>
  </si>
  <si>
    <t>Araçu</t>
  </si>
  <si>
    <t>Natalândia</t>
  </si>
  <si>
    <t>Claro dos Poções</t>
  </si>
  <si>
    <t>Montes Claros</t>
  </si>
  <si>
    <t>Edéia</t>
  </si>
  <si>
    <t>Itauçu</t>
  </si>
  <si>
    <t>Ouro Verde de Goiás</t>
  </si>
  <si>
    <t>Indianópolis</t>
  </si>
  <si>
    <t>Inocência</t>
  </si>
  <si>
    <t>Piracanjuba</t>
  </si>
  <si>
    <t>Patos de Minas</t>
  </si>
  <si>
    <t>Inimutaba</t>
  </si>
  <si>
    <t>Capitão Enéas</t>
  </si>
  <si>
    <t>Felixlândia</t>
  </si>
  <si>
    <t>Água Limpa</t>
  </si>
  <si>
    <t>Taquaritinga do Norte</t>
  </si>
  <si>
    <t>Paracatu</t>
  </si>
  <si>
    <t>Nerópolis</t>
  </si>
  <si>
    <t>Jequitaí</t>
  </si>
  <si>
    <t>Itirapuã</t>
  </si>
  <si>
    <t>Prudente de Morais</t>
  </si>
  <si>
    <t>Novais</t>
  </si>
  <si>
    <t>Cruzeiro da Fortaleza</t>
  </si>
  <si>
    <t>Itapuranga</t>
  </si>
  <si>
    <t>Júlio Mesquita</t>
  </si>
  <si>
    <t>Santana de Pirapama</t>
  </si>
  <si>
    <t>Jequitibá</t>
  </si>
  <si>
    <t>São Sebastião do Paraíso</t>
  </si>
  <si>
    <t>Goianira</t>
  </si>
  <si>
    <t>Planaltina</t>
  </si>
  <si>
    <t>Estrela do Indaiá</t>
  </si>
  <si>
    <t>Campinaçu</t>
  </si>
  <si>
    <t>Oliveira dos Brejinhos</t>
  </si>
  <si>
    <t>Santo Antônio do Descoberto</t>
  </si>
  <si>
    <t>Brejinho</t>
  </si>
  <si>
    <t>Avelinópolis</t>
  </si>
  <si>
    <t>Petrolina de Goiás</t>
  </si>
  <si>
    <t>Jataúba</t>
  </si>
  <si>
    <t>Capinópolis</t>
  </si>
  <si>
    <t>Matrinchã</t>
  </si>
  <si>
    <t>Cristianópolis</t>
  </si>
  <si>
    <t>Formoso</t>
  </si>
  <si>
    <t>Santa Rosa de Goiás</t>
  </si>
  <si>
    <t>Araçaí</t>
  </si>
  <si>
    <t>Glaucilândia</t>
  </si>
  <si>
    <t>Santa Fé de Minas</t>
  </si>
  <si>
    <t>Sete Lagoas</t>
  </si>
  <si>
    <t>Carbonita</t>
  </si>
  <si>
    <t>Altair</t>
  </si>
  <si>
    <t>Indiara</t>
  </si>
  <si>
    <t>Alto Garças</t>
  </si>
  <si>
    <t>Restinga</t>
  </si>
  <si>
    <t>Aloândia</t>
  </si>
  <si>
    <t>Águas Lindas de Goiás</t>
  </si>
  <si>
    <t>Abadiânia</t>
  </si>
  <si>
    <t>Taiobeiras</t>
  </si>
  <si>
    <t>Brazabrantes</t>
  </si>
  <si>
    <t>Águas Vermelhas</t>
  </si>
  <si>
    <t>Papagaios</t>
  </si>
  <si>
    <t>Buíque</t>
  </si>
  <si>
    <t>Cordisburgo</t>
  </si>
  <si>
    <t>Curvelo</t>
  </si>
  <si>
    <t>Pontalina</t>
  </si>
  <si>
    <t>Veríssimo</t>
  </si>
  <si>
    <t>Arcos</t>
  </si>
  <si>
    <t>Cabeceira Grande</t>
  </si>
  <si>
    <t>Mata Grande</t>
  </si>
  <si>
    <t>São Caitano</t>
  </si>
  <si>
    <t>Heitoraí</t>
  </si>
  <si>
    <t>Taquaral de Goiás</t>
  </si>
  <si>
    <t>Nazário</t>
  </si>
  <si>
    <t>Paraopeba</t>
  </si>
  <si>
    <t>Anicuns</t>
  </si>
  <si>
    <t>Juramento</t>
  </si>
  <si>
    <t>Camacho</t>
  </si>
  <si>
    <t>Nova Ponte</t>
  </si>
  <si>
    <t>Novorizonte</t>
  </si>
  <si>
    <t>São Miguel do Passa Quatro</t>
  </si>
  <si>
    <t>Santa Helena de Goiás</t>
  </si>
  <si>
    <t>Tuparetama</t>
  </si>
  <si>
    <t>Guimarânia</t>
  </si>
  <si>
    <t>São Tomás de Aquino</t>
  </si>
  <si>
    <t>Delfinópolis</t>
  </si>
  <si>
    <t>Guaraci</t>
  </si>
  <si>
    <t>Americano do Brasil</t>
  </si>
  <si>
    <t>Paranaiguara</t>
  </si>
  <si>
    <t>Caetanópolis</t>
  </si>
  <si>
    <t>Santa Cruz de Goiás</t>
  </si>
  <si>
    <t>Capetinga</t>
  </si>
  <si>
    <t>Alexânia</t>
  </si>
  <si>
    <t>Itaguari</t>
  </si>
  <si>
    <t>Marinópolis</t>
  </si>
  <si>
    <t>Uruana de Minas</t>
  </si>
  <si>
    <t>Jesúpolis</t>
  </si>
  <si>
    <t>Urucuia</t>
  </si>
  <si>
    <t>Fortaleza de Minas</t>
  </si>
  <si>
    <t>Uruana</t>
  </si>
  <si>
    <t>Mimoso de Goiás</t>
  </si>
  <si>
    <t>Itaguaru</t>
  </si>
  <si>
    <t>Lins</t>
  </si>
  <si>
    <t>São Simão</t>
  </si>
  <si>
    <t>Pratápolis</t>
  </si>
  <si>
    <t>Cocos</t>
  </si>
  <si>
    <t>Quartel Geral</t>
  </si>
  <si>
    <t>Palmelo</t>
  </si>
  <si>
    <t>Rochedo</t>
  </si>
  <si>
    <t>Buriti Alegre</t>
  </si>
  <si>
    <t>Adelândia</t>
  </si>
  <si>
    <t>São Joaquim da Barra</t>
  </si>
  <si>
    <t>Luz</t>
  </si>
  <si>
    <t>Cássia</t>
  </si>
  <si>
    <t>Acreúna</t>
  </si>
  <si>
    <t>São Francisco de Goiás</t>
  </si>
  <si>
    <t>Coribe</t>
  </si>
  <si>
    <t>Tupaciguara</t>
  </si>
  <si>
    <t>Itapecerica</t>
  </si>
  <si>
    <t>Jandaia</t>
  </si>
  <si>
    <t>Orizona</t>
  </si>
  <si>
    <t>Miguelópolis</t>
  </si>
  <si>
    <t>São Patrício</t>
  </si>
  <si>
    <t>Uberaba</t>
  </si>
  <si>
    <t>Itaú de Minas</t>
  </si>
  <si>
    <t>Gameleira de Goiás</t>
  </si>
  <si>
    <t>Santo Antônio da Barra</t>
  </si>
  <si>
    <t>Jaraguá</t>
  </si>
  <si>
    <t>Cônego Marinho</t>
  </si>
  <si>
    <t>Inhaúma</t>
  </si>
  <si>
    <t>Padre Bernardo</t>
  </si>
  <si>
    <t>Santo Antônio de Goiás</t>
  </si>
  <si>
    <t>Turvânia</t>
  </si>
  <si>
    <t>Palmeiras de Goiás</t>
  </si>
  <si>
    <t>Urutaí</t>
  </si>
  <si>
    <t>Cachoeira da Prata</t>
  </si>
  <si>
    <t>Corguinho</t>
  </si>
  <si>
    <t>São Luís de Montes Belos</t>
  </si>
  <si>
    <t>Cachoeira Alta</t>
  </si>
  <si>
    <t>Firminópolis</t>
  </si>
  <si>
    <t>Conceição das Alagoas</t>
  </si>
  <si>
    <t>Pompéu</t>
  </si>
  <si>
    <t>Tupanatinga</t>
  </si>
  <si>
    <t>Palminópolis</t>
  </si>
  <si>
    <t>Itaberaí</t>
  </si>
  <si>
    <t>Pires do Rio</t>
  </si>
  <si>
    <t>Álvaro de Carvalho</t>
  </si>
  <si>
    <t>São Francisco</t>
  </si>
  <si>
    <t>Matias Cardoso</t>
  </si>
  <si>
    <t>Araguainha</t>
  </si>
  <si>
    <t>Gurinhatã</t>
  </si>
  <si>
    <t>Santa Salete</t>
  </si>
  <si>
    <t>Urânia</t>
  </si>
  <si>
    <t>Itumbiara</t>
  </si>
  <si>
    <t>Aurilândia</t>
  </si>
  <si>
    <t>Manga</t>
  </si>
  <si>
    <t>Lagoa dos Patos</t>
  </si>
  <si>
    <t>Corumbá de Goiás</t>
  </si>
  <si>
    <t>Buritizeiro</t>
  </si>
  <si>
    <t>Pirapora</t>
  </si>
  <si>
    <t>Limeira do Oeste</t>
  </si>
  <si>
    <t>Ibiraci</t>
  </si>
  <si>
    <t>Ivolândia</t>
  </si>
  <si>
    <t>São Gabriel do Oeste</t>
  </si>
  <si>
    <t>Salinas</t>
  </si>
  <si>
    <t>Jaborandi</t>
  </si>
  <si>
    <t>Moiporá</t>
  </si>
  <si>
    <t>São João da Paraúna</t>
  </si>
  <si>
    <t>São João da Lagoa</t>
  </si>
  <si>
    <t>Passos</t>
  </si>
  <si>
    <t>Minaçu</t>
  </si>
  <si>
    <t>Umbuzeiro</t>
  </si>
  <si>
    <t>União de Minas</t>
  </si>
  <si>
    <t>Cachoeira de Goiás</t>
  </si>
  <si>
    <t>Unaí</t>
  </si>
  <si>
    <t>São João das Missões</t>
  </si>
  <si>
    <t>Ipameri</t>
  </si>
  <si>
    <t>Sacramento</t>
  </si>
  <si>
    <t>Januária</t>
  </si>
  <si>
    <t>Iporá</t>
  </si>
  <si>
    <t>Araporã</t>
  </si>
  <si>
    <t>Vitória Brasil</t>
  </si>
  <si>
    <t>Leopoldo de Bulhões</t>
  </si>
  <si>
    <t>São João da Ponte</t>
  </si>
  <si>
    <t>Centralina</t>
  </si>
  <si>
    <t>Monte Alegre de Minas</t>
  </si>
  <si>
    <t>Amorinópolis</t>
  </si>
  <si>
    <t>Paraúna</t>
  </si>
  <si>
    <t>Votuporanga</t>
  </si>
  <si>
    <t>Patis</t>
  </si>
  <si>
    <t>Caçu</t>
  </si>
  <si>
    <t>Paranapuã</t>
  </si>
  <si>
    <t>Carneirinho</t>
  </si>
  <si>
    <t>Miravânia</t>
  </si>
  <si>
    <t>Água Comprida</t>
  </si>
  <si>
    <t>Pedras de Maria da Cruz</t>
  </si>
  <si>
    <t>Nova América</t>
  </si>
  <si>
    <t>Mirabela</t>
  </si>
  <si>
    <t>Conquista</t>
  </si>
  <si>
    <t>Pintópolis</t>
  </si>
  <si>
    <t>Feira da Mata</t>
  </si>
  <si>
    <t>Cocalzinho de Goiás</t>
  </si>
  <si>
    <t>Guarinos</t>
  </si>
  <si>
    <t>Campina Verde</t>
  </si>
  <si>
    <t>Canápolis</t>
  </si>
  <si>
    <t>Nova Brasilândia</t>
  </si>
  <si>
    <t>Juvenília</t>
  </si>
  <si>
    <t>Ponte Branca</t>
  </si>
  <si>
    <t>Álvares Florence</t>
  </si>
  <si>
    <t>Varzelândia</t>
  </si>
  <si>
    <t>Rubiataba</t>
  </si>
  <si>
    <t>Ibiracatu</t>
  </si>
  <si>
    <t>Vianópolis</t>
  </si>
  <si>
    <t>Dolcinópolis</t>
  </si>
  <si>
    <t>Santa Rita do Novo Destino</t>
  </si>
  <si>
    <t>Lontra</t>
  </si>
  <si>
    <t>Pirenópolis</t>
  </si>
  <si>
    <t>Iturama</t>
  </si>
  <si>
    <t>Ibiaí</t>
  </si>
  <si>
    <t>Palestina de Goiás</t>
  </si>
  <si>
    <t>Populina</t>
  </si>
  <si>
    <t>Aparecida do Rio Doce</t>
  </si>
  <si>
    <t>Arenópolis</t>
  </si>
  <si>
    <t>Japonvar</t>
  </si>
  <si>
    <t>Ilhabela</t>
  </si>
  <si>
    <t>Itarumã</t>
  </si>
  <si>
    <t>Planalto da Serra</t>
  </si>
  <si>
    <t>Catolândia</t>
  </si>
  <si>
    <t>Aporé</t>
  </si>
  <si>
    <t>Vila Propício</t>
  </si>
  <si>
    <t>Piranhas</t>
  </si>
  <si>
    <t>Montividiu</t>
  </si>
  <si>
    <t>Coração de Jesus</t>
  </si>
  <si>
    <t>Boqueirão</t>
  </si>
  <si>
    <t>Ponto Chique</t>
  </si>
  <si>
    <t>Itajá</t>
  </si>
  <si>
    <t>Rio Verde de Mato Grosso</t>
  </si>
  <si>
    <t>São Desidério</t>
  </si>
  <si>
    <t>Brasília de Minas</t>
  </si>
  <si>
    <t>Doverlândia</t>
  </si>
  <si>
    <t>Hidrolina</t>
  </si>
  <si>
    <t>Ipiranga de Goiás</t>
  </si>
  <si>
    <t>Silvânia</t>
  </si>
  <si>
    <t>Luislândia</t>
  </si>
  <si>
    <t>Ribeirãozinho</t>
  </si>
  <si>
    <t>São João do Pacuí</t>
  </si>
  <si>
    <t>Cassilândia</t>
  </si>
  <si>
    <t>Portelândia</t>
  </si>
  <si>
    <t>Serranópolis</t>
  </si>
  <si>
    <t>Santo Antônio do Leste</t>
  </si>
  <si>
    <t>Montalvânia</t>
  </si>
  <si>
    <t>Ubaí</t>
  </si>
  <si>
    <t>Icaraí de Minas</t>
  </si>
  <si>
    <t>Campo Azul</t>
  </si>
  <si>
    <t>São Luíz do Norte</t>
  </si>
  <si>
    <t>Ituiutaba</t>
  </si>
  <si>
    <t>Pilar de Goiás</t>
  </si>
  <si>
    <t>Corumbá</t>
  </si>
  <si>
    <t>Tesouro</t>
  </si>
  <si>
    <t>Perolândia</t>
  </si>
  <si>
    <t>Mineiros</t>
  </si>
  <si>
    <t>Morrinhos</t>
  </si>
  <si>
    <t>Primavera do Leste</t>
  </si>
  <si>
    <t>Correntina</t>
  </si>
  <si>
    <t>Jataí</t>
  </si>
  <si>
    <t>Comodoro</t>
  </si>
  <si>
    <t>Paranatinga</t>
  </si>
  <si>
    <t>Itapaci</t>
  </si>
  <si>
    <t>Taquari</t>
  </si>
  <si>
    <t>Sete de Setembro</t>
  </si>
  <si>
    <t>Araquari</t>
  </si>
  <si>
    <t>Giruá</t>
  </si>
  <si>
    <t>Guaraqueçaba</t>
  </si>
  <si>
    <t>Senador Salgado Filho</t>
  </si>
  <si>
    <t>Gaspar</t>
  </si>
  <si>
    <t>Blumenau</t>
  </si>
  <si>
    <t>Luiz Alves</t>
  </si>
  <si>
    <t>Rio de Janeiro</t>
  </si>
  <si>
    <t>Guarani das Missões</t>
  </si>
  <si>
    <t>Augusto Pestana</t>
  </si>
  <si>
    <t>Santo Cristo</t>
  </si>
  <si>
    <t>Eldorado</t>
  </si>
  <si>
    <t>Balneário Barra do Sul</t>
  </si>
  <si>
    <t>Japorã</t>
  </si>
  <si>
    <t>Ubiretama</t>
  </si>
  <si>
    <t>Paranaguá</t>
  </si>
  <si>
    <t>São João do Itaperiú</t>
  </si>
  <si>
    <t>Conceição de Macabu</t>
  </si>
  <si>
    <t>Pontal do Paraná</t>
  </si>
  <si>
    <t>Tucunduva</t>
  </si>
  <si>
    <t>Ijuí</t>
  </si>
  <si>
    <t>Rio das Ostras</t>
  </si>
  <si>
    <t>Tuparendi</t>
  </si>
  <si>
    <t>Governador Lindenberg</t>
  </si>
  <si>
    <t>Maripá</t>
  </si>
  <si>
    <t>São Pedro da Aldeia</t>
  </si>
  <si>
    <t>Matinhos</t>
  </si>
  <si>
    <t>Cândido Godói</t>
  </si>
  <si>
    <t>Catuípe</t>
  </si>
  <si>
    <t>Cubatão</t>
  </si>
  <si>
    <t>Itaguaí</t>
  </si>
  <si>
    <t>Barra Velha</t>
  </si>
  <si>
    <t>Horizontina</t>
  </si>
  <si>
    <t>São Vicente</t>
  </si>
  <si>
    <t>Novo Machado</t>
  </si>
  <si>
    <t>Doutor Maurício Cardoso</t>
  </si>
  <si>
    <t>Angra dos Reis</t>
  </si>
  <si>
    <t>Porto Mauá</t>
  </si>
  <si>
    <t>Alecrim</t>
  </si>
  <si>
    <t>Seara</t>
  </si>
  <si>
    <t>Santa Rosa</t>
  </si>
  <si>
    <t>Carapebus</t>
  </si>
  <si>
    <t>Guaíra</t>
  </si>
  <si>
    <t>Silva Jardim</t>
  </si>
  <si>
    <t>Santa Terezinha de Itaipu</t>
  </si>
  <si>
    <t>Três de Maio</t>
  </si>
  <si>
    <t>Santos</t>
  </si>
  <si>
    <t>Miguel Pereira</t>
  </si>
  <si>
    <t>Paty do Alferes</t>
  </si>
  <si>
    <t>Nova Prata do Iguaçu</t>
  </si>
  <si>
    <t>Porto Vera Cruz</t>
  </si>
  <si>
    <t>Boa Vista da Aparecida</t>
  </si>
  <si>
    <t>Tiradentes do Sul</t>
  </si>
  <si>
    <t>Bozano</t>
  </si>
  <si>
    <t>Marilândia</t>
  </si>
  <si>
    <t>Casimiro de Abreu</t>
  </si>
  <si>
    <t>Caibaté</t>
  </si>
  <si>
    <t>Mato Queimado</t>
  </si>
  <si>
    <t>Campos dos Goytacazes</t>
  </si>
  <si>
    <t>Guaratuba</t>
  </si>
  <si>
    <t>Independência</t>
  </si>
  <si>
    <t>Iguatemi</t>
  </si>
  <si>
    <t>Naviraí</t>
  </si>
  <si>
    <t>Paranavaí</t>
  </si>
  <si>
    <t>Guaramirim</t>
  </si>
  <si>
    <t>Crissiumal</t>
  </si>
  <si>
    <t>Brasilândia do Sul</t>
  </si>
  <si>
    <t>Esperança do Sul</t>
  </si>
  <si>
    <t>Terra Roxa</t>
  </si>
  <si>
    <t>Campo Bom</t>
  </si>
  <si>
    <t>Campina das Missões</t>
  </si>
  <si>
    <t>Jaraguá do Sul</t>
  </si>
  <si>
    <t>Queimados</t>
  </si>
  <si>
    <t>Ilhota</t>
  </si>
  <si>
    <t>Ubiratã</t>
  </si>
  <si>
    <t>Porto Lucena</t>
  </si>
  <si>
    <t>Boa Esperança do Iguaçu</t>
  </si>
  <si>
    <t>Godoy Moreira</t>
  </si>
  <si>
    <t>Cerro Largo</t>
  </si>
  <si>
    <t>Itá</t>
  </si>
  <si>
    <t>Seropédica</t>
  </si>
  <si>
    <t>Boa Vista do Buricá</t>
  </si>
  <si>
    <t>São João do Ivaí</t>
  </si>
  <si>
    <t>Balneário Piçarras</t>
  </si>
  <si>
    <t>Penha</t>
  </si>
  <si>
    <t>Anahy</t>
  </si>
  <si>
    <t>São José do Inhacorá</t>
  </si>
  <si>
    <t>Cachoeiro de Itapemirim</t>
  </si>
  <si>
    <t>Tupãssi</t>
  </si>
  <si>
    <t>Iretama</t>
  </si>
  <si>
    <t>Nova Candelária</t>
  </si>
  <si>
    <t>Lunardelli</t>
  </si>
  <si>
    <t>São Fidélis</t>
  </si>
  <si>
    <t>Japeri</t>
  </si>
  <si>
    <t>Barbosa Ferraz</t>
  </si>
  <si>
    <t>Engenheiro Paulo de Frontin</t>
  </si>
  <si>
    <t>Borrazópolis</t>
  </si>
  <si>
    <t>Pinheirinho do Vale</t>
  </si>
  <si>
    <t>Janiópolis</t>
  </si>
  <si>
    <t>Novo Itacolomi</t>
  </si>
  <si>
    <t>Três Passos</t>
  </si>
  <si>
    <t>Ipaba</t>
  </si>
  <si>
    <t>Alto Paraná</t>
  </si>
  <si>
    <t>Presidente Kennedy</t>
  </si>
  <si>
    <t>Farol</t>
  </si>
  <si>
    <t>Porto Xavier</t>
  </si>
  <si>
    <t>Rancho Alegre d'Oeste</t>
  </si>
  <si>
    <t>Lidianópolis</t>
  </si>
  <si>
    <t>São Pedro do Ivaí</t>
  </si>
  <si>
    <t>Humaitá</t>
  </si>
  <si>
    <t>Corumbataí do Sul</t>
  </si>
  <si>
    <t>Kaloré</t>
  </si>
  <si>
    <t>São Miguel do Iguaçu</t>
  </si>
  <si>
    <t>Cambira</t>
  </si>
  <si>
    <t>Cafelândia</t>
  </si>
  <si>
    <t>Ouro Verde do Oeste</t>
  </si>
  <si>
    <t>Serranópolis do Iguaçu</t>
  </si>
  <si>
    <t>Nova Olímpia</t>
  </si>
  <si>
    <t>Maria Helena</t>
  </si>
  <si>
    <t>São Paulo das Missões</t>
  </si>
  <si>
    <t>Tuneiras do Oeste</t>
  </si>
  <si>
    <t>Guaporema</t>
  </si>
  <si>
    <t>Marumbi</t>
  </si>
  <si>
    <t>Cardoso Moreira</t>
  </si>
  <si>
    <t>Jequié</t>
  </si>
  <si>
    <t>Fênix</t>
  </si>
  <si>
    <t>Nova Santa Rosa</t>
  </si>
  <si>
    <t>Mirador</t>
  </si>
  <si>
    <t>Alto Paraíso</t>
  </si>
  <si>
    <t>Macuco</t>
  </si>
  <si>
    <t>Douradina</t>
  </si>
  <si>
    <t>Rondon</t>
  </si>
  <si>
    <t>Cruzmaltina</t>
  </si>
  <si>
    <t>Paracambi</t>
  </si>
  <si>
    <t>Cruzeiro do Oeste</t>
  </si>
  <si>
    <t>Jandaia do Sul</t>
  </si>
  <si>
    <t>São José das Palmeiras</t>
  </si>
  <si>
    <t>Entre Rios do Oeste</t>
  </si>
  <si>
    <t>Tamboara</t>
  </si>
  <si>
    <t>Abatiá</t>
  </si>
  <si>
    <t>Macaé</t>
  </si>
  <si>
    <t>Salvador das Missões</t>
  </si>
  <si>
    <t>Capitão Leônidas Marques</t>
  </si>
  <si>
    <t>Rio Bom</t>
  </si>
  <si>
    <t>Novo Horizonte do Sul</t>
  </si>
  <si>
    <t>Peabiru</t>
  </si>
  <si>
    <t>Barão de Monte Alto</t>
  </si>
  <si>
    <t>Quinta do Sol</t>
  </si>
  <si>
    <t>Patrocínio do Muriaé</t>
  </si>
  <si>
    <t>Espigão Alto do Iguaçu</t>
  </si>
  <si>
    <t>Terra Boa</t>
  </si>
  <si>
    <t>Nova Aliança do Ivaí</t>
  </si>
  <si>
    <t>Engenheiro Beltrão</t>
  </si>
  <si>
    <t>Guairaçá</t>
  </si>
  <si>
    <t>Formosa do Oeste</t>
  </si>
  <si>
    <t>Quarto Centenário</t>
  </si>
  <si>
    <t>Jundiaí do Sul</t>
  </si>
  <si>
    <t>Itajaí</t>
  </si>
  <si>
    <t>Navegantes</t>
  </si>
  <si>
    <t>Amaporã</t>
  </si>
  <si>
    <t>Forquilhinha</t>
  </si>
  <si>
    <t>Palma</t>
  </si>
  <si>
    <t>Faxinal</t>
  </si>
  <si>
    <t>Querência do Norte</t>
  </si>
  <si>
    <t>Mariluz</t>
  </si>
  <si>
    <t>Eugenópolis</t>
  </si>
  <si>
    <t>Marilândia do Sul</t>
  </si>
  <si>
    <t>Italva</t>
  </si>
  <si>
    <t>Eunápolis</t>
  </si>
  <si>
    <t>Mandaguari</t>
  </si>
  <si>
    <t>Ribeirão do Pinhal</t>
  </si>
  <si>
    <t>Cordeiro</t>
  </si>
  <si>
    <t>Mendes</t>
  </si>
  <si>
    <t>São Pedro do Butiá</t>
  </si>
  <si>
    <t>Pato Bragado</t>
  </si>
  <si>
    <t>Vassouras</t>
  </si>
  <si>
    <t>Jesuítas</t>
  </si>
  <si>
    <t>Mercedes</t>
  </si>
  <si>
    <t>Bertioga</t>
  </si>
  <si>
    <t>Iracema do Oeste</t>
  </si>
  <si>
    <t>Miracema</t>
  </si>
  <si>
    <t>Moreira Sales</t>
  </si>
  <si>
    <t>Santa Mônica</t>
  </si>
  <si>
    <t>Realeza</t>
  </si>
  <si>
    <t>Nova Esperança</t>
  </si>
  <si>
    <t>Califórnia</t>
  </si>
  <si>
    <t>Cidade Gaúcha</t>
  </si>
  <si>
    <t>Uniflor</t>
  </si>
  <si>
    <t>Santa Isabel do Ivaí</t>
  </si>
  <si>
    <t>Verdejante</t>
  </si>
  <si>
    <t>Ivaté</t>
  </si>
  <si>
    <t>Tunápolis</t>
  </si>
  <si>
    <t>Guarujá</t>
  </si>
  <si>
    <t>Umuarama</t>
  </si>
  <si>
    <t>Paranhos</t>
  </si>
  <si>
    <t>Santa Cruz de Monte Castelo</t>
  </si>
  <si>
    <t>Planaltina do Paraná</t>
  </si>
  <si>
    <t>Assis Chateaubriand</t>
  </si>
  <si>
    <t>Quedas do Iguaçu</t>
  </si>
  <si>
    <t>Jateí</t>
  </si>
  <si>
    <t>Castelo</t>
  </si>
  <si>
    <t>Paranacity</t>
  </si>
  <si>
    <t>Pirapetinga</t>
  </si>
  <si>
    <t>São João do Caiuá</t>
  </si>
  <si>
    <t>Goioerê</t>
  </si>
  <si>
    <t>Mauá da Serra</t>
  </si>
  <si>
    <t>Santo Antônio da Platina</t>
  </si>
  <si>
    <t>Santa Amélia</t>
  </si>
  <si>
    <t>Santo Antônio de Pádua</t>
  </si>
  <si>
    <t>Itaqui</t>
  </si>
  <si>
    <t>Cornélio Procópio</t>
  </si>
  <si>
    <t>Rosário do Ivaí</t>
  </si>
  <si>
    <t>Glória de Dourados</t>
  </si>
  <si>
    <t>Itaocara</t>
  </si>
  <si>
    <t>São Pedro do Paraná</t>
  </si>
  <si>
    <t>Laje do Muriaé</t>
  </si>
  <si>
    <t>Antonina</t>
  </si>
  <si>
    <t>Ivatuba</t>
  </si>
  <si>
    <t>Loanda</t>
  </si>
  <si>
    <t>Uraí</t>
  </si>
  <si>
    <t>Rosário da Limeira</t>
  </si>
  <si>
    <t>Aperibé</t>
  </si>
  <si>
    <t>Calumbi</t>
  </si>
  <si>
    <t>Duas Barras</t>
  </si>
  <si>
    <t>Muriaé</t>
  </si>
  <si>
    <t>Pirapó</t>
  </si>
  <si>
    <t>Cerro Azul</t>
  </si>
  <si>
    <t>Porto Rico</t>
  </si>
  <si>
    <t>Miradouro</t>
  </si>
  <si>
    <t>Floraí</t>
  </si>
  <si>
    <t>Garruchos</t>
  </si>
  <si>
    <t>Marialva</t>
  </si>
  <si>
    <t>Caracol</t>
  </si>
  <si>
    <t>Antônio Prado de Minas</t>
  </si>
  <si>
    <t>Recreio</t>
  </si>
  <si>
    <t>Vieiras</t>
  </si>
  <si>
    <t>Doutor Camargo</t>
  </si>
  <si>
    <t>Roque Gonzales</t>
  </si>
  <si>
    <t>Cândido de Abreu</t>
  </si>
  <si>
    <t>Duque de Caxias</t>
  </si>
  <si>
    <t>Muqui</t>
  </si>
  <si>
    <t>Floresta</t>
  </si>
  <si>
    <t>Atalaia</t>
  </si>
  <si>
    <t>Mimoso do Sul</t>
  </si>
  <si>
    <t>Conselheiro Mairinck</t>
  </si>
  <si>
    <t>Santana de Cataguases</t>
  </si>
  <si>
    <t>São Sebastião da Vargem Alegre</t>
  </si>
  <si>
    <t>Capanema</t>
  </si>
  <si>
    <t>Apiacá</t>
  </si>
  <si>
    <t>Tacuru</t>
  </si>
  <si>
    <t>Nova Iguaçu</t>
  </si>
  <si>
    <t>Miraí</t>
  </si>
  <si>
    <t>Araponga</t>
  </si>
  <si>
    <t>Sete Quedas</t>
  </si>
  <si>
    <t>Mongaguá</t>
  </si>
  <si>
    <t>Mandaguaçu</t>
  </si>
  <si>
    <t>Itaperuna</t>
  </si>
  <si>
    <t>Sardoá</t>
  </si>
  <si>
    <t>Lobato</t>
  </si>
  <si>
    <t>Ourizona</t>
  </si>
  <si>
    <t>Palotina</t>
  </si>
  <si>
    <t>Canaã</t>
  </si>
  <si>
    <t>Água Clara</t>
  </si>
  <si>
    <t>Morretes</t>
  </si>
  <si>
    <t>Taquarussu</t>
  </si>
  <si>
    <t>Flórida</t>
  </si>
  <si>
    <t>Sumidouro</t>
  </si>
  <si>
    <t>São Miguel do Anta</t>
  </si>
  <si>
    <t>Santo Antônio do Caiuá</t>
  </si>
  <si>
    <t>São Nicolau</t>
  </si>
  <si>
    <t>Nova Londrina</t>
  </si>
  <si>
    <t>Santa Efigênia de Minas</t>
  </si>
  <si>
    <t>Marilena</t>
  </si>
  <si>
    <t>Ervália</t>
  </si>
  <si>
    <t>Vicentina</t>
  </si>
  <si>
    <t>Ipanema</t>
  </si>
  <si>
    <t>Caarapó</t>
  </si>
  <si>
    <t>São Jorge do Ivaí</t>
  </si>
  <si>
    <t>Terra Rica</t>
  </si>
  <si>
    <t>Ortigueira</t>
  </si>
  <si>
    <t>Fátima do Sul</t>
  </si>
  <si>
    <t>São Francisco do Glória</t>
  </si>
  <si>
    <t>Nova América da Colina</t>
  </si>
  <si>
    <t>Ferros</t>
  </si>
  <si>
    <t>Ângulo</t>
  </si>
  <si>
    <t>Varjão</t>
  </si>
  <si>
    <t>Pedra Dourada</t>
  </si>
  <si>
    <t>Porciúncula</t>
  </si>
  <si>
    <t>Sericita</t>
  </si>
  <si>
    <t>Várzea da Palma</t>
  </si>
  <si>
    <t>Virgolândia</t>
  </si>
  <si>
    <t>Vitória</t>
  </si>
  <si>
    <t>Fervedouro</t>
  </si>
  <si>
    <t>São José de Ubá</t>
  </si>
  <si>
    <t>Iguaraçu</t>
  </si>
  <si>
    <t>Quatro Pontes</t>
  </si>
  <si>
    <t>Bom Jesus de Goiás</t>
  </si>
  <si>
    <t>Coimbra</t>
  </si>
  <si>
    <t>Paiçandu</t>
  </si>
  <si>
    <t>São Mateus</t>
  </si>
  <si>
    <t>Cajuri</t>
  </si>
  <si>
    <t>Bela Vista</t>
  </si>
  <si>
    <t>Deodápolis</t>
  </si>
  <si>
    <t>Tombos</t>
  </si>
  <si>
    <t>Abaeté</t>
  </si>
  <si>
    <t>Tamarana</t>
  </si>
  <si>
    <t>Bom Jesus do Norte</t>
  </si>
  <si>
    <t>Bom Jesus do Itabapoana</t>
  </si>
  <si>
    <t>Icaraíma</t>
  </si>
  <si>
    <t>Pitangui</t>
  </si>
  <si>
    <t>São Gonçalo do Rio Abaixo</t>
  </si>
  <si>
    <t>Augusto de Lima</t>
  </si>
  <si>
    <t>Gonzaga</t>
  </si>
  <si>
    <t>Munhoz de Melo</t>
  </si>
  <si>
    <t>Abadia dos Dourados</t>
  </si>
  <si>
    <t>Ubatuba</t>
  </si>
  <si>
    <t>José Raydan</t>
  </si>
  <si>
    <t>Lassance</t>
  </si>
  <si>
    <t>Dores de Guanhães</t>
  </si>
  <si>
    <t>São Jerônimo da Serra</t>
  </si>
  <si>
    <t>Tiros</t>
  </si>
  <si>
    <t>Itaúna do Sul</t>
  </si>
  <si>
    <t>Iguatama</t>
  </si>
  <si>
    <t>Itamarandiba</t>
  </si>
  <si>
    <t>Barra do Piraí</t>
  </si>
  <si>
    <t>Betim</t>
  </si>
  <si>
    <t>Piraí</t>
  </si>
  <si>
    <t>Nova Santa Bárbara</t>
  </si>
  <si>
    <t>Guapirama</t>
  </si>
  <si>
    <t>Faria Lemos</t>
  </si>
  <si>
    <t>Carmo do Cajuru</t>
  </si>
  <si>
    <t>Rosana</t>
  </si>
  <si>
    <t>Pedra Bonita</t>
  </si>
  <si>
    <t>Sidrolândia</t>
  </si>
  <si>
    <t>Dezesseis de Novembro</t>
  </si>
  <si>
    <t>Guiricema</t>
  </si>
  <si>
    <t>Santa Rita de Minas</t>
  </si>
  <si>
    <t>Santo Hipólito</t>
  </si>
  <si>
    <t>Doresópolis</t>
  </si>
  <si>
    <t>Martinho Campos</t>
  </si>
  <si>
    <t>Iúna</t>
  </si>
  <si>
    <t>Conceição de Ipanema</t>
  </si>
  <si>
    <t>Varre-Sai</t>
  </si>
  <si>
    <t>Santo Antônio do Paraíso</t>
  </si>
  <si>
    <t>Diamante do Norte</t>
  </si>
  <si>
    <t>Virginópolis</t>
  </si>
  <si>
    <t>Ivinhema</t>
  </si>
  <si>
    <t>Coronel João Sá</t>
  </si>
  <si>
    <t>Rio Preto</t>
  </si>
  <si>
    <t>Maracaju</t>
  </si>
  <si>
    <t>São Sebastião da Amoreira</t>
  </si>
  <si>
    <t>Maringá</t>
  </si>
  <si>
    <t>Jerônimo Monteiro</t>
  </si>
  <si>
    <t>Nova Andradina</t>
  </si>
  <si>
    <t>Belford Roxo</t>
  </si>
  <si>
    <t>São João de Meriti</t>
  </si>
  <si>
    <t>São Geraldo</t>
  </si>
  <si>
    <t>Ibatiba</t>
  </si>
  <si>
    <t>Santa Maria de Itabira</t>
  </si>
  <si>
    <t>Jeremoabo</t>
  </si>
  <si>
    <t>São José do Mantimento</t>
  </si>
  <si>
    <t>Santa Cecília do Pavão</t>
  </si>
  <si>
    <t>Santo Antônio do Aventureiro</t>
  </si>
  <si>
    <t>Senador Cortes</t>
  </si>
  <si>
    <t>Lajinha</t>
  </si>
  <si>
    <t>Passabém</t>
  </si>
  <si>
    <t>Lamarão</t>
  </si>
  <si>
    <t>Angélica</t>
  </si>
  <si>
    <t>Divinolândia de Minas</t>
  </si>
  <si>
    <t>Piumhi</t>
  </si>
  <si>
    <t>Divino</t>
  </si>
  <si>
    <t>Guapé</t>
  </si>
  <si>
    <t>Orizânia</t>
  </si>
  <si>
    <t>Assaí</t>
  </si>
  <si>
    <t>São José do Calçado</t>
  </si>
  <si>
    <t>Chalé</t>
  </si>
  <si>
    <t>Paula Cândido</t>
  </si>
  <si>
    <t>Marechal Cândido Rondon</t>
  </si>
  <si>
    <t>Frei Lagonegro</t>
  </si>
  <si>
    <t>Euclides da Cunha Paulista</t>
  </si>
  <si>
    <t>Jardim</t>
  </si>
  <si>
    <t>Itiruçu</t>
  </si>
  <si>
    <t>Guia Lopes da Laguna</t>
  </si>
  <si>
    <t>Visconde do Rio Branco</t>
  </si>
  <si>
    <t>Laguna Carapã</t>
  </si>
  <si>
    <t>Capitólio</t>
  </si>
  <si>
    <t>Antônio João</t>
  </si>
  <si>
    <t>Brejetuba</t>
  </si>
  <si>
    <t>Bicas</t>
  </si>
  <si>
    <t>Guarará</t>
  </si>
  <si>
    <t>Presidente Prudente</t>
  </si>
  <si>
    <t>Carangola</t>
  </si>
  <si>
    <t>Cataguases</t>
  </si>
  <si>
    <t>Senhora do Porto</t>
  </si>
  <si>
    <t>Guidoval</t>
  </si>
  <si>
    <t>Afonso Cláudio</t>
  </si>
  <si>
    <t>Chácara</t>
  </si>
  <si>
    <t>Maripá de Minas</t>
  </si>
  <si>
    <t>Caiana</t>
  </si>
  <si>
    <t>Rio Vermelho</t>
  </si>
  <si>
    <t>São José do Jacuri</t>
  </si>
  <si>
    <t>Candeal</t>
  </si>
  <si>
    <t>Quatis</t>
  </si>
  <si>
    <t>Irupi</t>
  </si>
  <si>
    <t>São Sebastião do Rio Preto</t>
  </si>
  <si>
    <t>Coluna</t>
  </si>
  <si>
    <t>Simonésia</t>
  </si>
  <si>
    <t>Paranapoema</t>
  </si>
  <si>
    <t>Santana do Manhuaçu</t>
  </si>
  <si>
    <t>Iguape</t>
  </si>
  <si>
    <t>Ilha Comprida</t>
  </si>
  <si>
    <t>Adustina</t>
  </si>
  <si>
    <t>Corinto</t>
  </si>
  <si>
    <t>Espera Feliz</t>
  </si>
  <si>
    <t>São Pedro do Suaçuí</t>
  </si>
  <si>
    <t>Peçanha</t>
  </si>
  <si>
    <t>Igarapé</t>
  </si>
  <si>
    <t>São Joaquim de Bicas</t>
  </si>
  <si>
    <t>Porto Real</t>
  </si>
  <si>
    <t>Barrocas</t>
  </si>
  <si>
    <t>Ibitirama</t>
  </si>
  <si>
    <t>Dois Irmãos do Buriti</t>
  </si>
  <si>
    <t>Durandé</t>
  </si>
  <si>
    <t>Sítio do Quinto</t>
  </si>
  <si>
    <t>Divino de São Lourenço</t>
  </si>
  <si>
    <t>Dores do Turvo</t>
  </si>
  <si>
    <t>Tanquinho</t>
  </si>
  <si>
    <t>Rio das Flores</t>
  </si>
  <si>
    <t>Nioaque</t>
  </si>
  <si>
    <t>Itapuí</t>
  </si>
  <si>
    <t>Dores do Rio Preto</t>
  </si>
  <si>
    <t>Divinésia</t>
  </si>
  <si>
    <t>Rochedo de Minas</t>
  </si>
  <si>
    <t>Antas</t>
  </si>
  <si>
    <t>Volta Redonda</t>
  </si>
  <si>
    <t>Pederneiras</t>
  </si>
  <si>
    <t>Aral Moreira</t>
  </si>
  <si>
    <t>Juti</t>
  </si>
  <si>
    <t>Anguera</t>
  </si>
  <si>
    <t>Catanduva</t>
  </si>
  <si>
    <t>Itanhaém</t>
  </si>
  <si>
    <t>Serrinha</t>
  </si>
  <si>
    <t>Novo Triunfo</t>
  </si>
  <si>
    <t>Poço Verde</t>
  </si>
  <si>
    <t>Álvares Machado</t>
  </si>
  <si>
    <t>São João Nepomuceno</t>
  </si>
  <si>
    <t>Boracéia</t>
  </si>
  <si>
    <t>Fátima</t>
  </si>
  <si>
    <t>Jardim Olinda</t>
  </si>
  <si>
    <t>Heliópolis</t>
  </si>
  <si>
    <t>Coronel Pacheco</t>
  </si>
  <si>
    <t>Dourados</t>
  </si>
  <si>
    <t>Itambé do Mato Dentro</t>
  </si>
  <si>
    <t>Cícero Dantas</t>
  </si>
  <si>
    <t>Ponta Porã</t>
  </si>
  <si>
    <t>Carira</t>
  </si>
  <si>
    <t>Guaçuí</t>
  </si>
  <si>
    <t>Silveirânia</t>
  </si>
  <si>
    <t>Indiana</t>
  </si>
  <si>
    <t>Anaurilândia</t>
  </si>
  <si>
    <t>Santa Rita do Pardo</t>
  </si>
  <si>
    <t>Cambuci</t>
  </si>
  <si>
    <t>Congonhas do Norte</t>
  </si>
  <si>
    <t>Taubaté</t>
  </si>
  <si>
    <t>Itaporã</t>
  </si>
  <si>
    <t>Bariri</t>
  </si>
  <si>
    <t>Nilópolis</t>
  </si>
  <si>
    <t>Banzaê</t>
  </si>
  <si>
    <t>Piau</t>
  </si>
  <si>
    <t>Santana do Riacho</t>
  </si>
  <si>
    <t>Sorocaba</t>
  </si>
  <si>
    <t>Goianá</t>
  </si>
  <si>
    <t>Arealva</t>
  </si>
  <si>
    <t>Itapura</t>
  </si>
  <si>
    <t>Itaju</t>
  </si>
  <si>
    <t>Alegre</t>
  </si>
  <si>
    <t>Sabino</t>
  </si>
  <si>
    <t>Ourinhos</t>
  </si>
  <si>
    <t>Itapira</t>
  </si>
  <si>
    <t>São João Batista do Glória</t>
  </si>
  <si>
    <t>Sales</t>
  </si>
  <si>
    <t>Joaquim Távora</t>
  </si>
  <si>
    <t>Euclides da Cunha</t>
  </si>
  <si>
    <t>Alfredo Marcondes</t>
  </si>
  <si>
    <t>Japaraíba</t>
  </si>
  <si>
    <t>São José da Barra</t>
  </si>
  <si>
    <t>Bodoquena</t>
  </si>
  <si>
    <t>Três Lagoas</t>
  </si>
  <si>
    <t>Piracicaba</t>
  </si>
  <si>
    <t>Lençóis Paulista</t>
  </si>
  <si>
    <t>Bataguassu</t>
  </si>
  <si>
    <t>Agudos</t>
  </si>
  <si>
    <t>Embaúba</t>
  </si>
  <si>
    <t>Pongaí</t>
  </si>
  <si>
    <t>Balbinos</t>
  </si>
  <si>
    <t>Iacanga</t>
  </si>
  <si>
    <t>Mesópolis</t>
  </si>
  <si>
    <t>Reginópolis</t>
  </si>
  <si>
    <t>Guaiçara</t>
  </si>
  <si>
    <t>Uru</t>
  </si>
  <si>
    <t>Itapagipe</t>
  </si>
  <si>
    <t>Cosmorama</t>
  </si>
  <si>
    <t>Adolfo</t>
  </si>
  <si>
    <t>Américo de Campos</t>
  </si>
  <si>
    <t>Orindiúva</t>
  </si>
  <si>
    <t>São Francisco de Sales</t>
  </si>
  <si>
    <t>Ouroeste</t>
  </si>
  <si>
    <t>Guariba</t>
  </si>
  <si>
    <t>Pontes Gestal</t>
  </si>
  <si>
    <t>Parisi</t>
  </si>
  <si>
    <t>Cardoso</t>
  </si>
  <si>
    <t>Riolândia</t>
  </si>
  <si>
    <t>Estrela d'Oeste</t>
  </si>
  <si>
    <t>Indiaporã</t>
  </si>
  <si>
    <t>Guarani d'Oeste</t>
  </si>
  <si>
    <t>Mira Estrela</t>
  </si>
  <si>
    <t>Ubarana</t>
  </si>
  <si>
    <t>Paulo de Faria</t>
  </si>
  <si>
    <t>Monte Azul Paulista</t>
  </si>
  <si>
    <t>Tambaú</t>
  </si>
  <si>
    <t>Coronel Barros</t>
  </si>
  <si>
    <t>Foz do Iguaçu</t>
  </si>
  <si>
    <t>Altônia</t>
  </si>
  <si>
    <t>São Jorge do Patrocínio</t>
  </si>
  <si>
    <t>Viana</t>
  </si>
  <si>
    <t>Esperança Nova</t>
  </si>
  <si>
    <t>Iraí</t>
  </si>
  <si>
    <t>Alto Piquiri</t>
  </si>
  <si>
    <t>Missal</t>
  </si>
  <si>
    <t>Itaipulândia</t>
  </si>
  <si>
    <t>Francisco Alves</t>
  </si>
  <si>
    <t>Cafezal do Sul</t>
  </si>
  <si>
    <t>Xambrê</t>
  </si>
  <si>
    <t>Derrubadas</t>
  </si>
  <si>
    <t>Perobal</t>
  </si>
  <si>
    <t>Vista Gaúcha</t>
  </si>
  <si>
    <t>Diamante d'Oeste</t>
  </si>
  <si>
    <t>Barra do Guarita</t>
  </si>
  <si>
    <t>Itapiranga</t>
  </si>
  <si>
    <t>Medianeira</t>
  </si>
  <si>
    <t>Pérola</t>
  </si>
  <si>
    <t>São João do Oeste</t>
  </si>
  <si>
    <t>Grandes Rios</t>
  </si>
  <si>
    <t>São Manoel do Paraná</t>
  </si>
  <si>
    <t>Iporã</t>
  </si>
  <si>
    <t>São Tomé</t>
  </si>
  <si>
    <t>Santa Izabel do Oeste</t>
  </si>
  <si>
    <t>Japurá</t>
  </si>
  <si>
    <t>São Carlos do Ivaí</t>
  </si>
  <si>
    <t>Ramilândia</t>
  </si>
  <si>
    <t>Paraíso do Norte</t>
  </si>
  <si>
    <t>Barra do Jacaré</t>
  </si>
  <si>
    <t>Santa Mariana</t>
  </si>
  <si>
    <t>Salto do Lontra</t>
  </si>
  <si>
    <t>Leópolis</t>
  </si>
  <si>
    <t>Matelândia</t>
  </si>
  <si>
    <t>Estrela Dalva</t>
  </si>
  <si>
    <t>Carmo</t>
  </si>
  <si>
    <t>Caraguatatuba</t>
  </si>
  <si>
    <t>Pérola d'Oeste</t>
  </si>
  <si>
    <t>Volta Grande</t>
  </si>
  <si>
    <t>Andirá</t>
  </si>
  <si>
    <t>Florínia</t>
  </si>
  <si>
    <t>Além Paraíba</t>
  </si>
  <si>
    <t>Sertaneja</t>
  </si>
  <si>
    <t>Itaquiraí</t>
  </si>
  <si>
    <t>Ocauçu</t>
  </si>
  <si>
    <t>Natividade</t>
  </si>
  <si>
    <t>Jacarezinho</t>
  </si>
  <si>
    <t>Santa Fé</t>
  </si>
  <si>
    <t>Santa Cruz do Rio Pardo</t>
  </si>
  <si>
    <t>Arapeí</t>
  </si>
  <si>
    <t>Lupércio</t>
  </si>
  <si>
    <t>Astorga</t>
  </si>
  <si>
    <t>Nossa Senhora das Graças</t>
  </si>
  <si>
    <t>Rancho Alegre</t>
  </si>
  <si>
    <t>Lavrinhas</t>
  </si>
  <si>
    <t>Laranja da Terra</t>
  </si>
  <si>
    <t>Pitangueiras</t>
  </si>
  <si>
    <t>Leopoldina</t>
  </si>
  <si>
    <t>Paulínia</t>
  </si>
  <si>
    <t>Coronel Sapucaia</t>
  </si>
  <si>
    <t>Cândido Mota</t>
  </si>
  <si>
    <t>Rio Claro</t>
  </si>
  <si>
    <t>São José do Barreiro</t>
  </si>
  <si>
    <t>Cachoeira Paulista</t>
  </si>
  <si>
    <t>Lorena</t>
  </si>
  <si>
    <t>Canas</t>
  </si>
  <si>
    <t>Argirita</t>
  </si>
  <si>
    <t>Guaratinguetá</t>
  </si>
  <si>
    <t>Anhumas</t>
  </si>
  <si>
    <t>Cruzeiro</t>
  </si>
  <si>
    <t>Queluz</t>
  </si>
  <si>
    <t>Cafeara</t>
  </si>
  <si>
    <t>Igaraçu do Tietê</t>
  </si>
  <si>
    <t>Santo Inácio</t>
  </si>
  <si>
    <t>Limeira</t>
  </si>
  <si>
    <t>Silveiras</t>
  </si>
  <si>
    <t>Itarana</t>
  </si>
  <si>
    <t>Aparecida</t>
  </si>
  <si>
    <t>Lupionópolis</t>
  </si>
  <si>
    <t>Tremembé</t>
  </si>
  <si>
    <t>Piquete</t>
  </si>
  <si>
    <t>Catiguá</t>
  </si>
  <si>
    <t>Carmésia</t>
  </si>
  <si>
    <t>Jaú</t>
  </si>
  <si>
    <t>Cordeirópolis</t>
  </si>
  <si>
    <t>Centenário do Sul</t>
  </si>
  <si>
    <t>Pirapozinho</t>
  </si>
  <si>
    <t>Itamarati de Minas</t>
  </si>
  <si>
    <t>Mogi Guaçu</t>
  </si>
  <si>
    <t>Potim</t>
  </si>
  <si>
    <t>Pinheiral</t>
  </si>
  <si>
    <t>Barra Mansa</t>
  </si>
  <si>
    <t>Jacupiranga</t>
  </si>
  <si>
    <t>Onça de Pitangui</t>
  </si>
  <si>
    <t>Amambaí</t>
  </si>
  <si>
    <t>Campinas</t>
  </si>
  <si>
    <t>Tabapuã</t>
  </si>
  <si>
    <t>Santa Gertrudes</t>
  </si>
  <si>
    <t>Narandiba</t>
  </si>
  <si>
    <t>Oriente</t>
  </si>
  <si>
    <t>Astolfo Dutra</t>
  </si>
  <si>
    <t>Paulistas</t>
  </si>
  <si>
    <t>Itaguajé</t>
  </si>
  <si>
    <t>Alvinlândia</t>
  </si>
  <si>
    <t>Jaguapitã</t>
  </si>
  <si>
    <t>Santo Antônio do Rio Abaixo</t>
  </si>
  <si>
    <t>Descoberto</t>
  </si>
  <si>
    <t>Itambaracá</t>
  </si>
  <si>
    <t>Rodeiro</t>
  </si>
  <si>
    <t>Regente Feijó</t>
  </si>
  <si>
    <t>Iracemápolis</t>
  </si>
  <si>
    <t>Barra do Turvo</t>
  </si>
  <si>
    <t>Bananal</t>
  </si>
  <si>
    <t>Junqueirópolis</t>
  </si>
  <si>
    <t>Mineiros do Tietê</t>
  </si>
  <si>
    <t>Engenheiro Coelho</t>
  </si>
  <si>
    <t>Uchoa</t>
  </si>
  <si>
    <t>Guatapará</t>
  </si>
  <si>
    <t>Bocaina</t>
  </si>
  <si>
    <t>Dom Joaquim</t>
  </si>
  <si>
    <t>Nova Alvorada do Sul</t>
  </si>
  <si>
    <t>Luís Antônio</t>
  </si>
  <si>
    <t>Pradópolis</t>
  </si>
  <si>
    <t>Roseira</t>
  </si>
  <si>
    <t>São José do Rio Pardo</t>
  </si>
  <si>
    <t>Guarani</t>
  </si>
  <si>
    <t>Araras</t>
  </si>
  <si>
    <t>Taquaritinga</t>
  </si>
  <si>
    <t>Piraúba</t>
  </si>
  <si>
    <t>Ibirá</t>
  </si>
  <si>
    <t>Tabuleiro</t>
  </si>
  <si>
    <t>Artur Nogueira</t>
  </si>
  <si>
    <t>Rio Pomba</t>
  </si>
  <si>
    <t>Taciba</t>
  </si>
  <si>
    <t>Ribeirão Bonito</t>
  </si>
  <si>
    <t>Santa Rita do Passa Quatro</t>
  </si>
  <si>
    <t>Ubá</t>
  </si>
  <si>
    <t>Morro do Pilar</t>
  </si>
  <si>
    <t>Tocantins</t>
  </si>
  <si>
    <t>Macatuba</t>
  </si>
  <si>
    <t>Rio Novo</t>
  </si>
  <si>
    <t>Aguaí</t>
  </si>
  <si>
    <t>Conceição do Pará</t>
  </si>
  <si>
    <t>Araçatuba</t>
  </si>
  <si>
    <t>Rincão</t>
  </si>
  <si>
    <t>Dourado</t>
  </si>
  <si>
    <t>Leandro Ferreira</t>
  </si>
  <si>
    <t>Trabiju</t>
  </si>
  <si>
    <t>Jaboticabal</t>
  </si>
  <si>
    <t>Estiva Gerbi</t>
  </si>
  <si>
    <t>Porecatu</t>
  </si>
  <si>
    <t>Dois Córregos</t>
  </si>
  <si>
    <t>Guaimbê</t>
  </si>
  <si>
    <t>Cosmópolis</t>
  </si>
  <si>
    <t>Maravilhas</t>
  </si>
  <si>
    <t>Barrinha</t>
  </si>
  <si>
    <t>Pequi</t>
  </si>
  <si>
    <t>Boa Esperança do Sul</t>
  </si>
  <si>
    <t>São João Evangelista</t>
  </si>
  <si>
    <t>Holambra</t>
  </si>
  <si>
    <t>Elisiário</t>
  </si>
  <si>
    <t>Corumbataí</t>
  </si>
  <si>
    <t>Guarantã</t>
  </si>
  <si>
    <t>Conchal</t>
  </si>
  <si>
    <t>Américo Brasiliense</t>
  </si>
  <si>
    <t>Guapiaçu</t>
  </si>
  <si>
    <t>Cambé</t>
  </si>
  <si>
    <t>Olímpia</t>
  </si>
  <si>
    <t>Urupês</t>
  </si>
  <si>
    <t>Colina</t>
  </si>
  <si>
    <t>Irapuã</t>
  </si>
  <si>
    <t>Conceição do Mato Dentro</t>
  </si>
  <si>
    <t>Cedral</t>
  </si>
  <si>
    <t>Dumont</t>
  </si>
  <si>
    <t>Potirendaba</t>
  </si>
  <si>
    <t>Lagoa da Prata</t>
  </si>
  <si>
    <t>Nuporanga</t>
  </si>
  <si>
    <t>Araraquara</t>
  </si>
  <si>
    <t>Pedrinhas Paulista</t>
  </si>
  <si>
    <t>Canitar</t>
  </si>
  <si>
    <t>Miraselva</t>
  </si>
  <si>
    <t>Selvíria</t>
  </si>
  <si>
    <t>Santa Cruz da Conceição</t>
  </si>
  <si>
    <t>Prado Ferreira</t>
  </si>
  <si>
    <t>Sales Oliveira</t>
  </si>
  <si>
    <t>Iporanga</t>
  </si>
  <si>
    <t>Itobi</t>
  </si>
  <si>
    <t>Delta</t>
  </si>
  <si>
    <t>Orlândia</t>
  </si>
  <si>
    <t>Itaúna</t>
  </si>
  <si>
    <t>Londrina</t>
  </si>
  <si>
    <t>Leme</t>
  </si>
  <si>
    <t>Martinópolis</t>
  </si>
  <si>
    <t>Juatuba</t>
  </si>
  <si>
    <t>Pompéia</t>
  </si>
  <si>
    <t>Palmeira d'Oeste</t>
  </si>
  <si>
    <t>Monte Alto</t>
  </si>
  <si>
    <t>São José da Bela Vista</t>
  </si>
  <si>
    <t>Florestópolis</t>
  </si>
  <si>
    <t>Fortuna de Minas</t>
  </si>
  <si>
    <t>Sandovalina</t>
  </si>
  <si>
    <t>Cravinhos</t>
  </si>
  <si>
    <t>Alvorada do Sul</t>
  </si>
  <si>
    <t>Fronteira</t>
  </si>
  <si>
    <t>Nantes</t>
  </si>
  <si>
    <t>Icém</t>
  </si>
  <si>
    <t>Machado</t>
  </si>
  <si>
    <t>Onda Verde</t>
  </si>
  <si>
    <t>Igaratinga</t>
  </si>
  <si>
    <t>Irapuru</t>
  </si>
  <si>
    <t>Ribeirão Claro</t>
  </si>
  <si>
    <t>Cajati</t>
  </si>
  <si>
    <t>Ubirajara</t>
  </si>
  <si>
    <t>Aparecida d'Oeste</t>
  </si>
  <si>
    <t>Jataizinho</t>
  </si>
  <si>
    <t>Santo Anastácio</t>
  </si>
  <si>
    <t>São Gonçalo do Pará</t>
  </si>
  <si>
    <t>Campos Novos Paulista</t>
  </si>
  <si>
    <t>Gavião Peixoto</t>
  </si>
  <si>
    <t>Sertãozinho</t>
  </si>
  <si>
    <t>Porto Ferreira</t>
  </si>
  <si>
    <t>Ribeirão Preto</t>
  </si>
  <si>
    <t>Bady Bassitt</t>
  </si>
  <si>
    <t>Motuca</t>
  </si>
  <si>
    <t>Pirajuí</t>
  </si>
  <si>
    <t>Hortolândia</t>
  </si>
  <si>
    <t>Nova Europa</t>
  </si>
  <si>
    <t>Pontal</t>
  </si>
  <si>
    <t>Santo Antônio de Posse</t>
  </si>
  <si>
    <t>Valparaíso</t>
  </si>
  <si>
    <t>Caiabu</t>
  </si>
  <si>
    <t>Brotas</t>
  </si>
  <si>
    <t>Primeiro de Maio</t>
  </si>
  <si>
    <t>Esmeraldas</t>
  </si>
  <si>
    <t>Santo Expedito</t>
  </si>
  <si>
    <t>Nova Aliança</t>
  </si>
  <si>
    <t>Ilha Solteira</t>
  </si>
  <si>
    <t>Brodowski</t>
  </si>
  <si>
    <t>Morro Agudo</t>
  </si>
  <si>
    <t>Emilianópolis</t>
  </si>
  <si>
    <t>Batatais</t>
  </si>
  <si>
    <t>Cajobi</t>
  </si>
  <si>
    <t>Nova Granada</t>
  </si>
  <si>
    <t>Tabatinga</t>
  </si>
  <si>
    <t>Bento de Abreu</t>
  </si>
  <si>
    <t>Pedro de Toledo</t>
  </si>
  <si>
    <t>Rio das Pedras</t>
  </si>
  <si>
    <t>Santa Ernestina</t>
  </si>
  <si>
    <t>Rubiácea</t>
  </si>
  <si>
    <t>Mendonça</t>
  </si>
  <si>
    <t>Pirassununga</t>
  </si>
  <si>
    <t>Oscar Bressane</t>
  </si>
  <si>
    <t>Guararapes</t>
  </si>
  <si>
    <t>Dirce Reis</t>
  </si>
  <si>
    <t>Juquiá</t>
  </si>
  <si>
    <t>Itariri</t>
  </si>
  <si>
    <t>Peruíbe</t>
  </si>
  <si>
    <t>Miracatu</t>
  </si>
  <si>
    <t>Cândido Rodrigues</t>
  </si>
  <si>
    <t>São José do Rio Preto</t>
  </si>
  <si>
    <t>Presidente Alves</t>
  </si>
  <si>
    <t>Flora Rica</t>
  </si>
  <si>
    <t>São Sebastião do Oeste</t>
  </si>
  <si>
    <t>Getulina</t>
  </si>
  <si>
    <t>Rio Brilhante</t>
  </si>
  <si>
    <t>Igarapava</t>
  </si>
  <si>
    <t>Sertanópolis</t>
  </si>
  <si>
    <t>Divinópolis</t>
  </si>
  <si>
    <t>Pacaembu</t>
  </si>
  <si>
    <t>Ipuã</t>
  </si>
  <si>
    <t>Ipiguá</t>
  </si>
  <si>
    <t>Nova Serrana</t>
  </si>
  <si>
    <t>São José da Varginha</t>
  </si>
  <si>
    <t>Mateus Leme</t>
  </si>
  <si>
    <t>Avaí</t>
  </si>
  <si>
    <t>Ribeirão do Sul</t>
  </si>
  <si>
    <t>Suzanápolis</t>
  </si>
  <si>
    <t>Chavantes</t>
  </si>
  <si>
    <t>Santana da Ponte Pensa</t>
  </si>
  <si>
    <t>Ribeirão dos Índios</t>
  </si>
  <si>
    <t>Birigui</t>
  </si>
  <si>
    <t>Aramina</t>
  </si>
  <si>
    <t>Marapoama</t>
  </si>
  <si>
    <t>Aspásia</t>
  </si>
  <si>
    <t>Piquerobi</t>
  </si>
  <si>
    <t>Guará</t>
  </si>
  <si>
    <t>Adrianópolis</t>
  </si>
  <si>
    <t>Ribeira</t>
  </si>
  <si>
    <t>Barbosa</t>
  </si>
  <si>
    <t>Pedra do Indaiá</t>
  </si>
  <si>
    <t>Severínia</t>
  </si>
  <si>
    <t>Ibitinga</t>
  </si>
  <si>
    <t>Platina</t>
  </si>
  <si>
    <t>Taiaçu</t>
  </si>
  <si>
    <t>José Bonifácio</t>
  </si>
  <si>
    <t>Pará de Minas</t>
  </si>
  <si>
    <t>Elias Fausto</t>
  </si>
  <si>
    <t>Santa Albertina</t>
  </si>
  <si>
    <t>Valinhos</t>
  </si>
  <si>
    <t>Serra Azul</t>
  </si>
  <si>
    <t>Pariquera-Açu</t>
  </si>
  <si>
    <t>Salto Grande</t>
  </si>
  <si>
    <t>Serrana</t>
  </si>
  <si>
    <t>Sud Mennucci</t>
  </si>
  <si>
    <t>Santo Antônio do Monte</t>
  </si>
  <si>
    <t>Cananéia</t>
  </si>
  <si>
    <t>Mombuca</t>
  </si>
  <si>
    <t>Espírito Santo do Turvo</t>
  </si>
  <si>
    <t>Pereira Barreto</t>
  </si>
  <si>
    <t>Nova Canaã Paulista</t>
  </si>
  <si>
    <t>Moema</t>
  </si>
  <si>
    <t>Americana</t>
  </si>
  <si>
    <t>Presidente Venceslau</t>
  </si>
  <si>
    <t>Presidente Epitácio</t>
  </si>
  <si>
    <t>Monte Mor</t>
  </si>
  <si>
    <t>Bilac</t>
  </si>
  <si>
    <t>Mirassolândia</t>
  </si>
  <si>
    <t>Altinópolis</t>
  </si>
  <si>
    <t>Palestina</t>
  </si>
  <si>
    <t>Lucianópolis</t>
  </si>
  <si>
    <t>Pontalinda</t>
  </si>
  <si>
    <t>Caiuá</t>
  </si>
  <si>
    <t>Taiúva</t>
  </si>
  <si>
    <t>Dobrada</t>
  </si>
  <si>
    <t>Fernando Prestes</t>
  </si>
  <si>
    <t>Bom Despacho</t>
  </si>
  <si>
    <t>Brasilândia</t>
  </si>
  <si>
    <t>Itaóca</t>
  </si>
  <si>
    <t>Coroados</t>
  </si>
  <si>
    <t>Araújos</t>
  </si>
  <si>
    <t>Palmares Paulista</t>
  </si>
  <si>
    <t>Perdigão</t>
  </si>
  <si>
    <t>Viradouro</t>
  </si>
  <si>
    <t>Vista Alegre do Alto</t>
  </si>
  <si>
    <t>Marabá Paulista</t>
  </si>
  <si>
    <t>Lavínia</t>
  </si>
  <si>
    <t>Santa Rosa de Viterbo</t>
  </si>
  <si>
    <t>Duartina</t>
  </si>
  <si>
    <t>Capivari</t>
  </si>
  <si>
    <t>Rafard</t>
  </si>
  <si>
    <t>Buritizal</t>
  </si>
  <si>
    <t>Taquaral</t>
  </si>
  <si>
    <t>Paulistânia</t>
  </si>
  <si>
    <t>Itajobi</t>
  </si>
  <si>
    <t>Santo Antônio do Aracanguá</t>
  </si>
  <si>
    <t>Aparecida do Taboado</t>
  </si>
  <si>
    <t>Rifaina</t>
  </si>
  <si>
    <t>Castilho</t>
  </si>
  <si>
    <t>Pirangi</t>
  </si>
  <si>
    <t>Avanhandava</t>
  </si>
  <si>
    <t>Itápolis</t>
  </si>
  <si>
    <t>Glicério</t>
  </si>
  <si>
    <t>Fernão</t>
  </si>
  <si>
    <t>Cabrália Paulista</t>
  </si>
  <si>
    <t>Pindamonhangaba</t>
  </si>
  <si>
    <t>Registro</t>
  </si>
  <si>
    <t>Valentim Gentil</t>
  </si>
  <si>
    <t>Sebastianópolis do Sul</t>
  </si>
  <si>
    <t>Nhandeara</t>
  </si>
  <si>
    <t>Guzolândia</t>
  </si>
  <si>
    <t>Brejo Alegre</t>
  </si>
  <si>
    <t>Santa Rita d'Oeste</t>
  </si>
  <si>
    <t>Ariranha</t>
  </si>
  <si>
    <t>Flórida Paulista</t>
  </si>
  <si>
    <t>Ribeirão Corrente</t>
  </si>
  <si>
    <t>São João das Duas Pontes</t>
  </si>
  <si>
    <t>Jaci</t>
  </si>
  <si>
    <t>Nova Odessa</t>
  </si>
  <si>
    <t>Zacarias</t>
  </si>
  <si>
    <t>Santa Adélia</t>
  </si>
  <si>
    <t>Iepê</t>
  </si>
  <si>
    <t>Queiroz</t>
  </si>
  <si>
    <t>Mariápolis</t>
  </si>
  <si>
    <t>União Paulista</t>
  </si>
  <si>
    <t>Ituverava</t>
  </si>
  <si>
    <t>Braúna</t>
  </si>
  <si>
    <t>Floreal</t>
  </si>
  <si>
    <t>Mirante do Paranapanema</t>
  </si>
  <si>
    <t>Macaubal</t>
  </si>
  <si>
    <t>Quintana</t>
  </si>
  <si>
    <t>Mirandópolis</t>
  </si>
  <si>
    <t>Magda</t>
  </si>
  <si>
    <t>Nipoã</t>
  </si>
  <si>
    <t>Panorama</t>
  </si>
  <si>
    <t>Paulicéia</t>
  </si>
  <si>
    <t>Gastão Vidigal</t>
  </si>
  <si>
    <t>Monções</t>
  </si>
  <si>
    <t>Rancharia</t>
  </si>
  <si>
    <t>São João de Iracema</t>
  </si>
  <si>
    <t>Santa Clara d'Oeste</t>
  </si>
  <si>
    <t>Tanabi</t>
  </si>
  <si>
    <t>Pracinha</t>
  </si>
  <si>
    <t>Santa Cruz da Esperança</t>
  </si>
  <si>
    <t>Matão</t>
  </si>
  <si>
    <t>Nova Independência</t>
  </si>
  <si>
    <t>Lutécia</t>
  </si>
  <si>
    <t>Nova Luzitânia</t>
  </si>
  <si>
    <t>Turiúba</t>
  </si>
  <si>
    <t>General Salgado</t>
  </si>
  <si>
    <t>Nova Castilho</t>
  </si>
  <si>
    <t>Florestal</t>
  </si>
  <si>
    <t>Santa Mercedes</t>
  </si>
  <si>
    <t>Guaraçaí</t>
  </si>
  <si>
    <t>Sumaré</t>
  </si>
  <si>
    <t>Bebedouro</t>
  </si>
  <si>
    <t>Lourdes</t>
  </si>
  <si>
    <t>Três Fronteiras</t>
  </si>
  <si>
    <t>São Romão</t>
  </si>
  <si>
    <t>São João do Pau d'Alho</t>
  </si>
  <si>
    <t>Mirassol</t>
  </si>
  <si>
    <t>Rubinéia</t>
  </si>
  <si>
    <t>Luiziânia</t>
  </si>
  <si>
    <t>Clementina</t>
  </si>
  <si>
    <t>Herculândia</t>
  </si>
  <si>
    <t>Poloni</t>
  </si>
  <si>
    <t>Neves Paulista</t>
  </si>
  <si>
    <t>Penápolis</t>
  </si>
  <si>
    <t>Bálsamo</t>
  </si>
  <si>
    <t>Pindorama</t>
  </si>
  <si>
    <t>Pedranópolis</t>
  </si>
  <si>
    <t>Murutinga do Sul</t>
  </si>
  <si>
    <t>Nova Guataporanga</t>
  </si>
  <si>
    <t>Jeriquara</t>
  </si>
  <si>
    <t>Promissão</t>
  </si>
  <si>
    <t>Auriflama</t>
  </si>
  <si>
    <t>Buritama</t>
  </si>
  <si>
    <t>Macedônia</t>
  </si>
  <si>
    <t>Salmourão</t>
  </si>
  <si>
    <t>Sagres</t>
  </si>
  <si>
    <t>Tupi Paulista</t>
  </si>
  <si>
    <t>Meridiano</t>
  </si>
  <si>
    <t>João Ramalho</t>
  </si>
  <si>
    <t>Gabriel Monteiro</t>
  </si>
  <si>
    <t>Santópolis do Aguapeí</t>
  </si>
  <si>
    <t>Arco-Íris</t>
  </si>
  <si>
    <t>Santa Fé do Sul</t>
  </si>
  <si>
    <t>Ibiporã</t>
  </si>
  <si>
    <t>Inúbia Paulista</t>
  </si>
  <si>
    <t>Lucélia</t>
  </si>
  <si>
    <t>Dracena</t>
  </si>
  <si>
    <t>Quatá</t>
  </si>
  <si>
    <t>Tupã</t>
  </si>
  <si>
    <t>Osvaldo Cruz</t>
  </si>
  <si>
    <t>Adamantina</t>
  </si>
  <si>
    <t>Pedregulho</t>
  </si>
  <si>
    <t>Mococa</t>
  </si>
  <si>
    <t>Bastos</t>
  </si>
  <si>
    <t>Parapuã</t>
  </si>
  <si>
    <t>Rinópolis</t>
  </si>
  <si>
    <t>Monte Aprazível</t>
  </si>
  <si>
    <t>Iacri</t>
  </si>
  <si>
    <t>Andradina</t>
  </si>
  <si>
    <t>Piacatu</t>
  </si>
  <si>
    <t>Sete Barras</t>
  </si>
  <si>
    <t>Borá</t>
  </si>
  <si>
    <t>Fernandópolis</t>
  </si>
  <si>
    <t>Cruzália</t>
  </si>
  <si>
    <t>Paraguaçu Paulista</t>
  </si>
  <si>
    <t>Maracaí</t>
  </si>
  <si>
    <t>Tarumã</t>
  </si>
  <si>
    <t>Santa Cruz do Arari</t>
  </si>
  <si>
    <t>Cachoeira do Arari</t>
  </si>
  <si>
    <t>Pureza</t>
  </si>
  <si>
    <t>Ipojuca</t>
  </si>
  <si>
    <t>PI</t>
  </si>
  <si>
    <t>Avelino Lopes</t>
  </si>
  <si>
    <t>MA</t>
  </si>
  <si>
    <t>Raposa</t>
  </si>
  <si>
    <t>Ponta de Pedras</t>
  </si>
  <si>
    <t>Parazinho</t>
  </si>
  <si>
    <t>Ilha de Itamaracá</t>
  </si>
  <si>
    <t>Abreu e Lima</t>
  </si>
  <si>
    <t>Marapanim</t>
  </si>
  <si>
    <t>Tamandaré</t>
  </si>
  <si>
    <t>São José de Ribamar</t>
  </si>
  <si>
    <t>Curuçá</t>
  </si>
  <si>
    <t>Apicum-Açu</t>
  </si>
  <si>
    <t>Lucena</t>
  </si>
  <si>
    <t>Vigia</t>
  </si>
  <si>
    <t>Magalhães Barata</t>
  </si>
  <si>
    <t>Pedra Grande</t>
  </si>
  <si>
    <t>Cabedelo</t>
  </si>
  <si>
    <t>São Caetano de Odivelas</t>
  </si>
  <si>
    <t>Colares</t>
  </si>
  <si>
    <t>Maracanã</t>
  </si>
  <si>
    <t>Paço do Lumiar</t>
  </si>
  <si>
    <t>Barreirinhas</t>
  </si>
  <si>
    <t>Muaná</t>
  </si>
  <si>
    <t>Itanagra</t>
  </si>
  <si>
    <t>Paulino Neves</t>
  </si>
  <si>
    <t>São João da Ponta</t>
  </si>
  <si>
    <t>Carutapera</t>
  </si>
  <si>
    <t>Ferreiros</t>
  </si>
  <si>
    <t>Pitimbu</t>
  </si>
  <si>
    <t>São José da Coroa Grande</t>
  </si>
  <si>
    <t>São Bento do Norte</t>
  </si>
  <si>
    <t>São Luís</t>
  </si>
  <si>
    <t>Nísia Floresta</t>
  </si>
  <si>
    <t>Senador Georgino Avelino</t>
  </si>
  <si>
    <t>Tibau do Sul</t>
  </si>
  <si>
    <t>São João de Pirabas</t>
  </si>
  <si>
    <t>Luís Domingues</t>
  </si>
  <si>
    <t>Porto Rico do Maranhão</t>
  </si>
  <si>
    <t>Pindoretama</t>
  </si>
  <si>
    <t>João Câmara</t>
  </si>
  <si>
    <t>Baía Formosa</t>
  </si>
  <si>
    <t>Alcântara</t>
  </si>
  <si>
    <t>Arês</t>
  </si>
  <si>
    <t>Viseu</t>
  </si>
  <si>
    <t>São José de Mipibu</t>
  </si>
  <si>
    <t>Vila Flor</t>
  </si>
  <si>
    <t>Baía da Traição</t>
  </si>
  <si>
    <t>Barcarena</t>
  </si>
  <si>
    <t>Salinópolis</t>
  </si>
  <si>
    <t>Caiçara do Norte</t>
  </si>
  <si>
    <t>Beberibe</t>
  </si>
  <si>
    <t>Godofredo Viana</t>
  </si>
  <si>
    <t>Taipu</t>
  </si>
  <si>
    <t>Poço Branco</t>
  </si>
  <si>
    <t>Lauro de Freitas</t>
  </si>
  <si>
    <t>Ceará-Mirim</t>
  </si>
  <si>
    <t>Fortaleza</t>
  </si>
  <si>
    <t>Recife</t>
  </si>
  <si>
    <t>Chaves</t>
  </si>
  <si>
    <t>Rio do Fogo</t>
  </si>
  <si>
    <t>Eusébio</t>
  </si>
  <si>
    <t>Anajás</t>
  </si>
  <si>
    <t>Icatu</t>
  </si>
  <si>
    <t>Cândido Mendes</t>
  </si>
  <si>
    <t>Santa Bárbara do Pará</t>
  </si>
  <si>
    <t>Marcação</t>
  </si>
  <si>
    <t>São Miguel do Gostoso</t>
  </si>
  <si>
    <t>Canguaretama</t>
  </si>
  <si>
    <t>Soure</t>
  </si>
  <si>
    <t>Limoeiro do Ajuru</t>
  </si>
  <si>
    <t>Ananindeua</t>
  </si>
  <si>
    <t>Abaetetuba</t>
  </si>
  <si>
    <t>Marituba</t>
  </si>
  <si>
    <t>Paracuru</t>
  </si>
  <si>
    <t>Aquiraz</t>
  </si>
  <si>
    <t>Salvaterra</t>
  </si>
  <si>
    <t>Pedra Preta</t>
  </si>
  <si>
    <t>Araçoiaba</t>
  </si>
  <si>
    <t>Itaitinga</t>
  </si>
  <si>
    <t>Axixá</t>
  </si>
  <si>
    <t>Bento Fernandes</t>
  </si>
  <si>
    <t>São Gabriel da Cachoeira</t>
  </si>
  <si>
    <t>Maxaranguape</t>
  </si>
  <si>
    <t>Mateiros</t>
  </si>
  <si>
    <t>Bagre</t>
  </si>
  <si>
    <t>Guimarães</t>
  </si>
  <si>
    <t>Rio Tinto</t>
  </si>
  <si>
    <t>Goianinha</t>
  </si>
  <si>
    <t>Cururupu</t>
  </si>
  <si>
    <t>Santarém Novo</t>
  </si>
  <si>
    <t>Pendências</t>
  </si>
  <si>
    <t>Simões Filho</t>
  </si>
  <si>
    <t>Fonte Boa</t>
  </si>
  <si>
    <t>Bacuri</t>
  </si>
  <si>
    <t>Caucaia</t>
  </si>
  <si>
    <t>Jardim de Angicos</t>
  </si>
  <si>
    <t>Touros</t>
  </si>
  <si>
    <t>Maracanaú</t>
  </si>
  <si>
    <t>Pacajus</t>
  </si>
  <si>
    <t>Alvarães</t>
  </si>
  <si>
    <t>Horizonte</t>
  </si>
  <si>
    <t>Santa Rita</t>
  </si>
  <si>
    <t>Mataraca</t>
  </si>
  <si>
    <t>Galinhos</t>
  </si>
  <si>
    <t>Trairi</t>
  </si>
  <si>
    <t>Pedro Avelino</t>
  </si>
  <si>
    <t>Riachuelo</t>
  </si>
  <si>
    <t>Morros</t>
  </si>
  <si>
    <t>Tefé</t>
  </si>
  <si>
    <t>Rorainópolis</t>
  </si>
  <si>
    <t>Mamanguape</t>
  </si>
  <si>
    <t>Paraipaba</t>
  </si>
  <si>
    <t>Turiaçu</t>
  </si>
  <si>
    <t>Afonso Bezerra</t>
  </si>
  <si>
    <t>São Rafael</t>
  </si>
  <si>
    <t>Alto do Rodrigues</t>
  </si>
  <si>
    <t>Pacatuba</t>
  </si>
  <si>
    <t>Augusto Corrêa</t>
  </si>
  <si>
    <t>Uarini</t>
  </si>
  <si>
    <t>Tutóia</t>
  </si>
  <si>
    <t>São Luiz</t>
  </si>
  <si>
    <t>Guamaré</t>
  </si>
  <si>
    <t>Cachoeira Grande</t>
  </si>
  <si>
    <t>Maranguape</t>
  </si>
  <si>
    <t>Serrano do Maranhão</t>
  </si>
  <si>
    <t>Guaiúba</t>
  </si>
  <si>
    <t>Santo Antônio do Tauá</t>
  </si>
  <si>
    <t>Benevides</t>
  </si>
  <si>
    <t>Mirinzal</t>
  </si>
  <si>
    <t>Capim</t>
  </si>
  <si>
    <t>Igarapé-Miri</t>
  </si>
  <si>
    <t>Caiçara do Rio do Vento</t>
  </si>
  <si>
    <t>Moju</t>
  </si>
  <si>
    <t>AP</t>
  </si>
  <si>
    <t>Laranjal do Jari</t>
  </si>
  <si>
    <t>Porto do Mangue</t>
  </si>
  <si>
    <t>Amapá do Maranhão</t>
  </si>
  <si>
    <t>Terra Alta</t>
  </si>
  <si>
    <t>São Félix do Tocantins</t>
  </si>
  <si>
    <t>Vitória do Jari</t>
  </si>
  <si>
    <t>Santa Isabel do Pará</t>
  </si>
  <si>
    <t>Monte Alegre</t>
  </si>
  <si>
    <t>Cametá</t>
  </si>
  <si>
    <t>São João da Baliza</t>
  </si>
  <si>
    <t>Lajes</t>
  </si>
  <si>
    <t>Extremoz</t>
  </si>
  <si>
    <t>Porto Walter</t>
  </si>
  <si>
    <t>Remanso</t>
  </si>
  <si>
    <t>Rosário</t>
  </si>
  <si>
    <t>Mucajaí</t>
  </si>
  <si>
    <t>Santa Isabel do Rio Negro</t>
  </si>
  <si>
    <t>Carnaubais</t>
  </si>
  <si>
    <t>Bragança</t>
  </si>
  <si>
    <t>Breves</t>
  </si>
  <si>
    <t>Chorozinho</t>
  </si>
  <si>
    <t>Iracema</t>
  </si>
  <si>
    <t>Caroebe</t>
  </si>
  <si>
    <t>Itapororoca</t>
  </si>
  <si>
    <t>Serra do Mel</t>
  </si>
  <si>
    <t>Cantá</t>
  </si>
  <si>
    <t>Portel</t>
  </si>
  <si>
    <t>Igarapé-Açu</t>
  </si>
  <si>
    <t>Mocajuba</t>
  </si>
  <si>
    <t>Santarém</t>
  </si>
  <si>
    <t>Primavera</t>
  </si>
  <si>
    <t>Baião</t>
  </si>
  <si>
    <t>Curuá</t>
  </si>
  <si>
    <t>Quatipuru</t>
  </si>
  <si>
    <t>Angicos</t>
  </si>
  <si>
    <t>Melgaço</t>
  </si>
  <si>
    <t>Boa Vista do Gurupi</t>
  </si>
  <si>
    <t>Bacabeira</t>
  </si>
  <si>
    <t>São Gonçalo do Amarante</t>
  </si>
  <si>
    <t>Breu Branco</t>
  </si>
  <si>
    <t>Juruá</t>
  </si>
  <si>
    <t>Junco do Maranhão</t>
  </si>
  <si>
    <t>Alenquer</t>
  </si>
  <si>
    <t>Tucuruí</t>
  </si>
  <si>
    <t>Maraã</t>
  </si>
  <si>
    <t>Óbidos</t>
  </si>
  <si>
    <t>Fernando Pedroza</t>
  </si>
  <si>
    <t>Divinópolis de Goiás</t>
  </si>
  <si>
    <t>Cuité de Mamanguape</t>
  </si>
  <si>
    <t>Calçoene</t>
  </si>
  <si>
    <t>Chã de Alegria</t>
  </si>
  <si>
    <t>Fortim</t>
  </si>
  <si>
    <t>Jacaraú</t>
  </si>
  <si>
    <t>Pedro Régis</t>
  </si>
  <si>
    <t>Curral de Cima</t>
  </si>
  <si>
    <t>Goianésia do Pará</t>
  </si>
  <si>
    <t>Itarema</t>
  </si>
  <si>
    <t>Cachoeira do Piriá</t>
  </si>
  <si>
    <t>Jijoca de Jericoacoara</t>
  </si>
  <si>
    <t>Porto de Moz</t>
  </si>
  <si>
    <t>Baixa Grande do Ribeiro</t>
  </si>
  <si>
    <t>Afuá</t>
  </si>
  <si>
    <t>Jutaí</t>
  </si>
  <si>
    <t>Central do Maranhão</t>
  </si>
  <si>
    <t>Anamã</t>
  </si>
  <si>
    <t>Tururu</t>
  </si>
  <si>
    <t>Caapiranga</t>
  </si>
  <si>
    <t>Manaquiri</t>
  </si>
  <si>
    <t>São Paulo de Olivença</t>
  </si>
  <si>
    <t>Belterra</t>
  </si>
  <si>
    <t>São Francisco do Pará</t>
  </si>
  <si>
    <t>Beruri</t>
  </si>
  <si>
    <t>Acaraú</t>
  </si>
  <si>
    <t>Areia Branca</t>
  </si>
  <si>
    <t>Codajás</t>
  </si>
  <si>
    <t>Prainha</t>
  </si>
  <si>
    <t>Água Doce do Maranhão</t>
  </si>
  <si>
    <t>Gurupá</t>
  </si>
  <si>
    <t>Anori</t>
  </si>
  <si>
    <t>Careiro da Várzea</t>
  </si>
  <si>
    <t>Santo Antônio do Içá</t>
  </si>
  <si>
    <t>Palhano</t>
  </si>
  <si>
    <t>Tonantins</t>
  </si>
  <si>
    <t>Oriximiná</t>
  </si>
  <si>
    <t>Peixe-Boi</t>
  </si>
  <si>
    <t>Itaubal</t>
  </si>
  <si>
    <t>Maracaçumé</t>
  </si>
  <si>
    <t>Juruti</t>
  </si>
  <si>
    <t>Manacapuru</t>
  </si>
  <si>
    <t>Governador Nunes Freire</t>
  </si>
  <si>
    <t>Grossos</t>
  </si>
  <si>
    <t>Aramari</t>
  </si>
  <si>
    <t>Novo Airão</t>
  </si>
  <si>
    <t>Centro Novo do Maranhão</t>
  </si>
  <si>
    <t>Nova Timboteua</t>
  </si>
  <si>
    <t>Uruburetama</t>
  </si>
  <si>
    <t>Careiro</t>
  </si>
  <si>
    <t>Rio da Conceição</t>
  </si>
  <si>
    <t>Bujaru</t>
  </si>
  <si>
    <t>Bequimão</t>
  </si>
  <si>
    <t>Barreira</t>
  </si>
  <si>
    <t>Recursolândia</t>
  </si>
  <si>
    <t>Redenção</t>
  </si>
  <si>
    <t>Ribeiro Gonçalves</t>
  </si>
  <si>
    <t>Garrafão do Norte</t>
  </si>
  <si>
    <t>Itacoatiara</t>
  </si>
  <si>
    <t>Cruz</t>
  </si>
  <si>
    <t>Capitão Poço</t>
  </si>
  <si>
    <t>Senador José Porfírio</t>
  </si>
  <si>
    <t>Lagoa de Dentro</t>
  </si>
  <si>
    <t>Santa Maria do Pará</t>
  </si>
  <si>
    <t>Parauapebas</t>
  </si>
  <si>
    <t>Tailândia</t>
  </si>
  <si>
    <t>Bacurituba</t>
  </si>
  <si>
    <t>Cajapió</t>
  </si>
  <si>
    <t>Maranhãozinho</t>
  </si>
  <si>
    <t>Lizarda</t>
  </si>
  <si>
    <t>Amontada</t>
  </si>
  <si>
    <t>Coari</t>
  </si>
  <si>
    <t>Manaus</t>
  </si>
  <si>
    <t>Santa Luzia do Pará</t>
  </si>
  <si>
    <t>Camaçari</t>
  </si>
  <si>
    <t>Bodó</t>
  </si>
  <si>
    <t>Senador Pompeu</t>
  </si>
  <si>
    <t>Aracati</t>
  </si>
  <si>
    <t>Vitória do Xingu</t>
  </si>
  <si>
    <t>Acará</t>
  </si>
  <si>
    <t>Loreto</t>
  </si>
  <si>
    <t>Ourém</t>
  </si>
  <si>
    <t>Icapuí</t>
  </si>
  <si>
    <t>Tibau</t>
  </si>
  <si>
    <t>Inhangapi</t>
  </si>
  <si>
    <t>Ipanguaçu</t>
  </si>
  <si>
    <t>Itapagé</t>
  </si>
  <si>
    <t>Centro do Guilherme</t>
  </si>
  <si>
    <t>Cerro Corá</t>
  </si>
  <si>
    <t>Ocara</t>
  </si>
  <si>
    <t>Feijó</t>
  </si>
  <si>
    <t>São Félix de Balsas</t>
  </si>
  <si>
    <t>Macau</t>
  </si>
  <si>
    <t>Natal</t>
  </si>
  <si>
    <t>Bela Cruz</t>
  </si>
  <si>
    <t>Presidente Médici</t>
  </si>
  <si>
    <t>São Benedito</t>
  </si>
  <si>
    <t>Nova Esperança do Piriá</t>
  </si>
  <si>
    <t>Peri Mirim</t>
  </si>
  <si>
    <t>Jacundá</t>
  </si>
  <si>
    <t>Turilândia</t>
  </si>
  <si>
    <t>Canaã dos Carajás</t>
  </si>
  <si>
    <t>Castanhal</t>
  </si>
  <si>
    <t>Irituia</t>
  </si>
  <si>
    <t>Brasil Novo</t>
  </si>
  <si>
    <t>São Miguel do Guamá</t>
  </si>
  <si>
    <t>Ibiapina</t>
  </si>
  <si>
    <t>Porto Alegre do Tocantins</t>
  </si>
  <si>
    <t>São Domingos do Capim</t>
  </si>
  <si>
    <t>São Bento</t>
  </si>
  <si>
    <t>Medicilândia</t>
  </si>
  <si>
    <t>Marco</t>
  </si>
  <si>
    <t>Piquet Carneiro</t>
  </si>
  <si>
    <t>Camocim</t>
  </si>
  <si>
    <t>Umirim</t>
  </si>
  <si>
    <t>Lagoa Nova</t>
  </si>
  <si>
    <t>Santa Luzia do Paruá</t>
  </si>
  <si>
    <t>Ilha Grande</t>
  </si>
  <si>
    <t>Araioses</t>
  </si>
  <si>
    <t>Paramoti</t>
  </si>
  <si>
    <t>Palmeirândia</t>
  </si>
  <si>
    <t>Carnaubal</t>
  </si>
  <si>
    <t>Ubajara</t>
  </si>
  <si>
    <t>Novo Repartimento</t>
  </si>
  <si>
    <t>São Luís do Curu</t>
  </si>
  <si>
    <t>Mombaça</t>
  </si>
  <si>
    <t>Silves</t>
  </si>
  <si>
    <t>Aveiro</t>
  </si>
  <si>
    <t>Concórdia do Pará</t>
  </si>
  <si>
    <t>Itaiçaba</t>
  </si>
  <si>
    <t>Sambaíba</t>
  </si>
  <si>
    <t>Tejuçuoca</t>
  </si>
  <si>
    <t>Apuiarés</t>
  </si>
  <si>
    <t>Almas</t>
  </si>
  <si>
    <t>Mãe do Rio</t>
  </si>
  <si>
    <t>Irauçuba</t>
  </si>
  <si>
    <t>Acari</t>
  </si>
  <si>
    <t>Aurora do Pará</t>
  </si>
  <si>
    <t>Graça</t>
  </si>
  <si>
    <t>General Sampaio</t>
  </si>
  <si>
    <t>Anapu</t>
  </si>
  <si>
    <t>Alagoinhas</t>
  </si>
  <si>
    <t>Açu</t>
  </si>
  <si>
    <t>Barcelos</t>
  </si>
  <si>
    <t>Urucurituba</t>
  </si>
  <si>
    <t>Nova Olinda do Norte</t>
  </si>
  <si>
    <t>Miraíma</t>
  </si>
  <si>
    <t>Autazes</t>
  </si>
  <si>
    <t>Milhã</t>
  </si>
  <si>
    <t>Lagoa do Tocantins</t>
  </si>
  <si>
    <t>Bom Jesus das Selvas</t>
  </si>
  <si>
    <t>Itapiúna</t>
  </si>
  <si>
    <t>Amapá</t>
  </si>
  <si>
    <t>Aratuba</t>
  </si>
  <si>
    <t>Deputado Irapuan Pinheiro</t>
  </si>
  <si>
    <t>São Domingos do Azeitão</t>
  </si>
  <si>
    <t>Arame</t>
  </si>
  <si>
    <t>Trairão</t>
  </si>
  <si>
    <t>Aracoiaba</t>
  </si>
  <si>
    <t>Novo Acordo</t>
  </si>
  <si>
    <t>Capistrano</t>
  </si>
  <si>
    <t>Nova Ipixuna</t>
  </si>
  <si>
    <t>Canutama</t>
  </si>
  <si>
    <t>Itupiranga</t>
  </si>
  <si>
    <t>Itaituba</t>
  </si>
  <si>
    <t>Ponte Alta do Tocantins</t>
  </si>
  <si>
    <t>Itacajá</t>
  </si>
  <si>
    <t>Canindé</t>
  </si>
  <si>
    <t>São Raimundo das Mangabeiras</t>
  </si>
  <si>
    <t>Luciara</t>
  </si>
  <si>
    <t>Itaipava do Grajaú</t>
  </si>
  <si>
    <t>Manoel Urbano</t>
  </si>
  <si>
    <t>Marajá do Sena</t>
  </si>
  <si>
    <t>Buriticupu</t>
  </si>
  <si>
    <t>Ipixuna do Pará</t>
  </si>
  <si>
    <t>Palmeirante</t>
  </si>
  <si>
    <t>Arapoema</t>
  </si>
  <si>
    <t>Brejo de Areia</t>
  </si>
  <si>
    <t>Açailândia</t>
  </si>
  <si>
    <t>Bernardo Sayão</t>
  </si>
  <si>
    <t>Colinas do Tocantins</t>
  </si>
  <si>
    <t>Bom Jesus do Tocantins</t>
  </si>
  <si>
    <t>Uruará</t>
  </si>
  <si>
    <t>Miranorte</t>
  </si>
  <si>
    <t>Bandeirantes do Tocantins</t>
  </si>
  <si>
    <t>Abel Figueiredo</t>
  </si>
  <si>
    <t>Marabá</t>
  </si>
  <si>
    <t>Itapiratins</t>
  </si>
  <si>
    <t>Tupiratins</t>
  </si>
  <si>
    <t>Pacajá</t>
  </si>
  <si>
    <t>Jenipapo dos Vieiras</t>
  </si>
  <si>
    <t>São Francisco do Brejão</t>
  </si>
  <si>
    <t>São João do Araguaia</t>
  </si>
  <si>
    <t>Aparecida do Rio Negro</t>
  </si>
  <si>
    <t>Colméia</t>
  </si>
  <si>
    <t>São Pedro da Água Branca</t>
  </si>
  <si>
    <t>Lagoa Grande do Maranhão</t>
  </si>
  <si>
    <t>Santa Maria das Barreiras</t>
  </si>
  <si>
    <t>Jaguaruana</t>
  </si>
  <si>
    <t>Brasilândia do Tocantins</t>
  </si>
  <si>
    <t>Cutias</t>
  </si>
  <si>
    <t>Itaporã do Tocantins</t>
  </si>
  <si>
    <t>Pracuúba</t>
  </si>
  <si>
    <t>Curionópolis</t>
  </si>
  <si>
    <t>Mazagão</t>
  </si>
  <si>
    <t>Bujari</t>
  </si>
  <si>
    <t>Sapezal</t>
  </si>
  <si>
    <t>Miracema do Tocantins</t>
  </si>
  <si>
    <t>Tocantínia</t>
  </si>
  <si>
    <t>Santa Rosa do Purus</t>
  </si>
  <si>
    <t>Chupinguaia</t>
  </si>
  <si>
    <t>Santa Fé do Araguaia</t>
  </si>
  <si>
    <t>Nova Olinda</t>
  </si>
  <si>
    <t>Amarante do Maranhão</t>
  </si>
  <si>
    <t>Santana</t>
  </si>
  <si>
    <t>Corumbiara</t>
  </si>
  <si>
    <t>Candeias do Jamari</t>
  </si>
  <si>
    <t>Itapuã do Oeste</t>
  </si>
  <si>
    <t>Cerejeiras</t>
  </si>
  <si>
    <t>Maués</t>
  </si>
  <si>
    <t>Porto Velho</t>
  </si>
  <si>
    <t>Ferreira Gomes</t>
  </si>
  <si>
    <t>Placas</t>
  </si>
  <si>
    <t>Macapá</t>
  </si>
  <si>
    <t>Porto Grande</t>
  </si>
  <si>
    <t>Senador La Rocque</t>
  </si>
  <si>
    <t>Presidente Figueiredo</t>
  </si>
  <si>
    <t>Tartarugalzinho</t>
  </si>
  <si>
    <t>Oiapoque</t>
  </si>
  <si>
    <t>Carlinda</t>
  </si>
  <si>
    <t>Juína</t>
  </si>
  <si>
    <t>Espigão d'Oeste</t>
  </si>
  <si>
    <t>Wanderley</t>
  </si>
  <si>
    <t>Sento Sé</t>
  </si>
  <si>
    <t>Nova Crixás</t>
  </si>
  <si>
    <t>Queimada Nova</t>
  </si>
  <si>
    <t>Bonópolis</t>
  </si>
  <si>
    <t>Curimatá</t>
  </si>
  <si>
    <t>Lagoa do Barro do Piauí</t>
  </si>
  <si>
    <t>São João do Piauí</t>
  </si>
  <si>
    <t>Capitão Gervásio Oliveira</t>
  </si>
  <si>
    <t>Benjamin Constant</t>
  </si>
  <si>
    <t>Carauari</t>
  </si>
  <si>
    <t>Pilão Arcado</t>
  </si>
  <si>
    <t>Campo Alegre do Fidalgo</t>
  </si>
  <si>
    <t>Dom Inocêncio</t>
  </si>
  <si>
    <t>Cotegipe</t>
  </si>
  <si>
    <t>Paraú</t>
  </si>
  <si>
    <t>Triunfo Potiguar</t>
  </si>
  <si>
    <t>Caracaraí</t>
  </si>
  <si>
    <t>São Francisco de Assis do Piauí</t>
  </si>
  <si>
    <t>Santana do Matos</t>
  </si>
  <si>
    <t>Amaturá</t>
  </si>
  <si>
    <t>Pedro Laurentino</t>
  </si>
  <si>
    <t>Aurora do Tocantins</t>
  </si>
  <si>
    <t>Júlio Borges</t>
  </si>
  <si>
    <t>João Costa</t>
  </si>
  <si>
    <t>Poço de José de Moura</t>
  </si>
  <si>
    <t>Novo Planalto</t>
  </si>
  <si>
    <t>Novo Alegre</t>
  </si>
  <si>
    <t>Paulista</t>
  </si>
  <si>
    <t>Lavandeira</t>
  </si>
  <si>
    <t>Augusto Severo</t>
  </si>
  <si>
    <t>Jucurutu</t>
  </si>
  <si>
    <t>Passagem</t>
  </si>
  <si>
    <t>Belém do Brejo do Cruz</t>
  </si>
  <si>
    <t>Brejo do Cruz</t>
  </si>
  <si>
    <t>Mato Grosso</t>
  </si>
  <si>
    <t>São Bentinho</t>
  </si>
  <si>
    <t>Eirunepé</t>
  </si>
  <si>
    <t>Riacho dos Cavalos</t>
  </si>
  <si>
    <t>Pombal</t>
  </si>
  <si>
    <t>Combinado</t>
  </si>
  <si>
    <t>Condado</t>
  </si>
  <si>
    <t>Messias Targino</t>
  </si>
  <si>
    <t>Janduís</t>
  </si>
  <si>
    <t>Catolé do Rocha</t>
  </si>
  <si>
    <t>Bernardino Batista</t>
  </si>
  <si>
    <t>Quixadá</t>
  </si>
  <si>
    <t>Patu</t>
  </si>
  <si>
    <t>Upanema</t>
  </si>
  <si>
    <t>São José de Espinharas</t>
  </si>
  <si>
    <t>Ingá</t>
  </si>
  <si>
    <t>Frei Martinho</t>
  </si>
  <si>
    <t>São José do Seridó</t>
  </si>
  <si>
    <t>Envira</t>
  </si>
  <si>
    <t>João Dias</t>
  </si>
  <si>
    <t>Uiraúna</t>
  </si>
  <si>
    <t>Brejo dos Santos</t>
  </si>
  <si>
    <t>Jericó</t>
  </si>
  <si>
    <t>Taguatinga</t>
  </si>
  <si>
    <t>Almino Afonso</t>
  </si>
  <si>
    <t>Poço Dantas</t>
  </si>
  <si>
    <t>Lagoa</t>
  </si>
  <si>
    <t>Vista Serrana</t>
  </si>
  <si>
    <t>Itaú</t>
  </si>
  <si>
    <t>Rodrigues Alves</t>
  </si>
  <si>
    <t>Frutuoso Gomes</t>
  </si>
  <si>
    <t>Rafael Godeiro</t>
  </si>
  <si>
    <t>Carnaúba dos Dantas</t>
  </si>
  <si>
    <t>Várzea</t>
  </si>
  <si>
    <t>Paraná</t>
  </si>
  <si>
    <t>Tenente Laurentino Cruz</t>
  </si>
  <si>
    <t>Major Sales</t>
  </si>
  <si>
    <t>Antônio Martins</t>
  </si>
  <si>
    <t>Campos Lindos</t>
  </si>
  <si>
    <t>Venha-Ver</t>
  </si>
  <si>
    <t>Lucrécia</t>
  </si>
  <si>
    <t>Alexandria</t>
  </si>
  <si>
    <t>Luís Gomes</t>
  </si>
  <si>
    <t>Santana do Seridó</t>
  </si>
  <si>
    <t>Riacho de Santana</t>
  </si>
  <si>
    <t>Cruzeta</t>
  </si>
  <si>
    <t>Vieirópolis</t>
  </si>
  <si>
    <t>Florânia</t>
  </si>
  <si>
    <t>Macaíba</t>
  </si>
  <si>
    <t>Manicoré</t>
  </si>
  <si>
    <t>São José do Sabugi</t>
  </si>
  <si>
    <t>Rafael Fernandes</t>
  </si>
  <si>
    <t>Martins</t>
  </si>
  <si>
    <t>Marcelino Vieira</t>
  </si>
  <si>
    <t>José da Penha</t>
  </si>
  <si>
    <t>Riacho da Cruz</t>
  </si>
  <si>
    <t>Serrinha dos Pintos</t>
  </si>
  <si>
    <t>Tenente Ananias</t>
  </si>
  <si>
    <t>Coronel João Pessoa</t>
  </si>
  <si>
    <t>Ponte Alta do Bom Jesus</t>
  </si>
  <si>
    <t>Mâncio Lima</t>
  </si>
  <si>
    <t>Água Nova</t>
  </si>
  <si>
    <t>Altamira</t>
  </si>
  <si>
    <t>Francisco Dantas</t>
  </si>
  <si>
    <t>Lastro</t>
  </si>
  <si>
    <t>Taboleiro Grande</t>
  </si>
  <si>
    <t>Pau dos Ferros</t>
  </si>
  <si>
    <t>Umarizal</t>
  </si>
  <si>
    <t>Currais Novos</t>
  </si>
  <si>
    <t>Portalegre</t>
  </si>
  <si>
    <t>Parelhas</t>
  </si>
  <si>
    <t>Serra Negra do Norte</t>
  </si>
  <si>
    <t>Presidente Vargas</t>
  </si>
  <si>
    <t>São Francisco do Oeste</t>
  </si>
  <si>
    <t>Campos Belos</t>
  </si>
  <si>
    <t>Arneiroz</t>
  </si>
  <si>
    <t>Santana do Maranhão</t>
  </si>
  <si>
    <t>Antonina do Norte</t>
  </si>
  <si>
    <t>Aiuaba</t>
  </si>
  <si>
    <t>Socorro do Piauí</t>
  </si>
  <si>
    <t>Olho-d'Água do Borges</t>
  </si>
  <si>
    <t>São Miguel</t>
  </si>
  <si>
    <t>Taipas do Tocantins</t>
  </si>
  <si>
    <t>Guajará</t>
  </si>
  <si>
    <t>Jardim do Seridó</t>
  </si>
  <si>
    <t>Nina Rodrigues</t>
  </si>
  <si>
    <t>Nova Olinda do Maranhão</t>
  </si>
  <si>
    <t>Choró</t>
  </si>
  <si>
    <t>Zé Doca</t>
  </si>
  <si>
    <t>Encanto</t>
  </si>
  <si>
    <t>Saboeiro</t>
  </si>
  <si>
    <t>Cedro</t>
  </si>
  <si>
    <t>Dom Eliseu</t>
  </si>
  <si>
    <t>Araguanã</t>
  </si>
  <si>
    <t>São Vicente Ferrer</t>
  </si>
  <si>
    <t>Conceição do Canindé</t>
  </si>
  <si>
    <t>Bela Vista do Piauí</t>
  </si>
  <si>
    <t>Ibaretama</t>
  </si>
  <si>
    <t>Doutor Severiano</t>
  </si>
  <si>
    <t>Itapecuru Mirim</t>
  </si>
  <si>
    <t>Ererê</t>
  </si>
  <si>
    <t>Tianguá</t>
  </si>
  <si>
    <t>Luís Correia</t>
  </si>
  <si>
    <t>Brejo do Piauí</t>
  </si>
  <si>
    <t>Anajatuba</t>
  </si>
  <si>
    <t>Itinga do Maranhão</t>
  </si>
  <si>
    <t>Nova Russas</t>
  </si>
  <si>
    <t>Arraias</t>
  </si>
  <si>
    <t>Frecheirinha</t>
  </si>
  <si>
    <t>Pacujá</t>
  </si>
  <si>
    <t>Rodolfo Fernandes</t>
  </si>
  <si>
    <t>Guaraciaba do Norte</t>
  </si>
  <si>
    <t>Russas</t>
  </si>
  <si>
    <t>Olinda Nova do Maranhão</t>
  </si>
  <si>
    <t>Ipu</t>
  </si>
  <si>
    <t>Vargem Grande</t>
  </si>
  <si>
    <t>Presidente Sarney</t>
  </si>
  <si>
    <t>Granja</t>
  </si>
  <si>
    <t>Pires Ferreira</t>
  </si>
  <si>
    <t>Pedro do Rosário</t>
  </si>
  <si>
    <t>Governador Newton Bello</t>
  </si>
  <si>
    <t>São João do Carú</t>
  </si>
  <si>
    <t>Mucambo</t>
  </si>
  <si>
    <t>Cristópolis</t>
  </si>
  <si>
    <t>Matinha</t>
  </si>
  <si>
    <t>Conceição do Tocantins</t>
  </si>
  <si>
    <t>Sousa</t>
  </si>
  <si>
    <t>Nova Mamoré</t>
  </si>
  <si>
    <t>Ipueiras</t>
  </si>
  <si>
    <t>Tracuateua</t>
  </si>
  <si>
    <t>Croatá</t>
  </si>
  <si>
    <t>Martinópole</t>
  </si>
  <si>
    <t>Mirante da Serra</t>
  </si>
  <si>
    <t>São João da Fronteira</t>
  </si>
  <si>
    <t>Uruoca</t>
  </si>
  <si>
    <t>Itamarati</t>
  </si>
  <si>
    <t>Senador Sá</t>
  </si>
  <si>
    <t>Severiano Melo</t>
  </si>
  <si>
    <t>Cocalinho</t>
  </si>
  <si>
    <t>Cabeceiras do Piauí</t>
  </si>
  <si>
    <t>Tamboril</t>
  </si>
  <si>
    <t>Alto Alegre do Pindaré</t>
  </si>
  <si>
    <t>Santana do Acaraú</t>
  </si>
  <si>
    <t>Pajeú do Piauí</t>
  </si>
  <si>
    <t>Governador Dix-Sept Rosado</t>
  </si>
  <si>
    <t>Tamboril do Piauí</t>
  </si>
  <si>
    <t>Madalena</t>
  </si>
  <si>
    <t>Monte Alegre de Goiás</t>
  </si>
  <si>
    <t>Penalva</t>
  </si>
  <si>
    <t>Viçosa do Ceará</t>
  </si>
  <si>
    <t>Paes Landim</t>
  </si>
  <si>
    <t>Pinheiro</t>
  </si>
  <si>
    <t>Moraújo</t>
  </si>
  <si>
    <t>Reriutaba</t>
  </si>
  <si>
    <t>Canto do Buriti</t>
  </si>
  <si>
    <t>Monsenhor Tabosa</t>
  </si>
  <si>
    <t>Catunda</t>
  </si>
  <si>
    <t>Itatira</t>
  </si>
  <si>
    <t>Cajari</t>
  </si>
  <si>
    <t>Dirceu Arcoverde</t>
  </si>
  <si>
    <t>Arari</t>
  </si>
  <si>
    <t>Cristalândia do Piauí</t>
  </si>
  <si>
    <t>Buriti dos Lopes</t>
  </si>
  <si>
    <t>Isaías Coelho</t>
  </si>
  <si>
    <t>Cantanhede</t>
  </si>
  <si>
    <t>Tomé-Açu</t>
  </si>
  <si>
    <t>Paratinga</t>
  </si>
  <si>
    <t>Vitória do Mearim</t>
  </si>
  <si>
    <t>Coreaú</t>
  </si>
  <si>
    <t>Pauini</t>
  </si>
  <si>
    <t>Pedra Branca do Amapari</t>
  </si>
  <si>
    <t>Varjota</t>
  </si>
  <si>
    <t>Tarauacá</t>
  </si>
  <si>
    <t>Barroquinha</t>
  </si>
  <si>
    <t>Miranda do Norte</t>
  </si>
  <si>
    <t>Cocal dos Alves</t>
  </si>
  <si>
    <t>Flores do Piauí</t>
  </si>
  <si>
    <t>São Pedro do Piauí</t>
  </si>
  <si>
    <t>Novo Progresso</t>
  </si>
  <si>
    <t>Altos</t>
  </si>
  <si>
    <t>Ibicuitinga</t>
  </si>
  <si>
    <t>Ipaporanga</t>
  </si>
  <si>
    <t>Bom Princípio do Piauí</t>
  </si>
  <si>
    <t>Pindorama do Tocantins</t>
  </si>
  <si>
    <t>São Gonçalo do Piauí</t>
  </si>
  <si>
    <t>Matões do Norte</t>
  </si>
  <si>
    <t>Ribeira do Piauí</t>
  </si>
  <si>
    <t>Ararendá</t>
  </si>
  <si>
    <t>Santo Antônio dos Milagres</t>
  </si>
  <si>
    <t>Massapê</t>
  </si>
  <si>
    <t>Cajueiro da Praia</t>
  </si>
  <si>
    <t>Pirapemas</t>
  </si>
  <si>
    <t>Alcântaras</t>
  </si>
  <si>
    <t>Monção</t>
  </si>
  <si>
    <t>Quixeré</t>
  </si>
  <si>
    <t>Angical do Piauí</t>
  </si>
  <si>
    <t>Domingos Mourão</t>
  </si>
  <si>
    <t>Santa Quitéria</t>
  </si>
  <si>
    <t>Tufilândia</t>
  </si>
  <si>
    <t>Itaueira</t>
  </si>
  <si>
    <t>Rio Grande do Piauí</t>
  </si>
  <si>
    <t>Goiás</t>
  </si>
  <si>
    <t>Cocal</t>
  </si>
  <si>
    <t>Poranga</t>
  </si>
  <si>
    <t>Lábrea</t>
  </si>
  <si>
    <t>Goiatins</t>
  </si>
  <si>
    <t>Santa Tereza do Tocantins</t>
  </si>
  <si>
    <t>Jardim do Mulato</t>
  </si>
  <si>
    <t>Lagoinha do Piauí</t>
  </si>
  <si>
    <t>Amarante</t>
  </si>
  <si>
    <t>São Francisco do Maranhão</t>
  </si>
  <si>
    <t>Hugo Napoleão</t>
  </si>
  <si>
    <t>Olho d'Água do Piauí</t>
  </si>
  <si>
    <t>Mossâmedes</t>
  </si>
  <si>
    <t>Meruoca</t>
  </si>
  <si>
    <t>Cariré</t>
  </si>
  <si>
    <t>Almeirim</t>
  </si>
  <si>
    <t>Pavussu</t>
  </si>
  <si>
    <t>Agricolândia</t>
  </si>
  <si>
    <t>Alta Floresta d'Oeste</t>
  </si>
  <si>
    <t>Altamira do Maranhão</t>
  </si>
  <si>
    <t>Novo Horizonte do Oeste</t>
  </si>
  <si>
    <t>Chaval</t>
  </si>
  <si>
    <t>Santa Luzia d'Oeste</t>
  </si>
  <si>
    <t>Pindaré-Mirim</t>
  </si>
  <si>
    <t>Regeneração</t>
  </si>
  <si>
    <t>Colônia do Gurguéia</t>
  </si>
  <si>
    <t>Buriti de Goiás</t>
  </si>
  <si>
    <t>Sena Madureira</t>
  </si>
  <si>
    <t>Simplício Mendes</t>
  </si>
  <si>
    <t>Igarapé do Meio</t>
  </si>
  <si>
    <t>Baianópolis</t>
  </si>
  <si>
    <t>Barro Duro</t>
  </si>
  <si>
    <t>Sanclerlândia</t>
  </si>
  <si>
    <t>Palmeirais</t>
  </si>
  <si>
    <t>Santa Maria do Tocantins</t>
  </si>
  <si>
    <t>Esperantina</t>
  </si>
  <si>
    <t>Castanheiras</t>
  </si>
  <si>
    <t>São Miguel do Fidalgo</t>
  </si>
  <si>
    <t>Bela Vista do Maranhão</t>
  </si>
  <si>
    <t>Caraúbas do Piauí</t>
  </si>
  <si>
    <t>Coivaras</t>
  </si>
  <si>
    <t>Governador Jorge Teixeira</t>
  </si>
  <si>
    <t>Vitorino Freire</t>
  </si>
  <si>
    <t>Caxingó</t>
  </si>
  <si>
    <t>Passagem Franca do Piauí</t>
  </si>
  <si>
    <t>Piracuruca</t>
  </si>
  <si>
    <t>Paulo Ramos</t>
  </si>
  <si>
    <t>Novo Santo Antônio</t>
  </si>
  <si>
    <t>Groaíras</t>
  </si>
  <si>
    <t>Sobral</t>
  </si>
  <si>
    <t>Paragominas</t>
  </si>
  <si>
    <t>Coronel José Dias</t>
  </si>
  <si>
    <t>Rondon do Pará</t>
  </si>
  <si>
    <t>Campinas do Piauí</t>
  </si>
  <si>
    <t>Vila Nova dos Martírios</t>
  </si>
  <si>
    <t>Conceição do Lago-Açu</t>
  </si>
  <si>
    <t>Satubinha</t>
  </si>
  <si>
    <t>Guadalupe</t>
  </si>
  <si>
    <t>Batalha</t>
  </si>
  <si>
    <t>Pio XII</t>
  </si>
  <si>
    <t>Formosa do Rio Preto</t>
  </si>
  <si>
    <t>Eliseu Martins</t>
  </si>
  <si>
    <t>Barra do Ouro</t>
  </si>
  <si>
    <t>Buriti do Tocantins</t>
  </si>
  <si>
    <t>Cujubim</t>
  </si>
  <si>
    <t>Porto Alegre do Piauí</t>
  </si>
  <si>
    <t>Miguel Leão</t>
  </si>
  <si>
    <t>Boa Hora</t>
  </si>
  <si>
    <t>São Sebastião do Tocantins</t>
  </si>
  <si>
    <t>Ceres</t>
  </si>
  <si>
    <t>Rialma</t>
  </si>
  <si>
    <t>Carmo do Rio Verde</t>
  </si>
  <si>
    <t>Rondolândia</t>
  </si>
  <si>
    <t>Boqueirão do Piauí</t>
  </si>
  <si>
    <t>Rio Branco</t>
  </si>
  <si>
    <t>Tasso Fragoso</t>
  </si>
  <si>
    <t>São José do Peixe</t>
  </si>
  <si>
    <t>Lago da Pedra</t>
  </si>
  <si>
    <t>Rianápolis</t>
  </si>
  <si>
    <t>Barras</t>
  </si>
  <si>
    <t>Rio Sono</t>
  </si>
  <si>
    <t>Limoeiro do Norte</t>
  </si>
  <si>
    <t>Carrasco Bonito</t>
  </si>
  <si>
    <t>Pugmil</t>
  </si>
  <si>
    <t>Lago Verde</t>
  </si>
  <si>
    <t>Pau d'Arco do Piauí</t>
  </si>
  <si>
    <t>São Domingos do Araguaia</t>
  </si>
  <si>
    <t>União</t>
  </si>
  <si>
    <t>Cidelândia</t>
  </si>
  <si>
    <t>Chapada da Natividade</t>
  </si>
  <si>
    <t>Caseara</t>
  </si>
  <si>
    <t>Olho d'Água das Cunhãs</t>
  </si>
  <si>
    <t>Araguatins</t>
  </si>
  <si>
    <t>Malta</t>
  </si>
  <si>
    <t>Forquilha</t>
  </si>
  <si>
    <t>São Félix do Araguaia</t>
  </si>
  <si>
    <t>Santa Rita do Trivelato</t>
  </si>
  <si>
    <t>Monsenhor Gil</t>
  </si>
  <si>
    <t>Plácido de Castro</t>
  </si>
  <si>
    <t>Senador Guiomard</t>
  </si>
  <si>
    <t>Sucupira do Riachão</t>
  </si>
  <si>
    <t>Barra do Corda</t>
  </si>
  <si>
    <t>Assis Brasil</t>
  </si>
  <si>
    <t>Santana do Araguaia</t>
  </si>
  <si>
    <t>Lago do Junco</t>
  </si>
  <si>
    <t>Nova Iorque</t>
  </si>
  <si>
    <t>Bom Lugar</t>
  </si>
  <si>
    <t>São Mateus do Maranhão</t>
  </si>
  <si>
    <t>Fernando Falcão</t>
  </si>
  <si>
    <t>Tabuleiro do Norte</t>
  </si>
  <si>
    <t>São João dos Patos</t>
  </si>
  <si>
    <t>Sampaio</t>
  </si>
  <si>
    <t>Lago dos Rodrigues</t>
  </si>
  <si>
    <t>Beneditinos</t>
  </si>
  <si>
    <t>Cristalândia</t>
  </si>
  <si>
    <t>Capixaba</t>
  </si>
  <si>
    <t>Brejo Grande do Araguaia</t>
  </si>
  <si>
    <t>Porto Acre</t>
  </si>
  <si>
    <t>Palestina do Pará</t>
  </si>
  <si>
    <t>Rio dos Bois</t>
  </si>
  <si>
    <t>Curralinhos</t>
  </si>
  <si>
    <t>Rolim de Moura</t>
  </si>
  <si>
    <t>Pastos Bons</t>
  </si>
  <si>
    <t>Paranaíta</t>
  </si>
  <si>
    <t>Coroatá</t>
  </si>
  <si>
    <t>Augustinópolis</t>
  </si>
  <si>
    <t>Talismã</t>
  </si>
  <si>
    <t>Poção de Pedras</t>
  </si>
  <si>
    <t>Parnarama</t>
  </si>
  <si>
    <t>Guaraí</t>
  </si>
  <si>
    <t>Praia Norte</t>
  </si>
  <si>
    <t>São Raimundo do Doca Bezerra</t>
  </si>
  <si>
    <t>Pedro II</t>
  </si>
  <si>
    <t>São Roberto</t>
  </si>
  <si>
    <t>Fortaleza do Tabocão</t>
  </si>
  <si>
    <t>São Felipe d'Oeste</t>
  </si>
  <si>
    <t>Muricilândia</t>
  </si>
  <si>
    <t>Sucupira do Norte</t>
  </si>
  <si>
    <t>Brasileira</t>
  </si>
  <si>
    <t>Lagoa do Mato</t>
  </si>
  <si>
    <t>Nova Nazaré</t>
  </si>
  <si>
    <t>Alto Alegre do Maranhão</t>
  </si>
  <si>
    <t>Grajaú</t>
  </si>
  <si>
    <t>Nova Canaã do Norte</t>
  </si>
  <si>
    <t>Buritirana</t>
  </si>
  <si>
    <t>Igarapé Grande</t>
  </si>
  <si>
    <t>Nova Rosalândia</t>
  </si>
  <si>
    <t>Timbiras</t>
  </si>
  <si>
    <t>Capitão de Campos</t>
  </si>
  <si>
    <t>Bacabal</t>
  </si>
  <si>
    <t>Serra Nova Dourada</t>
  </si>
  <si>
    <t>Colniza</t>
  </si>
  <si>
    <t>Paraibano</t>
  </si>
  <si>
    <t>Lagoa do Piauí</t>
  </si>
  <si>
    <t>São Luís Gonzaga do Maranhão</t>
  </si>
  <si>
    <t>Ribeirão Cascalheira</t>
  </si>
  <si>
    <t>Demerval Lobão</t>
  </si>
  <si>
    <t>Bom Jesus do Araguaia</t>
  </si>
  <si>
    <t>Bernardo do Mearim</t>
  </si>
  <si>
    <t>Monte Negro</t>
  </si>
  <si>
    <t>Pedreiras</t>
  </si>
  <si>
    <t>Trizidela do Vale</t>
  </si>
  <si>
    <t>Peritoró</t>
  </si>
  <si>
    <t>João Lisboa</t>
  </si>
  <si>
    <t>Codó</t>
  </si>
  <si>
    <t>Marcelândia</t>
  </si>
  <si>
    <t>Aragominas</t>
  </si>
  <si>
    <t>Axixá do Tocantins</t>
  </si>
  <si>
    <t>Sítio Novo</t>
  </si>
  <si>
    <t>São Lourenço do Piauí</t>
  </si>
  <si>
    <t>Acrelândia</t>
  </si>
  <si>
    <t>Cacaulândia</t>
  </si>
  <si>
    <t>São Bento do Tocantins</t>
  </si>
  <si>
    <t>Lima Campos</t>
  </si>
  <si>
    <t>Passagem Franca</t>
  </si>
  <si>
    <t>Eldorado dos Carajás</t>
  </si>
  <si>
    <t>Canabrava do Norte</t>
  </si>
  <si>
    <t>Nova Santa Helena</t>
  </si>
  <si>
    <t>Esperantinópolis</t>
  </si>
  <si>
    <t>Alto Boa Vista</t>
  </si>
  <si>
    <t>Piçarra</t>
  </si>
  <si>
    <t>Matões</t>
  </si>
  <si>
    <t>Formosa da Serra Negra</t>
  </si>
  <si>
    <t>Colíder</t>
  </si>
  <si>
    <t>Aldeias Altas</t>
  </si>
  <si>
    <t>Primavera de Rondônia</t>
  </si>
  <si>
    <t>Monte do Carmo</t>
  </si>
  <si>
    <t>Joselândia</t>
  </si>
  <si>
    <t>Montes Altos</t>
  </si>
  <si>
    <t>Imperatriz</t>
  </si>
  <si>
    <t>Itaúba</t>
  </si>
  <si>
    <t>Porto Alegre do Norte</t>
  </si>
  <si>
    <t>São Miguel do Tocantins</t>
  </si>
  <si>
    <t>Capinzal do Norte</t>
  </si>
  <si>
    <t>Brasnorte</t>
  </si>
  <si>
    <t>Confresa</t>
  </si>
  <si>
    <t>Boca do Acre</t>
  </si>
  <si>
    <t>Sítio Novo do Tocantins</t>
  </si>
  <si>
    <t>Oliveira de Fátima</t>
  </si>
  <si>
    <t>Tabaporã</t>
  </si>
  <si>
    <t>União do Sul</t>
  </si>
  <si>
    <t>Governador Edison Lobão</t>
  </si>
  <si>
    <t>São José dos Basílios</t>
  </si>
  <si>
    <t>Nova Marilândia</t>
  </si>
  <si>
    <t>Santa Rosa do Tocantins</t>
  </si>
  <si>
    <t>Fortaleza dos Nogueiras</t>
  </si>
  <si>
    <t>Itaguatins</t>
  </si>
  <si>
    <t>Santo Antônio dos Lopes</t>
  </si>
  <si>
    <t>Caxias</t>
  </si>
  <si>
    <t>Apuí</t>
  </si>
  <si>
    <t>Balsas</t>
  </si>
  <si>
    <t>São Geraldo do Araguaia</t>
  </si>
  <si>
    <t>Xambioá</t>
  </si>
  <si>
    <t>Silvanópolis</t>
  </si>
  <si>
    <t>Maurilândia do Tocantins</t>
  </si>
  <si>
    <t>Ministro Andreazza</t>
  </si>
  <si>
    <t>São Valério da Natividade</t>
  </si>
  <si>
    <t>Buriti Bravo</t>
  </si>
  <si>
    <t>Ribamar Fiquene</t>
  </si>
  <si>
    <t>Terra Nova do Norte</t>
  </si>
  <si>
    <t>Carolina</t>
  </si>
  <si>
    <t>Dom Pedro</t>
  </si>
  <si>
    <t>Brasiléia</t>
  </si>
  <si>
    <t>Tuntum</t>
  </si>
  <si>
    <t>São João do Soter</t>
  </si>
  <si>
    <t>Nova Guarita</t>
  </si>
  <si>
    <t>Epitaciolândia</t>
  </si>
  <si>
    <t>Governador Archer</t>
  </si>
  <si>
    <t>Timon</t>
  </si>
  <si>
    <t>Querência</t>
  </si>
  <si>
    <t>Santa Rita do Tocantins</t>
  </si>
  <si>
    <t>Nova Colinas</t>
  </si>
  <si>
    <t>Nova Mutum</t>
  </si>
  <si>
    <t>Gaúcha do Norte</t>
  </si>
  <si>
    <t>Pimenta Bueno</t>
  </si>
  <si>
    <t>Castanheira</t>
  </si>
  <si>
    <t>Cláudia</t>
  </si>
  <si>
    <t>Nazária</t>
  </si>
  <si>
    <t>Teresina</t>
  </si>
  <si>
    <t>Rio Crespo</t>
  </si>
  <si>
    <t>Campestre do Maranhão</t>
  </si>
  <si>
    <t>Lajeado Novo</t>
  </si>
  <si>
    <t>Porto Nacional</t>
  </si>
  <si>
    <t>Carmolândia</t>
  </si>
  <si>
    <t>Gonçalves Dias</t>
  </si>
  <si>
    <t>São Pedro dos Crentes</t>
  </si>
  <si>
    <t>Luzinópolis</t>
  </si>
  <si>
    <t>Lucas do Rio Verde</t>
  </si>
  <si>
    <t>Senador Alexandre Costa</t>
  </si>
  <si>
    <t>Peixe</t>
  </si>
  <si>
    <t>Feira Nova do Maranhão</t>
  </si>
  <si>
    <t>Governador Luiz Rocha</t>
  </si>
  <si>
    <t>Tupirama</t>
  </si>
  <si>
    <t>Santa Filomena do Maranhão</t>
  </si>
  <si>
    <t>Jaú do Tocantins</t>
  </si>
  <si>
    <t>Jatobá</t>
  </si>
  <si>
    <t>Xapuri</t>
  </si>
  <si>
    <t>Pentecoste</t>
  </si>
  <si>
    <t>Porto Franco</t>
  </si>
  <si>
    <t>Tocantinópolis</t>
  </si>
  <si>
    <t>Governador Eugênio Barros</t>
  </si>
  <si>
    <t>Ariquemes</t>
  </si>
  <si>
    <t>Brejinho de Nazaré</t>
  </si>
  <si>
    <t>Fortuna</t>
  </si>
  <si>
    <t>Piraquê</t>
  </si>
  <si>
    <t>Pedro Afonso</t>
  </si>
  <si>
    <t>Babaçulândia</t>
  </si>
  <si>
    <t>Campinápolis</t>
  </si>
  <si>
    <t>Graça Aranha</t>
  </si>
  <si>
    <t>Ananás</t>
  </si>
  <si>
    <t>São Raimundo Nonato</t>
  </si>
  <si>
    <t>Sorriso</t>
  </si>
  <si>
    <t>Feliz Natal</t>
  </si>
  <si>
    <t>Riachinho</t>
  </si>
  <si>
    <t>Peixoto de Azevedo</t>
  </si>
  <si>
    <t>Novo Mundo</t>
  </si>
  <si>
    <t>Angico</t>
  </si>
  <si>
    <t>Crixás do Tocantins</t>
  </si>
  <si>
    <t>Araguaína</t>
  </si>
  <si>
    <t>Alto Parnaíba</t>
  </si>
  <si>
    <t>Santa Filomena</t>
  </si>
  <si>
    <t>São Domingos do Maranhão</t>
  </si>
  <si>
    <t>Matupá</t>
  </si>
  <si>
    <t>Cacoal</t>
  </si>
  <si>
    <t>Santa Carmem</t>
  </si>
  <si>
    <t>Dueré</t>
  </si>
  <si>
    <t>Guarantã do Norte</t>
  </si>
  <si>
    <t>Atalaia do Norte</t>
  </si>
  <si>
    <t>Santa Terezinha do Tocantins</t>
  </si>
  <si>
    <t>Wanderlândia</t>
  </si>
  <si>
    <t>Figueirópolis</t>
  </si>
  <si>
    <t>Juruena</t>
  </si>
  <si>
    <t>São Salvador do Tocantins</t>
  </si>
  <si>
    <t>Sinop</t>
  </si>
  <si>
    <t>Aliança do Tocantins</t>
  </si>
  <si>
    <t>Darcinópolis</t>
  </si>
  <si>
    <t>Sucupira</t>
  </si>
  <si>
    <t>Nova Monte Verde</t>
  </si>
  <si>
    <t>Estreito</t>
  </si>
  <si>
    <t>Aguiarnópolis</t>
  </si>
  <si>
    <t>Cotriguaçu</t>
  </si>
  <si>
    <t>Apiacás</t>
  </si>
  <si>
    <t>Juara</t>
  </si>
  <si>
    <t>Nova Bandeirantes</t>
  </si>
  <si>
    <t>Palmeiras do Tocantins</t>
  </si>
  <si>
    <t>Cariri do Tocantins</t>
  </si>
  <si>
    <t>Paranã</t>
  </si>
  <si>
    <t>Satuba</t>
  </si>
  <si>
    <t>Pirambu</t>
  </si>
  <si>
    <t>Juripiranga</t>
  </si>
  <si>
    <t>Camutanga</t>
  </si>
  <si>
    <t>Conde</t>
  </si>
  <si>
    <t>Caaporã</t>
  </si>
  <si>
    <t>João Pessoa</t>
  </si>
  <si>
    <t>Itaquitinga</t>
  </si>
  <si>
    <t>Aliança</t>
  </si>
  <si>
    <t>Buenos Aires</t>
  </si>
  <si>
    <t>Olinda</t>
  </si>
  <si>
    <t>Roteiro</t>
  </si>
  <si>
    <t>Jaqueira</t>
  </si>
  <si>
    <t>Santo Amaro do Maranhão</t>
  </si>
  <si>
    <t>Vicência</t>
  </si>
  <si>
    <t>Bayeux</t>
  </si>
  <si>
    <t>Piaçabuçu</t>
  </si>
  <si>
    <t>Lagoa do Carro</t>
  </si>
  <si>
    <t>Itabaiana</t>
  </si>
  <si>
    <t>Malhada dos Bois</t>
  </si>
  <si>
    <t>Escada</t>
  </si>
  <si>
    <t>Maraú</t>
  </si>
  <si>
    <t>Santa Brígida</t>
  </si>
  <si>
    <t>Caravelas</t>
  </si>
  <si>
    <t>Senador Elói de Souza</t>
  </si>
  <si>
    <t>Alhandra</t>
  </si>
  <si>
    <t>Jequiá da Praia</t>
  </si>
  <si>
    <t>Lagoa Salgada</t>
  </si>
  <si>
    <t>Mata de São João</t>
  </si>
  <si>
    <t>Amparo de São Francisco</t>
  </si>
  <si>
    <t>Lagoa do Itaenga</t>
  </si>
  <si>
    <t>São Miguel de Taipu</t>
  </si>
  <si>
    <t>Itacaré</t>
  </si>
  <si>
    <t>Ielmo Marinho</t>
  </si>
  <si>
    <t>Rio Formoso</t>
  </si>
  <si>
    <t>Cruz do Espírito Santo</t>
  </si>
  <si>
    <t>Lagoa de Pedras</t>
  </si>
  <si>
    <t>Aracaju</t>
  </si>
  <si>
    <t>Barra dos Coqueiros</t>
  </si>
  <si>
    <t>Januário Cicco</t>
  </si>
  <si>
    <t>Muribeca</t>
  </si>
  <si>
    <t>Feliz Deserto</t>
  </si>
  <si>
    <t>Japoatã</t>
  </si>
  <si>
    <t>Macaparana</t>
  </si>
  <si>
    <t>Porto Real do Colégio</t>
  </si>
  <si>
    <t>Alto Rio Novo</t>
  </si>
  <si>
    <t>Moreno</t>
  </si>
  <si>
    <t>Glória do Goitá</t>
  </si>
  <si>
    <t>Brejo Grande</t>
  </si>
  <si>
    <t>Sobrado</t>
  </si>
  <si>
    <t>São José dos Ramos</t>
  </si>
  <si>
    <t>Camamu</t>
  </si>
  <si>
    <t>Jordânia</t>
  </si>
  <si>
    <t>Itarantim</t>
  </si>
  <si>
    <t>Potiraguá</t>
  </si>
  <si>
    <t>Machados</t>
  </si>
  <si>
    <t>Riachão do Poço</t>
  </si>
  <si>
    <t>São Paulo do Potengi</t>
  </si>
  <si>
    <t>Salgado de São Félix</t>
  </si>
  <si>
    <t>Sirinhaém</t>
  </si>
  <si>
    <t>Goiana</t>
  </si>
  <si>
    <t>Sapé</t>
  </si>
  <si>
    <t>Baixo Guandu</t>
  </si>
  <si>
    <t>Dias d'Ávila</t>
  </si>
  <si>
    <t>Paudalho</t>
  </si>
  <si>
    <t>Camaragibe</t>
  </si>
  <si>
    <t>São Lourenço da Mata</t>
  </si>
  <si>
    <t>Morro Cabeça no Tempo</t>
  </si>
  <si>
    <t>Coruripe</t>
  </si>
  <si>
    <t>Madre de Deus</t>
  </si>
  <si>
    <t>Jundiá</t>
  </si>
  <si>
    <t>Itueta</t>
  </si>
  <si>
    <t>Porto Calvo</t>
  </si>
  <si>
    <t>Aimorés</t>
  </si>
  <si>
    <t>Cedro de São João</t>
  </si>
  <si>
    <t>Oeiras do Pará</t>
  </si>
  <si>
    <t>Porto de Pedras</t>
  </si>
  <si>
    <t>Pedro Velho</t>
  </si>
  <si>
    <t>São Sebastião da Boa Vista</t>
  </si>
  <si>
    <t>Nazaré da Mata</t>
  </si>
  <si>
    <t>Igrapiúna</t>
  </si>
  <si>
    <t>Palmares</t>
  </si>
  <si>
    <t>Japaratinga</t>
  </si>
  <si>
    <t>Caldas Brandão</t>
  </si>
  <si>
    <t>Natuba</t>
  </si>
  <si>
    <t>Itaparica</t>
  </si>
  <si>
    <t>Maiquinique</t>
  </si>
  <si>
    <t>Acauã</t>
  </si>
  <si>
    <t>Espírito Santo</t>
  </si>
  <si>
    <t>Itapissuma</t>
  </si>
  <si>
    <t>Mari</t>
  </si>
  <si>
    <t>Santo Antônio</t>
  </si>
  <si>
    <t>Mogeiro</t>
  </si>
  <si>
    <t>Salinas da Margarida</t>
  </si>
  <si>
    <t>Barra de Santo Antônio</t>
  </si>
  <si>
    <t>Coqueiro Seco</t>
  </si>
  <si>
    <t>Lagoa de Velhos</t>
  </si>
  <si>
    <t>Barcelona</t>
  </si>
  <si>
    <t>Montanhas</t>
  </si>
  <si>
    <t>São Miguel do Araguaia</t>
  </si>
  <si>
    <t>Jaguaripe</t>
  </si>
  <si>
    <t>Nova Venécia</t>
  </si>
  <si>
    <t>Telha</t>
  </si>
  <si>
    <t>Pedrão</t>
  </si>
  <si>
    <t>Bandeira</t>
  </si>
  <si>
    <t>Orocó</t>
  </si>
  <si>
    <t>Catende</t>
  </si>
  <si>
    <t>Arapiraca</t>
  </si>
  <si>
    <t>Belém de Maria</t>
  </si>
  <si>
    <t>Paripueira</t>
  </si>
  <si>
    <t>Gurinhém</t>
  </si>
  <si>
    <t>Saubara</t>
  </si>
  <si>
    <t>Ilha das Flores</t>
  </si>
  <si>
    <t>Paulistana</t>
  </si>
  <si>
    <t>Urandi</t>
  </si>
  <si>
    <t>Pindaí</t>
  </si>
  <si>
    <t>Maragogipe</t>
  </si>
  <si>
    <t>Cortês</t>
  </si>
  <si>
    <t>Itapipoca</t>
  </si>
  <si>
    <t>São Francisco do Conde</t>
  </si>
  <si>
    <t>Governador Mangabeira</t>
  </si>
  <si>
    <t>Curralinho</t>
  </si>
  <si>
    <t>Jacobina do Piauí</t>
  </si>
  <si>
    <t>Sebastião Laranjeiras</t>
  </si>
  <si>
    <t>Santo Amaro</t>
  </si>
  <si>
    <t>São Luís do Quitunde</t>
  </si>
  <si>
    <t>Maceió</t>
  </si>
  <si>
    <t>Cachoeira</t>
  </si>
  <si>
    <t>São Félix</t>
  </si>
  <si>
    <t>Terra Santa</t>
  </si>
  <si>
    <t>Candiba</t>
  </si>
  <si>
    <t>Salvador</t>
  </si>
  <si>
    <t>Piancó</t>
  </si>
  <si>
    <t>Tapauá</t>
  </si>
  <si>
    <t>Ouricuri</t>
  </si>
  <si>
    <t>Igaracy</t>
  </si>
  <si>
    <t>Araguaçu</t>
  </si>
  <si>
    <t>Araçagi</t>
  </si>
  <si>
    <t>Nhamundá</t>
  </si>
  <si>
    <t>Faro</t>
  </si>
  <si>
    <t>São Brás</t>
  </si>
  <si>
    <t>Conceição</t>
  </si>
  <si>
    <t>Firmino Alves</t>
  </si>
  <si>
    <t>Novo Aripuanã</t>
  </si>
  <si>
    <t>Cacimba de Areia</t>
  </si>
  <si>
    <t>Itororó</t>
  </si>
  <si>
    <t>Itabaianinha</t>
  </si>
  <si>
    <t>Pirpirituba</t>
  </si>
  <si>
    <t>Guanambi</t>
  </si>
  <si>
    <t>Água Azul do Norte</t>
  </si>
  <si>
    <t>São João do Sabugi</t>
  </si>
  <si>
    <t>Jardim de Piranhas</t>
  </si>
  <si>
    <t>Icó</t>
  </si>
  <si>
    <t>Muritiba</t>
  </si>
  <si>
    <t>Borba</t>
  </si>
  <si>
    <t>Itapetinga</t>
  </si>
  <si>
    <t>Propriá</t>
  </si>
  <si>
    <t>Almenara</t>
  </si>
  <si>
    <t>Aguiar</t>
  </si>
  <si>
    <t>São Mamede</t>
  </si>
  <si>
    <t>Campo Redondo</t>
  </si>
  <si>
    <t>Orós</t>
  </si>
  <si>
    <t>Parintins</t>
  </si>
  <si>
    <t>Lajes Pintadas</t>
  </si>
  <si>
    <t>Mossoró</t>
  </si>
  <si>
    <t>Lençóis</t>
  </si>
  <si>
    <t>Quixabá</t>
  </si>
  <si>
    <t>Ibirapitanga</t>
  </si>
  <si>
    <t>Cuitegi</t>
  </si>
  <si>
    <t>Itaberaba</t>
  </si>
  <si>
    <t>Assaré</t>
  </si>
  <si>
    <t>Tarrafas</t>
  </si>
  <si>
    <t>Gongogi</t>
  </si>
  <si>
    <t>Jucás</t>
  </si>
  <si>
    <t>Santana do Cariri</t>
  </si>
  <si>
    <t>Urupá</t>
  </si>
  <si>
    <t>Timbaúba dos Batistas</t>
  </si>
  <si>
    <t>Monte Santo do Tocantins</t>
  </si>
  <si>
    <t>São Gonçalo do Gurguéia</t>
  </si>
  <si>
    <t>Pio IX</t>
  </si>
  <si>
    <t>Várzea Alegre</t>
  </si>
  <si>
    <t>Seringueiras</t>
  </si>
  <si>
    <t>Altaneira</t>
  </si>
  <si>
    <t>Cabaceiras</t>
  </si>
  <si>
    <t>Abaiara</t>
  </si>
  <si>
    <t>Coxim</t>
  </si>
  <si>
    <t>Gavião</t>
  </si>
  <si>
    <t>Capim Grosso</t>
  </si>
  <si>
    <t>Guarabira</t>
  </si>
  <si>
    <t>Quixabeira</t>
  </si>
  <si>
    <t>Pedra Branca</t>
  </si>
  <si>
    <t>São José do Jacuípe</t>
  </si>
  <si>
    <t>Barreiras do Piauí</t>
  </si>
  <si>
    <t>Santaluz</t>
  </si>
  <si>
    <t>Itapitanga</t>
  </si>
  <si>
    <t>Catarina</t>
  </si>
  <si>
    <t>Juazeiro</t>
  </si>
  <si>
    <t>Petrolina</t>
  </si>
  <si>
    <t>Parnaíba</t>
  </si>
  <si>
    <t>Farias Brito</t>
  </si>
  <si>
    <t>Divinópolis do Tocantins</t>
  </si>
  <si>
    <t>Dário Meira</t>
  </si>
  <si>
    <t>Rurópolis</t>
  </si>
  <si>
    <t>Serra do Navio</t>
  </si>
  <si>
    <t>Barreirinha</t>
  </si>
  <si>
    <t>Abreulândia</t>
  </si>
  <si>
    <t>Cansanção</t>
  </si>
  <si>
    <t>Pereiro</t>
  </si>
  <si>
    <t>Gilbués</t>
  </si>
  <si>
    <t>Itiúba</t>
  </si>
  <si>
    <t>Boa Viagem</t>
  </si>
  <si>
    <t>Caririaçu</t>
  </si>
  <si>
    <t>Barrolândia</t>
  </si>
  <si>
    <t>Surubim</t>
  </si>
  <si>
    <t>Xinguara</t>
  </si>
  <si>
    <t>Chapada de Areia</t>
  </si>
  <si>
    <t>Glória</t>
  </si>
  <si>
    <t>Ourilândia do Norte</t>
  </si>
  <si>
    <t>Chapada dos Guimarães</t>
  </si>
  <si>
    <t>Bannach</t>
  </si>
  <si>
    <t>Benedito Leite</t>
  </si>
  <si>
    <t>Uruçuí</t>
  </si>
  <si>
    <t>Nordestina</t>
  </si>
  <si>
    <t>Andorinha</t>
  </si>
  <si>
    <t>Ubatã</t>
  </si>
  <si>
    <t>Uauá</t>
  </si>
  <si>
    <t>Monte Alegre do Piauí</t>
  </si>
  <si>
    <t>Rio Maria</t>
  </si>
  <si>
    <t>Acopiara</t>
  </si>
  <si>
    <t>Paraíso do Tocantins</t>
  </si>
  <si>
    <t>Marianópolis do Tocantins</t>
  </si>
  <si>
    <t>Tucumã</t>
  </si>
  <si>
    <t>Paulo Afonso</t>
  </si>
  <si>
    <t>Ipixuna</t>
  </si>
  <si>
    <t>Missão Velha</t>
  </si>
  <si>
    <t>Cabrobó</t>
  </si>
  <si>
    <t>Solonópole</t>
  </si>
  <si>
    <t>Parecis</t>
  </si>
  <si>
    <t>Quijingue</t>
  </si>
  <si>
    <t>São Sebastião do Uatumã</t>
  </si>
  <si>
    <t>Dois Irmãos do Tocantins</t>
  </si>
  <si>
    <t>Redenção do Gurguéia</t>
  </si>
  <si>
    <t>Sandolândia</t>
  </si>
  <si>
    <t>Banabuiú</t>
  </si>
  <si>
    <t>Campos Sales</t>
  </si>
  <si>
    <t>Floresta do Araguaia</t>
  </si>
  <si>
    <t>Pau d'Arco</t>
  </si>
  <si>
    <t>Vila Rica</t>
  </si>
  <si>
    <t>Cumaru do Norte</t>
  </si>
  <si>
    <t>Juarina</t>
  </si>
  <si>
    <t>Crato</t>
  </si>
  <si>
    <t>Conceição do Araguaia</t>
  </si>
  <si>
    <t>Urucará</t>
  </si>
  <si>
    <t>Itagibá</t>
  </si>
  <si>
    <t>Araguacema</t>
  </si>
  <si>
    <t>Mata Roma</t>
  </si>
  <si>
    <t>Goianorte</t>
  </si>
  <si>
    <t>Marechal Thaumaturgo</t>
  </si>
  <si>
    <t>Quiterianópolis</t>
  </si>
  <si>
    <t>Pequizeiro</t>
  </si>
  <si>
    <t>Barão de Grajaú</t>
  </si>
  <si>
    <t>Floriano</t>
  </si>
  <si>
    <t>Quixeramobim</t>
  </si>
  <si>
    <t>Vale de São Domingos</t>
  </si>
  <si>
    <t>Palmeira do Piauí</t>
  </si>
  <si>
    <t>Boa Vista do Ramos</t>
  </si>
  <si>
    <t>Crateús</t>
  </si>
  <si>
    <t>Serra Talhada</t>
  </si>
  <si>
    <t>Juazeiro do Norte</t>
  </si>
  <si>
    <t>Jauru</t>
  </si>
  <si>
    <t>Jaru</t>
  </si>
  <si>
    <t>Santa Cruz do Xingu</t>
  </si>
  <si>
    <t>Anapurus</t>
  </si>
  <si>
    <t>Jaguaretama</t>
  </si>
  <si>
    <t>Tangará da Serra</t>
  </si>
  <si>
    <t>Barra do Rocha</t>
  </si>
  <si>
    <t>Pimenteiras do Oeste</t>
  </si>
  <si>
    <t>Pium</t>
  </si>
  <si>
    <t>Jerumenha</t>
  </si>
  <si>
    <t>Quixelô</t>
  </si>
  <si>
    <t>Potiretama</t>
  </si>
  <si>
    <t>Patos</t>
  </si>
  <si>
    <t>Lagoa da Confusão</t>
  </si>
  <si>
    <t>Sebastião Leal</t>
  </si>
  <si>
    <t>São Francisco do Guaporé</t>
  </si>
  <si>
    <t>Ipiaú</t>
  </si>
  <si>
    <t>Feira de Santana</t>
  </si>
  <si>
    <t>Tauá</t>
  </si>
  <si>
    <t>Novo Oriente</t>
  </si>
  <si>
    <t>São José do Xingu</t>
  </si>
  <si>
    <t>Cristino Castro</t>
  </si>
  <si>
    <t>Antônio Almeida</t>
  </si>
  <si>
    <t>Marcos Parente</t>
  </si>
  <si>
    <t>Chapadinha</t>
  </si>
  <si>
    <t>Barbalha</t>
  </si>
  <si>
    <t>Landri Sales</t>
  </si>
  <si>
    <t>Jaguaribara</t>
  </si>
  <si>
    <t>Felipe Guerra</t>
  </si>
  <si>
    <t>Buriti</t>
  </si>
  <si>
    <t>Jordão</t>
  </si>
  <si>
    <t>Jaguaribe</t>
  </si>
  <si>
    <t>Palmeira dos Índios</t>
  </si>
  <si>
    <t>Alto Santo</t>
  </si>
  <si>
    <t>Afonso Cunha</t>
  </si>
  <si>
    <t>São João do Jaguaribe</t>
  </si>
  <si>
    <t>Morada Nova</t>
  </si>
  <si>
    <t>Apodi</t>
  </si>
  <si>
    <t>Assunção do Piauí</t>
  </si>
  <si>
    <t>Buriti dos Montes</t>
  </si>
  <si>
    <t>Juscimeira</t>
  </si>
  <si>
    <t>São Félix do Xingu</t>
  </si>
  <si>
    <t>São Miguel do Tapuio</t>
  </si>
  <si>
    <t>Casa Nova</t>
  </si>
  <si>
    <t>Pancas</t>
  </si>
  <si>
    <t>Humberto de Campos</t>
  </si>
  <si>
    <t>Primeira Cruz</t>
  </si>
  <si>
    <t>Macururé</t>
  </si>
  <si>
    <t>Vitória de Santo Antão</t>
  </si>
  <si>
    <t>Amaraji</t>
  </si>
  <si>
    <t>Xexéu</t>
  </si>
  <si>
    <t>Chorrochó</t>
  </si>
  <si>
    <t>Craíbas</t>
  </si>
  <si>
    <t>Água Preta</t>
  </si>
  <si>
    <t>Olho d'Água Grande</t>
  </si>
  <si>
    <t>Passira</t>
  </si>
  <si>
    <t>Gameleira</t>
  </si>
  <si>
    <t>Ribeirão</t>
  </si>
  <si>
    <t>Belo Monte</t>
  </si>
  <si>
    <t>Barreiros</t>
  </si>
  <si>
    <t>Penedo</t>
  </si>
  <si>
    <t>Santana do São Francisco</t>
  </si>
  <si>
    <t>Pedras de Fogo</t>
  </si>
  <si>
    <t>Lagarto</t>
  </si>
  <si>
    <t>Aquidabã</t>
  </si>
  <si>
    <t>Neópolis</t>
  </si>
  <si>
    <t>Porto da Folha</t>
  </si>
  <si>
    <t>Maruim</t>
  </si>
  <si>
    <t>Rosário do Catete</t>
  </si>
  <si>
    <t>Tracunhaém</t>
  </si>
  <si>
    <t>Marcionílio Souza</t>
  </si>
  <si>
    <t>Cabo de Santo Agostinho</t>
  </si>
  <si>
    <t>Olho d'Água do Casado</t>
  </si>
  <si>
    <t>Malhador</t>
  </si>
  <si>
    <t>Ibiquera</t>
  </si>
  <si>
    <t>Divina Pastora</t>
  </si>
  <si>
    <t>Jaboatão dos Guararapes</t>
  </si>
  <si>
    <t>Nossa Senhora do Socorro</t>
  </si>
  <si>
    <t>Igarassu</t>
  </si>
  <si>
    <t>Canhoba</t>
  </si>
  <si>
    <t>Carmópolis</t>
  </si>
  <si>
    <t>General Maynard</t>
  </si>
  <si>
    <t>São Miguel do Aleixo</t>
  </si>
  <si>
    <t>Rio Preto da Eva</t>
  </si>
  <si>
    <t>Boquim</t>
  </si>
  <si>
    <t>Santo Amaro das Brotas</t>
  </si>
  <si>
    <t>Siriri</t>
  </si>
  <si>
    <t>Pedra Mole</t>
  </si>
  <si>
    <t>Boa Vista do Tupim</t>
  </si>
  <si>
    <t>Itabi</t>
  </si>
  <si>
    <t>José de Freitas</t>
  </si>
  <si>
    <t>Indiaroba</t>
  </si>
  <si>
    <t>Monte Azul</t>
  </si>
  <si>
    <t>Novo Lino</t>
  </si>
  <si>
    <t>Bodocó</t>
  </si>
  <si>
    <t>Abaré</t>
  </si>
  <si>
    <t>Gararu</t>
  </si>
  <si>
    <t>Colônia Leopoldina</t>
  </si>
  <si>
    <t>Jacuípe</t>
  </si>
  <si>
    <t>Iranduba</t>
  </si>
  <si>
    <t>Messias</t>
  </si>
  <si>
    <t>Rio Largo</t>
  </si>
  <si>
    <t>Laranjeiras</t>
  </si>
  <si>
    <t>Japaratuba</t>
  </si>
  <si>
    <t>Mutunópolis</t>
  </si>
  <si>
    <t>Igreja Nova</t>
  </si>
  <si>
    <t>Belágua</t>
  </si>
  <si>
    <t>Mamonas</t>
  </si>
  <si>
    <t>Catuti</t>
  </si>
  <si>
    <t>Flexeiras</t>
  </si>
  <si>
    <t>São Cristóvão</t>
  </si>
  <si>
    <t>Matriz de Camaragibe</t>
  </si>
  <si>
    <t>São Miguel dos Campos</t>
  </si>
  <si>
    <t>Jaramataia</t>
  </si>
  <si>
    <t>Ibiara</t>
  </si>
  <si>
    <t>Santa Luzia do Itanhy</t>
  </si>
  <si>
    <t>Diamante</t>
  </si>
  <si>
    <t>Urbano Santos</t>
  </si>
  <si>
    <t>Canindé de São Francisco</t>
  </si>
  <si>
    <t>Olho d'Água</t>
  </si>
  <si>
    <t>Carnaíba</t>
  </si>
  <si>
    <t>Curral Novo do Piauí</t>
  </si>
  <si>
    <t>Boa Ventura</t>
  </si>
  <si>
    <t>Porangatu</t>
  </si>
  <si>
    <t>Araçuaí</t>
  </si>
  <si>
    <t>Betânia do Piauí</t>
  </si>
  <si>
    <t>Murici</t>
  </si>
  <si>
    <t>Santana dos Garrotes</t>
  </si>
  <si>
    <t>Emas</t>
  </si>
  <si>
    <t>Jacaré dos Homens</t>
  </si>
  <si>
    <t>Monteirópolis</t>
  </si>
  <si>
    <t>São José da Tapera</t>
  </si>
  <si>
    <t>Catingueira</t>
  </si>
  <si>
    <t>Boca da Mata</t>
  </si>
  <si>
    <t>São Miguel dos Milagres</t>
  </si>
  <si>
    <t>Maragogi</t>
  </si>
  <si>
    <t>São José de Piranhas</t>
  </si>
  <si>
    <t>Girau do Ponciano</t>
  </si>
  <si>
    <t>São Miguel do Guaporé</t>
  </si>
  <si>
    <t>Traipu</t>
  </si>
  <si>
    <t>Carrapateira</t>
  </si>
  <si>
    <t>Estância</t>
  </si>
  <si>
    <t>Simões</t>
  </si>
  <si>
    <t>União dos Palmares</t>
  </si>
  <si>
    <t>Caridade do Piauí</t>
  </si>
  <si>
    <t>Branquinha</t>
  </si>
  <si>
    <t>Nazarezinho</t>
  </si>
  <si>
    <t>Itaporanga d'Ajuda</t>
  </si>
  <si>
    <t>Cajazeirinhas</t>
  </si>
  <si>
    <t>São José da Lagoa Tapada</t>
  </si>
  <si>
    <t>Aripuanã</t>
  </si>
  <si>
    <t>Espinosa</t>
  </si>
  <si>
    <t>Jacareacanga</t>
  </si>
  <si>
    <t>Brejolândia</t>
  </si>
  <si>
    <t>Pai Pedro</t>
  </si>
  <si>
    <t>Cachoeira dos Índios</t>
  </si>
  <si>
    <t>Gameleiras</t>
  </si>
  <si>
    <t>Ipaumirim</t>
  </si>
  <si>
    <t>São Benedito do Rio Preto</t>
  </si>
  <si>
    <t>Santana de Mangueira</t>
  </si>
  <si>
    <t>Cajazeiras</t>
  </si>
  <si>
    <t>Coremas</t>
  </si>
  <si>
    <t>Baixio</t>
  </si>
  <si>
    <t>Vertente do Lério</t>
  </si>
  <si>
    <t>São João do Rio do Peixe</t>
  </si>
  <si>
    <t>Marcolândia</t>
  </si>
  <si>
    <t>Curral Velho</t>
  </si>
  <si>
    <t>Umari</t>
  </si>
  <si>
    <t>Nova Porteirinha</t>
  </si>
  <si>
    <t>São Domingos de Pombal</t>
  </si>
  <si>
    <t>São José do Brejo do Cruz</t>
  </si>
  <si>
    <t>Francisco Macedo</t>
  </si>
  <si>
    <t>Ipirá</t>
  </si>
  <si>
    <t>Belém do Piauí</t>
  </si>
  <si>
    <t>Santa Tereza de Goiás</t>
  </si>
  <si>
    <t>Ribeira do Amparo</t>
  </si>
  <si>
    <t>Palmas de Monte Alto</t>
  </si>
  <si>
    <t>Padre Marcos</t>
  </si>
  <si>
    <t>Alegrete do Piauí</t>
  </si>
  <si>
    <t>Patos do Piauí</t>
  </si>
  <si>
    <t>Nova Soure</t>
  </si>
  <si>
    <t>Caldeirão Grande do Piauí</t>
  </si>
  <si>
    <t>Muquém de São Francisco</t>
  </si>
  <si>
    <t>Ulianópolis</t>
  </si>
  <si>
    <t>Janaúba</t>
  </si>
  <si>
    <t>São Julião</t>
  </si>
  <si>
    <t>Lavras da Mangabeira</t>
  </si>
  <si>
    <t>São José do Belmonte</t>
  </si>
  <si>
    <t>Massapê do Piauí</t>
  </si>
  <si>
    <t>Cipó</t>
  </si>
  <si>
    <t>Alagoinha do Piauí</t>
  </si>
  <si>
    <t>Vila Nova do Piauí</t>
  </si>
  <si>
    <t>Jati</t>
  </si>
  <si>
    <t>Alto Alegre dos Parecis</t>
  </si>
  <si>
    <t>Monsenhor Hipólito</t>
  </si>
  <si>
    <t>Exu</t>
  </si>
  <si>
    <t>Jaicós</t>
  </si>
  <si>
    <t>Teixeirópolis</t>
  </si>
  <si>
    <t>Campo Grande do Piauí</t>
  </si>
  <si>
    <t>Ipueira</t>
  </si>
  <si>
    <t>Francisco Santos</t>
  </si>
  <si>
    <t>Parnaguá</t>
  </si>
  <si>
    <t>Brejo Santo</t>
  </si>
  <si>
    <t>Mozarlândia</t>
  </si>
  <si>
    <t>Alvorada d'Oeste</t>
  </si>
  <si>
    <t>Juru</t>
  </si>
  <si>
    <t>Fronteiras</t>
  </si>
  <si>
    <t>Porteiras</t>
  </si>
  <si>
    <t>Betânia</t>
  </si>
  <si>
    <t>Quixaba</t>
  </si>
  <si>
    <t>Marizópolis</t>
  </si>
  <si>
    <t>Ouro Preto do Oeste</t>
  </si>
  <si>
    <t>Granjeiro</t>
  </si>
  <si>
    <t>Cariús</t>
  </si>
  <si>
    <t>Riacho Frio</t>
  </si>
  <si>
    <t>Serra Dourada</t>
  </si>
  <si>
    <t>Tabocas do Brejo Velho</t>
  </si>
  <si>
    <t>Nova Brasilândia d'Oeste</t>
  </si>
  <si>
    <t>Santo Antônio de Lisboa</t>
  </si>
  <si>
    <t>Monte Santo</t>
  </si>
  <si>
    <t>Machadinho d'Oeste</t>
  </si>
  <si>
    <t>São João da Canabrava</t>
  </si>
  <si>
    <t>São Luis do Piauí</t>
  </si>
  <si>
    <t>Corrente</t>
  </si>
  <si>
    <t>Lagoa Alegre</t>
  </si>
  <si>
    <t>Vera Mendes</t>
  </si>
  <si>
    <t>Santa Maria da Vitória</t>
  </si>
  <si>
    <t>São Félix do Coribe</t>
  </si>
  <si>
    <t>Campo Novo de Rondônia</t>
  </si>
  <si>
    <t>Vale do Paraíso</t>
  </si>
  <si>
    <t>São Fernando</t>
  </si>
  <si>
    <t>Nova Cruz</t>
  </si>
  <si>
    <t>Geminiano</t>
  </si>
  <si>
    <t>Itainópolis</t>
  </si>
  <si>
    <t>Alta Floresta</t>
  </si>
  <si>
    <t>Serra do Ramalho</t>
  </si>
  <si>
    <t>Iuiú</t>
  </si>
  <si>
    <t>Trombas</t>
  </si>
  <si>
    <t>São José do Piauí</t>
  </si>
  <si>
    <t>Itapirapuã</t>
  </si>
  <si>
    <t>Alvorada do Gurguéia</t>
  </si>
  <si>
    <t>Sussuapara</t>
  </si>
  <si>
    <t>Sítio do Mato</t>
  </si>
  <si>
    <t>Solidão</t>
  </si>
  <si>
    <t>Nossa Senhora de Nazaré</t>
  </si>
  <si>
    <t>Picos</t>
  </si>
  <si>
    <t>Santana do Piauí</t>
  </si>
  <si>
    <t>Manoel Emídio</t>
  </si>
  <si>
    <t>Campo Maior</t>
  </si>
  <si>
    <t>Guaribas</t>
  </si>
  <si>
    <t>Pão de Açúcar</t>
  </si>
  <si>
    <t>Verdelândia</t>
  </si>
  <si>
    <t>Aroeiras do Itaim</t>
  </si>
  <si>
    <t>Pimenteiras</t>
  </si>
  <si>
    <t>Lagoa do Sítio</t>
  </si>
  <si>
    <t>Vale do Anari</t>
  </si>
  <si>
    <t>Caicó</t>
  </si>
  <si>
    <t>Porto Murtinho</t>
  </si>
  <si>
    <t>Pontes e Lacerda</t>
  </si>
  <si>
    <t>Bertolínia</t>
  </si>
  <si>
    <t>São Bernardo</t>
  </si>
  <si>
    <t>Canavieira</t>
  </si>
  <si>
    <t>Novo Brasil</t>
  </si>
  <si>
    <t>Valença do Piauí</t>
  </si>
  <si>
    <t>Jaíba</t>
  </si>
  <si>
    <t>Theobroma</t>
  </si>
  <si>
    <t>Xique-Xique</t>
  </si>
  <si>
    <t>Mansidão</t>
  </si>
  <si>
    <t>Figueirópolis d'Oeste</t>
  </si>
  <si>
    <t>Fartura do Piauí</t>
  </si>
  <si>
    <t>Córrego do Ouro</t>
  </si>
  <si>
    <t>Murici dos Portelas</t>
  </si>
  <si>
    <t>Paranaíba</t>
  </si>
  <si>
    <t>Bom Jesus da Lapa</t>
  </si>
  <si>
    <t>Malhada</t>
  </si>
  <si>
    <t>Carinhanha</t>
  </si>
  <si>
    <t>Fazenda Nova</t>
  </si>
  <si>
    <t>Inhuma</t>
  </si>
  <si>
    <t>Dom Expedito Lopes</t>
  </si>
  <si>
    <t>Indiavaí</t>
  </si>
  <si>
    <t>Floresta do Piauí</t>
  </si>
  <si>
    <t>Goianésia</t>
  </si>
  <si>
    <t>Brejo</t>
  </si>
  <si>
    <t>Morpará</t>
  </si>
  <si>
    <t>Miguel Alves</t>
  </si>
  <si>
    <t>Aroazes</t>
  </si>
  <si>
    <t>Duque Bacelar</t>
  </si>
  <si>
    <t>Reserva do Cabaçal</t>
  </si>
  <si>
    <t>Santa Luz</t>
  </si>
  <si>
    <t>Ibotirama</t>
  </si>
  <si>
    <t>Coelho Neto</t>
  </si>
  <si>
    <t>Alto Longá</t>
  </si>
  <si>
    <t>Campo Alegre de Lourdes</t>
  </si>
  <si>
    <t>Santa Quitéria do Maranhão</t>
  </si>
  <si>
    <t>Israelândia</t>
  </si>
  <si>
    <t>São Félix do Piauí</t>
  </si>
  <si>
    <t>Jaupaci</t>
  </si>
  <si>
    <t>Francisco Ayres</t>
  </si>
  <si>
    <t>São Miguel da Baixa Grande</t>
  </si>
  <si>
    <t>Ipiranga do Piauí</t>
  </si>
  <si>
    <t>Milagres do Maranhão</t>
  </si>
  <si>
    <t>Arinos</t>
  </si>
  <si>
    <t>Prata do Piauí</t>
  </si>
  <si>
    <t>Porto Esperidião</t>
  </si>
  <si>
    <t>Elesbão Veloso</t>
  </si>
  <si>
    <t>Angical</t>
  </si>
  <si>
    <t>Paquetá</t>
  </si>
  <si>
    <t>Madeiro</t>
  </si>
  <si>
    <t>Cocal de Telha</t>
  </si>
  <si>
    <t>Cuiabá</t>
  </si>
  <si>
    <t>Magalhães de Almeida</t>
  </si>
  <si>
    <t>Santo Inácio do Piauí</t>
  </si>
  <si>
    <t>Luzilândia</t>
  </si>
  <si>
    <t>Barra</t>
  </si>
  <si>
    <t>Novo Oriente do Piauí</t>
  </si>
  <si>
    <t>Araputanga</t>
  </si>
  <si>
    <t>Buritirama</t>
  </si>
  <si>
    <t>Porto</t>
  </si>
  <si>
    <t>Glória d'Oeste</t>
  </si>
  <si>
    <t>Joca Marques</t>
  </si>
  <si>
    <t>Nossa Senhora dos Remédios</t>
  </si>
  <si>
    <t>Santa Cruz do Piauí</t>
  </si>
  <si>
    <t>Francinópolis</t>
  </si>
  <si>
    <t>Ibimirim</t>
  </si>
  <si>
    <t>Santa Cruz dos Milagres</t>
  </si>
  <si>
    <t>Nobres</t>
  </si>
  <si>
    <t>Itacarambi</t>
  </si>
  <si>
    <t>Joaquim Pires</t>
  </si>
  <si>
    <t>Nazaré do Piauí</t>
  </si>
  <si>
    <t>Santa Fé de Goiás</t>
  </si>
  <si>
    <t>Sebastião Barros</t>
  </si>
  <si>
    <t>Campo Largo do Piauí</t>
  </si>
  <si>
    <t>São Francisco do Piauí</t>
  </si>
  <si>
    <t>Arraial</t>
  </si>
  <si>
    <t>Jatobá do Piauí</t>
  </si>
  <si>
    <t>Diorama</t>
  </si>
  <si>
    <t>Várzea Grande</t>
  </si>
  <si>
    <t>Lagoa de São Francisco</t>
  </si>
  <si>
    <t>Barão de Melgaço</t>
  </si>
  <si>
    <t>Milton Brandão</t>
  </si>
  <si>
    <t>São José dos Quatro Marcos</t>
  </si>
  <si>
    <t>Mirassol d'Oeste</t>
  </si>
  <si>
    <t>Montividiu do Norte</t>
  </si>
  <si>
    <t>Cáceres</t>
  </si>
  <si>
    <t>Matias Olímpio</t>
  </si>
  <si>
    <t>Alto Paraguai</t>
  </si>
  <si>
    <t>Salto do Céu</t>
  </si>
  <si>
    <t>Diamantino</t>
  </si>
  <si>
    <t>Wall Ferraz</t>
  </si>
  <si>
    <t>Barra d'Alcântara</t>
  </si>
  <si>
    <t>Rosário Oeste</t>
  </si>
  <si>
    <t>Acorizal</t>
  </si>
  <si>
    <t>Currais</t>
  </si>
  <si>
    <t>Montes Claros de Goiás</t>
  </si>
  <si>
    <t>Santo Afonso</t>
  </si>
  <si>
    <t>Riachão das Neves</t>
  </si>
  <si>
    <t>Nortelândia</t>
  </si>
  <si>
    <t>Aruanã</t>
  </si>
  <si>
    <t>Lambari d'Oeste</t>
  </si>
  <si>
    <t>Conquista d'Oeste</t>
  </si>
  <si>
    <t>São João da Serra</t>
  </si>
  <si>
    <t>Arenápolis</t>
  </si>
  <si>
    <t>Sigefredo Pacheco</t>
  </si>
  <si>
    <t>São João do Arraial</t>
  </si>
  <si>
    <t>Denise</t>
  </si>
  <si>
    <t>Morro do Chapéu do Piauí</t>
  </si>
  <si>
    <t>Novo Horizonte do Norte</t>
  </si>
  <si>
    <t>Curvelândia</t>
  </si>
  <si>
    <t>Britânia</t>
  </si>
  <si>
    <t>Piripiri</t>
  </si>
  <si>
    <t>Várzea Branca</t>
  </si>
  <si>
    <t>Poconé</t>
  </si>
  <si>
    <t>Jangada</t>
  </si>
  <si>
    <t>Tanque do Piauí</t>
  </si>
  <si>
    <t>Anísio de Abreu</t>
  </si>
  <si>
    <t>São João da Varjota</t>
  </si>
  <si>
    <t>São Braz do Piauí</t>
  </si>
  <si>
    <t>Itaíba</t>
  </si>
  <si>
    <t>Nova Lacerda</t>
  </si>
  <si>
    <t>Cajazeiras do Piauí</t>
  </si>
  <si>
    <t>Bonfim do Piauí</t>
  </si>
  <si>
    <t>Colônia do Piauí</t>
  </si>
  <si>
    <t>Palmeirópolis</t>
  </si>
  <si>
    <t>Nossa Senhora do Livramento</t>
  </si>
  <si>
    <t>Bom Jardim de Goiás</t>
  </si>
  <si>
    <t>Juazeiro do Piauí</t>
  </si>
  <si>
    <t>Guiratinga</t>
  </si>
  <si>
    <t>Nova Maringá</t>
  </si>
  <si>
    <t>Miranda</t>
  </si>
  <si>
    <t>Vera</t>
  </si>
  <si>
    <t>Costa Marques</t>
  </si>
  <si>
    <t>Nova Glória</t>
  </si>
  <si>
    <t>São José do Povo</t>
  </si>
  <si>
    <t>Araguaiana</t>
  </si>
  <si>
    <t>Santa Rosa do Piauí</t>
  </si>
  <si>
    <t>Aragarças</t>
  </si>
  <si>
    <t>Barra do Garças</t>
  </si>
  <si>
    <t>Santo Antônio do Leverger</t>
  </si>
  <si>
    <t>Vila Bela da Santíssima Trindade</t>
  </si>
  <si>
    <t>Baliza</t>
  </si>
  <si>
    <t>Torixoréu</t>
  </si>
  <si>
    <t>Santa Rita de Cássia</t>
  </si>
  <si>
    <t>Barra do Bugres</t>
  </si>
  <si>
    <t>Barreiras</t>
  </si>
  <si>
    <t>Rondonópolis</t>
  </si>
  <si>
    <t>Pontal do Araguaia</t>
  </si>
  <si>
    <t>Oeiras</t>
  </si>
  <si>
    <t>Formoso do Araguaia</t>
  </si>
  <si>
    <t>Castelo do Piauí</t>
  </si>
  <si>
    <t>Novo São Joaquim</t>
  </si>
  <si>
    <t>Pedro Gomes</t>
  </si>
  <si>
    <t>Nova Ubiratã</t>
  </si>
  <si>
    <t>São José do Rio Claro</t>
  </si>
  <si>
    <t>Poxoréo</t>
  </si>
  <si>
    <t>Porto Estrela</t>
  </si>
  <si>
    <t>Nova Xavantina</t>
  </si>
  <si>
    <t>Gurupi</t>
  </si>
  <si>
    <t>ZB</t>
  </si>
  <si>
    <t>Endereço:</t>
  </si>
  <si>
    <t>Empresa:</t>
  </si>
  <si>
    <t xml:space="preserve">Nome </t>
  </si>
  <si>
    <t>Atividade</t>
  </si>
  <si>
    <t>Modificável de acordo com o projeto</t>
  </si>
  <si>
    <t>Referência</t>
  </si>
  <si>
    <t>Real</t>
  </si>
  <si>
    <t>Fator de ajuste de potência (FAP)</t>
  </si>
  <si>
    <t>Horas de Ocupação</t>
  </si>
  <si>
    <t>Número de dias</t>
  </si>
  <si>
    <t>Método do Edifício completo</t>
  </si>
  <si>
    <t>Método das atividades do edifício</t>
  </si>
  <si>
    <t>Consumo (kWh/ano)</t>
  </si>
  <si>
    <t>Densidade de Potência de Iluminação Real (DPI real)
[W/m²]</t>
  </si>
  <si>
    <t>Sala 1</t>
  </si>
  <si>
    <t>Escala</t>
  </si>
  <si>
    <t>Iluminação Natural (simulação)</t>
  </si>
  <si>
    <t>Sala 2</t>
  </si>
  <si>
    <t xml:space="preserve">Controle sensível à luz natural - por passos ou dimerizável </t>
  </si>
  <si>
    <t>Controle com sensor de ocupação dimerizável com desligamento automático</t>
  </si>
  <si>
    <t>Controle dimerizável com programação e desligamento automático</t>
  </si>
  <si>
    <t>Sem ajuste de potência</t>
  </si>
  <si>
    <t>Fator de ajuste de
potência (FAP)</t>
  </si>
  <si>
    <t>Tipo de controle</t>
  </si>
  <si>
    <t>Integração com Iluminação Natural (%)</t>
  </si>
  <si>
    <t>Função do edifício</t>
  </si>
  <si>
    <t>Academia</t>
  </si>
  <si>
    <t>Biblioteca</t>
  </si>
  <si>
    <t>Bombeiros</t>
  </si>
  <si>
    <t>Centro de convenções</t>
  </si>
  <si>
    <t>Cinema</t>
  </si>
  <si>
    <t>Comércio</t>
  </si>
  <si>
    <t>Correios</t>
  </si>
  <si>
    <t>Venda e locação de veículos</t>
  </si>
  <si>
    <t>Escola/universidade</t>
  </si>
  <si>
    <t>Escritório</t>
  </si>
  <si>
    <t>Estádio de esportes</t>
  </si>
  <si>
    <t>Garagem – edifício garagem</t>
  </si>
  <si>
    <t>Ginásio</t>
  </si>
  <si>
    <t>Hospedagem, dormitório</t>
  </si>
  <si>
    <t>Hospital</t>
  </si>
  <si>
    <t>Hotel</t>
  </si>
  <si>
    <t>Igreja/templo</t>
  </si>
  <si>
    <t>Restaurante</t>
  </si>
  <si>
    <t>Restaurante: bar/lazer</t>
  </si>
  <si>
    <t>Museu</t>
  </si>
  <si>
    <t>Oficina</t>
  </si>
  <si>
    <t>Penitenciária</t>
  </si>
  <si>
    <t>Posto de saúde/clínica</t>
  </si>
  <si>
    <t>Posto policial</t>
  </si>
  <si>
    <t>Prefeitura – Instituição governamental</t>
  </si>
  <si>
    <t>Teatro</t>
  </si>
  <si>
    <t>Transportes</t>
  </si>
  <si>
    <t>Tribunal</t>
  </si>
  <si>
    <t>Restaurante: fast-food</t>
  </si>
  <si>
    <r>
      <t>DPI</t>
    </r>
    <r>
      <rPr>
        <b/>
        <vertAlign val="subscript"/>
        <sz val="11"/>
        <color theme="1"/>
        <rFont val="Calibri"/>
        <family val="2"/>
      </rPr>
      <t>L</t>
    </r>
    <r>
      <rPr>
        <b/>
        <sz val="11"/>
        <color theme="1"/>
        <rFont val="Calibri"/>
        <family val="2"/>
      </rPr>
      <t xml:space="preserve"> A (W/m²)</t>
    </r>
  </si>
  <si>
    <r>
      <t>DPI</t>
    </r>
    <r>
      <rPr>
        <b/>
        <vertAlign val="subscript"/>
        <sz val="11"/>
        <color theme="1"/>
        <rFont val="Calibri"/>
        <family val="2"/>
      </rPr>
      <t>L</t>
    </r>
    <r>
      <rPr>
        <b/>
        <sz val="11"/>
        <color theme="1"/>
        <rFont val="Calibri"/>
        <family val="2"/>
      </rPr>
      <t xml:space="preserve"> D (W/m²)</t>
    </r>
  </si>
  <si>
    <t>Ambientes/Atividades</t>
  </si>
  <si>
    <t>Armazém, atacado</t>
  </si>
  <si>
    <t>Material pequeno/leve</t>
  </si>
  <si>
    <t>7,45</t>
  </si>
  <si>
    <t>16,32</t>
  </si>
  <si>
    <t>Material médio/volumoso</t>
  </si>
  <si>
    <t>3,80</t>
  </si>
  <si>
    <t>8,00</t>
  </si>
  <si>
    <t>Átrio - por metro de altura</t>
  </si>
  <si>
    <t>até 12,20 m de altura</t>
  </si>
  <si>
    <t>0,10 W/m</t>
  </si>
  <si>
    <t>0,48 W/m</t>
  </si>
  <si>
    <t xml:space="preserve">acima de 12,20 m de altura </t>
  </si>
  <si>
    <t>(4,30 W/m² somado à parcela ao lado)</t>
  </si>
  <si>
    <t>0,07 W/m</t>
  </si>
  <si>
    <t>0,32 W/m</t>
  </si>
  <si>
    <t>Auditórios e Anfiteatros</t>
  </si>
  <si>
    <t>Auditório</t>
  </si>
  <si>
    <t>11,50</t>
  </si>
  <si>
    <t>13,60</t>
  </si>
  <si>
    <t>14,08</t>
  </si>
  <si>
    <t>12,25</t>
  </si>
  <si>
    <t>14,97</t>
  </si>
  <si>
    <t>13,59</t>
  </si>
  <si>
    <t>21,85</t>
  </si>
  <si>
    <t>41,92</t>
  </si>
  <si>
    <t>Banco/escritório - área de atividades bancárias</t>
  </si>
  <si>
    <t>10,00</t>
  </si>
  <si>
    <t>23,84</t>
  </si>
  <si>
    <t>Banheiros</t>
  </si>
  <si>
    <t>9,15</t>
  </si>
  <si>
    <t>13,73</t>
  </si>
  <si>
    <t>Área de arquivamento</t>
  </si>
  <si>
    <t>6,00</t>
  </si>
  <si>
    <t>12,48</t>
  </si>
  <si>
    <t>Área de leitura</t>
  </si>
  <si>
    <t>8,85</t>
  </si>
  <si>
    <t>16,00</t>
  </si>
  <si>
    <t>Área de estantes</t>
  </si>
  <si>
    <t>12,90</t>
  </si>
  <si>
    <t>29,44</t>
  </si>
  <si>
    <t>Casa de máquinas</t>
  </si>
  <si>
    <t>4,65</t>
  </si>
  <si>
    <t>9,60</t>
  </si>
  <si>
    <t xml:space="preserve">Centro de convenções </t>
  </si>
  <si>
    <t>9,50</t>
  </si>
  <si>
    <t>24,96</t>
  </si>
  <si>
    <t xml:space="preserve">Circulação </t>
  </si>
  <si>
    <t>7,10</t>
  </si>
  <si>
    <t>11,36</t>
  </si>
  <si>
    <t>Área de vendas</t>
  </si>
  <si>
    <t>13,15</t>
  </si>
  <si>
    <t>28,96</t>
  </si>
  <si>
    <t>Provador</t>
  </si>
  <si>
    <t>5,40</t>
  </si>
  <si>
    <t>Cozinhas</t>
  </si>
  <si>
    <t>11,40</t>
  </si>
  <si>
    <t>17,12</t>
  </si>
  <si>
    <t>Depósitos</t>
  </si>
  <si>
    <t>4,95</t>
  </si>
  <si>
    <t>Dormitórios – alojamentos</t>
  </si>
  <si>
    <t>6,65</t>
  </si>
  <si>
    <t>10,47</t>
  </si>
  <si>
    <t>Escadas</t>
  </si>
  <si>
    <t>6,25</t>
  </si>
  <si>
    <t>11,84</t>
  </si>
  <si>
    <t>19,04</t>
  </si>
  <si>
    <t>8,70</t>
  </si>
  <si>
    <t>16,80</t>
  </si>
  <si>
    <t>Garagem</t>
  </si>
  <si>
    <t>1,50</t>
  </si>
  <si>
    <t>3,20</t>
  </si>
  <si>
    <t>Ginásio/ Academia</t>
  </si>
  <si>
    <t>Área de ginástica</t>
  </si>
  <si>
    <t>Arquibancada</t>
  </si>
  <si>
    <t>7,00</t>
  </si>
  <si>
    <t>13,00</t>
  </si>
  <si>
    <t>Esportes de ringue</t>
  </si>
  <si>
    <t>26,40</t>
  </si>
  <si>
    <t>46,08</t>
  </si>
  <si>
    <t>12,15</t>
  </si>
  <si>
    <t>18,85</t>
  </si>
  <si>
    <t>18,30</t>
  </si>
  <si>
    <t>28,37</t>
  </si>
  <si>
    <t>21,10</t>
  </si>
  <si>
    <t>33,12</t>
  </si>
  <si>
    <t>26,60</t>
  </si>
  <si>
    <t>51,84</t>
  </si>
  <si>
    <t>Hall de entrada  - vestíbulo</t>
  </si>
  <si>
    <t>Elevador</t>
  </si>
  <si>
    <t>8,32</t>
  </si>
  <si>
    <t>Cinemas</t>
  </si>
  <si>
    <t>4,85</t>
  </si>
  <si>
    <t>12,80</t>
  </si>
  <si>
    <t>Salas de espetáculos</t>
  </si>
  <si>
    <t>20,50</t>
  </si>
  <si>
    <t>10,80</t>
  </si>
  <si>
    <t>12,07</t>
  </si>
  <si>
    <t>Circulação</t>
  </si>
  <si>
    <t>9,90</t>
  </si>
  <si>
    <t>15,36</t>
  </si>
  <si>
    <t>Emergência</t>
  </si>
  <si>
    <t>18,10</t>
  </si>
  <si>
    <t>38,88</t>
  </si>
  <si>
    <t>Enfermaria</t>
  </si>
  <si>
    <t>10,75</t>
  </si>
  <si>
    <t>15,20</t>
  </si>
  <si>
    <t>Exames simples</t>
  </si>
  <si>
    <t>14,45</t>
  </si>
  <si>
    <t>22,85</t>
  </si>
  <si>
    <t>Exames/tratamento</t>
  </si>
  <si>
    <t>28,64</t>
  </si>
  <si>
    <t>Farmácia</t>
  </si>
  <si>
    <t>14,40</t>
  </si>
  <si>
    <t>19,68</t>
  </si>
  <si>
    <t>Fisioterapia</t>
  </si>
  <si>
    <t>9,05</t>
  </si>
  <si>
    <t>15,68</t>
  </si>
  <si>
    <t>Sala de espera, estar</t>
  </si>
  <si>
    <t>8,40</t>
  </si>
  <si>
    <t>18,40</t>
  </si>
  <si>
    <t>Recuperação</t>
  </si>
  <si>
    <t>11,10</t>
  </si>
  <si>
    <t>19,84</t>
  </si>
  <si>
    <t>Sala de enfermeiros</t>
  </si>
  <si>
    <t>9,40</t>
  </si>
  <si>
    <t>15,04</t>
  </si>
  <si>
    <t>Sala de operação</t>
  </si>
  <si>
    <t>23,35</t>
  </si>
  <si>
    <t>32,48</t>
  </si>
  <si>
    <t>Quarto de pacientes</t>
  </si>
  <si>
    <t>10,72</t>
  </si>
  <si>
    <t>Suprimentos médicos</t>
  </si>
  <si>
    <t>5,80</t>
  </si>
  <si>
    <t>21,92</t>
  </si>
  <si>
    <t>Igreja/ Templo</t>
  </si>
  <si>
    <t>Assentos</t>
  </si>
  <si>
    <t>16,50</t>
  </si>
  <si>
    <t>Altar, coro</t>
  </si>
  <si>
    <t>Sala de comunhão – nave</t>
  </si>
  <si>
    <t>5,90</t>
  </si>
  <si>
    <t>11,04</t>
  </si>
  <si>
    <t>Laboratórios</t>
  </si>
  <si>
    <t>para salas de aula</t>
  </si>
  <si>
    <t>médicos e pesquisa</t>
  </si>
  <si>
    <t>15,60</t>
  </si>
  <si>
    <t>31,20</t>
  </si>
  <si>
    <t>Lavanderia</t>
  </si>
  <si>
    <t>10,40</t>
  </si>
  <si>
    <t>Museus</t>
  </si>
  <si>
    <t>Restauração</t>
  </si>
  <si>
    <t>17,60</t>
  </si>
  <si>
    <t>Sala de exibição</t>
  </si>
  <si>
    <t>18,08</t>
  </si>
  <si>
    <t>Oficina mecânica</t>
  </si>
  <si>
    <t>7,05</t>
  </si>
  <si>
    <t>Oficina – seminário, cursos</t>
  </si>
  <si>
    <t>27,36</t>
  </si>
  <si>
    <t xml:space="preserve">Quartos de hotel </t>
  </si>
  <si>
    <t>8,30</t>
  </si>
  <si>
    <t>Refeitório</t>
  </si>
  <si>
    <t>6,80</t>
  </si>
  <si>
    <t>7,65</t>
  </si>
  <si>
    <t>11,20</t>
  </si>
  <si>
    <t>10,35</t>
  </si>
  <si>
    <t>20,66</t>
  </si>
  <si>
    <t>Sala de Aula, treinamento</t>
  </si>
  <si>
    <t>Sala de espera, convivência</t>
  </si>
  <si>
    <t>7,55</t>
  </si>
  <si>
    <t>Sala de reuniões, conferência, multiuso</t>
  </si>
  <si>
    <t>Vestiário</t>
  </si>
  <si>
    <t>5,15</t>
  </si>
  <si>
    <t>12,96</t>
  </si>
  <si>
    <t>Área de bagagem</t>
  </si>
  <si>
    <t>12,00</t>
  </si>
  <si>
    <t>Aeroporto – Pátio</t>
  </si>
  <si>
    <t>3,35</t>
  </si>
  <si>
    <t>6,24</t>
  </si>
  <si>
    <t>Assentos – Espera</t>
  </si>
  <si>
    <t>9,28</t>
  </si>
  <si>
    <t>Terminal – bilheteria</t>
  </si>
  <si>
    <t>18,56</t>
  </si>
  <si>
    <t>Área de refeição</t>
  </si>
  <si>
    <t>21,55</t>
  </si>
  <si>
    <t>43,06</t>
  </si>
  <si>
    <t>Área de uso comum</t>
  </si>
  <si>
    <t>19,35</t>
  </si>
  <si>
    <t>31,96</t>
  </si>
  <si>
    <t>Corredor</t>
  </si>
  <si>
    <t>16,04</t>
  </si>
  <si>
    <r>
      <t xml:space="preserve">Hall </t>
    </r>
    <r>
      <rPr>
        <sz val="11"/>
        <color theme="1"/>
        <rFont val="Calibri"/>
        <family val="2"/>
      </rPr>
      <t>de entrada</t>
    </r>
  </si>
  <si>
    <t>24,47</t>
  </si>
  <si>
    <t>Banheiro</t>
  </si>
  <si>
    <t>15,50</t>
  </si>
  <si>
    <t>Tipologia Predominante da edificação:</t>
  </si>
  <si>
    <t>D</t>
  </si>
  <si>
    <t>E</t>
  </si>
  <si>
    <t>RedCIL:</t>
  </si>
  <si>
    <t>Coeficiente "i":</t>
  </si>
  <si>
    <t>Limite Inferior</t>
  </si>
  <si>
    <t>Limite Superior</t>
  </si>
  <si>
    <t>CLASSE:</t>
  </si>
  <si>
    <t>Pé-direito 
[m]</t>
  </si>
  <si>
    <t>Percentual de abertura da Fachada [%]</t>
  </si>
  <si>
    <t>Energia/Ano</t>
  </si>
  <si>
    <t>Média</t>
  </si>
  <si>
    <t>Eletricidade</t>
  </si>
  <si>
    <t>Gás</t>
  </si>
  <si>
    <t>Combustível</t>
  </si>
  <si>
    <t>Unidade</t>
  </si>
  <si>
    <t>Gás natural</t>
  </si>
  <si>
    <t>Óleo diesel</t>
  </si>
  <si>
    <t>Gás Liquefeito de Petróleo (GLP)</t>
  </si>
  <si>
    <t>Madeira</t>
  </si>
  <si>
    <t>Gasolina</t>
  </si>
  <si>
    <t>Etanol</t>
  </si>
  <si>
    <t>Geração de eletricidade</t>
  </si>
  <si>
    <t>Fatores de Emissão de Dióxido de Carbono por Geração de Eletricidade</t>
  </si>
  <si>
    <t>SIN – Sistema Interligado Nacional</t>
  </si>
  <si>
    <t>kg.CO2/kWh</t>
  </si>
  <si>
    <t>SIS - Sistemas Isolados</t>
  </si>
  <si>
    <t>Ocupação (pessoa/m²)</t>
  </si>
  <si>
    <t>Método:</t>
  </si>
  <si>
    <t>Potência de Iluminação Total Real (PITreal)
[W]</t>
  </si>
  <si>
    <t>Potência de Iluminação em uso [W]</t>
  </si>
  <si>
    <t>Potência de Iluminação sem controle automatizado [W]</t>
  </si>
  <si>
    <t>Potência de iluminação de ambientes sem projeto luminotécnico [W]</t>
  </si>
  <si>
    <t>Classificação:</t>
  </si>
  <si>
    <t>Método Simplificado</t>
  </si>
  <si>
    <t>RedCEnv:</t>
  </si>
  <si>
    <t>Componente Construtivo da Cobertura</t>
  </si>
  <si>
    <t>Componente Construtivo dos Vidros</t>
  </si>
  <si>
    <t>Carga térmica de resfriamento REAL (kWh/ano)</t>
  </si>
  <si>
    <t>Carga térmica de resfriamento REFÊNCIA (kWh/ano)</t>
  </si>
  <si>
    <t>Função 1</t>
  </si>
  <si>
    <t>Função 2</t>
  </si>
  <si>
    <t>Limite Classe D (W):</t>
  </si>
  <si>
    <t>Limite Classe A (W):</t>
  </si>
  <si>
    <t>Função</t>
  </si>
  <si>
    <t>Densidade de Potência de Iluminação Limite para A
[W/m²]</t>
  </si>
  <si>
    <t>Densidade de Potência de Iluminação Limite para D (DPI ref)
[W/m²]</t>
  </si>
  <si>
    <t>Sala 3</t>
  </si>
  <si>
    <t>Tipo de Sistema:</t>
  </si>
  <si>
    <t>RedCAq:</t>
  </si>
  <si>
    <t xml:space="preserve"> % de Redução</t>
  </si>
  <si>
    <t>Classificação</t>
  </si>
  <si>
    <t>Ar Condicionado</t>
  </si>
  <si>
    <t>Classificação Geral da Edificação</t>
  </si>
  <si>
    <t>Coeficiente "i"</t>
  </si>
  <si>
    <t>COMPONENTES CONSTRUTIVOS</t>
  </si>
  <si>
    <t>COP Referência:</t>
  </si>
  <si>
    <t>SPLV</t>
  </si>
  <si>
    <t>Declaração</t>
  </si>
  <si>
    <t>RedCR:</t>
  </si>
  <si>
    <t>Inserir de cálculo externo.</t>
  </si>
  <si>
    <t>Consumo total
(kWh/ano)</t>
  </si>
  <si>
    <t>Classificação Climática</t>
  </si>
  <si>
    <t>Varejo Comércio</t>
  </si>
  <si>
    <t>Varejo - Comércio</t>
  </si>
  <si>
    <t>CRCgTTD-A</t>
  </si>
  <si>
    <t xml:space="preserve"> (CRCgTTD-A)</t>
  </si>
  <si>
    <t>FF inferior</t>
  </si>
  <si>
    <t>FF Superior</t>
  </si>
  <si>
    <t>i</t>
  </si>
  <si>
    <t>CRCgTTD do Projeto</t>
  </si>
  <si>
    <r>
      <t>Fatores de Emissão de CO</t>
    </r>
    <r>
      <rPr>
        <b/>
        <sz val="8"/>
        <color rgb="FF212529"/>
        <rFont val="Calibri"/>
        <family val="2"/>
      </rPr>
      <t>2</t>
    </r>
    <r>
      <rPr>
        <b/>
        <sz val="11"/>
        <color rgb="FF212529"/>
        <rFont val="Calibri"/>
        <family val="2"/>
      </rPr>
      <t> por Queima de Combustível</t>
    </r>
  </si>
  <si>
    <r>
      <t>kg.CO</t>
    </r>
    <r>
      <rPr>
        <sz val="8"/>
        <color rgb="FF212529"/>
        <rFont val="Calibri"/>
        <family val="2"/>
      </rPr>
      <t>2</t>
    </r>
    <r>
      <rPr>
        <sz val="11"/>
        <color rgb="FF212529"/>
        <rFont val="Calibri"/>
        <family val="2"/>
      </rPr>
      <t>/kWh</t>
    </r>
  </si>
  <si>
    <t>Espaço de exposições</t>
  </si>
  <si>
    <t>Escritório – planta livre</t>
  </si>
  <si>
    <t>Quadra de esportes – classe 4</t>
  </si>
  <si>
    <t>Quadra de esportes – classe 3</t>
  </si>
  <si>
    <t>Quadra de esportes – classe 2</t>
  </si>
  <si>
    <t>Quadra de esportes – classe 1</t>
  </si>
  <si>
    <t xml:space="preserve"> Salão</t>
  </si>
  <si>
    <t>Lanchonete/café</t>
  </si>
  <si>
    <t>Bar/lazer</t>
  </si>
  <si>
    <t>Refeitório de penitenciária</t>
  </si>
  <si>
    <t>Necessidades visuais especiais</t>
  </si>
  <si>
    <t>CRCepd-a</t>
  </si>
  <si>
    <t>Hospedagem</t>
  </si>
  <si>
    <t>Geração total estimada (kWh/ano):</t>
  </si>
  <si>
    <t>RESULTADOS</t>
  </si>
  <si>
    <t>APRESENTAÇÃO</t>
  </si>
  <si>
    <t>Sistema fictício 1</t>
  </si>
  <si>
    <t>Modelo A</t>
  </si>
  <si>
    <t>Módulo FV</t>
  </si>
  <si>
    <t>Fotovoltaico</t>
  </si>
  <si>
    <t>Equipamentos</t>
  </si>
  <si>
    <t>DPE Referência (W/m²):</t>
  </si>
  <si>
    <t>Levantamento de Potência instalada de Equipamentos?</t>
  </si>
  <si>
    <t>Sim</t>
  </si>
  <si>
    <t>DPE Adotado (W/m²):</t>
  </si>
  <si>
    <t>DPE Levantado (W/m²):</t>
  </si>
  <si>
    <t>Senha para destravar: cb3e</t>
  </si>
  <si>
    <t>Guia de cores das abas:</t>
  </si>
  <si>
    <t>Abas Azuis: Representam informações que são opcionais.</t>
  </si>
  <si>
    <t>Abas Verdes: Representam os sistemas avaliados.</t>
  </si>
  <si>
    <t>Abas sem cor (Cinza): Representam abas auxiliares para a planilha.</t>
  </si>
  <si>
    <t>Legenda das células:</t>
  </si>
  <si>
    <t>Declaração de uso</t>
  </si>
  <si>
    <t>Orientações</t>
  </si>
  <si>
    <t>Sobre</t>
  </si>
  <si>
    <t>Esta planilha eletrônica foi desenvolvida pelo Centro Brasileiro de Eficiência Energética em Edificações (CB3E). O objetivo desta planilha eletrônica é auxiliar profissionais a aplicarem o método de etiquetagem energética de edificações.</t>
  </si>
  <si>
    <t>Data da versão da planilha:</t>
  </si>
  <si>
    <t>Estado</t>
  </si>
  <si>
    <t>Gouvêa</t>
  </si>
  <si>
    <t>Queluzita</t>
  </si>
  <si>
    <t>Santa Rita do Ibitipoca</t>
  </si>
  <si>
    <t>Caraã</t>
  </si>
  <si>
    <t>Pântano Grande</t>
  </si>
  <si>
    <t>São Miguel d'Oeste</t>
  </si>
  <si>
    <t>Santana do Livramento</t>
  </si>
  <si>
    <t>Ipauçu</t>
  </si>
  <si>
    <t>Armação de Búzios</t>
  </si>
  <si>
    <t>Itabirinha de Mantena</t>
  </si>
  <si>
    <t>Marataizes</t>
  </si>
  <si>
    <t>Araçás</t>
  </si>
  <si>
    <t>Uirapurú</t>
  </si>
  <si>
    <t>Pingo d'Água</t>
  </si>
  <si>
    <t>Passa Vinte</t>
  </si>
  <si>
    <t>Sossego</t>
  </si>
  <si>
    <t>Itanhangá_MT</t>
  </si>
  <si>
    <t>Luis Eduardo Magalhães</t>
  </si>
  <si>
    <t>Atílio Vivacqua</t>
  </si>
  <si>
    <t>Bataiporã</t>
  </si>
  <si>
    <t>Parati</t>
  </si>
  <si>
    <t>Bela Vista do Caroba</t>
  </si>
  <si>
    <t>Mogi Mirim</t>
  </si>
  <si>
    <t>Dona Euzébia</t>
  </si>
  <si>
    <t>Tarabaí</t>
  </si>
  <si>
    <t>Acarapé</t>
  </si>
  <si>
    <t>Couto de Magalhães</t>
  </si>
  <si>
    <t>Método de Simulação</t>
  </si>
  <si>
    <t>Não</t>
  </si>
  <si>
    <t>Consumo limite Classe D (W):</t>
  </si>
  <si>
    <t>Consumo limite Classe A (W):</t>
  </si>
  <si>
    <t>Consumo de iluminação limite classe D [W]</t>
  </si>
  <si>
    <t>Consumo de iluminação limite classe A [W]</t>
  </si>
  <si>
    <t>Atende aos requisitos para a classe A?</t>
  </si>
  <si>
    <t>Carga térmica Referência (kWh/ano):</t>
  </si>
  <si>
    <t>Carga térmica Real (kWh/ano):</t>
  </si>
  <si>
    <t>Isolamento atende?</t>
  </si>
  <si>
    <t>Isolamento térmico (mm)</t>
  </si>
  <si>
    <t>Não se aplica</t>
  </si>
  <si>
    <t>Eficiência (SCOP/ICOP) dentro do limite?</t>
  </si>
  <si>
    <t>Alta Floresta DOeste</t>
  </si>
  <si>
    <t>Acarape</t>
  </si>
  <si>
    <t>Alvorada DOeste</t>
  </si>
  <si>
    <t>Armação dos Búzios</t>
  </si>
  <si>
    <t>Atilio Vivacqua</t>
  </si>
  <si>
    <t>Batayporã</t>
  </si>
  <si>
    <t>Barra DAlcântara</t>
  </si>
  <si>
    <t>Espigão DOeste</t>
  </si>
  <si>
    <t>Araças</t>
  </si>
  <si>
    <t>Machadinho DOeste</t>
  </si>
  <si>
    <t>Nova Brasilândia DOeste</t>
  </si>
  <si>
    <t>Aparecida dOeste</t>
  </si>
  <si>
    <t>Itaporanga dAjuda</t>
  </si>
  <si>
    <t>Balneário Rincão</t>
  </si>
  <si>
    <t>Bela Vista da Caroba</t>
  </si>
  <si>
    <t>Conquista DOeste</t>
  </si>
  <si>
    <t>Santa Luzia DOeste</t>
  </si>
  <si>
    <t>São Felipe DOeste</t>
  </si>
  <si>
    <t>Figueirópolis DOeste</t>
  </si>
  <si>
    <t>Marataízes</t>
  </si>
  <si>
    <t>Glória DOeste</t>
  </si>
  <si>
    <t>Itanhangá</t>
  </si>
  <si>
    <t>Paraíso das Águas</t>
  </si>
  <si>
    <t>Olho dÁgua das Flores</t>
  </si>
  <si>
    <t>Fernando de Noronha</t>
  </si>
  <si>
    <t>Olho dÁgua do Casado</t>
  </si>
  <si>
    <t>Lambari DOeste</t>
  </si>
  <si>
    <t>Olho dÁgua Grande</t>
  </si>
  <si>
    <t>Luciára</t>
  </si>
  <si>
    <t>Mirassol dOeste</t>
  </si>
  <si>
    <t>Lagoa dAnta</t>
  </si>
  <si>
    <t>Mojuí dos Campos</t>
  </si>
  <si>
    <t>Itapajé**</t>
  </si>
  <si>
    <t>Caraá</t>
  </si>
  <si>
    <t>Pau DArco</t>
  </si>
  <si>
    <t>Olho-dÁgua do Borges</t>
  </si>
  <si>
    <t>Joca Claudino</t>
  </si>
  <si>
    <t>Tanque dArca</t>
  </si>
  <si>
    <t>Diamante DOeste</t>
  </si>
  <si>
    <t>Guatambú</t>
  </si>
  <si>
    <t>Herval dOeste</t>
  </si>
  <si>
    <t>Mãe dÁgua</t>
  </si>
  <si>
    <t>Santa Izabel do Pará</t>
  </si>
  <si>
    <t>Dias dÁvila</t>
  </si>
  <si>
    <t>Olho dÁgua das Cunhãs</t>
  </si>
  <si>
    <t>Olho dÁgua</t>
  </si>
  <si>
    <t>Serra Caiada***</t>
  </si>
  <si>
    <t>Olho DÁgua do Piauí</t>
  </si>
  <si>
    <t>Pau DArco do Piauí</t>
  </si>
  <si>
    <t>Itapejara dOeste</t>
  </si>
  <si>
    <t>Embu das Artes</t>
  </si>
  <si>
    <t>Estrela dOeste</t>
  </si>
  <si>
    <t>Pescaria Brava</t>
  </si>
  <si>
    <t>Guarani dOeste</t>
  </si>
  <si>
    <t>Sossêgo</t>
  </si>
  <si>
    <t>Presidente Castello Branco</t>
  </si>
  <si>
    <t>Tacima</t>
  </si>
  <si>
    <t>São João dAliança</t>
  </si>
  <si>
    <t>Sítio dAbadia</t>
  </si>
  <si>
    <t>Luís Eduardo Magalhães</t>
  </si>
  <si>
    <t>Uirapuru</t>
  </si>
  <si>
    <t>Maçambara</t>
  </si>
  <si>
    <t>Ipaussu</t>
  </si>
  <si>
    <t>Dona Eusébia</t>
  </si>
  <si>
    <t>São Miguel do Oeste</t>
  </si>
  <si>
    <t>Pérola dOeste</t>
  </si>
  <si>
    <t>Pantano Grande</t>
  </si>
  <si>
    <t>Rancho Alegre DOeste</t>
  </si>
  <si>
    <t>Gouveia</t>
  </si>
  <si>
    <t>Pinto Bandeira</t>
  </si>
  <si>
    <t>Mogi das Cruzes</t>
  </si>
  <si>
    <t>Moji Mirim</t>
  </si>
  <si>
    <t>São Jorge dOeste</t>
  </si>
  <si>
    <t>Itabirinha</t>
  </si>
  <si>
    <t>Palmeira dOeste</t>
  </si>
  <si>
    <t>Santa Bárbara dOeste</t>
  </si>
  <si>
    <t>Santa Clara dOeste</t>
  </si>
  <si>
    <t>Olhos-dÁgua</t>
  </si>
  <si>
    <t>Santa Rita dOeste</t>
  </si>
  <si>
    <t>São João do Pau dAlho</t>
  </si>
  <si>
    <t>Passa-Vinte</t>
  </si>
  <si>
    <t>Pingo-dÁgua</t>
  </si>
  <si>
    <t>Tarabai</t>
  </si>
  <si>
    <t>Queluzito</t>
  </si>
  <si>
    <t>Santa Rita de Ibitipoca</t>
  </si>
  <si>
    <t>São Thomé das Letras</t>
  </si>
  <si>
    <t>Consumo em ENERGIA PRIMÁRIA</t>
  </si>
  <si>
    <t>Consumo de energia final Referência (kWh/ano):</t>
  </si>
  <si>
    <t>Consumo de energia final Real (kWh/ano):</t>
  </si>
  <si>
    <t>Carga térmica Real (kWh/ano)</t>
  </si>
  <si>
    <t>Carga térmica Referência (kWh/ano)</t>
  </si>
  <si>
    <t>Consumo energético final Real (kWh/ano)</t>
  </si>
  <si>
    <t>Consumo energético final Referência (kWh/ano)</t>
  </si>
  <si>
    <t>Consumo energético final Referência A (kWh/ano)</t>
  </si>
  <si>
    <t>Consumo energético final Referência D (kWh/ano)</t>
  </si>
  <si>
    <t>Envoltória (carga térmica)</t>
  </si>
  <si>
    <t>Condição de Referência (kWh/ano)</t>
  </si>
  <si>
    <t>Condição Real (kWh/ano)</t>
  </si>
  <si>
    <t>f [pessoa]</t>
  </si>
  <si>
    <t>Latitude</t>
  </si>
  <si>
    <t>Altitude</t>
  </si>
  <si>
    <t>Médias mensais e anuais de Temperatura de Bulbo Seco - TBS (°C)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</si>
  <si>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</si>
  <si>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</si>
  <si>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</si>
  <si>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</si>
  <si>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</si>
  <si>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</si>
  <si>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</si>
  <si>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</si>
  <si>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</si>
  <si>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</si>
  <si>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</si>
  <si>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</si>
  <si>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Anual</t>
  </si>
  <si>
    <t>Temperatura média anual (°C)</t>
  </si>
  <si>
    <t>Temperatura da água fria (°C):</t>
  </si>
  <si>
    <t>Peso específico da água (kg/L):</t>
  </si>
  <si>
    <t>Calor específico da água (kJ/g°C)</t>
  </si>
  <si>
    <t>Temperatura de uso da água (°C)</t>
  </si>
  <si>
    <t>Temperatura de armazenamento (°C)</t>
  </si>
  <si>
    <t>Temperatura de uso</t>
  </si>
  <si>
    <t>Região</t>
  </si>
  <si>
    <t>Norte</t>
  </si>
  <si>
    <t>Nordeste</t>
  </si>
  <si>
    <t>Centro-Oeste</t>
  </si>
  <si>
    <t>Sudeste</t>
  </si>
  <si>
    <t>Sul</t>
  </si>
  <si>
    <t>Energia Requerida (kWh/dia)</t>
  </si>
  <si>
    <t>Sistema Solar Térmico (Simplificado):</t>
  </si>
  <si>
    <t>Área unitária do coletor solar (m²):</t>
  </si>
  <si>
    <t>Volume diário de Água quente (L/dia):</t>
  </si>
  <si>
    <t>Consumo per capita diário (L/pessoa.dia)</t>
  </si>
  <si>
    <t>Irradiação média anual no plano inclinado (kWh/m²dia):</t>
  </si>
  <si>
    <t>Número de coletores solares:</t>
  </si>
  <si>
    <t>Produção média mensal do Coletor (kWh/mês):</t>
  </si>
  <si>
    <t>Energia proveniente do aquecimento solar (kWh/dia)</t>
  </si>
  <si>
    <t>Cidade + Estado</t>
  </si>
  <si>
    <t>Produção específica do Coletor (kWh/m².mês):</t>
  </si>
  <si>
    <t>Cálculo da Energia Requerida:</t>
  </si>
  <si>
    <t>Tubulações isoladas:</t>
  </si>
  <si>
    <t>Condutividade térmica (W/mK):</t>
  </si>
  <si>
    <t>dA (m):</t>
  </si>
  <si>
    <t>dR (m):</t>
  </si>
  <si>
    <t>αA (W/m²K):</t>
  </si>
  <si>
    <t>Tubulações não isoladas:</t>
  </si>
  <si>
    <t>Fper,tub (W/mK):</t>
  </si>
  <si>
    <t>Hper,dist,i (h/dia):</t>
  </si>
  <si>
    <t>Comprimento da tubulação (m):</t>
  </si>
  <si>
    <t>EA,per,tub,i (kWh/dia):</t>
  </si>
  <si>
    <t>Fator de perda:</t>
  </si>
  <si>
    <t>Sistema de Circulação:</t>
  </si>
  <si>
    <t>Sistema de Recirculação:</t>
  </si>
  <si>
    <t>Perdas - Condição Real</t>
  </si>
  <si>
    <t>Perdas - Condição de Referência</t>
  </si>
  <si>
    <t>Volume do reservatório (L):</t>
  </si>
  <si>
    <t>∆θA,res,sby (°C):</t>
  </si>
  <si>
    <t>EA,res,sby (kWh/mês/L):</t>
  </si>
  <si>
    <t>Perda devido ao Reservatório (kWh/dia):</t>
  </si>
  <si>
    <t>Quantidade de Reservatórios:</t>
  </si>
  <si>
    <t>Especificações do sistema:</t>
  </si>
  <si>
    <t>Eficiência do sistema:</t>
  </si>
  <si>
    <t>Tipo de Sistema de apoio:</t>
  </si>
  <si>
    <t>Consumo total em Energia Primária
(kWh/ano)</t>
  </si>
  <si>
    <t>Condição Real</t>
  </si>
  <si>
    <t>Consumo total em Energia Final
(kWh/ano)</t>
  </si>
  <si>
    <t>Parte Elétrica</t>
  </si>
  <si>
    <t>Parte Térmica</t>
  </si>
  <si>
    <t>Para memória de cálculo:</t>
  </si>
  <si>
    <t>Energia elétrica requerida adicional (kWh/dia)</t>
  </si>
  <si>
    <t>Eficiência do sistema de Referência:</t>
  </si>
  <si>
    <t>Método de cálculo:</t>
  </si>
  <si>
    <t>Simplificado</t>
  </si>
  <si>
    <t>Condição de referência</t>
  </si>
  <si>
    <t>Condição real</t>
  </si>
  <si>
    <t>Elétrica</t>
  </si>
  <si>
    <t>Térmica</t>
  </si>
  <si>
    <t>A divulgação e utilização desta planilha eletrônica para outras finalidades não é de responsabilidade do CB3E ou do Procel. Todas as funcionalidades existentes nesta planilha eletrônica e os resultados fornecidos por ela foram desenvolvidos para fins didáticos, não estando atrelada a esta planilha nenhuma responsabilidade acerca do processo de etiquetagem em si. O CB3E Não se responsabiliza em prestar suporte para esta ferramenta, sendo seu uso de inteira responsabilidade do usuário, de acordo com a sua interpretação da Instrução Normativa do INMETRO (INI-C).
Qualquer divergência entre os parâmetros, cálculos ou premissas presentes nesta planilha e o texto da INI-C, prevalece a INI-C.</t>
  </si>
  <si>
    <t>Ângula Vertical de Sombreamento (°)</t>
  </si>
  <si>
    <t>Ângula Horizontal de Sombreamento (°)</t>
  </si>
  <si>
    <t>Ângulo de Obstrução Vizinha (°)</t>
  </si>
  <si>
    <t>É a Fachada Principal?</t>
  </si>
  <si>
    <t>Capacidade de Resfriamento total (kW):</t>
  </si>
  <si>
    <t>Tipo de condicionamento da edificação:</t>
  </si>
  <si>
    <t>Carga térmica (kWh/ano)</t>
  </si>
  <si>
    <t>Consumo abaixo de 17,6kW (kWh/ano)</t>
  </si>
  <si>
    <t>Consumo acima de 17,6kW (kWh/ano)</t>
  </si>
  <si>
    <t>Atende os requisitos para A?</t>
  </si>
  <si>
    <t>Levantamento de Equipamentos</t>
  </si>
  <si>
    <t>Índice</t>
  </si>
  <si>
    <t>Potência Total dos equipamentos de Renovação de ar (W)</t>
  </si>
  <si>
    <t>Horas</t>
  </si>
  <si>
    <t>Dias</t>
  </si>
  <si>
    <t>Consumo</t>
  </si>
  <si>
    <t>Percentual de horas ocupadas em conforto térmico (PHOCT) (%):</t>
  </si>
  <si>
    <t>Coeficiente de Performance</t>
  </si>
  <si>
    <t>Tipo de Coeficiente</t>
  </si>
  <si>
    <t>VRV 01</t>
  </si>
  <si>
    <t>Equipamento de  Ar-Condicionado</t>
  </si>
  <si>
    <t>Tipo de Sistema</t>
  </si>
  <si>
    <t>SCOP/ICOP</t>
  </si>
  <si>
    <t>Baixa capacidade (até 17.6kW)</t>
  </si>
  <si>
    <t>Alta capacidade (acima de 17.6kW)</t>
  </si>
  <si>
    <t>Sistema de condicionamento</t>
  </si>
  <si>
    <t>Condicionada artificialmente</t>
  </si>
  <si>
    <t>Emissão de CO2</t>
  </si>
  <si>
    <t>GLP</t>
  </si>
  <si>
    <t>Total</t>
  </si>
  <si>
    <r>
      <t>Emissão de CO</t>
    </r>
    <r>
      <rPr>
        <b/>
        <vertAlign val="subscript"/>
        <sz val="14"/>
        <color theme="1"/>
        <rFont val="Calibri"/>
        <family val="2"/>
        <scheme val="minor"/>
      </rPr>
      <t>2</t>
    </r>
  </si>
  <si>
    <r>
      <t>Condição Real 
(kgCO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eq)</t>
    </r>
  </si>
  <si>
    <r>
      <t>Condição de Referência
(kgCO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eq)</t>
    </r>
  </si>
  <si>
    <t>Consumo energético com Equipamentos (kWh/ano)</t>
  </si>
  <si>
    <t>Sem acumulação</t>
  </si>
  <si>
    <t>Sala 01 ZT1</t>
  </si>
  <si>
    <t>Sala 01 ZT2</t>
  </si>
  <si>
    <t>Sala 01 ZT3</t>
  </si>
  <si>
    <t>Sala 01 ZT4</t>
  </si>
  <si>
    <t>Sala 01 ZT5</t>
  </si>
  <si>
    <t>Fator de Forma (m²/m³):</t>
  </si>
  <si>
    <t>Elétrico por Resistor</t>
  </si>
  <si>
    <t>Tipo de sistema de geração de eletricidade</t>
  </si>
  <si>
    <t>Sistema Interligado Nacional</t>
  </si>
  <si>
    <t>Sistemas de geração de eletricidade</t>
  </si>
  <si>
    <t>Sistemas Isolados</t>
  </si>
  <si>
    <t>Educacional</t>
  </si>
  <si>
    <t>Consumo Equip. de renovação de ar (kWh):</t>
  </si>
  <si>
    <t>Índice x Potência</t>
  </si>
  <si>
    <t>Índice ponderado (COP/CSPF/IDRS) :</t>
  </si>
  <si>
    <t>CEE abaixo de 17,6 kW (W/W):</t>
  </si>
  <si>
    <t>Resumo da eficiência em sistemas com capacidade igual ou inferior a 17.6kW:</t>
  </si>
  <si>
    <t>Capacidade superior a 17,6 kW</t>
  </si>
  <si>
    <t>Capacidade igual ou inferior a 17,6 kW</t>
  </si>
  <si>
    <t>- Preencher apenas os campos requeridos;
- Prestar atenção nas unidades;
- Recomendamos não adicionar ou excluir linhas, colunas e células;
- Recomendamos não alterar as fórmulas;
- O intuito desta planilha é auxiliar o processo de etiquetagem de uma edificação. Porém, análises e cálculos acessórios podem ser necessários.</t>
  </si>
  <si>
    <t>Aba Roxa: Representa dados que são informativos na etiqueta.</t>
  </si>
  <si>
    <t>Capacidade unitária de Resfriamento (kW)</t>
  </si>
  <si>
    <t>Coberturas</t>
  </si>
  <si>
    <t>Equipamentos de Ar-Condicionado</t>
  </si>
  <si>
    <t>Tipologias</t>
  </si>
  <si>
    <t>Educacional - Ensino Infantil</t>
  </si>
  <si>
    <t>Educacional - Ensino Fundamental e Médio</t>
  </si>
  <si>
    <t>Educacional - Ensino Superior</t>
  </si>
  <si>
    <t>Vidro Referência</t>
  </si>
  <si>
    <t>ceiling_height</t>
  </si>
  <si>
    <t>building_xlen</t>
  </si>
  <si>
    <t>wwr</t>
  </si>
  <si>
    <t>vert_shading</t>
  </si>
  <si>
    <t>floor_u</t>
  </si>
  <si>
    <t>floor_ct</t>
  </si>
  <si>
    <t>roof_u</t>
  </si>
  <si>
    <t>roof_ct</t>
  </si>
  <si>
    <t>roof_absorptance</t>
  </si>
  <si>
    <t>intwall_u</t>
  </si>
  <si>
    <t>extwall_absorptance</t>
  </si>
  <si>
    <t>extwall_ct</t>
  </si>
  <si>
    <t>extwall_u</t>
  </si>
  <si>
    <t>shgc_jan</t>
  </si>
  <si>
    <t>u_jan</t>
  </si>
  <si>
    <t>people</t>
  </si>
  <si>
    <t>lights</t>
  </si>
  <si>
    <t>equip</t>
  </si>
  <si>
    <t>paz</t>
  </si>
  <si>
    <t>sur_angle</t>
  </si>
  <si>
    <t>shd_angle</t>
  </si>
  <si>
    <t>schedule_SCH_10H</t>
  </si>
  <si>
    <t>schedule_SCH_12H</t>
  </si>
  <si>
    <t>schedule_SCH_16H</t>
  </si>
  <si>
    <t>schedule_SCH_24H</t>
  </si>
  <si>
    <t>schedule_SCH_8H</t>
  </si>
  <si>
    <t>is_1pvto_0</t>
  </si>
  <si>
    <t>is_1pvto_1</t>
  </si>
  <si>
    <t>floor_exp_0</t>
  </si>
  <si>
    <t>floor_exp_1</t>
  </si>
  <si>
    <t>roof_exp_0</t>
  </si>
  <si>
    <t>roof_exp_1</t>
  </si>
  <si>
    <t>apt_near_0</t>
  </si>
  <si>
    <t>apt_near_1</t>
  </si>
  <si>
    <t>is_perimetral_1</t>
  </si>
  <si>
    <t>is_perimetral_0</t>
  </si>
  <si>
    <t>app_ori_-360</t>
  </si>
  <si>
    <t>app_ori_0</t>
  </si>
  <si>
    <t>app_ori_45</t>
  </si>
  <si>
    <t>app_ori_90</t>
  </si>
  <si>
    <t>app_ori_135</t>
  </si>
  <si>
    <t>app_ori_180</t>
  </si>
  <si>
    <t>app_ori_225</t>
  </si>
  <si>
    <t>app_ori_270</t>
  </si>
  <si>
    <t>app_ori_315</t>
  </si>
  <si>
    <t>lat</t>
  </si>
  <si>
    <t>alt</t>
  </si>
  <si>
    <t>dbt_mean</t>
  </si>
  <si>
    <t>dbt_25p</t>
  </si>
  <si>
    <t>dbt_75p</t>
  </si>
  <si>
    <t>ws_mean</t>
  </si>
  <si>
    <t>ws_25p</t>
  </si>
  <si>
    <t>ws_75p</t>
  </si>
  <si>
    <t>ghr_mean</t>
  </si>
  <si>
    <t>ghr_25p</t>
  </si>
  <si>
    <t>ghr_75p</t>
  </si>
  <si>
    <t>dpt_mean</t>
  </si>
  <si>
    <t>dpt_25p</t>
  </si>
  <si>
    <t>dpt_75p</t>
  </si>
  <si>
    <t>DADOS CLIMÁTICOS</t>
  </si>
  <si>
    <t>Componente Construtivo do piso</t>
  </si>
  <si>
    <t>Piso</t>
  </si>
  <si>
    <t>Componente Construtivo da Parede interna</t>
  </si>
  <si>
    <t>Componente Construtivo da Parede externa</t>
  </si>
  <si>
    <t>Paredes Externas</t>
  </si>
  <si>
    <t>Paredes internas</t>
  </si>
  <si>
    <t>intwall_ct</t>
  </si>
  <si>
    <t>shgc_zen</t>
  </si>
  <si>
    <t>u_zen</t>
  </si>
  <si>
    <t>Percentual de abertura Zenital [%]</t>
  </si>
  <si>
    <t>Componente Construtivo do Vidro Zenital</t>
  </si>
  <si>
    <t>Vidro Zential</t>
  </si>
  <si>
    <t>Vidro Janelas</t>
  </si>
  <si>
    <t>Vidro Zenital Referência</t>
  </si>
  <si>
    <t>Versão do metamodelo:</t>
  </si>
  <si>
    <t>V3.0</t>
  </si>
  <si>
    <t>Intermediário</t>
  </si>
  <si>
    <t>Cobertura</t>
  </si>
  <si>
    <t>Térreo (com + pvtos acima)</t>
  </si>
  <si>
    <t>Térreo (único pvto)</t>
  </si>
  <si>
    <t>Tipo de Zona Térmica</t>
  </si>
  <si>
    <t>Zona adjacente condicionada</t>
  </si>
  <si>
    <t>Zona adjacente não-condicionada</t>
  </si>
  <si>
    <t>Relação com Zonas térmicas INTERNAS adjacentes</t>
  </si>
  <si>
    <t>COP</t>
  </si>
  <si>
    <t>Pilotis (com + pvtos acima)</t>
  </si>
  <si>
    <t>Pilotis (único pvto)</t>
  </si>
  <si>
    <t>Split 30000 BTU/h</t>
  </si>
  <si>
    <t>IDRS</t>
  </si>
  <si>
    <t>Par. Ext. Ref.</t>
  </si>
  <si>
    <t>Zona interna</t>
  </si>
  <si>
    <t>Pvto interm.</t>
  </si>
  <si>
    <t>Par. Int. Ref.</t>
  </si>
  <si>
    <t>Cob. Ref.</t>
  </si>
  <si>
    <t>Sem Aber. Zenital</t>
  </si>
  <si>
    <t>Piso Ref.</t>
  </si>
  <si>
    <t>Legenda:inter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</si>
</sst>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%"/>
    <numFmt numFmtId="165" formatCode="0.0"/>
    <numFmt numFmtId="166" formatCode="0.000"/>
    <numFmt numFmtId="168" formatCode="_-* #,##0_-;\-* #,##0_-;_-* &quot;-&quot;??_-;_-@_-"/>
  </numFmts>
  <fonts count="7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10"/>
      <name val="Symbol"/>
      <family val="1"/>
      <charset val="2"/>
    </font>
    <font>
      <b/>
      <sz val="10"/>
      <color theme="1"/>
      <name val="Symbol"/>
      <family val="1"/>
      <charset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4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b/>
      <sz val="8"/>
      <color rgb="FF212529"/>
      <name val="Calibri"/>
      <family val="2"/>
    </font>
    <font>
      <b/>
      <sz val="11"/>
      <color rgb="FF212529"/>
      <name val="Calibri"/>
      <family val="2"/>
    </font>
    <font>
      <sz val="8"/>
      <color rgb="FF212529"/>
      <name val="Calibri"/>
      <family val="2"/>
    </font>
    <font>
      <sz val="11"/>
      <color rgb="FF212529"/>
      <name val="Calibri"/>
      <family val="2"/>
    </font>
    <font>
      <b/>
      <sz val="11"/>
      <color theme="0" tint="-0.249977111117893"/>
      <name val="Calibri"/>
      <family val="2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5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/>
      <diagonal/>
    </border>
    <border>
      <left style="thin">
        <color theme="1"/>
      </left>
      <right style="thin">
        <color theme="1"/>
      </right>
      <top style="thin">
        <color theme="0" tint="-0.34998626667073579"/>
      </top>
      <bottom/>
      <diagonal/>
    </border>
    <border>
      <left style="thin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24994659260841701"/>
      </top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/>
      <bottom style="thin">
        <color theme="0" tint="-0.34998626667073579"/>
      </bottom>
      <diagonal/>
    </border>
    <border>
      <left/>
      <right style="thin">
        <color theme="0" tint="-0.249977111117893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34998626667073579"/>
      </top>
      <bottom style="thin">
        <color theme="0" tint="-0.249977111117893"/>
      </bottom>
      <diagonal/>
    </border>
    <border>
      <left/>
      <right/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4659260841701"/>
      </bottom>
      <diagonal/>
    </border>
    <border>
      <left style="thin">
        <color theme="0" tint="-0.249977111117893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7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77111117893"/>
      </top>
      <bottom style="thin">
        <color theme="0" tint="-0.249977111117893"/>
      </bottom>
      <diagonal/>
    </border>
    <border>
      <left style="dashed">
        <color theme="0" tint="-0.499984740745262"/>
      </left>
      <right/>
      <top style="dashed">
        <color theme="0" tint="-0.499984740745262"/>
      </top>
      <bottom/>
      <diagonal/>
    </border>
    <border>
      <left/>
      <right/>
      <top style="dashed">
        <color theme="0" tint="-0.499984740745262"/>
      </top>
      <bottom/>
      <diagonal/>
    </border>
    <border>
      <left/>
      <right style="dashed">
        <color theme="0" tint="-0.499984740745262"/>
      </right>
      <top style="dashed">
        <color theme="0" tint="-0.499984740745262"/>
      </top>
      <bottom/>
      <diagonal/>
    </border>
    <border>
      <left style="dashed">
        <color theme="0" tint="-0.499984740745262"/>
      </left>
      <right/>
      <top/>
      <bottom/>
      <diagonal/>
    </border>
    <border>
      <left/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/>
      <top/>
      <bottom style="dashed">
        <color theme="0" tint="-0.499984740745262"/>
      </bottom>
      <diagonal/>
    </border>
    <border>
      <left/>
      <right/>
      <top/>
      <bottom style="dashed">
        <color theme="0" tint="-0.499984740745262"/>
      </bottom>
      <diagonal/>
    </border>
    <border>
      <left/>
      <right style="dashed">
        <color theme="0" tint="-0.499984740745262"/>
      </right>
      <top/>
      <bottom style="dashed">
        <color theme="0" tint="-0.499984740745262"/>
      </bottom>
      <diagonal/>
    </border>
    <border>
      <left/>
      <right/>
      <top style="thin">
        <color theme="0" tint="-0.249977111117893"/>
      </top>
      <bottom style="thin">
        <color theme="0" tint="-0.24994659260841701"/>
      </bottom>
      <diagonal/>
    </border>
    <border>
      <left style="thin">
        <color theme="0" tint="-0.249977111117893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77111117893"/>
      </right>
      <top style="thin">
        <color theme="0" tint="-0.24994659260841701"/>
      </top>
      <bottom/>
      <diagonal/>
    </border>
    <border>
      <left style="thin">
        <color theme="0" tint="-0.249977111117893"/>
      </left>
      <right/>
      <top style="thin">
        <color theme="0" tint="-0.24994659260841701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4659260841701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4659260841701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44">
    <xf numFmtId="0" fontId="0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59" applyNumberFormat="0" applyFill="0" applyAlignment="0" applyProtection="0"/>
    <xf numFmtId="0" fontId="52" fillId="0" borderId="60" applyNumberFormat="0" applyFill="0" applyAlignment="0" applyProtection="0"/>
    <xf numFmtId="0" fontId="53" fillId="0" borderId="61" applyNumberFormat="0" applyFill="0" applyAlignment="0" applyProtection="0"/>
    <xf numFmtId="0" fontId="53" fillId="0" borderId="0" applyNumberFormat="0" applyFill="0" applyBorder="0" applyAlignment="0" applyProtection="0"/>
    <xf numFmtId="0" fontId="54" fillId="19" borderId="0" applyNumberFormat="0" applyBorder="0" applyAlignment="0" applyProtection="0"/>
    <xf numFmtId="0" fontId="55" fillId="20" borderId="0" applyNumberFormat="0" applyBorder="0" applyAlignment="0" applyProtection="0"/>
    <xf numFmtId="0" fontId="56" fillId="22" borderId="62" applyNumberFormat="0" applyAlignment="0" applyProtection="0"/>
    <xf numFmtId="0" fontId="57" fillId="23" borderId="63" applyNumberFormat="0" applyAlignment="0" applyProtection="0"/>
    <xf numFmtId="0" fontId="58" fillId="23" borderId="62" applyNumberFormat="0" applyAlignment="0" applyProtection="0"/>
    <xf numFmtId="0" fontId="59" fillId="0" borderId="64" applyNumberFormat="0" applyFill="0" applyAlignment="0" applyProtection="0"/>
    <xf numFmtId="0" fontId="60" fillId="24" borderId="65" applyNumberFormat="0" applyAlignment="0" applyProtection="0"/>
    <xf numFmtId="0" fontId="11" fillId="0" borderId="0" applyNumberFormat="0" applyFill="0" applyBorder="0" applyAlignment="0" applyProtection="0"/>
    <xf numFmtId="0" fontId="9" fillId="25" borderId="66" applyNumberFormat="0" applyFont="0" applyAlignment="0" applyProtection="0"/>
    <xf numFmtId="0" fontId="61" fillId="0" borderId="0" applyNumberFormat="0" applyFill="0" applyBorder="0" applyAlignment="0" applyProtection="0"/>
    <xf numFmtId="0" fontId="1" fillId="0" borderId="67" applyNumberFormat="0" applyFill="0" applyAlignment="0" applyProtection="0"/>
    <xf numFmtId="0" fontId="47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47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47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47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47" fillId="42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  <xf numFmtId="0" fontId="47" fillId="46" borderId="0" applyNumberFormat="0" applyBorder="0" applyAlignment="0" applyProtection="0"/>
    <xf numFmtId="0" fontId="9" fillId="47" borderId="0" applyNumberFormat="0" applyBorder="0" applyAlignment="0" applyProtection="0"/>
    <xf numFmtId="0" fontId="9" fillId="48" borderId="0" applyNumberFormat="0" applyBorder="0" applyAlignment="0" applyProtection="0"/>
    <xf numFmtId="0" fontId="62" fillId="21" borderId="0" applyNumberFormat="0" applyBorder="0" applyAlignment="0" applyProtection="0"/>
    <xf numFmtId="0" fontId="47" fillId="29" borderId="0" applyNumberFormat="0" applyBorder="0" applyAlignment="0" applyProtection="0"/>
    <xf numFmtId="0" fontId="47" fillId="33" borderId="0" applyNumberFormat="0" applyBorder="0" applyAlignment="0" applyProtection="0"/>
    <xf numFmtId="0" fontId="47" fillId="37" borderId="0" applyNumberFormat="0" applyBorder="0" applyAlignment="0" applyProtection="0"/>
    <xf numFmtId="0" fontId="47" fillId="41" borderId="0" applyNumberFormat="0" applyBorder="0" applyAlignment="0" applyProtection="0"/>
    <xf numFmtId="0" fontId="47" fillId="45" borderId="0" applyNumberFormat="0" applyBorder="0" applyAlignment="0" applyProtection="0"/>
    <xf numFmtId="0" fontId="47" fillId="49" borderId="0" applyNumberFormat="0" applyBorder="0" applyAlignment="0" applyProtection="0"/>
  </cellStyleXfs>
  <cellXfs count="50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2" fillId="0" borderId="0" xfId="0" applyFont="1" applyAlignment="1">
      <alignment vertical="top"/>
    </xf>
    <xf numFmtId="0" fontId="14" fillId="0" borderId="0" xfId="0" applyFont="1" applyAlignment="1">
      <alignment horizontal="left" vertical="center"/>
    </xf>
    <xf numFmtId="0" fontId="14" fillId="0" borderId="0" xfId="0" applyFont="1"/>
    <xf numFmtId="0" fontId="17" fillId="0" borderId="0" xfId="0" applyFont="1" applyAlignment="1">
      <alignment horizontal="center"/>
    </xf>
    <xf numFmtId="0" fontId="15" fillId="8" borderId="0" xfId="0" applyFont="1" applyFill="1" applyAlignment="1" applyProtection="1">
      <alignment horizontal="left"/>
      <protection hidden="1"/>
    </xf>
    <xf numFmtId="0" fontId="15" fillId="8" borderId="0" xfId="0" applyFont="1" applyFill="1" applyAlignment="1" applyProtection="1">
      <alignment horizontal="center"/>
      <protection hidden="1"/>
    </xf>
    <xf numFmtId="0" fontId="15" fillId="0" borderId="0" xfId="0" applyFont="1" applyAlignment="1" applyProtection="1">
      <alignment horizontal="center"/>
      <protection hidden="1"/>
    </xf>
    <xf numFmtId="0" fontId="13" fillId="0" borderId="0" xfId="0" applyFont="1" applyAlignment="1">
      <alignment horizontal="center"/>
    </xf>
    <xf numFmtId="0" fontId="0" fillId="0" borderId="7" xfId="0" applyBorder="1"/>
    <xf numFmtId="0" fontId="0" fillId="11" borderId="0" xfId="0" applyFill="1"/>
    <xf numFmtId="0" fontId="0" fillId="11" borderId="7" xfId="0" applyFill="1" applyBorder="1"/>
    <xf numFmtId="0" fontId="0" fillId="11" borderId="0" xfId="0" applyFill="1" applyAlignment="1">
      <alignment horizontal="center" vertical="center"/>
    </xf>
    <xf numFmtId="0" fontId="2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/>
    </xf>
    <xf numFmtId="0" fontId="2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vertical="center"/>
    </xf>
    <xf numFmtId="9" fontId="0" fillId="0" borderId="0" xfId="0" applyNumberForma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23" fillId="7" borderId="0" xfId="0" applyFont="1" applyFill="1"/>
    <xf numFmtId="0" fontId="24" fillId="7" borderId="0" xfId="0" applyFont="1" applyFill="1"/>
    <xf numFmtId="0" fontId="23" fillId="11" borderId="0" xfId="0" applyFont="1" applyFill="1"/>
    <xf numFmtId="0" fontId="25" fillId="0" borderId="0" xfId="0" applyFont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11" borderId="0" xfId="0" applyFont="1" applyFill="1" applyAlignment="1">
      <alignment wrapText="1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0" fillId="10" borderId="1" xfId="0" applyFill="1" applyBorder="1" applyAlignment="1">
      <alignment horizontal="center" vertical="center" wrapText="1"/>
    </xf>
    <xf numFmtId="0" fontId="0" fillId="12" borderId="0" xfId="0" applyFill="1"/>
    <xf numFmtId="0" fontId="0" fillId="12" borderId="7" xfId="0" applyFill="1" applyBorder="1"/>
    <xf numFmtId="0" fontId="1" fillId="12" borderId="0" xfId="0" applyFont="1" applyFill="1"/>
    <xf numFmtId="0" fontId="0" fillId="12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23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7" borderId="0" xfId="0" applyFill="1" applyAlignment="1">
      <alignment vertical="center"/>
    </xf>
    <xf numFmtId="0" fontId="0" fillId="11" borderId="0" xfId="0" applyFill="1" applyAlignment="1">
      <alignment vertical="center"/>
    </xf>
    <xf numFmtId="43" fontId="0" fillId="0" borderId="0" xfId="2" applyFont="1" applyFill="1" applyBorder="1" applyAlignment="1">
      <alignment horizontal="center" vertical="center"/>
    </xf>
    <xf numFmtId="0" fontId="3" fillId="0" borderId="0" xfId="0" applyFont="1"/>
    <xf numFmtId="0" fontId="0" fillId="12" borderId="1" xfId="0" applyFill="1" applyBorder="1" applyAlignment="1">
      <alignment horizontal="center" vertical="center"/>
    </xf>
    <xf numFmtId="0" fontId="3" fillId="7" borderId="0" xfId="0" applyFont="1" applyFill="1" applyAlignment="1">
      <alignment vertical="center"/>
    </xf>
    <xf numFmtId="0" fontId="1" fillId="6" borderId="8" xfId="0" applyFont="1" applyFill="1" applyBorder="1" applyAlignment="1">
      <alignment horizontal="left" vertical="center" wrapText="1"/>
    </xf>
    <xf numFmtId="0" fontId="0" fillId="7" borderId="8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9" fontId="9" fillId="7" borderId="8" xfId="1" applyFont="1" applyFill="1" applyBorder="1" applyAlignment="1">
      <alignment horizontal="left" vertical="center"/>
    </xf>
    <xf numFmtId="0" fontId="0" fillId="3" borderId="8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2" fontId="0" fillId="7" borderId="8" xfId="0" applyNumberFormat="1" applyFill="1" applyBorder="1" applyAlignment="1">
      <alignment horizontal="center" vertical="center"/>
    </xf>
    <xf numFmtId="164" fontId="0" fillId="7" borderId="8" xfId="1" applyNumberFormat="1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43" fontId="0" fillId="10" borderId="8" xfId="2" applyFont="1" applyFill="1" applyBorder="1" applyAlignment="1">
      <alignment horizontal="center" vertical="center" wrapText="1"/>
    </xf>
    <xf numFmtId="43" fontId="0" fillId="0" borderId="8" xfId="2" applyFont="1" applyBorder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4" xfId="0" applyFont="1" applyFill="1" applyBorder="1" applyAlignment="1">
      <alignment horizontal="center" vertical="center" wrapText="1"/>
    </xf>
    <xf numFmtId="0" fontId="10" fillId="6" borderId="15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8" xfId="0" applyBorder="1" applyAlignment="1">
      <alignment horizontal="center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2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4" fontId="0" fillId="0" borderId="25" xfId="0" applyNumberFormat="1" applyBorder="1" applyAlignment="1">
      <alignment horizontal="center" vertical="center"/>
    </xf>
    <xf numFmtId="2" fontId="0" fillId="7" borderId="25" xfId="0" applyNumberFormat="1" applyFill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43" fontId="0" fillId="7" borderId="25" xfId="2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9" fontId="0" fillId="0" borderId="25" xfId="1" applyFont="1" applyBorder="1" applyAlignment="1">
      <alignment horizontal="center" vertical="center"/>
    </xf>
    <xf numFmtId="4" fontId="0" fillId="0" borderId="14" xfId="0" applyNumberFormat="1" applyBorder="1" applyAlignment="1">
      <alignment horizontal="center" vertical="center"/>
    </xf>
    <xf numFmtId="2" fontId="0" fillId="7" borderId="14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43" fontId="0" fillId="7" borderId="14" xfId="2" applyFont="1" applyFill="1" applyBorder="1" applyAlignment="1">
      <alignment horizontal="center" vertical="center"/>
    </xf>
    <xf numFmtId="9" fontId="0" fillId="0" borderId="14" xfId="1" applyFont="1" applyBorder="1" applyAlignment="1">
      <alignment horizontal="center" vertical="center"/>
    </xf>
    <xf numFmtId="9" fontId="0" fillId="0" borderId="26" xfId="1" applyFont="1" applyBorder="1" applyAlignment="1">
      <alignment horizontal="center" vertical="center"/>
    </xf>
    <xf numFmtId="9" fontId="0" fillId="0" borderId="27" xfId="1" applyFont="1" applyBorder="1" applyAlignment="1">
      <alignment horizontal="center" vertical="center"/>
    </xf>
    <xf numFmtId="9" fontId="0" fillId="0" borderId="28" xfId="1" applyFont="1" applyBorder="1" applyAlignment="1">
      <alignment horizontal="center" vertical="center"/>
    </xf>
    <xf numFmtId="9" fontId="0" fillId="0" borderId="29" xfId="1" applyFont="1" applyBorder="1" applyAlignment="1">
      <alignment horizontal="center" vertical="center"/>
    </xf>
    <xf numFmtId="9" fontId="0" fillId="0" borderId="30" xfId="1" applyFont="1" applyBorder="1" applyAlignment="1">
      <alignment horizontal="center" vertical="center"/>
    </xf>
    <xf numFmtId="9" fontId="0" fillId="0" borderId="31" xfId="1" applyFont="1" applyBorder="1" applyAlignment="1">
      <alignment horizontal="center" vertical="center"/>
    </xf>
    <xf numFmtId="9" fontId="0" fillId="0" borderId="32" xfId="1" applyFont="1" applyBorder="1" applyAlignment="1">
      <alignment horizontal="center" vertical="center"/>
    </xf>
    <xf numFmtId="43" fontId="0" fillId="7" borderId="26" xfId="2" applyFont="1" applyFill="1" applyBorder="1" applyAlignment="1">
      <alignment horizontal="center" vertical="center"/>
    </xf>
    <xf numFmtId="43" fontId="0" fillId="7" borderId="27" xfId="2" applyFont="1" applyFill="1" applyBorder="1" applyAlignment="1">
      <alignment horizontal="center" vertical="center"/>
    </xf>
    <xf numFmtId="43" fontId="0" fillId="7" borderId="28" xfId="2" applyFont="1" applyFill="1" applyBorder="1" applyAlignment="1">
      <alignment horizontal="center" vertical="center"/>
    </xf>
    <xf numFmtId="43" fontId="0" fillId="7" borderId="29" xfId="2" applyFont="1" applyFill="1" applyBorder="1" applyAlignment="1">
      <alignment horizontal="center" vertical="center"/>
    </xf>
    <xf numFmtId="43" fontId="0" fillId="7" borderId="30" xfId="2" applyFont="1" applyFill="1" applyBorder="1" applyAlignment="1">
      <alignment horizontal="center" vertical="center"/>
    </xf>
    <xf numFmtId="43" fontId="0" fillId="7" borderId="32" xfId="2" applyFont="1" applyFill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0" fontId="0" fillId="3" borderId="22" xfId="0" applyFill="1" applyBorder="1" applyAlignment="1">
      <alignment horizontal="center" vertical="center" wrapText="1"/>
    </xf>
    <xf numFmtId="2" fontId="0" fillId="7" borderId="22" xfId="0" applyNumberFormat="1" applyFill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43" fontId="0" fillId="7" borderId="22" xfId="2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9" fontId="0" fillId="7" borderId="8" xfId="1" applyFont="1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4" fontId="0" fillId="0" borderId="25" xfId="0" applyNumberFormat="1" applyBorder="1" applyAlignment="1">
      <alignment horizontal="center" vertical="center" wrapText="1"/>
    </xf>
    <xf numFmtId="4" fontId="0" fillId="0" borderId="14" xfId="0" applyNumberFormat="1" applyBorder="1" applyAlignment="1">
      <alignment horizontal="center" vertical="center" wrapText="1"/>
    </xf>
    <xf numFmtId="2" fontId="0" fillId="12" borderId="25" xfId="0" applyNumberFormat="1" applyFill="1" applyBorder="1" applyAlignment="1">
      <alignment horizontal="center" vertical="center"/>
    </xf>
    <xf numFmtId="2" fontId="0" fillId="12" borderId="14" xfId="0" applyNumberFormat="1" applyFill="1" applyBorder="1" applyAlignment="1">
      <alignment horizontal="center" vertical="center"/>
    </xf>
    <xf numFmtId="0" fontId="27" fillId="0" borderId="8" xfId="0" applyFont="1" applyBorder="1" applyAlignment="1">
      <alignment horizontal="center" vertical="center" wrapText="1"/>
    </xf>
    <xf numFmtId="0" fontId="27" fillId="3" borderId="8" xfId="0" applyFont="1" applyFill="1" applyBorder="1" applyAlignment="1">
      <alignment horizontal="center" vertical="center" wrapText="1"/>
    </xf>
    <xf numFmtId="0" fontId="27" fillId="10" borderId="8" xfId="0" applyFont="1" applyFill="1" applyBorder="1" applyAlignment="1">
      <alignment horizontal="center" vertical="center" wrapText="1"/>
    </xf>
    <xf numFmtId="0" fontId="27" fillId="2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0" fontId="1" fillId="6" borderId="8" xfId="0" applyFont="1" applyFill="1" applyBorder="1" applyAlignment="1">
      <alignment horizontal="center" vertical="center" wrapText="1"/>
    </xf>
    <xf numFmtId="2" fontId="0" fillId="0" borderId="8" xfId="2" applyNumberFormat="1" applyFont="1" applyBorder="1" applyAlignment="1">
      <alignment horizontal="center" vertical="center"/>
    </xf>
    <xf numFmtId="0" fontId="1" fillId="6" borderId="21" xfId="0" applyFont="1" applyFill="1" applyBorder="1" applyAlignment="1">
      <alignment horizontal="left" vertical="center"/>
    </xf>
    <xf numFmtId="0" fontId="35" fillId="0" borderId="0" xfId="0" applyFont="1" applyAlignment="1">
      <alignment vertical="center" wrapText="1"/>
    </xf>
    <xf numFmtId="0" fontId="36" fillId="0" borderId="0" xfId="0" applyFont="1" applyAlignment="1">
      <alignment horizontal="center"/>
    </xf>
    <xf numFmtId="0" fontId="36" fillId="0" borderId="0" xfId="0" applyFont="1"/>
    <xf numFmtId="0" fontId="36" fillId="0" borderId="7" xfId="0" applyFont="1" applyBorder="1"/>
    <xf numFmtId="0" fontId="37" fillId="7" borderId="0" xfId="0" applyFont="1" applyFill="1"/>
    <xf numFmtId="0" fontId="38" fillId="0" borderId="0" xfId="0" applyFont="1" applyAlignment="1">
      <alignment wrapText="1"/>
    </xf>
    <xf numFmtId="0" fontId="36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36" fillId="12" borderId="0" xfId="0" applyFont="1" applyFill="1" applyAlignment="1">
      <alignment horizontal="center" vertical="center"/>
    </xf>
    <xf numFmtId="0" fontId="36" fillId="12" borderId="7" xfId="0" applyFont="1" applyFill="1" applyBorder="1" applyAlignment="1">
      <alignment horizontal="center" vertical="center"/>
    </xf>
    <xf numFmtId="0" fontId="36" fillId="7" borderId="0" xfId="0" applyFont="1" applyFill="1" applyAlignment="1">
      <alignment horizontal="center" vertical="center"/>
    </xf>
    <xf numFmtId="0" fontId="13" fillId="6" borderId="8" xfId="0" applyFont="1" applyFill="1" applyBorder="1" applyAlignment="1">
      <alignment horizontal="center" vertical="center" wrapText="1"/>
    </xf>
    <xf numFmtId="0" fontId="14" fillId="0" borderId="8" xfId="0" applyFont="1" applyBorder="1"/>
    <xf numFmtId="0" fontId="14" fillId="3" borderId="8" xfId="0" applyFont="1" applyFill="1" applyBorder="1"/>
    <xf numFmtId="0" fontId="16" fillId="0" borderId="0" xfId="0" applyFont="1"/>
    <xf numFmtId="0" fontId="15" fillId="6" borderId="8" xfId="0" applyFont="1" applyFill="1" applyBorder="1" applyAlignment="1">
      <alignment horizontal="center" vertical="center"/>
    </xf>
    <xf numFmtId="0" fontId="15" fillId="6" borderId="8" xfId="0" applyFont="1" applyFill="1" applyBorder="1" applyAlignment="1">
      <alignment horizontal="center" vertical="center" wrapText="1"/>
    </xf>
    <xf numFmtId="0" fontId="16" fillId="0" borderId="8" xfId="0" applyFont="1" applyBorder="1"/>
    <xf numFmtId="0" fontId="14" fillId="0" borderId="8" xfId="0" applyFont="1" applyBorder="1" applyAlignment="1">
      <alignment horizontal="left" vertical="center"/>
    </xf>
    <xf numFmtId="10" fontId="0" fillId="0" borderId="8" xfId="0" applyNumberFormat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37" fillId="7" borderId="0" xfId="0" applyFont="1" applyFill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0" fillId="6" borderId="8" xfId="0" applyFont="1" applyFill="1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4" fontId="0" fillId="0" borderId="8" xfId="0" applyNumberFormat="1" applyBorder="1" applyAlignment="1">
      <alignment horizontal="center"/>
    </xf>
    <xf numFmtId="164" fontId="14" fillId="7" borderId="8" xfId="1" applyNumberFormat="1" applyFont="1" applyFill="1" applyBorder="1" applyAlignment="1">
      <alignment horizontal="center" vertical="center"/>
    </xf>
    <xf numFmtId="0" fontId="14" fillId="7" borderId="8" xfId="2" applyNumberFormat="1" applyFont="1" applyFill="1" applyBorder="1" applyAlignment="1">
      <alignment horizontal="center" vertical="center"/>
    </xf>
    <xf numFmtId="9" fontId="14" fillId="7" borderId="8" xfId="1" applyFont="1" applyFill="1" applyBorder="1" applyAlignment="1">
      <alignment horizontal="center" vertical="center"/>
    </xf>
    <xf numFmtId="9" fontId="9" fillId="7" borderId="8" xfId="1" applyFont="1" applyFill="1" applyBorder="1" applyAlignment="1">
      <alignment horizontal="center" vertical="center"/>
    </xf>
    <xf numFmtId="4" fontId="0" fillId="10" borderId="23" xfId="0" applyNumberFormat="1" applyFill="1" applyBorder="1" applyAlignment="1">
      <alignment horizontal="center"/>
    </xf>
    <xf numFmtId="4" fontId="0" fillId="10" borderId="38" xfId="0" applyNumberFormat="1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27" fillId="10" borderId="21" xfId="0" applyFont="1" applyFill="1" applyBorder="1" applyAlignment="1">
      <alignment horizontal="center" vertical="center" wrapText="1"/>
    </xf>
    <xf numFmtId="0" fontId="27" fillId="17" borderId="8" xfId="0" applyFont="1" applyFill="1" applyBorder="1" applyAlignment="1">
      <alignment horizontal="center" vertical="center" wrapText="1"/>
    </xf>
    <xf numFmtId="0" fontId="0" fillId="10" borderId="22" xfId="0" applyFill="1" applyBorder="1" applyAlignment="1">
      <alignment horizontal="center"/>
    </xf>
    <xf numFmtId="164" fontId="9" fillId="7" borderId="8" xfId="1" applyNumberFormat="1" applyFont="1" applyFill="1" applyBorder="1" applyAlignment="1">
      <alignment horizontal="center" vertical="center"/>
    </xf>
    <xf numFmtId="0" fontId="15" fillId="6" borderId="14" xfId="0" applyFont="1" applyFill="1" applyBorder="1" applyAlignment="1">
      <alignment horizontal="center" vertical="center" wrapText="1"/>
    </xf>
    <xf numFmtId="9" fontId="0" fillId="0" borderId="14" xfId="0" applyNumberForma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0" fillId="6" borderId="52" xfId="0" applyFont="1" applyFill="1" applyBorder="1" applyAlignment="1">
      <alignment horizontal="center" vertical="center" wrapText="1"/>
    </xf>
    <xf numFmtId="0" fontId="10" fillId="6" borderId="53" xfId="0" applyFont="1" applyFill="1" applyBorder="1" applyAlignment="1">
      <alignment horizontal="center" vertical="center" wrapText="1"/>
    </xf>
    <xf numFmtId="0" fontId="39" fillId="0" borderId="0" xfId="0" applyFont="1" applyAlignment="1">
      <alignment vertical="center" wrapText="1"/>
    </xf>
    <xf numFmtId="0" fontId="40" fillId="0" borderId="34" xfId="0" applyFont="1" applyBorder="1" applyAlignment="1">
      <alignment horizontal="center" vertical="center" wrapText="1"/>
    </xf>
    <xf numFmtId="10" fontId="14" fillId="7" borderId="8" xfId="1" applyNumberFormat="1" applyFont="1" applyFill="1" applyBorder="1" applyAlignment="1">
      <alignment horizontal="center" vertical="center"/>
    </xf>
    <xf numFmtId="0" fontId="28" fillId="0" borderId="34" xfId="0" applyFont="1" applyBorder="1" applyAlignment="1">
      <alignment vertical="center" wrapText="1"/>
    </xf>
    <xf numFmtId="0" fontId="28" fillId="0" borderId="34" xfId="0" applyFont="1" applyBorder="1" applyAlignment="1">
      <alignment horizontal="center" vertical="center" wrapText="1"/>
    </xf>
    <xf numFmtId="0" fontId="32" fillId="0" borderId="34" xfId="0" applyFont="1" applyBorder="1" applyAlignment="1">
      <alignment horizontal="center" vertical="center" wrapText="1"/>
    </xf>
    <xf numFmtId="0" fontId="31" fillId="0" borderId="34" xfId="0" applyFont="1" applyBorder="1" applyAlignment="1">
      <alignment vertical="center" wrapText="1"/>
    </xf>
    <xf numFmtId="0" fontId="31" fillId="0" borderId="34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31" fillId="0" borderId="34" xfId="0" applyFont="1" applyBorder="1"/>
    <xf numFmtId="0" fontId="31" fillId="0" borderId="0" xfId="0" applyFont="1"/>
    <xf numFmtId="0" fontId="28" fillId="0" borderId="34" xfId="0" applyFont="1" applyBorder="1" applyAlignment="1">
      <alignment horizontal="center" vertical="center"/>
    </xf>
    <xf numFmtId="0" fontId="28" fillId="0" borderId="34" xfId="0" applyFont="1" applyBorder="1" applyAlignment="1">
      <alignment horizontal="left" vertical="center" wrapText="1"/>
    </xf>
    <xf numFmtId="0" fontId="31" fillId="0" borderId="34" xfId="0" applyFont="1" applyBorder="1" applyAlignment="1">
      <alignment horizontal="left"/>
    </xf>
    <xf numFmtId="0" fontId="31" fillId="0" borderId="8" xfId="0" applyFont="1" applyBorder="1"/>
    <xf numFmtId="0" fontId="31" fillId="0" borderId="34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45" fillId="0" borderId="34" xfId="0" applyFont="1" applyBorder="1" applyAlignment="1">
      <alignment horizontal="center" vertical="center" wrapText="1"/>
    </xf>
    <xf numFmtId="0" fontId="28" fillId="0" borderId="34" xfId="0" applyFont="1" applyBorder="1"/>
    <xf numFmtId="0" fontId="28" fillId="0" borderId="0" xfId="0" applyFont="1"/>
    <xf numFmtId="0" fontId="0" fillId="3" borderId="37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8" xfId="0" applyFill="1" applyBorder="1" applyAlignment="1">
      <alignment horizontal="left" vertical="center"/>
    </xf>
    <xf numFmtId="4" fontId="0" fillId="7" borderId="8" xfId="2" applyNumberFormat="1" applyFont="1" applyFill="1" applyBorder="1" applyAlignment="1">
      <alignment horizontal="center" vertical="center"/>
    </xf>
    <xf numFmtId="164" fontId="0" fillId="7" borderId="23" xfId="1" applyNumberFormat="1" applyFont="1" applyFill="1" applyBorder="1" applyAlignment="1">
      <alignment horizontal="center" vertical="center"/>
    </xf>
    <xf numFmtId="4" fontId="0" fillId="7" borderId="33" xfId="0" applyNumberFormat="1" applyFill="1" applyBorder="1" applyAlignment="1">
      <alignment horizontal="center" vertical="center"/>
    </xf>
    <xf numFmtId="4" fontId="0" fillId="7" borderId="8" xfId="0" applyNumberFormat="1" applyFill="1" applyBorder="1" applyAlignment="1">
      <alignment horizontal="center" vertical="center"/>
    </xf>
    <xf numFmtId="164" fontId="0" fillId="7" borderId="33" xfId="1" applyNumberFormat="1" applyFont="1" applyFill="1" applyBorder="1" applyAlignment="1">
      <alignment horizontal="center" vertical="center"/>
    </xf>
    <xf numFmtId="2" fontId="0" fillId="7" borderId="33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10" borderId="8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0" fillId="17" borderId="8" xfId="0" applyFill="1" applyBorder="1" applyAlignment="1">
      <alignment horizontal="left" vertical="center" wrapText="1"/>
    </xf>
    <xf numFmtId="0" fontId="0" fillId="17" borderId="34" xfId="0" applyFill="1" applyBorder="1" applyAlignment="1">
      <alignment horizontal="left" vertical="center"/>
    </xf>
    <xf numFmtId="0" fontId="0" fillId="18" borderId="34" xfId="0" applyFill="1" applyBorder="1" applyAlignment="1">
      <alignment horizontal="left" vertical="center"/>
    </xf>
    <xf numFmtId="0" fontId="0" fillId="6" borderId="34" xfId="0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13" borderId="34" xfId="0" applyFill="1" applyBorder="1" applyAlignment="1">
      <alignment horizontal="left" vertical="center"/>
    </xf>
    <xf numFmtId="0" fontId="0" fillId="0" borderId="0" xfId="0" applyAlignment="1">
      <alignment horizontal="right"/>
    </xf>
    <xf numFmtId="0" fontId="10" fillId="6" borderId="18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33" fillId="12" borderId="0" xfId="0" applyFont="1" applyFill="1" applyAlignment="1">
      <alignment horizontal="center" vertical="center"/>
    </xf>
    <xf numFmtId="0" fontId="0" fillId="0" borderId="21" xfId="0" applyBorder="1" applyAlignment="1">
      <alignment horizontal="center"/>
    </xf>
    <xf numFmtId="0" fontId="1" fillId="7" borderId="55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/>
    </xf>
    <xf numFmtId="0" fontId="0" fillId="0" borderId="58" xfId="0" applyBorder="1" applyAlignment="1">
      <alignment horizontal="center"/>
    </xf>
    <xf numFmtId="0" fontId="48" fillId="6" borderId="17" xfId="0" applyFont="1" applyFill="1" applyBorder="1" applyAlignment="1">
      <alignment horizontal="center" vertical="center" wrapText="1"/>
    </xf>
    <xf numFmtId="0" fontId="48" fillId="6" borderId="9" xfId="0" applyFont="1" applyFill="1" applyBorder="1" applyAlignment="1">
      <alignment horizontal="center" vertical="center" wrapText="1"/>
    </xf>
    <xf numFmtId="0" fontId="47" fillId="0" borderId="0" xfId="0" applyFont="1"/>
    <xf numFmtId="0" fontId="0" fillId="0" borderId="58" xfId="0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34" xfId="0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5" fillId="6" borderId="15" xfId="0" applyFont="1" applyFill="1" applyBorder="1" applyAlignment="1">
      <alignment horizontal="center" vertical="center" wrapText="1"/>
    </xf>
    <xf numFmtId="164" fontId="0" fillId="0" borderId="15" xfId="1" applyNumberFormat="1" applyFont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/>
    </xf>
    <xf numFmtId="0" fontId="24" fillId="0" borderId="0" xfId="0" applyFont="1"/>
    <xf numFmtId="0" fontId="0" fillId="0" borderId="68" xfId="0" applyBorder="1" applyAlignment="1">
      <alignment horizontal="center" vertical="center"/>
    </xf>
    <xf numFmtId="0" fontId="0" fillId="7" borderId="68" xfId="0" applyFill="1" applyBorder="1" applyAlignment="1">
      <alignment horizontal="center" vertical="center"/>
    </xf>
    <xf numFmtId="2" fontId="0" fillId="7" borderId="68" xfId="0" applyNumberFormat="1" applyFill="1" applyBorder="1" applyAlignment="1">
      <alignment horizontal="center" vertical="center"/>
    </xf>
    <xf numFmtId="0" fontId="0" fillId="6" borderId="68" xfId="0" applyFill="1" applyBorder="1" applyAlignment="1">
      <alignment horizontal="left" vertical="center" wrapText="1"/>
    </xf>
    <xf numFmtId="0" fontId="0" fillId="6" borderId="68" xfId="0" applyFill="1" applyBorder="1" applyAlignment="1">
      <alignment horizontal="left" vertical="center"/>
    </xf>
    <xf numFmtId="2" fontId="0" fillId="7" borderId="68" xfId="0" applyNumberFormat="1" applyFill="1" applyBorder="1" applyAlignment="1">
      <alignment horizontal="center" vertical="center" wrapText="1"/>
    </xf>
    <xf numFmtId="0" fontId="1" fillId="6" borderId="68" xfId="0" applyFont="1" applyFill="1" applyBorder="1" applyAlignment="1">
      <alignment horizontal="left" vertical="center" wrapText="1"/>
    </xf>
    <xf numFmtId="2" fontId="1" fillId="7" borderId="68" xfId="0" applyNumberFormat="1" applyFont="1" applyFill="1" applyBorder="1" applyAlignment="1">
      <alignment horizontal="center" vertical="center"/>
    </xf>
    <xf numFmtId="2" fontId="0" fillId="5" borderId="68" xfId="0" applyNumberFormat="1" applyFill="1" applyBorder="1" applyAlignment="1">
      <alignment horizontal="center" vertical="center"/>
    </xf>
    <xf numFmtId="0" fontId="0" fillId="0" borderId="34" xfId="0" applyBorder="1"/>
    <xf numFmtId="0" fontId="1" fillId="0" borderId="3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0" fillId="0" borderId="34" xfId="0" applyBorder="1" applyAlignment="1">
      <alignment horizontal="left" vertical="center"/>
    </xf>
    <xf numFmtId="2" fontId="0" fillId="0" borderId="34" xfId="0" applyNumberFormat="1" applyBorder="1" applyAlignment="1">
      <alignment horizontal="center" vertical="center"/>
    </xf>
    <xf numFmtId="165" fontId="0" fillId="0" borderId="34" xfId="0" applyNumberFormat="1" applyBorder="1" applyAlignment="1">
      <alignment horizontal="center" vertical="center"/>
    </xf>
    <xf numFmtId="0" fontId="0" fillId="6" borderId="34" xfId="0" applyFill="1" applyBorder="1" applyAlignment="1">
      <alignment vertical="center" wrapText="1"/>
    </xf>
    <xf numFmtId="2" fontId="0" fillId="7" borderId="34" xfId="0" applyNumberForma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left" vertical="center" wrapText="1"/>
    </xf>
    <xf numFmtId="2" fontId="1" fillId="7" borderId="34" xfId="0" applyNumberFormat="1" applyFont="1" applyFill="1" applyBorder="1" applyAlignment="1">
      <alignment horizontal="center" vertical="center"/>
    </xf>
    <xf numFmtId="0" fontId="0" fillId="6" borderId="69" xfId="0" applyFill="1" applyBorder="1" applyAlignment="1">
      <alignment horizontal="left" vertical="center" wrapText="1"/>
    </xf>
    <xf numFmtId="0" fontId="0" fillId="0" borderId="70" xfId="0" applyBorder="1" applyAlignment="1">
      <alignment horizontal="center" vertical="center"/>
    </xf>
    <xf numFmtId="0" fontId="0" fillId="6" borderId="71" xfId="0" applyFill="1" applyBorder="1" applyAlignment="1">
      <alignment horizontal="left" vertical="center" wrapText="1"/>
    </xf>
    <xf numFmtId="0" fontId="0" fillId="0" borderId="72" xfId="0" applyBorder="1" applyAlignment="1">
      <alignment horizontal="center" vertical="center"/>
    </xf>
    <xf numFmtId="2" fontId="0" fillId="7" borderId="72" xfId="0" applyNumberForma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2" fontId="1" fillId="7" borderId="48" xfId="0" applyNumberFormat="1" applyFont="1" applyFill="1" applyBorder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0" fontId="1" fillId="6" borderId="71" xfId="0" applyFont="1" applyFill="1" applyBorder="1" applyAlignment="1">
      <alignment horizontal="left" vertical="center" wrapText="1"/>
    </xf>
    <xf numFmtId="0" fontId="0" fillId="0" borderId="73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7" borderId="70" xfId="0" applyFill="1" applyBorder="1" applyAlignment="1">
      <alignment horizontal="center" vertical="center"/>
    </xf>
    <xf numFmtId="0" fontId="0" fillId="7" borderId="72" xfId="0" applyFill="1" applyBorder="1" applyAlignment="1">
      <alignment horizontal="center" vertical="center"/>
    </xf>
    <xf numFmtId="0" fontId="0" fillId="7" borderId="48" xfId="0" applyFill="1" applyBorder="1" applyAlignment="1">
      <alignment horizontal="center" vertical="center"/>
    </xf>
    <xf numFmtId="2" fontId="0" fillId="7" borderId="48" xfId="0" applyNumberFormat="1" applyFill="1" applyBorder="1" applyAlignment="1">
      <alignment horizontal="center" vertical="center"/>
    </xf>
    <xf numFmtId="0" fontId="10" fillId="6" borderId="82" xfId="0" applyFont="1" applyFill="1" applyBorder="1" applyAlignment="1">
      <alignment horizontal="center" vertical="center" wrapText="1"/>
    </xf>
    <xf numFmtId="0" fontId="10" fillId="6" borderId="83" xfId="0" applyFont="1" applyFill="1" applyBorder="1" applyAlignment="1">
      <alignment horizontal="center" vertical="center" wrapText="1"/>
    </xf>
    <xf numFmtId="0" fontId="10" fillId="6" borderId="84" xfId="0" applyFont="1" applyFill="1" applyBorder="1" applyAlignment="1">
      <alignment horizontal="center" vertical="center" wrapText="1"/>
    </xf>
    <xf numFmtId="4" fontId="1" fillId="0" borderId="47" xfId="2" applyNumberFormat="1" applyFont="1" applyFill="1" applyBorder="1" applyAlignment="1">
      <alignment horizontal="center" vertical="center"/>
    </xf>
    <xf numFmtId="4" fontId="1" fillId="0" borderId="48" xfId="2" applyNumberFormat="1" applyFont="1" applyFill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1" fillId="7" borderId="50" xfId="0" applyFont="1" applyFill="1" applyBorder="1" applyAlignment="1">
      <alignment vertical="center" wrapText="1"/>
    </xf>
    <xf numFmtId="4" fontId="0" fillId="7" borderId="52" xfId="0" applyNumberFormat="1" applyFill="1" applyBorder="1" applyAlignment="1">
      <alignment horizontal="center" vertical="center"/>
    </xf>
    <xf numFmtId="4" fontId="0" fillId="7" borderId="85" xfId="0" applyNumberFormat="1" applyFill="1" applyBorder="1" applyAlignment="1">
      <alignment horizontal="center" vertical="center"/>
    </xf>
    <xf numFmtId="4" fontId="0" fillId="7" borderId="86" xfId="0" applyNumberFormat="1" applyFill="1" applyBorder="1" applyAlignment="1">
      <alignment horizontal="center" vertical="center"/>
    </xf>
    <xf numFmtId="4" fontId="0" fillId="7" borderId="53" xfId="0" applyNumberFormat="1" applyFill="1" applyBorder="1" applyAlignment="1">
      <alignment horizontal="center" vertical="center"/>
    </xf>
    <xf numFmtId="9" fontId="0" fillId="11" borderId="0" xfId="0" applyNumberForma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164" fontId="0" fillId="11" borderId="0" xfId="1" applyNumberFormat="1" applyFont="1" applyFill="1" applyBorder="1" applyAlignment="1">
      <alignment horizontal="center" vertical="center"/>
    </xf>
    <xf numFmtId="2" fontId="0" fillId="7" borderId="8" xfId="2" applyNumberFormat="1" applyFont="1" applyFill="1" applyBorder="1" applyAlignment="1">
      <alignment horizontal="center" vertical="center"/>
    </xf>
    <xf numFmtId="165" fontId="0" fillId="7" borderId="8" xfId="0" applyNumberFormat="1" applyFill="1" applyBorder="1" applyAlignment="1">
      <alignment horizontal="center" vertical="center"/>
    </xf>
    <xf numFmtId="43" fontId="0" fillId="10" borderId="22" xfId="0" applyNumberFormat="1" applyFill="1" applyBorder="1" applyAlignment="1">
      <alignment horizontal="center"/>
    </xf>
    <xf numFmtId="0" fontId="11" fillId="0" borderId="0" xfId="0" applyFont="1"/>
    <xf numFmtId="0" fontId="1" fillId="6" borderId="21" xfId="0" applyFont="1" applyFill="1" applyBorder="1" applyAlignment="1">
      <alignment horizontal="left" vertical="center" wrapText="1"/>
    </xf>
    <xf numFmtId="165" fontId="0" fillId="7" borderId="87" xfId="0" applyNumberForma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0" fillId="7" borderId="0" xfId="0" applyFill="1"/>
    <xf numFmtId="0" fontId="35" fillId="7" borderId="0" xfId="0" applyFont="1" applyFill="1" applyAlignment="1">
      <alignment vertical="center" wrapText="1"/>
    </xf>
    <xf numFmtId="0" fontId="11" fillId="7" borderId="0" xfId="0" applyFont="1" applyFill="1"/>
    <xf numFmtId="0" fontId="2" fillId="3" borderId="8" xfId="0" applyFont="1" applyFill="1" applyBorder="1" applyAlignment="1">
      <alignment horizontal="center" vertical="center" wrapText="1"/>
    </xf>
    <xf numFmtId="2" fontId="1" fillId="7" borderId="8" xfId="0" applyNumberFormat="1" applyFont="1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7" fillId="0" borderId="7" xfId="0" applyFont="1" applyBorder="1"/>
    <xf numFmtId="0" fontId="64" fillId="7" borderId="0" xfId="0" applyFont="1" applyFill="1"/>
    <xf numFmtId="0" fontId="47" fillId="7" borderId="0" xfId="0" applyFont="1" applyFill="1"/>
    <xf numFmtId="0" fontId="47" fillId="0" borderId="0" xfId="0" applyFont="1" applyAlignment="1">
      <alignment horizontal="center" vertical="center"/>
    </xf>
    <xf numFmtId="0" fontId="65" fillId="0" borderId="0" xfId="0" applyFont="1" applyAlignment="1">
      <alignment horizontal="center" vertical="center" wrapText="1"/>
    </xf>
    <xf numFmtId="0" fontId="47" fillId="0" borderId="0" xfId="0" applyFont="1" applyAlignment="1">
      <alignment horizontal="center"/>
    </xf>
    <xf numFmtId="166" fontId="1" fillId="7" borderId="8" xfId="0" applyNumberFormat="1" applyFont="1" applyFill="1" applyBorder="1" applyAlignment="1">
      <alignment horizontal="center" vertical="center" wrapText="1"/>
    </xf>
    <xf numFmtId="0" fontId="1" fillId="6" borderId="91" xfId="0" applyFont="1" applyFill="1" applyBorder="1" applyAlignment="1">
      <alignment horizontal="center" vertical="center" wrapText="1"/>
    </xf>
    <xf numFmtId="0" fontId="1" fillId="6" borderId="92" xfId="0" applyFont="1" applyFill="1" applyBorder="1" applyAlignment="1">
      <alignment horizontal="center" vertical="center" wrapText="1"/>
    </xf>
    <xf numFmtId="0" fontId="1" fillId="6" borderId="93" xfId="0" applyFont="1" applyFill="1" applyBorder="1" applyAlignment="1">
      <alignment horizontal="center" vertical="center" wrapText="1"/>
    </xf>
    <xf numFmtId="0" fontId="0" fillId="0" borderId="94" xfId="0" applyBorder="1"/>
    <xf numFmtId="0" fontId="1" fillId="6" borderId="95" xfId="0" applyFont="1" applyFill="1" applyBorder="1" applyAlignment="1">
      <alignment horizontal="center" vertical="center" wrapText="1"/>
    </xf>
    <xf numFmtId="0" fontId="1" fillId="6" borderId="96" xfId="0" applyFont="1" applyFill="1" applyBorder="1" applyAlignment="1">
      <alignment horizontal="left" vertical="center"/>
    </xf>
    <xf numFmtId="164" fontId="0" fillId="7" borderId="97" xfId="1" applyNumberFormat="1" applyFont="1" applyFill="1" applyBorder="1" applyAlignment="1">
      <alignment horizontal="center" vertical="center"/>
    </xf>
    <xf numFmtId="4" fontId="24" fillId="7" borderId="99" xfId="0" applyNumberFormat="1" applyFont="1" applyFill="1" applyBorder="1" applyAlignment="1">
      <alignment horizontal="center" vertical="center"/>
    </xf>
    <xf numFmtId="164" fontId="24" fillId="7" borderId="100" xfId="1" applyNumberFormat="1" applyFont="1" applyFill="1" applyBorder="1" applyAlignment="1">
      <alignment horizontal="center" vertical="center"/>
    </xf>
    <xf numFmtId="2" fontId="24" fillId="0" borderId="99" xfId="0" applyNumberFormat="1" applyFont="1" applyBorder="1" applyAlignment="1">
      <alignment horizontal="center" vertical="center"/>
    </xf>
    <xf numFmtId="0" fontId="0" fillId="0" borderId="101" xfId="0" applyBorder="1"/>
    <xf numFmtId="164" fontId="24" fillId="7" borderId="102" xfId="1" applyNumberFormat="1" applyFont="1" applyFill="1" applyBorder="1" applyAlignment="1">
      <alignment horizontal="center" vertical="center"/>
    </xf>
    <xf numFmtId="0" fontId="13" fillId="6" borderId="21" xfId="0" applyFont="1" applyFill="1" applyBorder="1" applyAlignment="1">
      <alignment horizontal="center" vertical="center" wrapText="1"/>
    </xf>
    <xf numFmtId="0" fontId="14" fillId="0" borderId="21" xfId="0" applyFont="1" applyBorder="1"/>
    <xf numFmtId="166" fontId="0" fillId="0" borderId="8" xfId="0" applyNumberFormat="1" applyBorder="1" applyAlignment="1">
      <alignment horizontal="center" vertical="center"/>
    </xf>
    <xf numFmtId="0" fontId="24" fillId="6" borderId="98" xfId="0" applyFont="1" applyFill="1" applyBorder="1" applyAlignment="1">
      <alignment horizontal="center" vertical="center"/>
    </xf>
    <xf numFmtId="2" fontId="0" fillId="0" borderId="47" xfId="2" applyNumberFormat="1" applyFont="1" applyFill="1" applyBorder="1" applyAlignment="1">
      <alignment horizontal="center" vertical="center"/>
    </xf>
    <xf numFmtId="2" fontId="0" fillId="0" borderId="71" xfId="2" applyNumberFormat="1" applyFont="1" applyFill="1" applyBorder="1" applyAlignment="1">
      <alignment horizontal="center" vertical="center"/>
    </xf>
    <xf numFmtId="2" fontId="0" fillId="0" borderId="48" xfId="2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31" fillId="0" borderId="1" xfId="0" applyFont="1" applyBorder="1"/>
    <xf numFmtId="43" fontId="0" fillId="0" borderId="0" xfId="0" applyNumberFormat="1"/>
    <xf numFmtId="0" fontId="1" fillId="7" borderId="8" xfId="0" applyFont="1" applyFill="1" applyBorder="1" applyAlignment="1">
      <alignment vertical="center"/>
    </xf>
    <xf numFmtId="43" fontId="1" fillId="7" borderId="8" xfId="0" applyNumberFormat="1" applyFont="1" applyFill="1" applyBorder="1" applyAlignment="1">
      <alignment vertical="center"/>
    </xf>
    <xf numFmtId="4" fontId="0" fillId="0" borderId="0" xfId="0" applyNumberFormat="1"/>
    <xf numFmtId="166" fontId="0" fillId="7" borderId="8" xfId="0" applyNumberFormat="1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1" fillId="6" borderId="34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 wrapText="1"/>
    </xf>
    <xf numFmtId="0" fontId="1" fillId="3" borderId="34" xfId="0" applyFont="1" applyFill="1" applyBorder="1" applyAlignment="1">
      <alignment horizontal="center" vertical="center" wrapText="1"/>
    </xf>
    <xf numFmtId="0" fontId="6" fillId="10" borderId="34" xfId="0" applyFont="1" applyFill="1" applyBorder="1"/>
    <xf numFmtId="0" fontId="6" fillId="10" borderId="34" xfId="0" applyFont="1" applyFill="1" applyBorder="1" applyAlignment="1">
      <alignment horizontal="center" vertical="center"/>
    </xf>
    <xf numFmtId="0" fontId="1" fillId="50" borderId="34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Fill="1"/>
    <xf numFmtId="0" fontId="6" fillId="10" borderId="34" xfId="0" applyFont="1" applyFill="1" applyBorder="1" applyAlignment="1">
      <alignment horizontal="center"/>
    </xf>
    <xf numFmtId="0" fontId="6" fillId="12" borderId="34" xfId="0" applyFont="1" applyFill="1" applyBorder="1"/>
    <xf numFmtId="0" fontId="6" fillId="12" borderId="34" xfId="0" applyFont="1" applyFill="1" applyBorder="1" applyAlignment="1">
      <alignment horizontal="center"/>
    </xf>
    <xf numFmtId="0" fontId="6" fillId="4" borderId="34" xfId="0" applyFont="1" applyFill="1" applyBorder="1"/>
    <xf numFmtId="2" fontId="6" fillId="12" borderId="34" xfId="0" applyNumberFormat="1" applyFont="1" applyFill="1" applyBorder="1" applyAlignment="1">
      <alignment horizontal="center"/>
    </xf>
    <xf numFmtId="0" fontId="6" fillId="4" borderId="34" xfId="0" applyFont="1" applyFill="1" applyBorder="1" applyAlignment="1">
      <alignment horizontal="center" vertical="center"/>
    </xf>
    <xf numFmtId="0" fontId="6" fillId="2" borderId="34" xfId="0" applyFont="1" applyFill="1" applyBorder="1"/>
    <xf numFmtId="0" fontId="27" fillId="8" borderId="8" xfId="0" applyFont="1" applyFill="1" applyBorder="1" applyAlignment="1">
      <alignment horizontal="center" vertical="center" wrapText="1"/>
    </xf>
    <xf numFmtId="0" fontId="27" fillId="0" borderId="8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34" xfId="0" applyBorder="1" applyAlignment="1">
      <alignment horizontal="left" vertical="center" wrapText="1"/>
    </xf>
    <xf numFmtId="0" fontId="0" fillId="0" borderId="34" xfId="0" quotePrefix="1" applyBorder="1" applyAlignment="1">
      <alignment horizontal="left" vertical="center" wrapText="1"/>
    </xf>
    <xf numFmtId="0" fontId="0" fillId="0" borderId="34" xfId="0" applyBorder="1" applyAlignment="1">
      <alignment horizontal="left" vertical="center"/>
    </xf>
    <xf numFmtId="14" fontId="46" fillId="0" borderId="34" xfId="0" applyNumberFormat="1" applyFont="1" applyBorder="1" applyAlignment="1">
      <alignment horizontal="left" vertical="center"/>
    </xf>
    <xf numFmtId="0" fontId="46" fillId="0" borderId="34" xfId="0" applyFont="1" applyBorder="1" applyAlignment="1">
      <alignment horizontal="left" vertical="center"/>
    </xf>
    <xf numFmtId="0" fontId="33" fillId="12" borderId="1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0" fontId="1" fillId="7" borderId="21" xfId="0" applyFont="1" applyFill="1" applyBorder="1" applyAlignment="1">
      <alignment horizontal="left" vertical="center" wrapText="1"/>
    </xf>
    <xf numFmtId="0" fontId="1" fillId="7" borderId="2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1" fillId="6" borderId="35" xfId="0" applyFont="1" applyFill="1" applyBorder="1" applyAlignment="1">
      <alignment horizontal="center" vertical="center" wrapText="1"/>
    </xf>
    <xf numFmtId="0" fontId="1" fillId="6" borderId="39" xfId="0" applyFont="1" applyFill="1" applyBorder="1" applyAlignment="1">
      <alignment horizontal="center" vertical="center" wrapText="1"/>
    </xf>
    <xf numFmtId="0" fontId="1" fillId="6" borderId="36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0" fillId="6" borderId="36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" fillId="6" borderId="88" xfId="0" applyFont="1" applyFill="1" applyBorder="1" applyAlignment="1">
      <alignment horizontal="center" vertical="center" wrapText="1"/>
    </xf>
    <xf numFmtId="0" fontId="1" fillId="6" borderId="40" xfId="0" applyFont="1" applyFill="1" applyBorder="1" applyAlignment="1">
      <alignment horizontal="center" vertical="center" wrapText="1"/>
    </xf>
    <xf numFmtId="0" fontId="10" fillId="6" borderId="49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0" fillId="6" borderId="89" xfId="0" applyFont="1" applyFill="1" applyBorder="1" applyAlignment="1">
      <alignment horizontal="center" vertical="center" wrapText="1"/>
    </xf>
    <xf numFmtId="0" fontId="10" fillId="6" borderId="90" xfId="0" applyFont="1" applyFill="1" applyBorder="1" applyAlignment="1">
      <alignment horizontal="center" vertical="center" wrapText="1"/>
    </xf>
    <xf numFmtId="0" fontId="48" fillId="6" borderId="17" xfId="0" applyFont="1" applyFill="1" applyBorder="1" applyAlignment="1">
      <alignment horizontal="center" vertical="center" wrapText="1"/>
    </xf>
    <xf numFmtId="0" fontId="48" fillId="6" borderId="9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10" fillId="6" borderId="19" xfId="0" applyFont="1" applyFill="1" applyBorder="1" applyAlignment="1">
      <alignment horizontal="center" vertical="center" wrapText="1"/>
    </xf>
    <xf numFmtId="0" fontId="1" fillId="7" borderId="37" xfId="0" applyFont="1" applyFill="1" applyBorder="1" applyAlignment="1">
      <alignment horizontal="center" vertical="center" wrapText="1"/>
    </xf>
    <xf numFmtId="0" fontId="1" fillId="7" borderId="23" xfId="0" applyFont="1" applyFill="1" applyBorder="1" applyAlignment="1">
      <alignment horizontal="center" vertical="center" wrapText="1"/>
    </xf>
    <xf numFmtId="0" fontId="10" fillId="6" borderId="56" xfId="0" applyFont="1" applyFill="1" applyBorder="1" applyAlignment="1">
      <alignment horizontal="center" vertical="center" wrapText="1"/>
    </xf>
    <xf numFmtId="0" fontId="10" fillId="6" borderId="57" xfId="0" applyFont="1" applyFill="1" applyBorder="1" applyAlignment="1">
      <alignment horizontal="center" vertical="center" wrapText="1"/>
    </xf>
    <xf numFmtId="0" fontId="1" fillId="10" borderId="54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7" borderId="1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40" xfId="0" applyFont="1" applyFill="1" applyBorder="1" applyAlignment="1">
      <alignment horizontal="center" vertical="center" wrapText="1"/>
    </xf>
    <xf numFmtId="0" fontId="26" fillId="6" borderId="43" xfId="0" applyFont="1" applyFill="1" applyBorder="1" applyAlignment="1">
      <alignment horizontal="center" vertical="center" wrapText="1"/>
    </xf>
    <xf numFmtId="0" fontId="10" fillId="6" borderId="44" xfId="0" applyFont="1" applyFill="1" applyBorder="1" applyAlignment="1">
      <alignment horizontal="center" vertical="center" wrapText="1"/>
    </xf>
    <xf numFmtId="0" fontId="1" fillId="7" borderId="47" xfId="0" applyFont="1" applyFill="1" applyBorder="1" applyAlignment="1">
      <alignment horizontal="center" vertical="center" wrapText="1"/>
    </xf>
    <xf numFmtId="0" fontId="1" fillId="7" borderId="48" xfId="0" applyFont="1" applyFill="1" applyBorder="1" applyAlignment="1">
      <alignment horizontal="center" vertical="center" wrapText="1"/>
    </xf>
    <xf numFmtId="0" fontId="49" fillId="6" borderId="42" xfId="0" applyFont="1" applyFill="1" applyBorder="1" applyAlignment="1">
      <alignment horizontal="center" vertical="center" wrapText="1"/>
    </xf>
    <xf numFmtId="0" fontId="10" fillId="7" borderId="16" xfId="0" applyFont="1" applyFill="1" applyBorder="1" applyAlignment="1">
      <alignment horizontal="center" vertical="center" wrapText="1"/>
    </xf>
    <xf numFmtId="0" fontId="10" fillId="7" borderId="18" xfId="0" applyFont="1" applyFill="1" applyBorder="1" applyAlignment="1">
      <alignment horizontal="center" vertical="center" wrapText="1"/>
    </xf>
    <xf numFmtId="0" fontId="10" fillId="7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1" fillId="7" borderId="50" xfId="0" applyFont="1" applyFill="1" applyBorder="1" applyAlignment="1">
      <alignment horizontal="center" vertical="center" wrapText="1"/>
    </xf>
    <xf numFmtId="0" fontId="1" fillId="7" borderId="81" xfId="0" applyFont="1" applyFill="1" applyBorder="1" applyAlignment="1">
      <alignment horizontal="center" vertical="center" wrapText="1"/>
    </xf>
    <xf numFmtId="0" fontId="1" fillId="7" borderId="51" xfId="0" applyFont="1" applyFill="1" applyBorder="1" applyAlignment="1">
      <alignment horizontal="center" vertical="center" wrapText="1"/>
    </xf>
    <xf numFmtId="0" fontId="1" fillId="7" borderId="74" xfId="0" applyFont="1" applyFill="1" applyBorder="1" applyAlignment="1">
      <alignment horizontal="center" vertical="center"/>
    </xf>
    <xf numFmtId="0" fontId="0" fillId="6" borderId="47" xfId="0" applyFill="1" applyBorder="1" applyAlignment="1">
      <alignment vertical="center" wrapText="1"/>
    </xf>
    <xf numFmtId="0" fontId="1" fillId="6" borderId="13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63" fillId="0" borderId="83" xfId="0" applyFont="1" applyBorder="1" applyAlignment="1">
      <alignment horizontal="center" vertical="center" wrapText="1"/>
    </xf>
    <xf numFmtId="0" fontId="6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5" fillId="6" borderId="8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/>
    </xf>
    <xf numFmtId="0" fontId="16" fillId="7" borderId="87" xfId="0" applyFont="1" applyFill="1" applyBorder="1" applyAlignment="1">
      <alignment horizontal="center" vertical="center" wrapText="1"/>
    </xf>
    <xf numFmtId="0" fontId="16" fillId="7" borderId="103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5" fillId="6" borderId="8" xfId="0" applyFont="1" applyFill="1" applyBorder="1" applyAlignment="1">
      <alignment horizontal="center" vertical="center" wrapText="1"/>
    </xf>
    <xf numFmtId="0" fontId="15" fillId="6" borderId="21" xfId="0" applyFont="1" applyFill="1" applyBorder="1" applyAlignment="1">
      <alignment horizontal="center" vertical="center" wrapText="1"/>
    </xf>
    <xf numFmtId="0" fontId="16" fillId="7" borderId="8" xfId="0" applyFont="1" applyFill="1" applyBorder="1" applyAlignment="1">
      <alignment horizontal="center" vertical="center" wrapText="1"/>
    </xf>
    <xf numFmtId="0" fontId="16" fillId="7" borderId="21" xfId="0" applyFont="1" applyFill="1" applyBorder="1" applyAlignment="1">
      <alignment horizontal="center" vertical="center" wrapText="1"/>
    </xf>
    <xf numFmtId="0" fontId="16" fillId="7" borderId="8" xfId="0" applyFont="1" applyFill="1" applyBorder="1" applyAlignment="1">
      <alignment horizontal="center" vertical="center"/>
    </xf>
    <xf numFmtId="0" fontId="15" fillId="7" borderId="8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0" fontId="67" fillId="0" borderId="104" xfId="0" applyFont="1" applyBorder="1" applyAlignment="1">
      <alignment horizontal="center" wrapText="1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27" fillId="2" borderId="47" xfId="0" applyFont="1" applyFill="1" applyBorder="1" applyAlignment="1">
      <alignment horizontal="center" vertical="center" wrapText="1"/>
    </xf>
    <xf numFmtId="0" fontId="27" fillId="2" borderId="48" xfId="0" applyFont="1" applyFill="1" applyBorder="1" applyAlignment="1">
      <alignment horizontal="center" vertical="center" wrapText="1"/>
    </xf>
    <xf numFmtId="0" fontId="1" fillId="6" borderId="50" xfId="0" applyFont="1" applyFill="1" applyBorder="1" applyAlignment="1">
      <alignment horizontal="center" vertical="center"/>
    </xf>
    <xf numFmtId="0" fontId="1" fillId="6" borderId="81" xfId="0" applyFont="1" applyFill="1" applyBorder="1" applyAlignment="1">
      <alignment horizontal="center" vertical="center"/>
    </xf>
    <xf numFmtId="0" fontId="1" fillId="6" borderId="51" xfId="0" applyFont="1" applyFill="1" applyBorder="1" applyAlignment="1">
      <alignment horizontal="center" vertical="center"/>
    </xf>
    <xf numFmtId="0" fontId="31" fillId="0" borderId="34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1" fillId="0" borderId="55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0" fontId="17" fillId="0" borderId="0" xfId="0" applyFont="1" applyAlignment="1">
      <alignment horizontal="center"/>
    </xf>
    <xf numFmtId="0" fontId="19" fillId="9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  <xf numFmtId="168" fontId="0" fillId="0" borderId="8" xfId="2" applyNumberFormat="1" applyFont="1" applyBorder="1" applyAlignment="1">
      <alignment horizontal="center" vertical="center" wrapText="1"/>
    </xf>
  </cellXfs>
  <cellStyles count="44">
    <cellStyle name="20% - Ênfase1" xfId="20" builtinId="30" customBuiltin="1"/>
    <cellStyle name="20% - Ênfase2" xfId="23" builtinId="34" customBuiltin="1"/>
    <cellStyle name="20% - Ênfase3" xfId="26" builtinId="38" customBuiltin="1"/>
    <cellStyle name="20% - Ênfase4" xfId="29" builtinId="42" customBuiltin="1"/>
    <cellStyle name="20% - Ênfase5" xfId="32" builtinId="46" customBuiltin="1"/>
    <cellStyle name="20% - Ênfase6" xfId="35" builtinId="50" customBuiltin="1"/>
    <cellStyle name="40% - Ênfase1" xfId="21" builtinId="31" customBuiltin="1"/>
    <cellStyle name="40% - Ênfase2" xfId="24" builtinId="35" customBuiltin="1"/>
    <cellStyle name="40% - Ênfase3" xfId="27" builtinId="39" customBuiltin="1"/>
    <cellStyle name="40% - Ênfase4" xfId="30" builtinId="43" customBuiltin="1"/>
    <cellStyle name="40% - Ênfase5" xfId="33" builtinId="47" customBuiltin="1"/>
    <cellStyle name="40% - Ênfase6" xfId="36" builtinId="51" customBuiltin="1"/>
    <cellStyle name="60% - Ênfase1 2" xfId="38" xr:uid="{F001BF48-1EE9-466C-B425-D7553D92CD89}"/>
    <cellStyle name="60% - Ênfase2 2" xfId="39" xr:uid="{368398CD-9A75-4852-9EFD-18B9AB38B2F8}"/>
    <cellStyle name="60% - Ênfase3 2" xfId="40" xr:uid="{28681E65-1F7A-4D02-B385-0CC6331F5A28}"/>
    <cellStyle name="60% - Ênfase4 2" xfId="41" xr:uid="{B8FE7433-4C1F-4812-BF8F-744FE81450DA}"/>
    <cellStyle name="60% - Ênfase5 2" xfId="42" xr:uid="{54E9CF60-C88C-4C55-9E31-BD2FA3143281}"/>
    <cellStyle name="60% - Ênfase6 2" xfId="43" xr:uid="{1C5D4C54-8F4B-4B18-94F6-1F227A1C04F3}"/>
    <cellStyle name="Bom" xfId="8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2" builtinId="33" customBuiltin="1"/>
    <cellStyle name="Ênfase3" xfId="25" builtinId="37" customBuiltin="1"/>
    <cellStyle name="Ênfase4" xfId="28" builtinId="41" customBuiltin="1"/>
    <cellStyle name="Ênfase5" xfId="31" builtinId="45" customBuiltin="1"/>
    <cellStyle name="Ênfase6" xfId="34" builtinId="49" customBuiltin="1"/>
    <cellStyle name="Entrada" xfId="10" builtinId="20" customBuiltin="1"/>
    <cellStyle name="Neutro 2" xfId="37" xr:uid="{868DC710-44F5-48B6-A925-B329B2763E17}"/>
    <cellStyle name="Normal" xfId="0" builtinId="0"/>
    <cellStyle name="Nota" xfId="16" builtinId="10" customBuiltin="1"/>
    <cellStyle name="Porcentagem" xfId="1" builtinId="5"/>
    <cellStyle name="Ruim" xfId="9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8" builtinId="25" customBuiltin="1"/>
    <cellStyle name="Vírgula" xfId="2" builtinId="3"/>
  </cellStyles>
  <dxfs count="88"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color auto="1"/>
      </font>
      <fill>
        <patternFill>
          <fgColor rgb="FF92D050"/>
          <bgColor theme="6" tint="0.3999450666829432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solid">
          <fgColor theme="0"/>
          <bgColor theme="8" tint="0.59996337778862885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0000"/>
      <color rgb="FFFFFFFF"/>
      <color rgb="FFFF6600"/>
      <color rgb="FFFF0000"/>
      <color rgb="FFFF996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Consumo dos sistemas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Resultados!$D$32</c:f>
              <c:strCache>
                <c:ptCount val="1"/>
                <c:pt idx="0">
                  <c:v>Condição de Referência (kWh/ano)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Resultados!$C$33:$C$38</c:f>
              <c:strCache>
                <c:ptCount val="6"/>
                <c:pt idx="0">
                  <c:v>Envoltória (carga térmica)</c:v>
                </c:pt>
                <c:pt idx="1">
                  <c:v>Ar Condicionado</c:v>
                </c:pt>
                <c:pt idx="2">
                  <c:v>Iluminação</c:v>
                </c:pt>
                <c:pt idx="3">
                  <c:v>Aquecimento de Água</c:v>
                </c:pt>
                <c:pt idx="4">
                  <c:v>Equipamentos</c:v>
                </c:pt>
                <c:pt idx="5">
                  <c:v>Geração de Energia</c:v>
                </c:pt>
              </c:strCache>
            </c:strRef>
          </c:cat>
          <c:val>
            <c:numRef>
              <c:f>Resultados!$D$33:$D$38</c:f>
              <c:numCache>
                <c:formatCode>#,##0.00</c:formatCode>
                <c:ptCount val="6"/>
                <c:pt idx="0">
                  <c:v>79364.467859267868</c:v>
                </c:pt>
                <c:pt idx="1">
                  <c:v>48875.672528780226</c:v>
                </c:pt>
                <c:pt idx="2">
                  <c:v>1534.8000000000002</c:v>
                </c:pt>
                <c:pt idx="3">
                  <c:v>23288.473519407678</c:v>
                </c:pt>
                <c:pt idx="4">
                  <c:v>3600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7-4454-A871-41400206908C}"/>
            </c:ext>
          </c:extLst>
        </c:ser>
        <c:ser>
          <c:idx val="1"/>
          <c:order val="1"/>
          <c:tx>
            <c:strRef>
              <c:f>Resultados!$E$32</c:f>
              <c:strCache>
                <c:ptCount val="1"/>
                <c:pt idx="0">
                  <c:v>Condição Real (kWh/ano)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Resultados!$C$33:$C$38</c:f>
              <c:strCache>
                <c:ptCount val="6"/>
                <c:pt idx="0">
                  <c:v>Envoltória (carga térmica)</c:v>
                </c:pt>
                <c:pt idx="1">
                  <c:v>Ar Condicionado</c:v>
                </c:pt>
                <c:pt idx="2">
                  <c:v>Iluminação</c:v>
                </c:pt>
                <c:pt idx="3">
                  <c:v>Aquecimento de Água</c:v>
                </c:pt>
                <c:pt idx="4">
                  <c:v>Equipamentos</c:v>
                </c:pt>
                <c:pt idx="5">
                  <c:v>Geração de Energia</c:v>
                </c:pt>
              </c:strCache>
            </c:strRef>
          </c:cat>
          <c:val>
            <c:numRef>
              <c:f>Resultados!$E$33:$E$38</c:f>
              <c:numCache>
                <c:formatCode>#,##0.00</c:formatCode>
                <c:ptCount val="6"/>
                <c:pt idx="0">
                  <c:v>75922.879060745006</c:v>
                </c:pt>
                <c:pt idx="1">
                  <c:v>20318.101082865334</c:v>
                </c:pt>
                <c:pt idx="2">
                  <c:v>720</c:v>
                </c:pt>
                <c:pt idx="3">
                  <c:v>19145.021877818479</c:v>
                </c:pt>
                <c:pt idx="4">
                  <c:v>3600</c:v>
                </c:pt>
                <c:pt idx="5">
                  <c:v>-2000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E7-4454-A871-414002069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668080"/>
        <c:axId val="469665584"/>
      </c:barChart>
      <c:catAx>
        <c:axId val="46966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665584"/>
        <c:crosses val="autoZero"/>
        <c:auto val="1"/>
        <c:lblAlgn val="ctr"/>
        <c:lblOffset val="100"/>
        <c:noMultiLvlLbl val="0"/>
      </c:catAx>
      <c:valAx>
        <c:axId val="4696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Consumo de Energia primária (kWh/ano)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66808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Resultados!$C$39</c:f>
              <c:strCache>
                <c:ptCount val="1"/>
                <c:pt idx="0">
                  <c:v>Classificação Geral da Edificação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DAD-4A4F-A736-670235BD35B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DAD-4A4F-A736-670235BD35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Resultados!$D$32:$E$32</c:f>
              <c:strCache>
                <c:ptCount val="2"/>
                <c:pt idx="0">
                  <c:v>Condição de Referência (kWh/ano)</c:v>
                </c:pt>
                <c:pt idx="1">
                  <c:v>Condição Real (kWh/ano)</c:v>
                </c:pt>
              </c:strCache>
            </c:strRef>
          </c:cat>
          <c:val>
            <c:numRef>
              <c:f>Resultados!$D$39:$E$39</c:f>
              <c:numCache>
                <c:formatCode>#,##0.00</c:formatCode>
                <c:ptCount val="2"/>
                <c:pt idx="0">
                  <c:v>77298.946048187907</c:v>
                </c:pt>
                <c:pt idx="1">
                  <c:v>41783.122960683817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AD-4A4F-A736-670235BD3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31117088"/>
        <c:axId val="631117920"/>
      </c:barChart>
      <c:catAx>
        <c:axId val="63111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1117920"/>
        <c:crosses val="autoZero"/>
        <c:auto val="1"/>
        <c:lblAlgn val="ctr"/>
        <c:lblOffset val="100"/>
        <c:noMultiLvlLbl val="0"/>
      </c:catAx>
      <c:valAx>
        <c:axId val="631117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Consumo de Energia Primária (kWh/ano)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111708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2297206</xdr:colOff>
      <xdr:row>2</xdr:row>
      <xdr:rowOff>217334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26B2646E-8CE1-404F-97A6-BBFF77DFFD06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72356EE8-AE05-94A1-066B-347B1FA9315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166A0427-EE89-A409-3FC0-234F28E01608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40</xdr:row>
      <xdr:rowOff>146796</xdr:rowOff>
    </xdr:from>
    <xdr:to>
      <xdr:col>14</xdr:col>
      <xdr:colOff>0</xdr:colOff>
      <xdr:row>68</xdr:row>
      <xdr:rowOff>78441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DF1419-C02F-4F11-9357-5D931EDE6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16807</xdr:colOff>
      <xdr:row>40</xdr:row>
      <xdr:rowOff>146797</xdr:rowOff>
    </xdr:from>
    <xdr:to>
      <xdr:col>4</xdr:col>
      <xdr:colOff>509866</xdr:colOff>
      <xdr:row>68</xdr:row>
      <xdr:rowOff>67235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E9FD76-2BCE-4103-B5B6-0133225DD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3</xdr:col>
      <xdr:colOff>56030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77F05B54-2FA8-46C2-B74D-5BE3A36615A0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C610DDCD-D2E3-1150-DED9-3F42776CDC6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C9033037-1EE7-DB3D-8E29-DD396BD674D6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33618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A238E782-4274-41B3-A573-0A8CD1E51634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AAF36E63-1953-F671-61CE-B1521FEAC32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90265614-4749-A1E8-F303-BECD8D8C8A38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404811</xdr:colOff>
      <xdr:row>0</xdr:row>
      <xdr:rowOff>166686</xdr:rowOff>
    </xdr:from>
    <xdr:ext cx="2012157" cy="1051560"/>
    <xdr:pic>
      <xdr:nvPicPr>
        <xdr:cNvPr id="4" name="Imagem 3">
          <a:extLst>
            <a:ext uri="{FF2B5EF4-FFF2-40B4-BE49-F238E27FC236}">
              <a16:creationId xmlns:a16="http://schemas.microsoft.com/office/drawing/2014/main" id="{34DB5FB9-34DE-4018-9EFB-BADBDA27E9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1" y="166686"/>
          <a:ext cx="2012157" cy="1051560"/>
        </a:xfrm>
        <a:prstGeom prst="rect">
          <a:avLst/>
        </a:prstGeom>
      </xdr:spPr>
    </xdr:pic>
    <xdr:clientData/>
  </xdr:oneCellAnchor>
  <xdr:oneCellAnchor>
    <xdr:from>
      <xdr:col>8</xdr:col>
      <xdr:colOff>535780</xdr:colOff>
      <xdr:row>2</xdr:row>
      <xdr:rowOff>11907</xdr:rowOff>
    </xdr:from>
    <xdr:ext cx="1690687" cy="970905"/>
    <xdr:pic>
      <xdr:nvPicPr>
        <xdr:cNvPr id="5" name="Imagem 4" descr="Aprovada abertura de consulta pública sobre a proposta do 3º Plano de  Aplicação de Recursos do Procel - Todas as Notícias - Ministério de Minas e  Energia">
          <a:extLst>
            <a:ext uri="{FF2B5EF4-FFF2-40B4-BE49-F238E27FC236}">
              <a16:creationId xmlns:a16="http://schemas.microsoft.com/office/drawing/2014/main" id="{5B758756-4B30-4244-AA49-62943F0853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10022" r="751" b="5198"/>
        <a:stretch/>
      </xdr:blipFill>
      <xdr:spPr bwMode="auto">
        <a:xfrm>
          <a:off x="10084593" y="404813"/>
          <a:ext cx="1690687" cy="970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560294</xdr:colOff>
      <xdr:row>2</xdr:row>
      <xdr:rowOff>161305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69F0D062-DAC9-4567-93C5-F7BC1CEF06CE}"/>
            </a:ext>
          </a:extLst>
        </xdr:cNvPr>
        <xdr:cNvGrpSpPr/>
      </xdr:nvGrpSpPr>
      <xdr:grpSpPr>
        <a:xfrm>
          <a:off x="0" y="0"/>
          <a:ext cx="6096000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FBEFB897-48EC-74B7-D0DA-6EB6A31BDFC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A4BAFE46-7C7D-BE0B-248F-00DCB817DAE6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56030</xdr:colOff>
      <xdr:row>2</xdr:row>
      <xdr:rowOff>217334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E967B9F5-3084-4D63-A19D-F67B59CFC00B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8" name="Imagem 7">
            <a:extLst>
              <a:ext uri="{FF2B5EF4-FFF2-40B4-BE49-F238E27FC236}">
                <a16:creationId xmlns:a16="http://schemas.microsoft.com/office/drawing/2014/main" id="{C6F0218F-D7B6-BD14-0D43-39D8A377D02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4C63721D-AF8D-AC70-B241-8DE8C1CE7245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526677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7991A411-8F84-4B9F-A548-14EA670A92D6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02781B8B-3965-6ECA-EE38-DE97A86E397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F15C3A6A-6FB7-78E8-6EF2-DDDAEEA84895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347382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0F9F1DB4-79B0-4A77-A34B-41321F28FECF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6C4BA63B-3491-1439-66A8-ADAAB52D996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58E9CAA9-FD33-9DFE-52CB-953991F24FFD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593912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E99F584C-3C67-43F0-908A-830C3B6999ED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7F0909F2-0FD1-290E-7233-604530C81C4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FED02972-FE8E-AD8C-0ECA-A2B30E5FD785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1714500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63F377F2-0558-4ADE-B75B-328E77C96A6F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856ED722-72DA-7591-4F0B-DD8243D8F26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0616EA25-71A6-8AB0-ABC1-0712078DF8ED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190500</xdr:colOff>
      <xdr:row>2</xdr:row>
      <xdr:rowOff>217334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B0EE4CC1-59EB-4F6D-ADE9-716BA3463A29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FA837F2E-94D3-AE50-4BBC-E5D38FBB8CC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283411E6-A52F-E2B8-9243-C72AFC8F6950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661147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1CC92ED7-B420-454E-8A18-67D53670BF40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8D724BD8-C661-9AF4-2094-780BBAD96BB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49E1A73F-8403-21CA-568E-B811E1943C23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280147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4F4AF941-CA39-4B7B-9D6E-E1395FA1C2A6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C9D34C08-24F5-41CD-8A05-B801640120A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E32D788F-EABE-F394-7C5A-B938543F2DB3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BD042-04A8-4255-B3E1-D5A10719B403}">
  <dimension ref="A1:E38"/>
  <sheetViews>
    <sheetView showGridLines="0" zoomScale="85" zoomScaleNormal="85" workbookViewId="0">
      <selection activeCell="E1" sqref="E1"/>
    </sheetView>
  </sheetViews>
  <sheetFormatPr defaultColWidth="9.140625" defaultRowHeight="15" x14ac:dyDescent="0.25"/>
  <cols>
    <col min="1" max="1" width="5.7109375" style="28" customWidth="1"/>
    <col min="2" max="2" width="45.7109375" style="28" customWidth="1"/>
    <col min="3" max="3" width="5.7109375" style="28" customWidth="1"/>
    <col min="4" max="4" width="63.5703125" style="28" customWidth="1"/>
    <col min="5" max="5" width="5.7109375" style="28" customWidth="1"/>
    <col min="6" max="16384" width="9.140625" style="28"/>
  </cols>
  <sheetData>
    <row r="1" spans="1:5" ht="20.100000000000001" customHeight="1" x14ac:dyDescent="0.25">
      <c r="A1"/>
      <c r="B1"/>
      <c r="C1"/>
      <c r="D1"/>
      <c r="E1" s="47"/>
    </row>
    <row r="2" spans="1:5" ht="20.100000000000001" customHeight="1" x14ac:dyDescent="0.25">
      <c r="A2"/>
      <c r="B2"/>
      <c r="C2"/>
      <c r="D2"/>
      <c r="E2" s="47"/>
    </row>
    <row r="3" spans="1:5" s="29" customFormat="1" ht="20.100000000000001" customHeight="1" x14ac:dyDescent="0.25">
      <c r="A3" s="27"/>
      <c r="B3" s="27"/>
      <c r="C3" s="27"/>
      <c r="D3" s="27"/>
      <c r="E3" s="27"/>
    </row>
    <row r="4" spans="1:5" x14ac:dyDescent="0.25">
      <c r="A4"/>
      <c r="B4"/>
      <c r="C4"/>
      <c r="D4"/>
      <c r="E4"/>
    </row>
    <row r="5" spans="1:5" ht="18.75" x14ac:dyDescent="0.3">
      <c r="A5" s="39"/>
      <c r="B5" s="40" t="s">
        <v>5828</v>
      </c>
      <c r="C5" s="39"/>
      <c r="D5" s="39"/>
      <c r="E5" s="39"/>
    </row>
    <row r="6" spans="1:5" ht="15" customHeight="1" x14ac:dyDescent="0.25">
      <c r="A6"/>
      <c r="B6"/>
      <c r="C6"/>
      <c r="D6"/>
      <c r="E6"/>
    </row>
    <row r="7" spans="1:5" ht="15" customHeight="1" x14ac:dyDescent="0.25">
      <c r="A7"/>
      <c r="B7" s="67" t="s">
        <v>5847</v>
      </c>
      <c r="C7"/>
      <c r="D7"/>
      <c r="E7"/>
    </row>
    <row r="8" spans="1:5" ht="41.25" customHeight="1" x14ac:dyDescent="0.25">
      <c r="A8"/>
      <c r="B8" s="391" t="s">
        <v>5848</v>
      </c>
      <c r="C8" s="391"/>
      <c r="D8" s="391"/>
      <c r="E8"/>
    </row>
    <row r="9" spans="1:5" x14ac:dyDescent="0.25">
      <c r="A9"/>
      <c r="B9" s="236"/>
      <c r="C9" s="236"/>
      <c r="D9" s="236"/>
      <c r="E9"/>
    </row>
    <row r="10" spans="1:5" ht="15" customHeight="1" x14ac:dyDescent="0.25">
      <c r="A10"/>
      <c r="B10" s="67" t="s">
        <v>5845</v>
      </c>
      <c r="C10" s="236"/>
      <c r="D10" s="236"/>
      <c r="E10"/>
    </row>
    <row r="11" spans="1:5" ht="123" customHeight="1" x14ac:dyDescent="0.25">
      <c r="A11"/>
      <c r="B11" s="391" t="s">
        <v>6068</v>
      </c>
      <c r="C11" s="391"/>
      <c r="D11" s="391"/>
      <c r="E11"/>
    </row>
    <row r="12" spans="1:5" ht="15" customHeight="1" x14ac:dyDescent="0.25">
      <c r="A12"/>
      <c r="B12" s="13"/>
      <c r="C12" s="13"/>
      <c r="D12"/>
      <c r="E12"/>
    </row>
    <row r="13" spans="1:5" ht="15" customHeight="1" x14ac:dyDescent="0.25">
      <c r="A13"/>
      <c r="B13" s="67" t="s">
        <v>5846</v>
      </c>
      <c r="C13" s="13"/>
      <c r="D13"/>
      <c r="E13"/>
    </row>
    <row r="14" spans="1:5" ht="115.5" customHeight="1" x14ac:dyDescent="0.25">
      <c r="A14"/>
      <c r="B14" s="392" t="s">
        <v>6123</v>
      </c>
      <c r="C14" s="393"/>
      <c r="D14" s="393"/>
      <c r="E14"/>
    </row>
    <row r="15" spans="1:5" x14ac:dyDescent="0.25">
      <c r="A15"/>
      <c r="B15" s="13"/>
      <c r="C15" s="13"/>
      <c r="D15"/>
      <c r="E15"/>
    </row>
    <row r="16" spans="1:5" ht="24.95" customHeight="1" x14ac:dyDescent="0.25">
      <c r="A16"/>
      <c r="B16" s="228" t="s">
        <v>5844</v>
      </c>
      <c r="C16" s="13"/>
      <c r="D16" s="228" t="s">
        <v>5840</v>
      </c>
      <c r="E16"/>
    </row>
    <row r="17" spans="1:5" ht="24.95" customHeight="1" x14ac:dyDescent="0.25">
      <c r="A17"/>
      <c r="B17" s="229" t="s">
        <v>197</v>
      </c>
      <c r="C17" s="13"/>
      <c r="D17" s="237" t="s">
        <v>5842</v>
      </c>
      <c r="E17"/>
    </row>
    <row r="18" spans="1:5" ht="24.95" customHeight="1" x14ac:dyDescent="0.25">
      <c r="A18"/>
      <c r="B18" s="70" t="s">
        <v>196</v>
      </c>
      <c r="C18" s="13"/>
      <c r="D18" s="233" t="s">
        <v>6124</v>
      </c>
      <c r="E18"/>
    </row>
    <row r="19" spans="1:5" ht="24.95" customHeight="1" x14ac:dyDescent="0.25">
      <c r="A19"/>
      <c r="B19" s="230" t="s">
        <v>195</v>
      </c>
      <c r="C19" s="13"/>
      <c r="D19" s="234" t="s">
        <v>5841</v>
      </c>
      <c r="E19"/>
    </row>
    <row r="20" spans="1:5" ht="24.95" customHeight="1" x14ac:dyDescent="0.25">
      <c r="A20"/>
      <c r="B20" s="231" t="s">
        <v>5493</v>
      </c>
      <c r="C20" s="13"/>
      <c r="D20" s="235" t="s">
        <v>5843</v>
      </c>
      <c r="E20"/>
    </row>
    <row r="21" spans="1:5" ht="24.95" customHeight="1" x14ac:dyDescent="0.25">
      <c r="A21"/>
      <c r="B21" s="232" t="s">
        <v>5800</v>
      </c>
      <c r="C21" s="13"/>
      <c r="D21"/>
      <c r="E21"/>
    </row>
    <row r="22" spans="1:5" ht="24.95" customHeight="1" x14ac:dyDescent="0.25">
      <c r="A22"/>
      <c r="B22"/>
      <c r="C22"/>
      <c r="D22"/>
      <c r="E22"/>
    </row>
    <row r="23" spans="1:5" ht="24.95" customHeight="1" x14ac:dyDescent="0.25">
      <c r="A23"/>
      <c r="B23" s="67" t="s">
        <v>6207</v>
      </c>
      <c r="C23" s="13"/>
      <c r="D23" s="238" t="s">
        <v>5839</v>
      </c>
      <c r="E23"/>
    </row>
    <row r="24" spans="1:5" ht="24.95" customHeight="1" x14ac:dyDescent="0.25">
      <c r="A24"/>
      <c r="B24" s="394" t="s">
        <v>6208</v>
      </c>
      <c r="C24" s="395"/>
      <c r="D24" s="395"/>
      <c r="E24"/>
    </row>
    <row r="25" spans="1:5" x14ac:dyDescent="0.25">
      <c r="A25"/>
      <c r="B25"/>
      <c r="C25"/>
      <c r="D25"/>
      <c r="E25"/>
    </row>
    <row r="26" spans="1:5" ht="15" customHeight="1" x14ac:dyDescent="0.25">
      <c r="A26"/>
      <c r="B26" s="67" t="s">
        <v>5849</v>
      </c>
      <c r="C26" s="13"/>
      <c r="D26" s="238" t="s">
        <v>5839</v>
      </c>
      <c r="E26"/>
    </row>
    <row r="27" spans="1:5" ht="24.95" customHeight="1" x14ac:dyDescent="0.25">
      <c r="A27"/>
      <c r="B27" s="394">
        <v>44896</v>
      </c>
      <c r="C27" s="395"/>
      <c r="D27" s="395"/>
      <c r="E27"/>
    </row>
    <row r="28" spans="1:5" ht="24.95" customHeight="1" x14ac:dyDescent="0.25">
      <c r="A28"/>
      <c r="B28"/>
      <c r="C28"/>
      <c r="D28"/>
      <c r="E28"/>
    </row>
    <row r="29" spans="1:5" ht="24.95" customHeight="1" x14ac:dyDescent="0.25"/>
    <row r="30" spans="1:5" ht="24.95" customHeight="1" x14ac:dyDescent="0.25"/>
    <row r="32" spans="1:5" ht="24.95" customHeight="1" x14ac:dyDescent="0.25"/>
    <row r="33" ht="24.95" customHeight="1" x14ac:dyDescent="0.25"/>
    <row r="34" ht="24.95" customHeight="1" x14ac:dyDescent="0.25"/>
    <row r="35" ht="24.95" customHeight="1" x14ac:dyDescent="0.25"/>
    <row r="36" ht="24.95" customHeight="1" x14ac:dyDescent="0.25"/>
    <row r="37" ht="50.1" customHeight="1" x14ac:dyDescent="0.25"/>
    <row r="38" ht="24.95" customHeight="1" x14ac:dyDescent="0.25"/>
  </sheetData>
  <protectedRanges>
    <protectedRange sqref="C8:C21" name="Resumo"/>
  </protectedRanges>
  <mergeCells count="5">
    <mergeCell ref="B11:D11"/>
    <mergeCell ref="B8:D8"/>
    <mergeCell ref="B14:D14"/>
    <mergeCell ref="B27:D27"/>
    <mergeCell ref="B24:D24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0019F-D318-49DA-BA79-8FB89BAD6976}">
  <dimension ref="A1:N40"/>
  <sheetViews>
    <sheetView showGridLines="0" zoomScale="85" zoomScaleNormal="85" workbookViewId="0">
      <selection activeCell="E8" sqref="E8"/>
    </sheetView>
  </sheetViews>
  <sheetFormatPr defaultColWidth="9.140625" defaultRowHeight="15" x14ac:dyDescent="0.25"/>
  <cols>
    <col min="1" max="1" width="5.7109375" style="28" customWidth="1"/>
    <col min="2" max="2" width="39.7109375" style="28" bestFit="1" customWidth="1"/>
    <col min="3" max="3" width="45.42578125" style="28" customWidth="1"/>
    <col min="4" max="8" width="15.7109375" style="28" customWidth="1"/>
    <col min="9" max="9" width="5.140625" style="28" customWidth="1"/>
    <col min="10" max="10" width="24" style="28" bestFit="1" customWidth="1"/>
    <col min="11" max="12" width="15.7109375" style="28" customWidth="1"/>
    <col min="13" max="13" width="13" style="28" customWidth="1"/>
    <col min="14" max="14" width="5.7109375" style="28" customWidth="1"/>
    <col min="15" max="16384" width="9.140625" style="28"/>
  </cols>
  <sheetData>
    <row r="1" spans="1:9" ht="20.100000000000001" customHeight="1" x14ac:dyDescent="0.25">
      <c r="A1"/>
      <c r="B1"/>
      <c r="C1"/>
      <c r="D1"/>
      <c r="E1" s="47"/>
      <c r="F1" s="48"/>
      <c r="G1" s="48"/>
      <c r="H1" s="48"/>
      <c r="I1"/>
    </row>
    <row r="2" spans="1:9" ht="20.100000000000001" customHeight="1" x14ac:dyDescent="0.25">
      <c r="A2"/>
      <c r="B2"/>
      <c r="C2"/>
      <c r="D2" s="47" t="s">
        <v>198</v>
      </c>
      <c r="E2" s="144" t="s">
        <v>197</v>
      </c>
      <c r="F2" s="145" t="s">
        <v>196</v>
      </c>
      <c r="G2" s="146" t="s">
        <v>195</v>
      </c>
      <c r="H2" s="147" t="s">
        <v>5493</v>
      </c>
      <c r="I2"/>
    </row>
    <row r="3" spans="1:9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</row>
    <row r="4" spans="1:9" x14ac:dyDescent="0.25">
      <c r="A4"/>
      <c r="B4"/>
      <c r="C4"/>
      <c r="D4"/>
      <c r="E4"/>
      <c r="F4"/>
      <c r="G4"/>
      <c r="H4"/>
      <c r="I4"/>
    </row>
    <row r="5" spans="1:9" ht="18.75" x14ac:dyDescent="0.3">
      <c r="A5" s="39"/>
      <c r="B5" s="40" t="s">
        <v>192</v>
      </c>
      <c r="C5" s="39"/>
      <c r="D5" s="39"/>
      <c r="E5" s="39"/>
      <c r="F5" s="39"/>
      <c r="G5" s="39"/>
      <c r="H5" s="39"/>
      <c r="I5" s="39"/>
    </row>
    <row r="6" spans="1:9" ht="15" customHeight="1" x14ac:dyDescent="0.25">
      <c r="A6"/>
      <c r="B6"/>
      <c r="C6"/>
      <c r="D6"/>
      <c r="E6"/>
      <c r="F6"/>
      <c r="G6"/>
      <c r="H6"/>
      <c r="I6"/>
    </row>
    <row r="7" spans="1:9" ht="24.95" customHeight="1" x14ac:dyDescent="0.25">
      <c r="A7"/>
      <c r="B7" s="150" t="s">
        <v>171</v>
      </c>
      <c r="C7" s="79" t="str">
        <f>Geral!C7</f>
        <v>Exemplo Ltda</v>
      </c>
      <c r="D7"/>
      <c r="E7"/>
      <c r="F7"/>
      <c r="G7"/>
      <c r="H7"/>
      <c r="I7"/>
    </row>
    <row r="8" spans="1:9" ht="24.95" customHeight="1" x14ac:dyDescent="0.25">
      <c r="A8"/>
      <c r="B8" s="150" t="s">
        <v>5489</v>
      </c>
      <c r="C8" s="79" t="str">
        <f>Geral!C8</f>
        <v>xxxxxxxxxx</v>
      </c>
      <c r="D8"/>
      <c r="E8"/>
      <c r="F8"/>
      <c r="G8"/>
      <c r="H8"/>
      <c r="I8"/>
    </row>
    <row r="9" spans="1:9" s="50" customFormat="1" ht="24.95" customHeight="1" x14ac:dyDescent="0.25">
      <c r="A9" s="13"/>
      <c r="B9" s="150" t="s">
        <v>5490</v>
      </c>
      <c r="C9" s="79" t="str">
        <f>Geral!C9</f>
        <v>Exemplo Ltda</v>
      </c>
      <c r="D9" s="13"/>
      <c r="E9" s="13"/>
      <c r="F9" s="13"/>
      <c r="G9" s="13"/>
      <c r="H9" s="13"/>
      <c r="I9" s="13"/>
    </row>
    <row r="10" spans="1:9" s="50" customFormat="1" ht="24.95" customHeight="1" x14ac:dyDescent="0.25">
      <c r="A10" s="13"/>
      <c r="B10" s="150" t="s">
        <v>122</v>
      </c>
      <c r="C10" s="79" t="str">
        <f>Geral!C10</f>
        <v>Projeto</v>
      </c>
      <c r="D10" s="13"/>
      <c r="E10" s="13"/>
      <c r="F10" s="13"/>
      <c r="G10" s="13"/>
      <c r="H10" s="13"/>
      <c r="I10" s="13"/>
    </row>
    <row r="11" spans="1:9" ht="24.95" customHeight="1" x14ac:dyDescent="0.25">
      <c r="A11"/>
      <c r="B11" s="150" t="s">
        <v>202</v>
      </c>
      <c r="C11" s="79" t="str">
        <f>Geral!C11</f>
        <v>SC</v>
      </c>
      <c r="D11"/>
      <c r="E11"/>
      <c r="F11"/>
      <c r="G11"/>
      <c r="H11"/>
      <c r="I11"/>
    </row>
    <row r="12" spans="1:9" ht="24.95" customHeight="1" x14ac:dyDescent="0.25">
      <c r="A12"/>
      <c r="B12" s="150" t="s">
        <v>199</v>
      </c>
      <c r="C12" s="79" t="str">
        <f>Geral!C12</f>
        <v>Florianópolis</v>
      </c>
      <c r="D12"/>
      <c r="E12"/>
      <c r="F12"/>
      <c r="G12"/>
      <c r="H12"/>
      <c r="I12"/>
    </row>
    <row r="13" spans="1:9" ht="24.95" customHeight="1" x14ac:dyDescent="0.25">
      <c r="A13"/>
      <c r="B13" s="150" t="s">
        <v>6111</v>
      </c>
      <c r="C13" s="79" t="str">
        <f>Geral!C13</f>
        <v>Sistema Interligado Nacional</v>
      </c>
      <c r="D13"/>
      <c r="E13"/>
      <c r="F13"/>
      <c r="G13"/>
      <c r="H13"/>
      <c r="I13"/>
    </row>
    <row r="14" spans="1:9" ht="24.95" customHeight="1" x14ac:dyDescent="0.25">
      <c r="A14"/>
      <c r="B14" s="150" t="s">
        <v>201</v>
      </c>
      <c r="C14" s="79">
        <f>Geral!C14</f>
        <v>3</v>
      </c>
      <c r="D14"/>
      <c r="E14"/>
      <c r="F14"/>
      <c r="G14"/>
      <c r="H14"/>
      <c r="I14"/>
    </row>
    <row r="15" spans="1:9" ht="24.95" customHeight="1" x14ac:dyDescent="0.25">
      <c r="A15"/>
      <c r="B15" s="150" t="s">
        <v>200</v>
      </c>
      <c r="C15" s="79">
        <f>Geral!C15</f>
        <v>1500</v>
      </c>
      <c r="D15"/>
      <c r="E15"/>
      <c r="F15"/>
      <c r="G15"/>
      <c r="H15"/>
      <c r="I15"/>
    </row>
    <row r="16" spans="1:9" ht="24.95" customHeight="1" x14ac:dyDescent="0.25">
      <c r="A16"/>
      <c r="B16" s="150" t="s">
        <v>203</v>
      </c>
      <c r="C16" s="76" t="str">
        <f>Geral!C16</f>
        <v>Escritórios</v>
      </c>
      <c r="D16"/>
      <c r="E16"/>
      <c r="F16"/>
      <c r="G16"/>
      <c r="H16"/>
      <c r="I16"/>
    </row>
    <row r="17" spans="1:14" ht="24.95" customHeight="1" x14ac:dyDescent="0.25">
      <c r="A17"/>
      <c r="B17" s="150" t="s">
        <v>6109</v>
      </c>
      <c r="C17" s="362">
        <f>Geral!C17</f>
        <v>0.49333333333333335</v>
      </c>
      <c r="D17"/>
      <c r="E17"/>
      <c r="F17"/>
      <c r="G17"/>
      <c r="H17"/>
      <c r="I17"/>
    </row>
    <row r="18" spans="1:14" ht="24.95" customHeight="1" x14ac:dyDescent="0.25">
      <c r="A18"/>
      <c r="B18"/>
      <c r="C18"/>
      <c r="D18"/>
      <c r="E18"/>
      <c r="F18"/>
      <c r="G18"/>
      <c r="H18"/>
      <c r="I18"/>
    </row>
    <row r="19" spans="1:14" ht="24.95" customHeight="1" x14ac:dyDescent="0.25">
      <c r="A19"/>
      <c r="B19" s="68" t="s">
        <v>5837</v>
      </c>
      <c r="C19" s="79">
        <f>Geral!C22</f>
        <v>15</v>
      </c>
      <c r="D19"/>
      <c r="E19"/>
      <c r="F19"/>
      <c r="G19"/>
      <c r="H19"/>
      <c r="I19"/>
    </row>
    <row r="20" spans="1:14" ht="15" customHeight="1" x14ac:dyDescent="0.25">
      <c r="A20"/>
      <c r="B20"/>
      <c r="C20"/>
      <c r="D20"/>
      <c r="E20"/>
      <c r="F20"/>
      <c r="G20"/>
      <c r="H20"/>
      <c r="I20"/>
    </row>
    <row r="21" spans="1:14" ht="18.75" x14ac:dyDescent="0.3">
      <c r="A21" s="39"/>
      <c r="B21" s="40" t="s">
        <v>5827</v>
      </c>
      <c r="C21" s="39"/>
      <c r="D21" s="39"/>
      <c r="E21" s="39"/>
      <c r="F21" s="39"/>
      <c r="G21" s="39"/>
      <c r="H21" s="39"/>
      <c r="I21" s="39"/>
    </row>
    <row r="22" spans="1:14" ht="15" customHeight="1" x14ac:dyDescent="0.25">
      <c r="A22"/>
      <c r="B22"/>
      <c r="C22"/>
      <c r="D22"/>
      <c r="E22"/>
      <c r="F22"/>
      <c r="G22"/>
      <c r="H22"/>
      <c r="I22"/>
    </row>
    <row r="23" spans="1:14" ht="24.95" customHeight="1" x14ac:dyDescent="0.25">
      <c r="A23"/>
      <c r="B23"/>
      <c r="C23" s="153" t="s">
        <v>5824</v>
      </c>
      <c r="D23" s="78">
        <f>SUM(Aux_Lista!BQ:BQ)</f>
        <v>0.35</v>
      </c>
      <c r="E23"/>
      <c r="F23"/>
      <c r="G23"/>
      <c r="H23"/>
      <c r="I23"/>
    </row>
    <row r="24" spans="1:14" ht="5.0999999999999996" customHeight="1" x14ac:dyDescent="0.25">
      <c r="A24"/>
      <c r="B24"/>
      <c r="C24"/>
      <c r="D24"/>
      <c r="E24"/>
      <c r="F24"/>
      <c r="G24"/>
      <c r="H24"/>
      <c r="I24"/>
    </row>
    <row r="25" spans="1:14" ht="24.95" customHeight="1" x14ac:dyDescent="0.25">
      <c r="A25"/>
      <c r="B25"/>
      <c r="C25" s="153" t="s">
        <v>5794</v>
      </c>
      <c r="D25" s="78">
        <f>D23/3</f>
        <v>0.11666666666666665</v>
      </c>
      <c r="E25"/>
      <c r="F25"/>
      <c r="G25"/>
      <c r="H25"/>
      <c r="I25"/>
    </row>
    <row r="26" spans="1:14" ht="24.95" customHeight="1" x14ac:dyDescent="0.25">
      <c r="A26"/>
      <c r="B26"/>
      <c r="C26"/>
      <c r="D26"/>
      <c r="E26"/>
      <c r="F26"/>
      <c r="G26"/>
      <c r="H26"/>
      <c r="I26"/>
    </row>
    <row r="27" spans="1:14" ht="24.95" customHeight="1" x14ac:dyDescent="0.25">
      <c r="A27"/>
      <c r="B27"/>
      <c r="C27" s="52"/>
      <c r="D27" s="135" t="s">
        <v>34</v>
      </c>
      <c r="E27" s="136" t="s">
        <v>25</v>
      </c>
      <c r="F27" s="137" t="s">
        <v>105</v>
      </c>
      <c r="G27" s="138" t="s">
        <v>5741</v>
      </c>
      <c r="H27" s="139" t="s">
        <v>5742</v>
      </c>
      <c r="I27"/>
    </row>
    <row r="28" spans="1:14" ht="24.95" customHeight="1" x14ac:dyDescent="0.25">
      <c r="A28"/>
      <c r="B28"/>
      <c r="C28" s="68" t="s">
        <v>5746</v>
      </c>
      <c r="D28" s="78" t="s">
        <v>14</v>
      </c>
      <c r="E28" s="78">
        <f>D29</f>
        <v>0.35</v>
      </c>
      <c r="F28" s="78">
        <f>E29</f>
        <v>0.23333333333333331</v>
      </c>
      <c r="G28" s="78">
        <f>F29</f>
        <v>0.11666666666666665</v>
      </c>
      <c r="H28" s="78">
        <f>G29</f>
        <v>0</v>
      </c>
      <c r="I28"/>
    </row>
    <row r="29" spans="1:14" ht="24.95" customHeight="1" x14ac:dyDescent="0.25">
      <c r="A29"/>
      <c r="B29"/>
      <c r="C29" s="68" t="s">
        <v>5745</v>
      </c>
      <c r="D29" s="78">
        <f>D25*3</f>
        <v>0.35</v>
      </c>
      <c r="E29" s="78">
        <f>D25*2</f>
        <v>0.23333333333333331</v>
      </c>
      <c r="F29" s="78">
        <f>D25</f>
        <v>0.11666666666666665</v>
      </c>
      <c r="G29" s="78">
        <v>0</v>
      </c>
      <c r="H29" s="78" t="s">
        <v>14</v>
      </c>
      <c r="I29"/>
    </row>
    <row r="30" spans="1:14" ht="24.95" customHeight="1" x14ac:dyDescent="0.25">
      <c r="A30"/>
      <c r="B30"/>
      <c r="C30"/>
      <c r="D30"/>
      <c r="E30"/>
      <c r="F30"/>
      <c r="G30"/>
      <c r="H30"/>
      <c r="I30"/>
    </row>
    <row r="31" spans="1:14" ht="24.95" customHeight="1" x14ac:dyDescent="0.35">
      <c r="A31"/>
      <c r="B31"/>
      <c r="C31" s="257" t="s">
        <v>5977</v>
      </c>
      <c r="D31"/>
      <c r="E31"/>
      <c r="F31" s="361"/>
      <c r="G31"/>
      <c r="H31"/>
      <c r="I31"/>
      <c r="J31" s="257" t="s">
        <v>6099</v>
      </c>
      <c r="K31" s="257"/>
      <c r="L31" s="257"/>
      <c r="M31" s="257"/>
      <c r="N31" s="257"/>
    </row>
    <row r="32" spans="1:14" ht="48" x14ac:dyDescent="0.25">
      <c r="A32"/>
      <c r="B32"/>
      <c r="C32" s="337" t="s">
        <v>63</v>
      </c>
      <c r="D32" s="338" t="s">
        <v>5987</v>
      </c>
      <c r="E32" s="338" t="s">
        <v>5988</v>
      </c>
      <c r="F32" s="339" t="s">
        <v>5790</v>
      </c>
      <c r="G32" s="338" t="s">
        <v>5791</v>
      </c>
      <c r="H32" s="340"/>
      <c r="I32" s="340"/>
      <c r="J32" s="337" t="s">
        <v>63</v>
      </c>
      <c r="K32" s="338" t="s">
        <v>6101</v>
      </c>
      <c r="L32" s="339" t="s">
        <v>6100</v>
      </c>
      <c r="M32" s="341" t="s">
        <v>5790</v>
      </c>
      <c r="N32" s="52"/>
    </row>
    <row r="33" spans="1:14" ht="24.95" customHeight="1" x14ac:dyDescent="0.25">
      <c r="A33"/>
      <c r="B33"/>
      <c r="C33" s="342" t="s">
        <v>5986</v>
      </c>
      <c r="D33" s="221">
        <f>Envoltória!C10</f>
        <v>79364.467859267868</v>
      </c>
      <c r="E33" s="221">
        <f>Envoltória!C11</f>
        <v>75922.879060745006</v>
      </c>
      <c r="F33" s="222">
        <f>Envoltória!C12</f>
        <v>4.3364352982566703E-2</v>
      </c>
      <c r="G33" s="152" t="str">
        <f>Envoltória!C13</f>
        <v>D</v>
      </c>
      <c r="H33"/>
      <c r="I33"/>
      <c r="J33" s="342" t="s">
        <v>3</v>
      </c>
      <c r="K33" s="221" t="s">
        <v>14</v>
      </c>
      <c r="L33" s="222" t="s">
        <v>14</v>
      </c>
      <c r="M33" s="343" t="s">
        <v>14</v>
      </c>
      <c r="N33" s="52"/>
    </row>
    <row r="34" spans="1:14" ht="24.95" customHeight="1" x14ac:dyDescent="0.25">
      <c r="A34"/>
      <c r="B34"/>
      <c r="C34" s="342" t="s">
        <v>5792</v>
      </c>
      <c r="D34" s="221">
        <f>ArCondicionado!C10*Aux_Lista!AR2</f>
        <v>48875.672528780226</v>
      </c>
      <c r="E34" s="221">
        <f>ArCondicionado!C11*Aux_Lista!AR2</f>
        <v>20318.101082865334</v>
      </c>
      <c r="F34" s="222">
        <f>ArCondicionado!C12</f>
        <v>0.58429009706411494</v>
      </c>
      <c r="G34" s="152" t="str">
        <f>ArCondicionado!C13</f>
        <v>A</v>
      </c>
      <c r="H34"/>
      <c r="I34"/>
      <c r="J34" s="342" t="s">
        <v>5792</v>
      </c>
      <c r="K34" s="221">
        <f>D34*Aux_Lista!$AY$2</f>
        <v>4398.8105275902199</v>
      </c>
      <c r="L34" s="221">
        <f>E34*Aux_Lista!AY2</f>
        <v>1828.6290974578801</v>
      </c>
      <c r="M34" s="343">
        <f>(1-L34/K34)</f>
        <v>0.58429009706411483</v>
      </c>
      <c r="N34" s="52"/>
    </row>
    <row r="35" spans="1:14" ht="24.95" customHeight="1" x14ac:dyDescent="0.25">
      <c r="A35"/>
      <c r="B35"/>
      <c r="C35" s="342" t="s">
        <v>16</v>
      </c>
      <c r="D35" s="221">
        <f>Iluminação!C10*Aux_Lista!AR2</f>
        <v>1534.8000000000002</v>
      </c>
      <c r="E35" s="221">
        <f>Iluminação!C11*Aux_Lista!AR2</f>
        <v>720</v>
      </c>
      <c r="F35" s="222">
        <f>Iluminação!C12</f>
        <v>0.53088350273651286</v>
      </c>
      <c r="G35" s="152" t="str">
        <f>Iluminação!C13</f>
        <v>A</v>
      </c>
      <c r="H35"/>
      <c r="I35"/>
      <c r="J35" s="342" t="s">
        <v>16</v>
      </c>
      <c r="K35" s="221">
        <f>D35*Aux_Lista!$AY$2</f>
        <v>138.13200000000001</v>
      </c>
      <c r="L35" s="221">
        <f>E35*Aux_Lista!AY2</f>
        <v>64.8</v>
      </c>
      <c r="M35" s="343">
        <f t="shared" ref="M35:M37" si="0">(1-L35/K35)</f>
        <v>0.53088350273651286</v>
      </c>
      <c r="N35" s="52"/>
    </row>
    <row r="36" spans="1:14" ht="24.95" customHeight="1" x14ac:dyDescent="0.25">
      <c r="A36" s="471" t="str">
        <f>IF(ISERROR(D36),"Conferir a cidade na aba Aquecimento de água!","")</f>
        <v/>
      </c>
      <c r="B36" s="472"/>
      <c r="C36" s="342" t="s">
        <v>17</v>
      </c>
      <c r="D36" s="221">
        <f>AquecimentoÁgua!C10</f>
        <v>23288.473519407678</v>
      </c>
      <c r="E36" s="221">
        <f>AquecimentoÁgua!C11</f>
        <v>19145.021877818479</v>
      </c>
      <c r="F36" s="222">
        <f>AquecimentoÁgua!C12</f>
        <v>0.17791855864388076</v>
      </c>
      <c r="G36" s="152" t="str">
        <f>AquecimentoÁgua!C13</f>
        <v>B</v>
      </c>
      <c r="H36"/>
      <c r="I36"/>
      <c r="J36" s="342" t="s">
        <v>17</v>
      </c>
      <c r="K36" s="221">
        <f>D36*Aux_Lista!$AY$2</f>
        <v>2095.9626167466909</v>
      </c>
      <c r="L36" s="221">
        <f>AquecimentoÁgua!F12+AquecimentoÁgua!F13</f>
        <v>1723.0519690036631</v>
      </c>
      <c r="M36" s="343">
        <f t="shared" si="0"/>
        <v>0.17791855864388073</v>
      </c>
      <c r="N36" s="52"/>
    </row>
    <row r="37" spans="1:14" ht="24.95" customHeight="1" x14ac:dyDescent="0.25">
      <c r="A37"/>
      <c r="B37"/>
      <c r="C37" s="342" t="s">
        <v>5833</v>
      </c>
      <c r="D37" s="221">
        <f>IF(Envoltória!C9="Método Simplificado",(C15*C19*VLOOKUP(C16,Aux_Lista!A:L,10,FALSE)*VLOOKUP(C16,Aux_Lista!A:L,11,FALSE)/1000)*Aux_Lista!AR2,Opc_Simulação!AD12*Aux_Lista!AR2)</f>
        <v>3600</v>
      </c>
      <c r="E37" s="221">
        <f>IF(Envoltória!C9="Método Simplificado",(C15*C19*VLOOKUP(C16,Aux_Lista!A:L,10,FALSE)*VLOOKUP(C16,Aux_Lista!A:L,11,FALSE)/1000)*Aux_Lista!AR2,Opc_Simulação!AD12*Aux_Lista!AR2)</f>
        <v>3600</v>
      </c>
      <c r="F37" s="222" t="s">
        <v>14</v>
      </c>
      <c r="G37" s="226" t="s">
        <v>14</v>
      </c>
      <c r="H37"/>
      <c r="I37"/>
      <c r="J37" s="342" t="s">
        <v>5833</v>
      </c>
      <c r="K37" s="221">
        <f>D37*Aux_Lista!$AY$2</f>
        <v>324</v>
      </c>
      <c r="L37" s="221">
        <f>E37*Aux_Lista!AY2</f>
        <v>324</v>
      </c>
      <c r="M37" s="343">
        <f t="shared" si="0"/>
        <v>0</v>
      </c>
      <c r="N37" s="52"/>
    </row>
    <row r="38" spans="1:14" ht="24.95" customHeight="1" x14ac:dyDescent="0.25">
      <c r="A38"/>
      <c r="B38"/>
      <c r="C38" s="342" t="s">
        <v>19</v>
      </c>
      <c r="D38" s="223" t="s">
        <v>14</v>
      </c>
      <c r="E38" s="224">
        <f>-Opc_Geração!C10</f>
        <v>-2000</v>
      </c>
      <c r="F38" s="225" t="s">
        <v>14</v>
      </c>
      <c r="G38" s="226" t="s">
        <v>14</v>
      </c>
      <c r="H38"/>
      <c r="I38"/>
      <c r="J38" s="342" t="s">
        <v>19</v>
      </c>
      <c r="K38" s="224" t="s">
        <v>14</v>
      </c>
      <c r="L38" s="221">
        <f>-E38*Aux_Lista!AY3</f>
        <v>1506</v>
      </c>
      <c r="M38" s="343" t="s">
        <v>14</v>
      </c>
      <c r="N38" s="52"/>
    </row>
    <row r="39" spans="1:14" ht="50.1" customHeight="1" x14ac:dyDescent="0.25">
      <c r="A39"/>
      <c r="B39"/>
      <c r="C39" s="352" t="s">
        <v>5793</v>
      </c>
      <c r="D39" s="344">
        <f>SUM(D34:D37)</f>
        <v>77298.946048187907</v>
      </c>
      <c r="E39" s="344">
        <f>SUM(E34:E37)+E38</f>
        <v>41783.122960683817</v>
      </c>
      <c r="F39" s="345">
        <f>(D39-E39)/D39</f>
        <v>0.4594606382519581</v>
      </c>
      <c r="G39" s="346" t="str">
        <f>IF(F39&gt;=D29,D27,IF(F39&gt;=E29,E27,IF(F39&gt;=F29,F27,IF(F39&gt;=G29,G27,H27))))</f>
        <v>A</v>
      </c>
      <c r="H39" s="347"/>
      <c r="I39" s="347"/>
      <c r="J39" s="352" t="s">
        <v>6098</v>
      </c>
      <c r="K39" s="344">
        <f>SUM(K34:K38)</f>
        <v>6956.9051443369099</v>
      </c>
      <c r="L39" s="344">
        <f>SUM(L34:L38)</f>
        <v>5446.4810664615434</v>
      </c>
      <c r="M39" s="348">
        <f>(K39-L39)/K39</f>
        <v>0.21711149520342224</v>
      </c>
      <c r="N39" s="52"/>
    </row>
    <row r="40" spans="1:14" ht="24.95" customHeight="1" x14ac:dyDescent="0.25">
      <c r="A40"/>
      <c r="B40"/>
      <c r="C40"/>
      <c r="D40" s="82"/>
      <c r="E40" s="82"/>
      <c r="F40"/>
      <c r="G40"/>
      <c r="H40"/>
      <c r="I40"/>
      <c r="J40" s="52"/>
      <c r="K40" s="52"/>
      <c r="L40" s="52"/>
      <c r="M40" s="52"/>
      <c r="N40" s="52"/>
    </row>
  </sheetData>
  <protectedRanges>
    <protectedRange sqref="C7:C17 C19" name="Resumo"/>
  </protectedRanges>
  <mergeCells count="1">
    <mergeCell ref="A36:B36"/>
  </mergeCells>
  <conditionalFormatting sqref="G33:G39">
    <cfRule type="cellIs" dxfId="65" priority="1" operator="equal">
      <formula>"E"</formula>
    </cfRule>
    <cfRule type="cellIs" dxfId="64" priority="2" operator="equal">
      <formula>"D"</formula>
    </cfRule>
    <cfRule type="cellIs" dxfId="63" priority="3" operator="equal">
      <formula>"C"</formula>
    </cfRule>
    <cfRule type="cellIs" dxfId="62" priority="4" operator="equal">
      <formula>"A"</formula>
    </cfRule>
    <cfRule type="cellIs" dxfId="61" priority="5" operator="equal">
      <formula>"B"</formula>
    </cfRule>
  </conditionalFormatting>
  <dataValidations count="4">
    <dataValidation type="list" allowBlank="1" showInputMessage="1" showErrorMessage="1" sqref="C12" xr:uid="{FA7CFEB5-063D-4710-9346-F3020894FED9}">
      <formula1>INDIRECT($C$11)</formula1>
    </dataValidation>
    <dataValidation type="list" allowBlank="1" showInputMessage="1" showErrorMessage="1" sqref="C11" xr:uid="{1D485940-2653-4F10-9A89-0BBD5CD44F33}">
      <formula1>lista_estados</formula1>
    </dataValidation>
    <dataValidation type="list" allowBlank="1" showInputMessage="1" showErrorMessage="1" sqref="C14" xr:uid="{7AB778D5-C989-46B3-BE79-6FD0960737E8}">
      <formula1>"1,2,3,4,5,6,7,8"</formula1>
    </dataValidation>
    <dataValidation type="list" allowBlank="1" showInputMessage="1" showErrorMessage="1" sqref="C10" xr:uid="{C30A4B14-6570-4E58-8AEF-58FD476A7763}">
      <formula1>"Projeto, Ed. Construída"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102ED37-9AB4-4CA1-A338-EB5D82063003}">
          <x14:formula1>
            <xm:f>Aux_Lista!$BW$2:$BW$3</xm:f>
          </x14:formula1>
          <xm:sqref>C13</xm:sqref>
        </x14:dataValidation>
        <x14:dataValidation type="list" allowBlank="1" showInputMessage="1" showErrorMessage="1" xr:uid="{0FF2DAA5-B535-49AE-9D1E-9E9A9DD6A7FF}">
          <x14:formula1>
            <xm:f>Aux_Lista!$A$2:$A$11</xm:f>
          </x14:formula1>
          <xm:sqref>C16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353A4-F20D-43E8-9118-838C9A4F62DC}">
  <dimension ref="A1:AP61"/>
  <sheetViews>
    <sheetView showGridLines="0" zoomScale="85" zoomScaleNormal="85" workbookViewId="0">
      <selection activeCell="H1" sqref="H1"/>
    </sheetView>
  </sheetViews>
  <sheetFormatPr defaultColWidth="9.140625" defaultRowHeight="15" x14ac:dyDescent="0.25"/>
  <cols>
    <col min="1" max="1" width="5.7109375" customWidth="1"/>
    <col min="2" max="5" width="20.7109375" customWidth="1"/>
    <col min="6" max="6" width="2.7109375" customWidth="1"/>
    <col min="7" max="9" width="20.7109375" customWidth="1"/>
    <col min="10" max="10" width="2.7109375" customWidth="1"/>
    <col min="11" max="14" width="20.7109375" customWidth="1"/>
    <col min="15" max="15" width="2.7109375" customWidth="1"/>
    <col min="16" max="18" width="20.7109375" customWidth="1"/>
    <col min="19" max="19" width="2.7109375" customWidth="1"/>
    <col min="20" max="22" width="20.7109375" customWidth="1"/>
    <col min="23" max="23" width="2.7109375" customWidth="1"/>
    <col min="24" max="26" width="20.7109375" customWidth="1"/>
    <col min="27" max="27" width="2.7109375" customWidth="1"/>
    <col min="28" max="28" width="20.7109375" customWidth="1"/>
    <col min="29" max="29" width="33.85546875" customWidth="1"/>
    <col min="30" max="32" width="20.7109375" customWidth="1"/>
    <col min="33" max="33" width="24.85546875" customWidth="1"/>
    <col min="34" max="34" width="2.7109375" customWidth="1"/>
    <col min="35" max="16384" width="9.140625" style="28"/>
  </cols>
  <sheetData>
    <row r="1" spans="1:42" ht="20.100000000000001" customHeight="1" x14ac:dyDescent="0.25">
      <c r="K1" s="47"/>
      <c r="L1" s="48"/>
      <c r="M1" s="48"/>
      <c r="N1" s="48"/>
      <c r="P1" s="48"/>
      <c r="Q1" s="48"/>
      <c r="R1" s="48"/>
    </row>
    <row r="2" spans="1:42" ht="20.100000000000001" customHeight="1" x14ac:dyDescent="0.25">
      <c r="K2" s="47" t="s">
        <v>198</v>
      </c>
      <c r="L2" s="144" t="s">
        <v>197</v>
      </c>
      <c r="M2" s="145" t="s">
        <v>196</v>
      </c>
      <c r="N2" s="188" t="s">
        <v>195</v>
      </c>
      <c r="O2" s="475" t="s">
        <v>5493</v>
      </c>
      <c r="P2" s="476"/>
    </row>
    <row r="3" spans="1:42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</row>
    <row r="4" spans="1:42" x14ac:dyDescent="0.25">
      <c r="K4" s="1"/>
      <c r="L4" s="1"/>
      <c r="M4" s="1"/>
      <c r="N4" s="1"/>
      <c r="P4" s="365"/>
      <c r="Q4" s="365"/>
      <c r="R4" s="365"/>
      <c r="S4" s="1"/>
      <c r="T4" s="1"/>
      <c r="W4" s="365"/>
      <c r="X4" s="365"/>
      <c r="AB4" s="1"/>
      <c r="AC4" s="1"/>
    </row>
    <row r="5" spans="1:42" ht="18.75" x14ac:dyDescent="0.3">
      <c r="A5" s="39"/>
      <c r="B5" s="40" t="s">
        <v>5795</v>
      </c>
      <c r="C5" s="39"/>
      <c r="D5" s="39"/>
      <c r="E5" s="39"/>
      <c r="F5" s="39"/>
      <c r="G5" s="40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41"/>
      <c r="AJ5" s="41"/>
      <c r="AK5" s="41"/>
      <c r="AL5" s="41"/>
      <c r="AM5" s="41"/>
      <c r="AN5" s="41"/>
      <c r="AO5" s="41"/>
      <c r="AP5" s="41"/>
    </row>
    <row r="6" spans="1:42" ht="15" customHeight="1" x14ac:dyDescent="0.25">
      <c r="K6" s="1"/>
      <c r="L6" s="1"/>
      <c r="M6" s="1"/>
      <c r="N6" s="1"/>
      <c r="P6" s="365"/>
      <c r="Q6" s="365"/>
      <c r="R6" s="365"/>
      <c r="S6" s="1"/>
      <c r="T6" s="1"/>
      <c r="W6" s="365"/>
      <c r="X6" s="365"/>
      <c r="AB6" s="1"/>
      <c r="AC6" s="1"/>
    </row>
    <row r="7" spans="1:42" ht="30" customHeight="1" x14ac:dyDescent="0.25">
      <c r="B7" s="68" t="s">
        <v>171</v>
      </c>
      <c r="C7" s="69" t="str">
        <f>Geral!C7</f>
        <v>Exemplo Ltda</v>
      </c>
      <c r="K7" s="1"/>
      <c r="L7" s="1"/>
      <c r="M7" s="1"/>
      <c r="N7" s="1"/>
      <c r="P7" s="365"/>
      <c r="Q7" s="365"/>
      <c r="R7" s="365"/>
      <c r="S7" s="1"/>
      <c r="T7" s="1"/>
      <c r="W7" s="365"/>
      <c r="X7" s="365"/>
      <c r="AB7" s="1"/>
      <c r="AC7" s="1"/>
    </row>
    <row r="8" spans="1:42" ht="30" customHeight="1" x14ac:dyDescent="0.25">
      <c r="B8" s="68" t="s">
        <v>122</v>
      </c>
      <c r="C8" s="69" t="str">
        <f>Geral!C10</f>
        <v>Projeto</v>
      </c>
      <c r="K8" s="1"/>
      <c r="L8" s="1"/>
      <c r="M8" s="1"/>
      <c r="N8" s="1"/>
      <c r="P8" s="365"/>
      <c r="Q8" s="365"/>
      <c r="R8" s="365"/>
      <c r="S8" s="1"/>
      <c r="T8" s="1"/>
      <c r="W8" s="365"/>
      <c r="X8" s="365"/>
      <c r="AB8" s="1"/>
      <c r="AC8" s="1"/>
      <c r="AD8" s="82"/>
    </row>
    <row r="10" spans="1:42" ht="20.100000000000001" customHeight="1" x14ac:dyDescent="0.25">
      <c r="B10" s="447" t="s">
        <v>6197</v>
      </c>
      <c r="C10" s="473"/>
      <c r="D10" s="473"/>
      <c r="E10" s="474"/>
      <c r="G10" s="477" t="s">
        <v>6198</v>
      </c>
      <c r="H10" s="478"/>
      <c r="I10" s="479"/>
      <c r="K10" s="447" t="s">
        <v>6126</v>
      </c>
      <c r="L10" s="473"/>
      <c r="M10" s="473"/>
      <c r="N10" s="474"/>
      <c r="P10" s="477" t="s">
        <v>6194</v>
      </c>
      <c r="Q10" s="478"/>
      <c r="R10" s="479"/>
      <c r="T10" s="447" t="s">
        <v>6205</v>
      </c>
      <c r="U10" s="473"/>
      <c r="V10" s="474"/>
      <c r="X10" s="447" t="s">
        <v>6204</v>
      </c>
      <c r="Y10" s="473"/>
      <c r="Z10" s="474"/>
      <c r="AB10" s="447" t="s">
        <v>6127</v>
      </c>
      <c r="AC10" s="473"/>
      <c r="AD10" s="473"/>
      <c r="AE10" s="473"/>
      <c r="AF10" s="473"/>
      <c r="AG10" s="474"/>
    </row>
    <row r="11" spans="1:42" ht="35.1" customHeight="1" x14ac:dyDescent="0.25">
      <c r="B11" s="85" t="s">
        <v>5491</v>
      </c>
      <c r="C11" s="86" t="s">
        <v>184</v>
      </c>
      <c r="D11" s="86" t="s">
        <v>185</v>
      </c>
      <c r="E11" s="87" t="s">
        <v>186</v>
      </c>
      <c r="G11" s="195" t="s">
        <v>5491</v>
      </c>
      <c r="H11" s="86" t="s">
        <v>184</v>
      </c>
      <c r="I11" s="196" t="s">
        <v>185</v>
      </c>
      <c r="K11" s="85" t="s">
        <v>5491</v>
      </c>
      <c r="L11" s="86" t="s">
        <v>184</v>
      </c>
      <c r="M11" s="86" t="s">
        <v>185</v>
      </c>
      <c r="N11" s="87" t="s">
        <v>186</v>
      </c>
      <c r="P11" s="195" t="s">
        <v>5491</v>
      </c>
      <c r="Q11" s="86" t="s">
        <v>184</v>
      </c>
      <c r="R11" s="196" t="s">
        <v>185</v>
      </c>
      <c r="T11" s="85" t="s">
        <v>5491</v>
      </c>
      <c r="U11" s="86" t="s">
        <v>184</v>
      </c>
      <c r="V11" s="87" t="s">
        <v>187</v>
      </c>
      <c r="X11" s="85" t="s">
        <v>5491</v>
      </c>
      <c r="Y11" s="86" t="s">
        <v>184</v>
      </c>
      <c r="Z11" s="87" t="s">
        <v>187</v>
      </c>
      <c r="AB11" s="85" t="s">
        <v>5491</v>
      </c>
      <c r="AC11" s="86" t="s">
        <v>6090</v>
      </c>
      <c r="AD11" s="86" t="s">
        <v>6125</v>
      </c>
      <c r="AE11" s="86" t="s">
        <v>6087</v>
      </c>
      <c r="AF11" s="86" t="s">
        <v>6086</v>
      </c>
      <c r="AG11" s="87" t="s">
        <v>6081</v>
      </c>
    </row>
    <row r="12" spans="1:42" s="30" customFormat="1" ht="30" customHeight="1" x14ac:dyDescent="0.25">
      <c r="A12" s="2"/>
      <c r="B12" s="373" t="s">
        <v>6223</v>
      </c>
      <c r="C12" s="89">
        <v>0</v>
      </c>
      <c r="D12" s="89">
        <v>0</v>
      </c>
      <c r="E12" s="328">
        <v>0</v>
      </c>
      <c r="F12" s="2"/>
      <c r="G12" s="373" t="s">
        <v>6225</v>
      </c>
      <c r="H12" s="89">
        <v>2.39</v>
      </c>
      <c r="I12" s="328">
        <v>150</v>
      </c>
      <c r="J12" s="2"/>
      <c r="K12" s="373" t="s">
        <v>6224</v>
      </c>
      <c r="L12" s="89">
        <v>0</v>
      </c>
      <c r="M12" s="89">
        <v>0</v>
      </c>
      <c r="N12" s="328">
        <v>0</v>
      </c>
      <c r="O12" s="2"/>
      <c r="P12" s="374" t="s">
        <v>6228</v>
      </c>
      <c r="Q12" s="89">
        <v>3.33</v>
      </c>
      <c r="R12" s="328">
        <v>220</v>
      </c>
      <c r="S12" s="2"/>
      <c r="T12" s="373" t="s">
        <v>6223</v>
      </c>
      <c r="U12" s="89">
        <v>0</v>
      </c>
      <c r="V12" s="328">
        <v>0</v>
      </c>
      <c r="W12" s="2"/>
      <c r="X12" s="373" t="s">
        <v>6227</v>
      </c>
      <c r="Y12" s="89">
        <v>0</v>
      </c>
      <c r="Z12" s="328">
        <v>0</v>
      </c>
      <c r="AA12" s="2"/>
      <c r="AB12" s="88" t="s">
        <v>5494</v>
      </c>
      <c r="AC12" s="327" t="s">
        <v>6092</v>
      </c>
      <c r="AD12" s="107">
        <f>36000*0.2929/1000</f>
        <v>10.5444</v>
      </c>
      <c r="AE12" s="327" t="s">
        <v>6217</v>
      </c>
      <c r="AF12" s="89">
        <v>2.6</v>
      </c>
      <c r="AG12" s="328">
        <v>45</v>
      </c>
      <c r="AH12" s="2"/>
    </row>
    <row r="13" spans="1:42" s="30" customFormat="1" ht="30" customHeight="1" x14ac:dyDescent="0.25">
      <c r="A13" s="2"/>
      <c r="B13" s="373" t="s">
        <v>6222</v>
      </c>
      <c r="C13" s="89">
        <v>2.39</v>
      </c>
      <c r="D13" s="89">
        <v>150</v>
      </c>
      <c r="E13" s="90">
        <v>0.5</v>
      </c>
      <c r="F13" s="2"/>
      <c r="G13" s="373"/>
      <c r="H13" s="89"/>
      <c r="I13" s="328"/>
      <c r="J13" s="2"/>
      <c r="K13" s="88" t="s">
        <v>6226</v>
      </c>
      <c r="L13" s="89">
        <v>2.06</v>
      </c>
      <c r="M13" s="89">
        <v>233</v>
      </c>
      <c r="N13" s="90">
        <v>0.8</v>
      </c>
      <c r="O13" s="2"/>
      <c r="P13" s="374"/>
      <c r="Q13" s="89"/>
      <c r="R13" s="328"/>
      <c r="S13" s="2"/>
      <c r="T13" s="88" t="s">
        <v>6132</v>
      </c>
      <c r="U13" s="89">
        <v>5.7</v>
      </c>
      <c r="V13" s="90">
        <v>0.82</v>
      </c>
      <c r="W13" s="2"/>
      <c r="X13" s="373" t="s">
        <v>6206</v>
      </c>
      <c r="Y13" s="89">
        <v>5.7</v>
      </c>
      <c r="Z13" s="90">
        <v>0.82</v>
      </c>
      <c r="AA13" s="2"/>
      <c r="AB13" s="88" t="s">
        <v>6088</v>
      </c>
      <c r="AC13" s="327" t="s">
        <v>6093</v>
      </c>
      <c r="AD13" s="89">
        <v>25</v>
      </c>
      <c r="AE13" s="327" t="s">
        <v>5797</v>
      </c>
      <c r="AF13" s="89">
        <v>7</v>
      </c>
      <c r="AG13" s="328">
        <v>45</v>
      </c>
      <c r="AH13" s="2"/>
    </row>
    <row r="14" spans="1:42" s="30" customFormat="1" ht="30" customHeight="1" x14ac:dyDescent="0.25">
      <c r="A14" s="2"/>
      <c r="B14" s="88"/>
      <c r="C14" s="89"/>
      <c r="D14" s="89"/>
      <c r="E14" s="90"/>
      <c r="F14" s="2"/>
      <c r="G14" s="374"/>
      <c r="H14" s="89"/>
      <c r="I14" s="328"/>
      <c r="J14" s="2"/>
      <c r="K14" s="88"/>
      <c r="L14" s="89"/>
      <c r="M14" s="89"/>
      <c r="N14" s="90"/>
      <c r="O14" s="2"/>
      <c r="P14" s="374"/>
      <c r="Q14" s="89"/>
      <c r="R14" s="328"/>
      <c r="S14" s="2"/>
      <c r="T14" s="88"/>
      <c r="U14" s="89"/>
      <c r="V14" s="90"/>
      <c r="W14" s="2"/>
      <c r="X14" s="88"/>
      <c r="Y14" s="89"/>
      <c r="Z14" s="90"/>
      <c r="AA14" s="2"/>
      <c r="AB14" s="88" t="s">
        <v>6220</v>
      </c>
      <c r="AC14" s="327" t="s">
        <v>6092</v>
      </c>
      <c r="AD14" s="107">
        <f>36000*0.2929/1000</f>
        <v>10.5444</v>
      </c>
      <c r="AE14" s="327" t="s">
        <v>6221</v>
      </c>
      <c r="AF14" s="89">
        <v>6</v>
      </c>
      <c r="AG14" s="328">
        <v>45</v>
      </c>
      <c r="AH14" s="2"/>
    </row>
    <row r="15" spans="1:42" s="30" customFormat="1" ht="30" customHeight="1" x14ac:dyDescent="0.25">
      <c r="A15" s="2"/>
      <c r="B15" s="88"/>
      <c r="C15" s="89"/>
      <c r="D15" s="89"/>
      <c r="E15" s="90"/>
      <c r="F15" s="2"/>
      <c r="G15" s="374"/>
      <c r="H15" s="89"/>
      <c r="I15" s="328"/>
      <c r="J15" s="2"/>
      <c r="K15" s="88"/>
      <c r="L15" s="89"/>
      <c r="M15" s="89"/>
      <c r="N15" s="90"/>
      <c r="O15" s="2"/>
      <c r="P15" s="374"/>
      <c r="Q15" s="89"/>
      <c r="R15" s="328"/>
      <c r="S15" s="2"/>
      <c r="T15" s="88"/>
      <c r="U15" s="89"/>
      <c r="V15" s="90"/>
      <c r="W15" s="2"/>
      <c r="X15" s="88"/>
      <c r="Y15" s="89"/>
      <c r="Z15" s="90"/>
      <c r="AA15" s="2"/>
      <c r="AB15" s="88"/>
      <c r="AC15" s="327"/>
      <c r="AD15" s="89"/>
      <c r="AE15" s="327"/>
      <c r="AF15" s="89"/>
      <c r="AG15" s="328"/>
      <c r="AH15" s="2"/>
    </row>
    <row r="16" spans="1:42" s="30" customFormat="1" ht="30" customHeight="1" x14ac:dyDescent="0.25">
      <c r="A16" s="2"/>
      <c r="B16" s="88"/>
      <c r="C16" s="89"/>
      <c r="D16" s="89"/>
      <c r="E16" s="90"/>
      <c r="F16" s="2"/>
      <c r="G16" s="374"/>
      <c r="H16" s="89"/>
      <c r="I16" s="328"/>
      <c r="J16" s="2"/>
      <c r="K16" s="88"/>
      <c r="L16" s="89"/>
      <c r="M16" s="89"/>
      <c r="N16" s="90"/>
      <c r="O16" s="2"/>
      <c r="P16" s="374"/>
      <c r="Q16" s="89"/>
      <c r="R16" s="328"/>
      <c r="S16" s="2"/>
      <c r="T16" s="88"/>
      <c r="U16" s="89"/>
      <c r="V16" s="90"/>
      <c r="W16" s="2"/>
      <c r="X16" s="88"/>
      <c r="Y16" s="89"/>
      <c r="Z16" s="90"/>
      <c r="AA16" s="2"/>
      <c r="AB16" s="88"/>
      <c r="AC16" s="327"/>
      <c r="AD16" s="89"/>
      <c r="AE16" s="327"/>
      <c r="AF16" s="89"/>
      <c r="AG16" s="328"/>
      <c r="AH16" s="2"/>
    </row>
    <row r="17" spans="1:34" s="30" customFormat="1" ht="30" customHeight="1" x14ac:dyDescent="0.25">
      <c r="A17" s="2"/>
      <c r="B17" s="88"/>
      <c r="C17" s="89"/>
      <c r="D17" s="89"/>
      <c r="E17" s="90"/>
      <c r="F17" s="2"/>
      <c r="G17" s="374"/>
      <c r="H17" s="89"/>
      <c r="I17" s="328"/>
      <c r="J17" s="2"/>
      <c r="K17" s="88"/>
      <c r="L17" s="89"/>
      <c r="M17" s="89"/>
      <c r="N17" s="90"/>
      <c r="O17" s="2"/>
      <c r="P17" s="374"/>
      <c r="Q17" s="89"/>
      <c r="R17" s="328"/>
      <c r="S17" s="2"/>
      <c r="T17" s="88"/>
      <c r="U17" s="89"/>
      <c r="V17" s="90"/>
      <c r="W17" s="2"/>
      <c r="X17" s="88"/>
      <c r="Y17" s="89"/>
      <c r="Z17" s="90"/>
      <c r="AA17" s="2"/>
      <c r="AB17" s="88"/>
      <c r="AC17" s="327"/>
      <c r="AD17" s="89"/>
      <c r="AE17" s="327"/>
      <c r="AF17" s="89"/>
      <c r="AG17" s="328"/>
      <c r="AH17" s="2"/>
    </row>
    <row r="18" spans="1:34" s="30" customFormat="1" ht="30" customHeight="1" x14ac:dyDescent="0.25">
      <c r="A18" s="2"/>
      <c r="B18" s="88"/>
      <c r="C18" s="89"/>
      <c r="D18" s="89"/>
      <c r="E18" s="90"/>
      <c r="F18" s="2"/>
      <c r="G18" s="374"/>
      <c r="H18" s="89"/>
      <c r="I18" s="328"/>
      <c r="J18" s="2"/>
      <c r="K18" s="88"/>
      <c r="L18" s="89"/>
      <c r="M18" s="89"/>
      <c r="N18" s="90"/>
      <c r="O18" s="2"/>
      <c r="P18" s="374"/>
      <c r="Q18" s="89"/>
      <c r="R18" s="328"/>
      <c r="S18" s="2"/>
      <c r="T18" s="88"/>
      <c r="U18" s="89"/>
      <c r="V18" s="90"/>
      <c r="W18" s="2"/>
      <c r="X18" s="88"/>
      <c r="Y18" s="89"/>
      <c r="Z18" s="90"/>
      <c r="AA18" s="2"/>
      <c r="AB18" s="88"/>
      <c r="AC18" s="327"/>
      <c r="AD18" s="89"/>
      <c r="AE18" s="327"/>
      <c r="AF18" s="89"/>
      <c r="AG18" s="328"/>
      <c r="AH18" s="2"/>
    </row>
    <row r="19" spans="1:34" s="30" customFormat="1" ht="30" customHeight="1" x14ac:dyDescent="0.25">
      <c r="A19" s="2"/>
      <c r="B19" s="88"/>
      <c r="C19" s="89"/>
      <c r="D19" s="89"/>
      <c r="E19" s="90"/>
      <c r="F19" s="2"/>
      <c r="G19" s="374"/>
      <c r="H19" s="89"/>
      <c r="I19" s="328"/>
      <c r="J19" s="2"/>
      <c r="K19" s="88"/>
      <c r="L19" s="89"/>
      <c r="M19" s="89"/>
      <c r="N19" s="90"/>
      <c r="O19" s="2"/>
      <c r="P19" s="374"/>
      <c r="Q19" s="89"/>
      <c r="R19" s="328"/>
      <c r="S19" s="2"/>
      <c r="T19" s="88"/>
      <c r="U19" s="89"/>
      <c r="V19" s="90"/>
      <c r="W19" s="2"/>
      <c r="X19" s="88"/>
      <c r="Y19" s="89"/>
      <c r="Z19" s="90"/>
      <c r="AA19" s="2"/>
      <c r="AB19" s="88"/>
      <c r="AC19" s="327"/>
      <c r="AD19" s="89"/>
      <c r="AE19" s="327"/>
      <c r="AF19" s="89"/>
      <c r="AG19" s="328"/>
      <c r="AH19" s="2"/>
    </row>
    <row r="20" spans="1:34" s="30" customFormat="1" ht="30" customHeight="1" x14ac:dyDescent="0.25">
      <c r="A20" s="2"/>
      <c r="B20" s="88"/>
      <c r="C20" s="89"/>
      <c r="D20" s="89"/>
      <c r="E20" s="90"/>
      <c r="F20" s="2"/>
      <c r="G20" s="374"/>
      <c r="H20" s="89"/>
      <c r="I20" s="328"/>
      <c r="J20" s="2"/>
      <c r="K20" s="88"/>
      <c r="L20" s="89"/>
      <c r="M20" s="89"/>
      <c r="N20" s="90"/>
      <c r="O20" s="2"/>
      <c r="P20" s="374"/>
      <c r="Q20" s="89"/>
      <c r="R20" s="328"/>
      <c r="S20" s="2"/>
      <c r="T20" s="88"/>
      <c r="U20" s="89"/>
      <c r="V20" s="90"/>
      <c r="W20" s="2"/>
      <c r="X20" s="88"/>
      <c r="Y20" s="89"/>
      <c r="Z20" s="90"/>
      <c r="AA20" s="2"/>
      <c r="AB20" s="88"/>
      <c r="AC20" s="327"/>
      <c r="AD20" s="89"/>
      <c r="AE20" s="327"/>
      <c r="AF20" s="89"/>
      <c r="AG20" s="328"/>
      <c r="AH20" s="2"/>
    </row>
    <row r="21" spans="1:34" s="30" customFormat="1" ht="30" customHeight="1" x14ac:dyDescent="0.25">
      <c r="A21" s="2"/>
      <c r="B21" s="88"/>
      <c r="C21" s="89"/>
      <c r="D21" s="89"/>
      <c r="E21" s="90"/>
      <c r="F21" s="2"/>
      <c r="G21" s="374"/>
      <c r="H21" s="89"/>
      <c r="I21" s="328"/>
      <c r="J21" s="2"/>
      <c r="K21" s="88"/>
      <c r="L21" s="89"/>
      <c r="M21" s="89"/>
      <c r="N21" s="90"/>
      <c r="O21" s="2"/>
      <c r="P21" s="374"/>
      <c r="Q21" s="89"/>
      <c r="R21" s="328"/>
      <c r="S21" s="2"/>
      <c r="T21" s="88"/>
      <c r="U21" s="89"/>
      <c r="V21" s="90"/>
      <c r="W21" s="2"/>
      <c r="X21" s="88"/>
      <c r="Y21" s="89"/>
      <c r="Z21" s="90"/>
      <c r="AA21" s="2"/>
      <c r="AB21" s="88"/>
      <c r="AC21" s="327"/>
      <c r="AD21" s="89"/>
      <c r="AE21" s="327"/>
      <c r="AF21" s="89"/>
      <c r="AG21" s="328"/>
      <c r="AH21" s="2"/>
    </row>
    <row r="22" spans="1:34" s="30" customFormat="1" ht="30" customHeight="1" x14ac:dyDescent="0.25">
      <c r="A22" s="2"/>
      <c r="B22" s="88"/>
      <c r="C22" s="89"/>
      <c r="D22" s="89"/>
      <c r="E22" s="90"/>
      <c r="F22" s="2"/>
      <c r="G22" s="374"/>
      <c r="H22" s="89"/>
      <c r="I22" s="328"/>
      <c r="J22" s="2"/>
      <c r="K22" s="88"/>
      <c r="L22" s="89"/>
      <c r="M22" s="89"/>
      <c r="N22" s="90"/>
      <c r="O22" s="2"/>
      <c r="P22" s="374"/>
      <c r="Q22" s="89"/>
      <c r="R22" s="328"/>
      <c r="S22" s="2"/>
      <c r="T22" s="88"/>
      <c r="U22" s="89"/>
      <c r="V22" s="90"/>
      <c r="W22" s="2"/>
      <c r="X22" s="88"/>
      <c r="Y22" s="89"/>
      <c r="Z22" s="90"/>
      <c r="AA22" s="2"/>
      <c r="AB22" s="88"/>
      <c r="AC22" s="327"/>
      <c r="AD22" s="89"/>
      <c r="AE22" s="327"/>
      <c r="AF22" s="89"/>
      <c r="AG22" s="328"/>
      <c r="AH22" s="2"/>
    </row>
    <row r="23" spans="1:34" s="30" customFormat="1" ht="30" customHeight="1" x14ac:dyDescent="0.25">
      <c r="A23" s="2"/>
      <c r="B23" s="88"/>
      <c r="C23" s="89"/>
      <c r="D23" s="89"/>
      <c r="E23" s="90"/>
      <c r="F23" s="2"/>
      <c r="G23" s="374"/>
      <c r="H23" s="89"/>
      <c r="I23" s="328"/>
      <c r="J23" s="2"/>
      <c r="K23" s="88"/>
      <c r="L23" s="89"/>
      <c r="M23" s="89"/>
      <c r="N23" s="90"/>
      <c r="O23" s="2"/>
      <c r="P23" s="374"/>
      <c r="Q23" s="89"/>
      <c r="R23" s="328"/>
      <c r="S23" s="2"/>
      <c r="T23" s="88"/>
      <c r="U23" s="89"/>
      <c r="V23" s="90"/>
      <c r="W23" s="2"/>
      <c r="X23" s="88"/>
      <c r="Y23" s="89"/>
      <c r="Z23" s="90"/>
      <c r="AA23" s="2"/>
      <c r="AB23" s="88"/>
      <c r="AC23" s="327"/>
      <c r="AD23" s="89"/>
      <c r="AE23" s="327"/>
      <c r="AF23" s="89"/>
      <c r="AG23" s="328"/>
      <c r="AH23" s="2"/>
    </row>
    <row r="24" spans="1:34" s="30" customFormat="1" ht="30" customHeight="1" x14ac:dyDescent="0.25">
      <c r="A24" s="2"/>
      <c r="B24" s="88"/>
      <c r="C24" s="89"/>
      <c r="D24" s="89"/>
      <c r="E24" s="90"/>
      <c r="F24" s="2"/>
      <c r="G24" s="374"/>
      <c r="H24" s="89"/>
      <c r="I24" s="328"/>
      <c r="J24" s="2"/>
      <c r="K24" s="88"/>
      <c r="L24" s="89"/>
      <c r="M24" s="89"/>
      <c r="N24" s="90"/>
      <c r="O24" s="2"/>
      <c r="P24" s="374"/>
      <c r="Q24" s="89"/>
      <c r="R24" s="328"/>
      <c r="S24" s="2"/>
      <c r="T24" s="88"/>
      <c r="U24" s="89"/>
      <c r="V24" s="90"/>
      <c r="W24" s="2"/>
      <c r="X24" s="88"/>
      <c r="Y24" s="89"/>
      <c r="Z24" s="90"/>
      <c r="AA24" s="2"/>
      <c r="AB24" s="88"/>
      <c r="AC24" s="327"/>
      <c r="AD24" s="89"/>
      <c r="AE24" s="327"/>
      <c r="AF24" s="89"/>
      <c r="AG24" s="328"/>
      <c r="AH24" s="2"/>
    </row>
    <row r="25" spans="1:34" s="30" customFormat="1" ht="30" customHeight="1" x14ac:dyDescent="0.25">
      <c r="A25" s="2"/>
      <c r="B25" s="88"/>
      <c r="C25" s="89"/>
      <c r="D25" s="89"/>
      <c r="E25" s="90"/>
      <c r="F25" s="2"/>
      <c r="G25" s="374"/>
      <c r="H25" s="89"/>
      <c r="I25" s="328"/>
      <c r="J25" s="2"/>
      <c r="K25" s="88"/>
      <c r="L25" s="89"/>
      <c r="M25" s="89"/>
      <c r="N25" s="90"/>
      <c r="O25" s="2"/>
      <c r="P25" s="374"/>
      <c r="Q25" s="89"/>
      <c r="R25" s="328"/>
      <c r="S25" s="2"/>
      <c r="T25" s="88"/>
      <c r="U25" s="89"/>
      <c r="V25" s="90"/>
      <c r="W25" s="2"/>
      <c r="X25" s="88"/>
      <c r="Y25" s="89"/>
      <c r="Z25" s="90"/>
      <c r="AA25" s="2"/>
      <c r="AB25" s="88"/>
      <c r="AC25" s="327"/>
      <c r="AD25" s="89"/>
      <c r="AE25" s="327"/>
      <c r="AF25" s="89"/>
      <c r="AG25" s="328"/>
      <c r="AH25" s="2"/>
    </row>
    <row r="26" spans="1:34" s="30" customFormat="1" ht="30" customHeight="1" x14ac:dyDescent="0.25">
      <c r="A26" s="2"/>
      <c r="B26" s="88"/>
      <c r="C26" s="89"/>
      <c r="D26" s="89"/>
      <c r="E26" s="90"/>
      <c r="F26" s="2"/>
      <c r="G26" s="374"/>
      <c r="H26" s="89"/>
      <c r="I26" s="328"/>
      <c r="J26" s="2"/>
      <c r="K26" s="88"/>
      <c r="L26" s="89"/>
      <c r="M26" s="89"/>
      <c r="N26" s="90"/>
      <c r="O26" s="2"/>
      <c r="P26" s="374"/>
      <c r="Q26" s="89"/>
      <c r="R26" s="328"/>
      <c r="S26" s="2"/>
      <c r="T26" s="88"/>
      <c r="U26" s="89"/>
      <c r="V26" s="90"/>
      <c r="W26" s="2"/>
      <c r="X26" s="88"/>
      <c r="Y26" s="89"/>
      <c r="Z26" s="90"/>
      <c r="AA26" s="2"/>
      <c r="AB26" s="88"/>
      <c r="AC26" s="327"/>
      <c r="AD26" s="89"/>
      <c r="AE26" s="327"/>
      <c r="AF26" s="89"/>
      <c r="AG26" s="328"/>
      <c r="AH26" s="2"/>
    </row>
    <row r="27" spans="1:34" s="30" customFormat="1" ht="30" customHeight="1" x14ac:dyDescent="0.25">
      <c r="A27" s="2"/>
      <c r="B27" s="88"/>
      <c r="C27" s="89"/>
      <c r="D27" s="89"/>
      <c r="E27" s="90"/>
      <c r="F27" s="2"/>
      <c r="G27" s="374"/>
      <c r="H27" s="89"/>
      <c r="I27" s="328"/>
      <c r="J27" s="2"/>
      <c r="K27" s="88"/>
      <c r="L27" s="89"/>
      <c r="M27" s="89"/>
      <c r="N27" s="90"/>
      <c r="O27" s="2"/>
      <c r="P27" s="374"/>
      <c r="Q27" s="89"/>
      <c r="R27" s="328"/>
      <c r="S27" s="2"/>
      <c r="T27" s="88"/>
      <c r="U27" s="89"/>
      <c r="V27" s="90"/>
      <c r="W27" s="2"/>
      <c r="X27" s="88"/>
      <c r="Y27" s="89"/>
      <c r="Z27" s="90"/>
      <c r="AA27" s="2"/>
      <c r="AB27" s="88"/>
      <c r="AC27" s="327"/>
      <c r="AD27" s="89"/>
      <c r="AE27" s="327"/>
      <c r="AF27" s="89"/>
      <c r="AG27" s="328"/>
      <c r="AH27" s="2"/>
    </row>
    <row r="28" spans="1:34" s="30" customFormat="1" ht="30" customHeight="1" x14ac:dyDescent="0.25">
      <c r="A28" s="2"/>
      <c r="B28" s="88"/>
      <c r="C28" s="89"/>
      <c r="D28" s="89"/>
      <c r="E28" s="90"/>
      <c r="F28" s="2"/>
      <c r="G28" s="374"/>
      <c r="H28" s="89"/>
      <c r="I28" s="328"/>
      <c r="J28" s="2"/>
      <c r="K28" s="88"/>
      <c r="L28" s="89"/>
      <c r="M28" s="89"/>
      <c r="N28" s="90"/>
      <c r="O28" s="2"/>
      <c r="P28" s="374"/>
      <c r="Q28" s="89"/>
      <c r="R28" s="328"/>
      <c r="S28" s="2"/>
      <c r="T28" s="88"/>
      <c r="U28" s="89"/>
      <c r="V28" s="90"/>
      <c r="W28" s="2"/>
      <c r="X28" s="88"/>
      <c r="Y28" s="89"/>
      <c r="Z28" s="90"/>
      <c r="AA28" s="2"/>
      <c r="AB28" s="88"/>
      <c r="AC28" s="327"/>
      <c r="AD28" s="89"/>
      <c r="AE28" s="327"/>
      <c r="AF28" s="89"/>
      <c r="AG28" s="328"/>
      <c r="AH28" s="2"/>
    </row>
    <row r="29" spans="1:34" s="63" customFormat="1" ht="30" customHeight="1" x14ac:dyDescent="0.25">
      <c r="A29" s="2"/>
      <c r="B29" s="88"/>
      <c r="C29" s="89"/>
      <c r="D29" s="89"/>
      <c r="E29" s="90"/>
      <c r="F29" s="2"/>
      <c r="G29" s="374"/>
      <c r="H29" s="89"/>
      <c r="I29" s="328"/>
      <c r="J29" s="2"/>
      <c r="K29" s="88"/>
      <c r="L29" s="89"/>
      <c r="M29" s="89"/>
      <c r="N29" s="90"/>
      <c r="O29" s="2"/>
      <c r="P29" s="374"/>
      <c r="Q29" s="89"/>
      <c r="R29" s="328"/>
      <c r="S29" s="2"/>
      <c r="T29" s="88"/>
      <c r="U29" s="89"/>
      <c r="V29" s="90"/>
      <c r="W29" s="2"/>
      <c r="X29" s="88"/>
      <c r="Y29" s="89"/>
      <c r="Z29" s="90"/>
      <c r="AA29" s="61"/>
      <c r="AB29" s="88"/>
      <c r="AC29" s="327"/>
      <c r="AD29" s="89"/>
      <c r="AE29" s="327"/>
      <c r="AF29" s="89"/>
      <c r="AG29" s="328"/>
      <c r="AH29" s="61"/>
    </row>
    <row r="30" spans="1:34" s="63" customFormat="1" ht="30" customHeight="1" x14ac:dyDescent="0.25">
      <c r="A30" s="2"/>
      <c r="B30" s="88"/>
      <c r="C30" s="89"/>
      <c r="D30" s="89"/>
      <c r="E30" s="90"/>
      <c r="F30" s="2"/>
      <c r="G30" s="374"/>
      <c r="H30" s="89"/>
      <c r="I30" s="328"/>
      <c r="J30" s="2"/>
      <c r="K30" s="88"/>
      <c r="L30" s="89"/>
      <c r="M30" s="89"/>
      <c r="N30" s="90"/>
      <c r="O30" s="2"/>
      <c r="P30" s="374"/>
      <c r="Q30" s="89"/>
      <c r="R30" s="328"/>
      <c r="S30" s="2"/>
      <c r="T30" s="88"/>
      <c r="U30" s="89"/>
      <c r="V30" s="90"/>
      <c r="W30" s="2"/>
      <c r="X30" s="88"/>
      <c r="Y30" s="89"/>
      <c r="Z30" s="90"/>
      <c r="AA30" s="61"/>
      <c r="AB30" s="88"/>
      <c r="AC30" s="327"/>
      <c r="AD30" s="89"/>
      <c r="AE30" s="327"/>
      <c r="AF30" s="89"/>
      <c r="AG30" s="328"/>
      <c r="AH30" s="61"/>
    </row>
    <row r="31" spans="1:34" s="63" customFormat="1" ht="30" customHeight="1" x14ac:dyDescent="0.25">
      <c r="A31" s="2"/>
      <c r="B31" s="88"/>
      <c r="C31" s="89"/>
      <c r="D31" s="89"/>
      <c r="E31" s="90"/>
      <c r="F31" s="2"/>
      <c r="G31" s="374"/>
      <c r="H31" s="89"/>
      <c r="I31" s="328"/>
      <c r="J31" s="2"/>
      <c r="K31" s="88"/>
      <c r="L31" s="89"/>
      <c r="M31" s="89"/>
      <c r="N31" s="90"/>
      <c r="O31" s="2"/>
      <c r="P31" s="374"/>
      <c r="Q31" s="89"/>
      <c r="R31" s="328"/>
      <c r="S31" s="2"/>
      <c r="T31" s="88"/>
      <c r="U31" s="89"/>
      <c r="V31" s="90"/>
      <c r="W31" s="2"/>
      <c r="X31" s="88"/>
      <c r="Y31" s="89"/>
      <c r="Z31" s="90"/>
      <c r="AA31" s="61"/>
      <c r="AB31" s="88"/>
      <c r="AC31" s="327"/>
      <c r="AD31" s="89"/>
      <c r="AE31" s="327"/>
      <c r="AF31" s="89"/>
      <c r="AG31" s="328"/>
      <c r="AH31" s="61"/>
    </row>
    <row r="32" spans="1:34" s="63" customFormat="1" ht="30" customHeight="1" x14ac:dyDescent="0.25">
      <c r="A32" s="2"/>
      <c r="B32" s="88"/>
      <c r="C32" s="89"/>
      <c r="D32" s="89"/>
      <c r="E32" s="90"/>
      <c r="F32" s="2"/>
      <c r="G32" s="374"/>
      <c r="H32" s="89"/>
      <c r="I32" s="328"/>
      <c r="J32" s="2"/>
      <c r="K32" s="88"/>
      <c r="L32" s="89"/>
      <c r="M32" s="89"/>
      <c r="N32" s="90"/>
      <c r="O32" s="2"/>
      <c r="P32" s="374"/>
      <c r="Q32" s="89"/>
      <c r="R32" s="328"/>
      <c r="S32" s="2"/>
      <c r="T32" s="88"/>
      <c r="U32" s="89"/>
      <c r="V32" s="90"/>
      <c r="W32" s="2"/>
      <c r="X32" s="88"/>
      <c r="Y32" s="89"/>
      <c r="Z32" s="90"/>
      <c r="AA32" s="61"/>
      <c r="AB32" s="88"/>
      <c r="AC32" s="327"/>
      <c r="AD32" s="89"/>
      <c r="AE32" s="327"/>
      <c r="AF32" s="89"/>
      <c r="AG32" s="328"/>
      <c r="AH32" s="61"/>
    </row>
    <row r="33" spans="1:34" s="63" customFormat="1" ht="30" customHeight="1" x14ac:dyDescent="0.25">
      <c r="A33" s="2"/>
      <c r="B33" s="88"/>
      <c r="C33" s="89"/>
      <c r="D33" s="89"/>
      <c r="E33" s="90"/>
      <c r="F33" s="2"/>
      <c r="G33" s="374"/>
      <c r="H33" s="89"/>
      <c r="I33" s="328"/>
      <c r="J33" s="2"/>
      <c r="K33" s="88"/>
      <c r="L33" s="89"/>
      <c r="M33" s="89"/>
      <c r="N33" s="90"/>
      <c r="O33" s="2"/>
      <c r="P33" s="374"/>
      <c r="Q33" s="89"/>
      <c r="R33" s="328"/>
      <c r="S33" s="2"/>
      <c r="T33" s="88"/>
      <c r="U33" s="89"/>
      <c r="V33" s="90"/>
      <c r="W33" s="2"/>
      <c r="X33" s="88"/>
      <c r="Y33" s="89"/>
      <c r="Z33" s="90"/>
      <c r="AA33" s="61"/>
      <c r="AB33" s="88"/>
      <c r="AC33" s="327"/>
      <c r="AD33" s="89"/>
      <c r="AE33" s="327"/>
      <c r="AF33" s="89"/>
      <c r="AG33" s="328"/>
      <c r="AH33" s="61"/>
    </row>
    <row r="34" spans="1:34" s="63" customFormat="1" ht="30" customHeight="1" x14ac:dyDescent="0.25">
      <c r="A34" s="2"/>
      <c r="B34" s="88"/>
      <c r="C34" s="89"/>
      <c r="D34" s="89"/>
      <c r="E34" s="90"/>
      <c r="F34" s="2"/>
      <c r="G34" s="374"/>
      <c r="H34" s="89"/>
      <c r="I34" s="328"/>
      <c r="J34" s="2"/>
      <c r="K34" s="88"/>
      <c r="L34" s="89"/>
      <c r="M34" s="89"/>
      <c r="N34" s="90"/>
      <c r="O34" s="2"/>
      <c r="P34" s="374"/>
      <c r="Q34" s="89"/>
      <c r="R34" s="328"/>
      <c r="S34" s="2"/>
      <c r="T34" s="88"/>
      <c r="U34" s="89"/>
      <c r="V34" s="90"/>
      <c r="W34" s="2"/>
      <c r="X34" s="88"/>
      <c r="Y34" s="89"/>
      <c r="Z34" s="90"/>
      <c r="AA34" s="61"/>
      <c r="AB34" s="88"/>
      <c r="AC34" s="327"/>
      <c r="AD34" s="89"/>
      <c r="AE34" s="327"/>
      <c r="AF34" s="89"/>
      <c r="AG34" s="328"/>
      <c r="AH34" s="61"/>
    </row>
    <row r="35" spans="1:34" s="63" customFormat="1" ht="30" customHeight="1" x14ac:dyDescent="0.25">
      <c r="A35" s="2"/>
      <c r="B35" s="88"/>
      <c r="C35" s="89"/>
      <c r="D35" s="89"/>
      <c r="E35" s="90"/>
      <c r="F35" s="2"/>
      <c r="G35" s="374"/>
      <c r="H35" s="89"/>
      <c r="I35" s="328"/>
      <c r="J35" s="2"/>
      <c r="K35" s="88"/>
      <c r="L35" s="89"/>
      <c r="M35" s="89"/>
      <c r="N35" s="90"/>
      <c r="O35" s="2"/>
      <c r="P35" s="374"/>
      <c r="Q35" s="89"/>
      <c r="R35" s="328"/>
      <c r="S35" s="2"/>
      <c r="T35" s="88"/>
      <c r="U35" s="89"/>
      <c r="V35" s="90"/>
      <c r="W35" s="2"/>
      <c r="X35" s="88"/>
      <c r="Y35" s="89"/>
      <c r="Z35" s="90"/>
      <c r="AA35" s="61"/>
      <c r="AB35" s="88"/>
      <c r="AC35" s="327"/>
      <c r="AD35" s="89"/>
      <c r="AE35" s="327"/>
      <c r="AF35" s="89"/>
      <c r="AG35" s="328"/>
      <c r="AH35" s="61"/>
    </row>
    <row r="36" spans="1:34" s="63" customFormat="1" ht="30" customHeight="1" x14ac:dyDescent="0.25">
      <c r="A36" s="2"/>
      <c r="B36" s="88"/>
      <c r="C36" s="89"/>
      <c r="D36" s="89"/>
      <c r="E36" s="90"/>
      <c r="F36" s="2"/>
      <c r="G36" s="374"/>
      <c r="H36" s="89"/>
      <c r="I36" s="328"/>
      <c r="J36" s="2"/>
      <c r="K36" s="88"/>
      <c r="L36" s="89"/>
      <c r="M36" s="89"/>
      <c r="N36" s="90"/>
      <c r="O36" s="2"/>
      <c r="P36" s="374"/>
      <c r="Q36" s="89"/>
      <c r="R36" s="328"/>
      <c r="S36" s="2"/>
      <c r="T36" s="88"/>
      <c r="U36" s="89"/>
      <c r="V36" s="90"/>
      <c r="W36" s="2"/>
      <c r="X36" s="88"/>
      <c r="Y36" s="89"/>
      <c r="Z36" s="90"/>
      <c r="AA36" s="61"/>
      <c r="AB36" s="88"/>
      <c r="AC36" s="327"/>
      <c r="AD36" s="89"/>
      <c r="AE36" s="327"/>
      <c r="AF36" s="89"/>
      <c r="AG36" s="328"/>
      <c r="AH36" s="61"/>
    </row>
    <row r="37" spans="1:34" s="63" customFormat="1" ht="30" customHeight="1" x14ac:dyDescent="0.25">
      <c r="A37" s="2"/>
      <c r="B37" s="88"/>
      <c r="C37" s="89"/>
      <c r="D37" s="89"/>
      <c r="E37" s="90"/>
      <c r="F37" s="2"/>
      <c r="G37" s="374"/>
      <c r="H37" s="89"/>
      <c r="I37" s="328"/>
      <c r="J37" s="2"/>
      <c r="K37" s="88"/>
      <c r="L37" s="89"/>
      <c r="M37" s="89"/>
      <c r="N37" s="90"/>
      <c r="O37" s="2"/>
      <c r="P37" s="374"/>
      <c r="Q37" s="89"/>
      <c r="R37" s="328"/>
      <c r="S37" s="2"/>
      <c r="T37" s="88"/>
      <c r="U37" s="89"/>
      <c r="V37" s="90"/>
      <c r="W37" s="2"/>
      <c r="X37" s="88"/>
      <c r="Y37" s="89"/>
      <c r="Z37" s="90"/>
      <c r="AA37" s="61"/>
      <c r="AB37" s="88"/>
      <c r="AC37" s="327"/>
      <c r="AD37" s="89"/>
      <c r="AE37" s="327"/>
      <c r="AF37" s="89"/>
      <c r="AG37" s="328"/>
      <c r="AH37" s="61"/>
    </row>
    <row r="38" spans="1:34" s="63" customFormat="1" ht="30" customHeight="1" x14ac:dyDescent="0.25">
      <c r="A38" s="2"/>
      <c r="B38" s="88"/>
      <c r="C38" s="89"/>
      <c r="D38" s="89"/>
      <c r="E38" s="90"/>
      <c r="F38" s="2"/>
      <c r="G38" s="374"/>
      <c r="H38" s="89"/>
      <c r="I38" s="328"/>
      <c r="J38" s="2"/>
      <c r="K38" s="88"/>
      <c r="L38" s="89"/>
      <c r="M38" s="89"/>
      <c r="N38" s="90"/>
      <c r="O38" s="2"/>
      <c r="P38" s="374"/>
      <c r="Q38" s="89"/>
      <c r="R38" s="328"/>
      <c r="S38" s="2"/>
      <c r="T38" s="88"/>
      <c r="U38" s="89"/>
      <c r="V38" s="90"/>
      <c r="W38" s="2"/>
      <c r="X38" s="88"/>
      <c r="Y38" s="89"/>
      <c r="Z38" s="90"/>
      <c r="AA38" s="61"/>
      <c r="AB38" s="88"/>
      <c r="AC38" s="327"/>
      <c r="AD38" s="89"/>
      <c r="AE38" s="327"/>
      <c r="AF38" s="89"/>
      <c r="AG38" s="328"/>
      <c r="AH38" s="61"/>
    </row>
    <row r="39" spans="1:34" s="63" customFormat="1" ht="30" customHeight="1" x14ac:dyDescent="0.25">
      <c r="A39" s="2"/>
      <c r="B39" s="88"/>
      <c r="C39" s="89"/>
      <c r="D39" s="89"/>
      <c r="E39" s="90"/>
      <c r="F39" s="2"/>
      <c r="G39" s="374"/>
      <c r="H39" s="89"/>
      <c r="I39" s="328"/>
      <c r="J39" s="2"/>
      <c r="K39" s="88"/>
      <c r="L39" s="89"/>
      <c r="M39" s="89"/>
      <c r="N39" s="90"/>
      <c r="O39" s="2"/>
      <c r="P39" s="374"/>
      <c r="Q39" s="89"/>
      <c r="R39" s="328"/>
      <c r="S39" s="2"/>
      <c r="T39" s="88"/>
      <c r="U39" s="89"/>
      <c r="V39" s="90"/>
      <c r="W39" s="2"/>
      <c r="X39" s="88"/>
      <c r="Y39" s="89"/>
      <c r="Z39" s="90"/>
      <c r="AA39" s="61"/>
      <c r="AB39" s="88"/>
      <c r="AC39" s="327"/>
      <c r="AD39" s="89"/>
      <c r="AE39" s="327"/>
      <c r="AF39" s="89"/>
      <c r="AG39" s="328"/>
      <c r="AH39" s="61"/>
    </row>
    <row r="40" spans="1:34" s="63" customFormat="1" ht="30" customHeight="1" x14ac:dyDescent="0.25">
      <c r="A40" s="2"/>
      <c r="B40" s="88"/>
      <c r="C40" s="89"/>
      <c r="D40" s="89"/>
      <c r="E40" s="90"/>
      <c r="F40" s="2"/>
      <c r="G40" s="374"/>
      <c r="H40" s="89"/>
      <c r="I40" s="328"/>
      <c r="J40" s="2"/>
      <c r="K40" s="88"/>
      <c r="L40" s="89"/>
      <c r="M40" s="89"/>
      <c r="N40" s="90"/>
      <c r="O40" s="2"/>
      <c r="P40" s="374"/>
      <c r="Q40" s="89"/>
      <c r="R40" s="328"/>
      <c r="S40" s="2"/>
      <c r="T40" s="88"/>
      <c r="U40" s="89"/>
      <c r="V40" s="90"/>
      <c r="W40" s="2"/>
      <c r="X40" s="88"/>
      <c r="Y40" s="89"/>
      <c r="Z40" s="90"/>
      <c r="AA40" s="61"/>
      <c r="AB40" s="88"/>
      <c r="AC40" s="327"/>
      <c r="AD40" s="89"/>
      <c r="AE40" s="327"/>
      <c r="AF40" s="89"/>
      <c r="AG40" s="328"/>
      <c r="AH40" s="61"/>
    </row>
    <row r="41" spans="1:34" s="63" customFormat="1" ht="30" customHeight="1" x14ac:dyDescent="0.25">
      <c r="A41" s="2"/>
      <c r="B41" s="88"/>
      <c r="C41" s="89"/>
      <c r="D41" s="89"/>
      <c r="E41" s="90"/>
      <c r="F41" s="2"/>
      <c r="G41" s="374"/>
      <c r="H41" s="89"/>
      <c r="I41" s="328"/>
      <c r="J41" s="2"/>
      <c r="K41" s="88"/>
      <c r="L41" s="89"/>
      <c r="M41" s="89"/>
      <c r="N41" s="90"/>
      <c r="O41" s="2"/>
      <c r="P41" s="374"/>
      <c r="Q41" s="89"/>
      <c r="R41" s="328"/>
      <c r="S41" s="2"/>
      <c r="T41" s="88"/>
      <c r="U41" s="89"/>
      <c r="V41" s="90"/>
      <c r="W41" s="2"/>
      <c r="X41" s="88"/>
      <c r="Y41" s="89"/>
      <c r="Z41" s="90"/>
      <c r="AA41" s="61"/>
      <c r="AB41" s="88"/>
      <c r="AC41" s="327"/>
      <c r="AD41" s="89"/>
      <c r="AE41" s="327"/>
      <c r="AF41" s="89"/>
      <c r="AG41" s="328"/>
      <c r="AH41" s="61"/>
    </row>
    <row r="42" spans="1:34" s="63" customFormat="1" ht="30" customHeight="1" x14ac:dyDescent="0.25">
      <c r="A42" s="2"/>
      <c r="B42" s="88"/>
      <c r="C42" s="89"/>
      <c r="D42" s="89"/>
      <c r="E42" s="90"/>
      <c r="F42" s="2"/>
      <c r="G42" s="374"/>
      <c r="H42" s="89"/>
      <c r="I42" s="328"/>
      <c r="J42" s="2"/>
      <c r="K42" s="88"/>
      <c r="L42" s="89"/>
      <c r="M42" s="89"/>
      <c r="N42" s="90"/>
      <c r="O42" s="2"/>
      <c r="P42" s="374"/>
      <c r="Q42" s="89"/>
      <c r="R42" s="328"/>
      <c r="S42" s="2"/>
      <c r="T42" s="88"/>
      <c r="U42" s="89"/>
      <c r="V42" s="90"/>
      <c r="W42" s="2"/>
      <c r="X42" s="88"/>
      <c r="Y42" s="89"/>
      <c r="Z42" s="90"/>
      <c r="AA42" s="61"/>
      <c r="AB42" s="88"/>
      <c r="AC42" s="327"/>
      <c r="AD42" s="89"/>
      <c r="AE42" s="327"/>
      <c r="AF42" s="89"/>
      <c r="AG42" s="328"/>
      <c r="AH42" s="61"/>
    </row>
    <row r="43" spans="1:34" s="63" customFormat="1" ht="30" customHeight="1" x14ac:dyDescent="0.25">
      <c r="A43" s="2"/>
      <c r="B43" s="88"/>
      <c r="C43" s="89"/>
      <c r="D43" s="89"/>
      <c r="E43" s="90"/>
      <c r="F43" s="2"/>
      <c r="G43" s="374"/>
      <c r="H43" s="89"/>
      <c r="I43" s="328"/>
      <c r="J43" s="2"/>
      <c r="K43" s="88"/>
      <c r="L43" s="89"/>
      <c r="M43" s="89"/>
      <c r="N43" s="90"/>
      <c r="O43" s="2"/>
      <c r="P43" s="374"/>
      <c r="Q43" s="89"/>
      <c r="R43" s="328"/>
      <c r="S43" s="2"/>
      <c r="T43" s="88"/>
      <c r="U43" s="89"/>
      <c r="V43" s="90"/>
      <c r="W43" s="2"/>
      <c r="X43" s="88"/>
      <c r="Y43" s="89"/>
      <c r="Z43" s="90"/>
      <c r="AA43" s="61"/>
      <c r="AB43" s="88"/>
      <c r="AC43" s="327"/>
      <c r="AD43" s="89"/>
      <c r="AE43" s="327"/>
      <c r="AF43" s="89"/>
      <c r="AG43" s="328"/>
      <c r="AH43" s="61"/>
    </row>
    <row r="44" spans="1:34" s="63" customFormat="1" ht="30" customHeight="1" x14ac:dyDescent="0.25">
      <c r="A44" s="2"/>
      <c r="B44" s="88"/>
      <c r="C44" s="89"/>
      <c r="D44" s="89"/>
      <c r="E44" s="90"/>
      <c r="F44" s="2"/>
      <c r="G44" s="374"/>
      <c r="H44" s="89"/>
      <c r="I44" s="328"/>
      <c r="J44" s="2"/>
      <c r="K44" s="88"/>
      <c r="L44" s="89"/>
      <c r="M44" s="89"/>
      <c r="N44" s="90"/>
      <c r="O44" s="2"/>
      <c r="P44" s="374"/>
      <c r="Q44" s="89"/>
      <c r="R44" s="328"/>
      <c r="S44" s="2"/>
      <c r="T44" s="88"/>
      <c r="U44" s="89"/>
      <c r="V44" s="90"/>
      <c r="W44" s="2"/>
      <c r="X44" s="88"/>
      <c r="Y44" s="89"/>
      <c r="Z44" s="90"/>
      <c r="AA44" s="61"/>
      <c r="AB44" s="88"/>
      <c r="AC44" s="327"/>
      <c r="AD44" s="89"/>
      <c r="AE44" s="327"/>
      <c r="AF44" s="89"/>
      <c r="AG44" s="328"/>
      <c r="AH44" s="61"/>
    </row>
    <row r="45" spans="1:34" s="63" customFormat="1" ht="30" customHeight="1" x14ac:dyDescent="0.25">
      <c r="A45" s="2"/>
      <c r="B45" s="88"/>
      <c r="C45" s="89"/>
      <c r="D45" s="89"/>
      <c r="E45" s="90"/>
      <c r="F45" s="2"/>
      <c r="G45" s="374"/>
      <c r="H45" s="89"/>
      <c r="I45" s="328"/>
      <c r="J45" s="2"/>
      <c r="K45" s="88"/>
      <c r="L45" s="89"/>
      <c r="M45" s="89"/>
      <c r="N45" s="90"/>
      <c r="O45" s="2"/>
      <c r="P45" s="374"/>
      <c r="Q45" s="89"/>
      <c r="R45" s="328"/>
      <c r="S45" s="2"/>
      <c r="T45" s="88"/>
      <c r="U45" s="89"/>
      <c r="V45" s="90"/>
      <c r="W45" s="2"/>
      <c r="X45" s="88"/>
      <c r="Y45" s="89"/>
      <c r="Z45" s="90"/>
      <c r="AA45" s="61"/>
      <c r="AB45" s="88"/>
      <c r="AC45" s="327"/>
      <c r="AD45" s="89"/>
      <c r="AE45" s="327"/>
      <c r="AF45" s="89"/>
      <c r="AG45" s="328"/>
      <c r="AH45" s="61"/>
    </row>
    <row r="46" spans="1:34" s="63" customFormat="1" ht="30" customHeight="1" x14ac:dyDescent="0.25">
      <c r="A46" s="2"/>
      <c r="B46" s="88"/>
      <c r="C46" s="89"/>
      <c r="D46" s="89"/>
      <c r="E46" s="90"/>
      <c r="F46" s="2"/>
      <c r="G46" s="374"/>
      <c r="H46" s="89"/>
      <c r="I46" s="328"/>
      <c r="J46" s="2"/>
      <c r="K46" s="88"/>
      <c r="L46" s="89"/>
      <c r="M46" s="89"/>
      <c r="N46" s="90"/>
      <c r="O46" s="2"/>
      <c r="P46" s="374"/>
      <c r="Q46" s="89"/>
      <c r="R46" s="328"/>
      <c r="S46" s="2"/>
      <c r="T46" s="88"/>
      <c r="U46" s="89"/>
      <c r="V46" s="90"/>
      <c r="W46" s="2"/>
      <c r="X46" s="88"/>
      <c r="Y46" s="89"/>
      <c r="Z46" s="90"/>
      <c r="AA46" s="61"/>
      <c r="AB46" s="88"/>
      <c r="AC46" s="327"/>
      <c r="AD46" s="89"/>
      <c r="AE46" s="327"/>
      <c r="AF46" s="89"/>
      <c r="AG46" s="328"/>
      <c r="AH46" s="61"/>
    </row>
    <row r="47" spans="1:34" s="63" customFormat="1" ht="30" customHeight="1" x14ac:dyDescent="0.25">
      <c r="A47" s="2"/>
      <c r="B47" s="88"/>
      <c r="C47" s="89"/>
      <c r="D47" s="89"/>
      <c r="E47" s="90"/>
      <c r="F47" s="2"/>
      <c r="G47" s="374"/>
      <c r="H47" s="89"/>
      <c r="I47" s="328"/>
      <c r="J47" s="2"/>
      <c r="K47" s="88"/>
      <c r="L47" s="89"/>
      <c r="M47" s="89"/>
      <c r="N47" s="90"/>
      <c r="O47" s="2"/>
      <c r="P47" s="374"/>
      <c r="Q47" s="89"/>
      <c r="R47" s="328"/>
      <c r="S47" s="2"/>
      <c r="T47" s="88"/>
      <c r="U47" s="89"/>
      <c r="V47" s="90"/>
      <c r="W47" s="2"/>
      <c r="X47" s="88"/>
      <c r="Y47" s="89"/>
      <c r="Z47" s="90"/>
      <c r="AA47" s="61"/>
      <c r="AB47" s="88"/>
      <c r="AC47" s="327"/>
      <c r="AD47" s="89"/>
      <c r="AE47" s="327"/>
      <c r="AF47" s="89"/>
      <c r="AG47" s="328"/>
      <c r="AH47" s="61"/>
    </row>
    <row r="48" spans="1:34" s="63" customFormat="1" ht="30" customHeight="1" x14ac:dyDescent="0.25">
      <c r="A48" s="2"/>
      <c r="B48" s="88"/>
      <c r="C48" s="89"/>
      <c r="D48" s="89"/>
      <c r="E48" s="90"/>
      <c r="F48" s="2"/>
      <c r="G48" s="374"/>
      <c r="H48" s="89"/>
      <c r="I48" s="328"/>
      <c r="J48" s="2"/>
      <c r="K48" s="88"/>
      <c r="L48" s="89"/>
      <c r="M48" s="89"/>
      <c r="N48" s="90"/>
      <c r="O48" s="2"/>
      <c r="P48" s="374"/>
      <c r="Q48" s="89"/>
      <c r="R48" s="328"/>
      <c r="S48" s="2"/>
      <c r="T48" s="88"/>
      <c r="U48" s="89"/>
      <c r="V48" s="90"/>
      <c r="W48" s="2"/>
      <c r="X48" s="88"/>
      <c r="Y48" s="89"/>
      <c r="Z48" s="90"/>
      <c r="AA48" s="61"/>
      <c r="AB48" s="88"/>
      <c r="AC48" s="327"/>
      <c r="AD48" s="89"/>
      <c r="AE48" s="327"/>
      <c r="AF48" s="89"/>
      <c r="AG48" s="328"/>
      <c r="AH48" s="61"/>
    </row>
    <row r="49" spans="1:34" s="63" customFormat="1" ht="30" customHeight="1" x14ac:dyDescent="0.25">
      <c r="A49" s="2"/>
      <c r="B49" s="88"/>
      <c r="C49" s="89"/>
      <c r="D49" s="89"/>
      <c r="E49" s="90"/>
      <c r="F49" s="2"/>
      <c r="G49" s="374"/>
      <c r="H49" s="89"/>
      <c r="I49" s="328"/>
      <c r="J49" s="2"/>
      <c r="K49" s="88"/>
      <c r="L49" s="89"/>
      <c r="M49" s="89"/>
      <c r="N49" s="90"/>
      <c r="O49" s="2"/>
      <c r="P49" s="374"/>
      <c r="Q49" s="89"/>
      <c r="R49" s="328"/>
      <c r="S49" s="2"/>
      <c r="T49" s="88"/>
      <c r="U49" s="89"/>
      <c r="V49" s="90"/>
      <c r="W49" s="2"/>
      <c r="X49" s="88"/>
      <c r="Y49" s="89"/>
      <c r="Z49" s="90"/>
      <c r="AA49" s="61"/>
      <c r="AB49" s="88"/>
      <c r="AC49" s="327"/>
      <c r="AD49" s="89"/>
      <c r="AE49" s="327"/>
      <c r="AF49" s="89"/>
      <c r="AG49" s="328"/>
      <c r="AH49" s="61"/>
    </row>
    <row r="50" spans="1:34" s="63" customFormat="1" ht="30" customHeight="1" x14ac:dyDescent="0.25">
      <c r="A50" s="2"/>
      <c r="B50" s="88"/>
      <c r="C50" s="89"/>
      <c r="D50" s="89"/>
      <c r="E50" s="90"/>
      <c r="F50" s="2"/>
      <c r="G50" s="374"/>
      <c r="H50" s="89"/>
      <c r="I50" s="328"/>
      <c r="J50" s="2"/>
      <c r="K50" s="88"/>
      <c r="L50" s="89"/>
      <c r="M50" s="89"/>
      <c r="N50" s="90"/>
      <c r="O50" s="2"/>
      <c r="P50" s="374"/>
      <c r="Q50" s="89"/>
      <c r="R50" s="328"/>
      <c r="S50" s="2"/>
      <c r="T50" s="88"/>
      <c r="U50" s="89"/>
      <c r="V50" s="90"/>
      <c r="W50" s="2"/>
      <c r="X50" s="88"/>
      <c r="Y50" s="89"/>
      <c r="Z50" s="90"/>
      <c r="AA50" s="61"/>
      <c r="AB50" s="88"/>
      <c r="AC50" s="327"/>
      <c r="AD50" s="89"/>
      <c r="AE50" s="327"/>
      <c r="AF50" s="89"/>
      <c r="AG50" s="328"/>
      <c r="AH50" s="61"/>
    </row>
    <row r="51" spans="1:34" s="63" customFormat="1" ht="30" customHeight="1" x14ac:dyDescent="0.25">
      <c r="A51" s="2"/>
      <c r="B51" s="88"/>
      <c r="C51" s="89"/>
      <c r="D51" s="89"/>
      <c r="E51" s="90"/>
      <c r="F51" s="2"/>
      <c r="G51" s="374"/>
      <c r="H51" s="89"/>
      <c r="I51" s="328"/>
      <c r="J51" s="2"/>
      <c r="K51" s="88"/>
      <c r="L51" s="89"/>
      <c r="M51" s="89"/>
      <c r="N51" s="90"/>
      <c r="O51" s="2"/>
      <c r="P51" s="374"/>
      <c r="Q51" s="89"/>
      <c r="R51" s="328"/>
      <c r="S51" s="2"/>
      <c r="T51" s="88"/>
      <c r="U51" s="89"/>
      <c r="V51" s="90"/>
      <c r="W51" s="2"/>
      <c r="X51" s="88"/>
      <c r="Y51" s="89"/>
      <c r="Z51" s="90"/>
      <c r="AA51" s="61"/>
      <c r="AB51" s="88"/>
      <c r="AC51" s="327"/>
      <c r="AD51" s="89"/>
      <c r="AE51" s="327"/>
      <c r="AF51" s="89"/>
      <c r="AG51" s="328"/>
      <c r="AH51" s="61"/>
    </row>
    <row r="52" spans="1:34" s="63" customFormat="1" ht="30" customHeight="1" x14ac:dyDescent="0.25">
      <c r="A52" s="2"/>
      <c r="B52" s="88"/>
      <c r="C52" s="89"/>
      <c r="D52" s="89"/>
      <c r="E52" s="90"/>
      <c r="F52" s="2"/>
      <c r="G52" s="374"/>
      <c r="H52" s="89"/>
      <c r="I52" s="328"/>
      <c r="J52" s="2"/>
      <c r="K52" s="88"/>
      <c r="L52" s="89"/>
      <c r="M52" s="89"/>
      <c r="N52" s="90"/>
      <c r="O52" s="2"/>
      <c r="P52" s="374"/>
      <c r="Q52" s="89"/>
      <c r="R52" s="328"/>
      <c r="S52" s="2"/>
      <c r="T52" s="88"/>
      <c r="U52" s="89"/>
      <c r="V52" s="90"/>
      <c r="W52" s="2"/>
      <c r="X52" s="88"/>
      <c r="Y52" s="89"/>
      <c r="Z52" s="90"/>
      <c r="AA52" s="61"/>
      <c r="AB52" s="88"/>
      <c r="AC52" s="327"/>
      <c r="AD52" s="89"/>
      <c r="AE52" s="327"/>
      <c r="AF52" s="89"/>
      <c r="AG52" s="328"/>
      <c r="AH52" s="61"/>
    </row>
    <row r="53" spans="1:34" s="63" customFormat="1" ht="30" customHeight="1" x14ac:dyDescent="0.25">
      <c r="A53" s="2"/>
      <c r="B53" s="88"/>
      <c r="C53" s="89"/>
      <c r="D53" s="89"/>
      <c r="E53" s="90"/>
      <c r="F53" s="2"/>
      <c r="G53" s="374"/>
      <c r="H53" s="89"/>
      <c r="I53" s="328"/>
      <c r="J53" s="2"/>
      <c r="K53" s="88"/>
      <c r="L53" s="89"/>
      <c r="M53" s="89"/>
      <c r="N53" s="90"/>
      <c r="O53" s="2"/>
      <c r="P53" s="374"/>
      <c r="Q53" s="89"/>
      <c r="R53" s="328"/>
      <c r="S53" s="2"/>
      <c r="T53" s="88"/>
      <c r="U53" s="89"/>
      <c r="V53" s="90"/>
      <c r="W53" s="2"/>
      <c r="X53" s="88"/>
      <c r="Y53" s="89"/>
      <c r="Z53" s="90"/>
      <c r="AA53" s="61"/>
      <c r="AB53" s="88"/>
      <c r="AC53" s="327"/>
      <c r="AD53" s="89"/>
      <c r="AE53" s="327"/>
      <c r="AF53" s="89"/>
      <c r="AG53" s="328"/>
      <c r="AH53" s="61"/>
    </row>
    <row r="54" spans="1:34" s="63" customFormat="1" ht="30" customHeight="1" x14ac:dyDescent="0.25">
      <c r="A54" s="2"/>
      <c r="B54" s="88"/>
      <c r="C54" s="89"/>
      <c r="D54" s="89"/>
      <c r="E54" s="90"/>
      <c r="F54" s="2"/>
      <c r="G54" s="374"/>
      <c r="H54" s="89"/>
      <c r="I54" s="328"/>
      <c r="J54" s="2"/>
      <c r="K54" s="88"/>
      <c r="L54" s="89"/>
      <c r="M54" s="89"/>
      <c r="N54" s="90"/>
      <c r="O54" s="2"/>
      <c r="P54" s="374"/>
      <c r="Q54" s="89"/>
      <c r="R54" s="328"/>
      <c r="S54" s="2"/>
      <c r="T54" s="88"/>
      <c r="U54" s="89"/>
      <c r="V54" s="90"/>
      <c r="W54" s="2"/>
      <c r="X54" s="88"/>
      <c r="Y54" s="89"/>
      <c r="Z54" s="90"/>
      <c r="AA54" s="61"/>
      <c r="AB54" s="88"/>
      <c r="AC54" s="327"/>
      <c r="AD54" s="89"/>
      <c r="AE54" s="327"/>
      <c r="AF54" s="89"/>
      <c r="AG54" s="328"/>
      <c r="AH54" s="61"/>
    </row>
    <row r="55" spans="1:34" s="63" customFormat="1" ht="30" customHeight="1" x14ac:dyDescent="0.25">
      <c r="A55" s="2"/>
      <c r="B55" s="88"/>
      <c r="C55" s="89"/>
      <c r="D55" s="89"/>
      <c r="E55" s="90"/>
      <c r="F55" s="2"/>
      <c r="G55" s="374"/>
      <c r="H55" s="89"/>
      <c r="I55" s="328"/>
      <c r="J55" s="2"/>
      <c r="K55" s="88"/>
      <c r="L55" s="89"/>
      <c r="M55" s="89"/>
      <c r="N55" s="90"/>
      <c r="O55" s="2"/>
      <c r="P55" s="374"/>
      <c r="Q55" s="89"/>
      <c r="R55" s="328"/>
      <c r="S55" s="2"/>
      <c r="T55" s="88"/>
      <c r="U55" s="89"/>
      <c r="V55" s="90"/>
      <c r="W55" s="2"/>
      <c r="X55" s="88"/>
      <c r="Y55" s="89"/>
      <c r="Z55" s="90"/>
      <c r="AA55" s="61"/>
      <c r="AB55" s="88"/>
      <c r="AC55" s="327"/>
      <c r="AD55" s="89"/>
      <c r="AE55" s="327"/>
      <c r="AF55" s="89"/>
      <c r="AG55" s="328"/>
      <c r="AH55" s="61"/>
    </row>
    <row r="56" spans="1:34" s="63" customFormat="1" ht="30" customHeight="1" x14ac:dyDescent="0.25">
      <c r="A56" s="2"/>
      <c r="B56" s="88"/>
      <c r="C56" s="89"/>
      <c r="D56" s="89"/>
      <c r="E56" s="90"/>
      <c r="F56" s="2"/>
      <c r="G56" s="374"/>
      <c r="H56" s="89"/>
      <c r="I56" s="328"/>
      <c r="J56" s="2"/>
      <c r="K56" s="88"/>
      <c r="L56" s="89"/>
      <c r="M56" s="89"/>
      <c r="N56" s="90"/>
      <c r="O56" s="2"/>
      <c r="P56" s="374"/>
      <c r="Q56" s="89"/>
      <c r="R56" s="328"/>
      <c r="S56" s="2"/>
      <c r="T56" s="88"/>
      <c r="U56" s="89"/>
      <c r="V56" s="90"/>
      <c r="W56" s="2"/>
      <c r="X56" s="88"/>
      <c r="Y56" s="89"/>
      <c r="Z56" s="90"/>
      <c r="AA56" s="61"/>
      <c r="AB56" s="88"/>
      <c r="AC56" s="327"/>
      <c r="AD56" s="89"/>
      <c r="AE56" s="327"/>
      <c r="AF56" s="89"/>
      <c r="AG56" s="328"/>
      <c r="AH56" s="61"/>
    </row>
    <row r="57" spans="1:34" s="63" customFormat="1" ht="30" customHeight="1" x14ac:dyDescent="0.25">
      <c r="A57" s="2"/>
      <c r="B57" s="88"/>
      <c r="C57" s="89"/>
      <c r="D57" s="89"/>
      <c r="E57" s="90"/>
      <c r="F57" s="2"/>
      <c r="G57" s="374"/>
      <c r="H57" s="89"/>
      <c r="I57" s="328"/>
      <c r="J57" s="2"/>
      <c r="K57" s="88"/>
      <c r="L57" s="89"/>
      <c r="M57" s="89"/>
      <c r="N57" s="90"/>
      <c r="O57" s="2"/>
      <c r="P57" s="374"/>
      <c r="Q57" s="89"/>
      <c r="R57" s="328"/>
      <c r="S57" s="2"/>
      <c r="T57" s="88"/>
      <c r="U57" s="89"/>
      <c r="V57" s="90"/>
      <c r="W57" s="2"/>
      <c r="X57" s="88"/>
      <c r="Y57" s="89"/>
      <c r="Z57" s="90"/>
      <c r="AA57" s="61"/>
      <c r="AB57" s="88"/>
      <c r="AC57" s="327"/>
      <c r="AD57" s="89"/>
      <c r="AE57" s="327"/>
      <c r="AF57" s="89"/>
      <c r="AG57" s="328"/>
      <c r="AH57" s="61"/>
    </row>
    <row r="58" spans="1:34" s="63" customFormat="1" ht="30" customHeight="1" x14ac:dyDescent="0.25">
      <c r="A58" s="2"/>
      <c r="B58" s="88"/>
      <c r="C58" s="89"/>
      <c r="D58" s="89"/>
      <c r="E58" s="90"/>
      <c r="F58" s="2"/>
      <c r="G58" s="374"/>
      <c r="H58" s="89"/>
      <c r="I58" s="328"/>
      <c r="J58" s="2"/>
      <c r="K58" s="88"/>
      <c r="L58" s="89"/>
      <c r="M58" s="89"/>
      <c r="N58" s="90"/>
      <c r="O58" s="2"/>
      <c r="P58" s="374"/>
      <c r="Q58" s="89"/>
      <c r="R58" s="328"/>
      <c r="S58" s="2"/>
      <c r="T58" s="88"/>
      <c r="U58" s="89"/>
      <c r="V58" s="90"/>
      <c r="W58" s="2"/>
      <c r="X58" s="88"/>
      <c r="Y58" s="89"/>
      <c r="Z58" s="90"/>
      <c r="AA58" s="61"/>
      <c r="AB58" s="88"/>
      <c r="AC58" s="327"/>
      <c r="AD58" s="89"/>
      <c r="AE58" s="327"/>
      <c r="AF58" s="89"/>
      <c r="AG58" s="328"/>
      <c r="AH58" s="61"/>
    </row>
    <row r="59" spans="1:34" s="63" customFormat="1" ht="30" customHeight="1" x14ac:dyDescent="0.25">
      <c r="A59" s="2"/>
      <c r="B59" s="88"/>
      <c r="C59" s="89"/>
      <c r="D59" s="89"/>
      <c r="E59" s="90"/>
      <c r="F59" s="2"/>
      <c r="G59" s="374"/>
      <c r="H59" s="89"/>
      <c r="I59" s="328"/>
      <c r="J59" s="2"/>
      <c r="K59" s="88"/>
      <c r="L59" s="89"/>
      <c r="M59" s="89"/>
      <c r="N59" s="90"/>
      <c r="O59" s="2"/>
      <c r="P59" s="374"/>
      <c r="Q59" s="89"/>
      <c r="R59" s="328"/>
      <c r="S59" s="2"/>
      <c r="T59" s="88"/>
      <c r="U59" s="89"/>
      <c r="V59" s="90"/>
      <c r="W59" s="2"/>
      <c r="X59" s="88"/>
      <c r="Y59" s="89"/>
      <c r="Z59" s="90"/>
      <c r="AA59" s="61"/>
      <c r="AB59" s="88"/>
      <c r="AC59" s="327"/>
      <c r="AD59" s="89"/>
      <c r="AE59" s="327"/>
      <c r="AF59" s="89"/>
      <c r="AG59" s="328"/>
      <c r="AH59" s="61"/>
    </row>
    <row r="60" spans="1:34" s="63" customFormat="1" ht="30" customHeight="1" x14ac:dyDescent="0.25">
      <c r="A60" s="2"/>
      <c r="B60" s="88"/>
      <c r="C60" s="89"/>
      <c r="D60" s="89"/>
      <c r="E60" s="90"/>
      <c r="F60" s="2"/>
      <c r="G60" s="374"/>
      <c r="H60" s="89"/>
      <c r="I60" s="328"/>
      <c r="J60" s="2"/>
      <c r="K60" s="88"/>
      <c r="L60" s="89"/>
      <c r="M60" s="89"/>
      <c r="N60" s="90"/>
      <c r="O60" s="2"/>
      <c r="P60" s="374"/>
      <c r="Q60" s="89"/>
      <c r="R60" s="328"/>
      <c r="S60" s="2"/>
      <c r="T60" s="88"/>
      <c r="U60" s="89"/>
      <c r="V60" s="90"/>
      <c r="W60" s="2"/>
      <c r="X60" s="88"/>
      <c r="Y60" s="89"/>
      <c r="Z60" s="90"/>
      <c r="AA60" s="61"/>
      <c r="AB60" s="88"/>
      <c r="AC60" s="327"/>
      <c r="AD60" s="89"/>
      <c r="AE60" s="327"/>
      <c r="AF60" s="89"/>
      <c r="AG60" s="328"/>
      <c r="AH60" s="61"/>
    </row>
    <row r="61" spans="1:34" s="63" customFormat="1" ht="30" customHeight="1" x14ac:dyDescent="0.25">
      <c r="A61" s="2"/>
      <c r="B61" s="88"/>
      <c r="C61" s="89"/>
      <c r="D61" s="89"/>
      <c r="E61" s="90"/>
      <c r="F61" s="2"/>
      <c r="G61" s="375"/>
      <c r="H61" s="376"/>
      <c r="I61" s="377"/>
      <c r="J61" s="2"/>
      <c r="K61" s="88"/>
      <c r="L61" s="89"/>
      <c r="M61" s="89"/>
      <c r="N61" s="90"/>
      <c r="O61" s="2"/>
      <c r="P61" s="375"/>
      <c r="Q61" s="376"/>
      <c r="R61" s="377"/>
      <c r="S61" s="2"/>
      <c r="T61" s="88"/>
      <c r="U61" s="89"/>
      <c r="V61" s="90"/>
      <c r="W61" s="2"/>
      <c r="X61" s="88"/>
      <c r="Y61" s="89"/>
      <c r="Z61" s="90"/>
      <c r="AA61" s="61"/>
      <c r="AB61" s="88"/>
      <c r="AC61" s="327"/>
      <c r="AD61" s="89"/>
      <c r="AE61" s="327"/>
      <c r="AF61" s="89"/>
      <c r="AG61" s="328"/>
      <c r="AH61" s="61"/>
    </row>
  </sheetData>
  <protectedRanges>
    <protectedRange sqref="AB12:AB61 AD12:AD61 AF12:AG61 T13:V61 X13:Z61 X12" name="Intervalo3"/>
    <protectedRange sqref="K13:R61 O12:R12" name="Intervalo2"/>
    <protectedRange sqref="B12:E61 K12:N12 T12:V12 Y12:Z12 G12:I61" name="Intervalo1"/>
    <protectedRange sqref="AC12:AC61 AE12:AE61" name="Intervalo2_1"/>
  </protectedRanges>
  <mergeCells count="8">
    <mergeCell ref="B10:E10"/>
    <mergeCell ref="K10:N10"/>
    <mergeCell ref="T10:V10"/>
    <mergeCell ref="O2:P2"/>
    <mergeCell ref="AB10:AG10"/>
    <mergeCell ref="P10:R10"/>
    <mergeCell ref="G10:I10"/>
    <mergeCell ref="X10:Z10"/>
  </mergeCells>
  <conditionalFormatting sqref="AG12:AG61">
    <cfRule type="expression" dxfId="60" priority="1">
      <formula>AND(AC12="Alta capacidade (&gt;17.6kW)",AG12&lt;&gt;0)</formula>
    </cfRule>
  </conditionalFormatting>
  <dataValidations count="10">
    <dataValidation type="custom" allowBlank="1" showInputMessage="1" showErrorMessage="1" errorTitle="FORA DO INTERVALO!" error="VERIFIQUE O INTERVALO ACEITÁVEL!" sqref="C13:C61 H12:H61" xr:uid="{68419517-E23B-4E0D-9FCC-E1A6BF4EA150}">
      <formula1>AND(C12&gt;=0.5,C12&lt;=4.4)</formula1>
    </dataValidation>
    <dataValidation type="custom" allowBlank="1" showInputMessage="1" showErrorMessage="1" errorTitle="FORA DO INTERVALO!" error="VERIFIQUE O INTERVALO ACEITÁVEL!" sqref="D13:D61 R12:R61 M13:M61 I12:I61" xr:uid="{09656352-D274-463A-AA6D-39E16228D343}">
      <formula1>AND(D12&gt;=0.22,D12&lt;=450)</formula1>
    </dataValidation>
    <dataValidation type="custom" allowBlank="1" showInputMessage="1" showErrorMessage="1" errorTitle="FORA DO INTERVALO!" error="VERIFIQUE O INTERVALO ACEITÁVEL!" sqref="E13:E61 O12:O61 N13:N61" xr:uid="{FD4A3FE9-375D-43EE-B448-1307CBF6AAF2}">
      <formula1>AND(E12&gt;=0.2,E12&lt;=0.8)</formula1>
    </dataValidation>
    <dataValidation type="custom" allowBlank="1" showInputMessage="1" showErrorMessage="1" errorTitle="FORA DO INTERVALO!" error="VERIFIQUE O INTERVALO ACEITÁVEL!" sqref="V13:V61 Z13:Z61" xr:uid="{BFD80611-254E-461C-842C-D45D48949E63}">
      <formula1>AND(V13&gt;=0.21,V13&lt;=0.87)</formula1>
    </dataValidation>
    <dataValidation type="custom" allowBlank="1" showInputMessage="1" showErrorMessage="1" errorTitle="FORA DO INTERVALO!" error="VERIFIQUE O INTERVALO ACEITÁVEL!" sqref="L13:L61 Q12:Q61" xr:uid="{9FC68AB2-9DE9-4D0E-9608-1FC05CCE6908}">
      <formula1>AND(L12&gt;=0.51,L12&lt;=5.07)</formula1>
    </dataValidation>
    <dataValidation type="custom" allowBlank="1" showInputMessage="1" showErrorMessage="1" errorTitle="FORA DO INTERVALO!" error="VERIFIQUE O INTERVALO ACEITÁVEL!" sqref="U13:U61 Y13:Y61" xr:uid="{572F4E3D-EC27-4F3F-A9E0-16787DDB8B82}">
      <formula1>AND(U13&gt;=1.9,U13&lt;=5.7)</formula1>
    </dataValidation>
    <dataValidation type="list" allowBlank="1" showInputMessage="1" showErrorMessage="1" sqref="AE12:AE61" xr:uid="{B342F9D2-45A5-4052-A2AC-3287957C3154}">
      <formula1>"COP, IDRS, CSPF,SPLV,k"</formula1>
    </dataValidation>
    <dataValidation type="list" allowBlank="1" showInputMessage="1" showErrorMessage="1" sqref="AC12:AC61" xr:uid="{D8AAA6A9-C7DD-4EAC-BB18-22AD6722BF2E}">
      <formula1>"Baixa capacidade (até 17.6kW),Alta capacidade (acima de 17.6kW)"</formula1>
    </dataValidation>
    <dataValidation type="custom" allowBlank="1" showInputMessage="1" showErrorMessage="1" errorTitle="FORA DO INTERVALO!" error="VERIFIQUE O INTERVALO ACEITÁVEL!" sqref="AG12:AG61 AD12:AD61" xr:uid="{CC680F24-B862-42CE-816C-ED643FF3EE47}">
      <formula1>AND(AD12&gt;=0,AD12&lt;=2000)</formula1>
    </dataValidation>
    <dataValidation type="custom" allowBlank="1" showInputMessage="1" showErrorMessage="1" errorTitle="FORA DO INTERVALO!" error="VERIFIQUE O INTERVALO ACEITÁVEL!" sqref="AF12:AF61" xr:uid="{EA5D8CCD-0410-491B-A542-313EB7E43BC8}">
      <formula1>AND(AF12&gt;=0,AF12&lt;=20)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W5565"/>
  <sheetViews>
    <sheetView showGridLines="0" workbookViewId="0">
      <selection activeCell="N11" sqref="N11"/>
    </sheetView>
  </sheetViews>
  <sheetFormatPr defaultColWidth="9.140625" defaultRowHeight="15" x14ac:dyDescent="0.25"/>
  <cols>
    <col min="1" max="1" width="33.140625" style="208" bestFit="1" customWidth="1"/>
    <col min="2" max="2" width="4.7109375" style="208" customWidth="1"/>
    <col min="3" max="3" width="13.5703125" style="208" customWidth="1"/>
    <col min="4" max="4" width="2.7109375" style="208" customWidth="1"/>
    <col min="5" max="5" width="10.7109375" style="208" bestFit="1" customWidth="1"/>
    <col min="6" max="6" width="10.7109375" style="208" customWidth="1"/>
    <col min="7" max="7" width="2.7109375" style="208" customWidth="1"/>
    <col min="8" max="8" width="11.140625" style="208" bestFit="1" customWidth="1"/>
    <col min="9" max="9" width="11.5703125" style="208" bestFit="1" customWidth="1"/>
    <col min="10" max="10" width="21.140625" style="208" bestFit="1" customWidth="1"/>
    <col min="11" max="11" width="17.7109375" style="208" bestFit="1" customWidth="1"/>
    <col min="12" max="12" width="16.28515625" style="208" bestFit="1" customWidth="1"/>
    <col min="13" max="13" width="2.7109375" style="208" customWidth="1"/>
    <col min="14" max="14" width="28.140625" style="208" bestFit="1" customWidth="1"/>
    <col min="15" max="20" width="11.5703125" style="208" customWidth="1"/>
    <col min="21" max="21" width="2.7109375" style="208" customWidth="1"/>
    <col min="22" max="22" width="31.28515625" style="208" bestFit="1" customWidth="1"/>
    <col min="23" max="24" width="23.28515625" style="208" customWidth="1"/>
    <col min="25" max="25" width="2.140625" style="208" customWidth="1"/>
    <col min="26" max="26" width="8" style="208" customWidth="1"/>
    <col min="27" max="27" width="2.7109375" style="208" customWidth="1"/>
    <col min="28" max="28" width="7.5703125" style="208" customWidth="1"/>
    <col min="29" max="29" width="30" style="208" bestFit="1" customWidth="1"/>
    <col min="30" max="30" width="5.5703125" style="214" bestFit="1" customWidth="1"/>
    <col min="31" max="31" width="2.7109375" style="208" customWidth="1"/>
    <col min="32" max="32" width="56.42578125" style="208" customWidth="1"/>
    <col min="33" max="33" width="20.42578125" style="208" customWidth="1"/>
    <col min="34" max="34" width="2.7109375" style="208" customWidth="1"/>
    <col min="35" max="35" width="58.5703125" style="208" customWidth="1"/>
    <col min="36" max="36" width="27.28515625" style="208" customWidth="1"/>
    <col min="37" max="37" width="34" style="208" customWidth="1"/>
    <col min="38" max="38" width="2.7109375" style="208" customWidth="1"/>
    <col min="39" max="39" width="60.85546875" style="208" customWidth="1"/>
    <col min="40" max="41" width="18.28515625" style="208" customWidth="1"/>
    <col min="42" max="42" width="2.7109375" style="208" customWidth="1"/>
    <col min="43" max="43" width="12" style="208" bestFit="1" customWidth="1"/>
    <col min="44" max="44" width="6.7109375" style="208" bestFit="1" customWidth="1"/>
    <col min="45" max="45" width="2.7109375" style="208" customWidth="1"/>
    <col min="46" max="46" width="34.7109375" style="208" customWidth="1"/>
    <col min="47" max="47" width="29.42578125" style="208" customWidth="1"/>
    <col min="48" max="48" width="11.85546875" style="208" bestFit="1" customWidth="1"/>
    <col min="49" max="49" width="2.7109375" style="208" customWidth="1"/>
    <col min="50" max="50" width="31.85546875" style="208" bestFit="1" customWidth="1"/>
    <col min="51" max="51" width="69.85546875" style="208" customWidth="1"/>
    <col min="52" max="52" width="12.140625" style="208" bestFit="1" customWidth="1"/>
    <col min="53" max="53" width="2.7109375" style="208" customWidth="1"/>
    <col min="54" max="54" width="34.7109375" style="208" customWidth="1"/>
    <col min="55" max="55" width="12.140625" style="208" bestFit="1" customWidth="1"/>
    <col min="56" max="57" width="12.140625" style="208" customWidth="1"/>
    <col min="58" max="58" width="12.5703125" style="208" bestFit="1" customWidth="1"/>
    <col min="59" max="59" width="13.85546875" style="208" customWidth="1"/>
    <col min="60" max="60" width="9.140625" style="208"/>
    <col min="61" max="61" width="12.85546875" style="208" customWidth="1"/>
    <col min="62" max="63" width="9.140625" style="208"/>
    <col min="64" max="64" width="33.140625" style="208" bestFit="1" customWidth="1"/>
    <col min="65" max="65" width="13.85546875" style="208" customWidth="1"/>
    <col min="66" max="67" width="12.140625" style="208" customWidth="1"/>
    <col min="68" max="68" width="12" style="208" customWidth="1"/>
    <col min="69" max="69" width="13.85546875" style="208" customWidth="1"/>
    <col min="70" max="70" width="9.140625" style="208"/>
    <col min="71" max="71" width="12.85546875" style="208" customWidth="1"/>
    <col min="72" max="74" width="9.140625" style="208"/>
    <col min="75" max="75" width="31.5703125" style="208" customWidth="1"/>
    <col min="76" max="16384" width="9.140625" style="208"/>
  </cols>
  <sheetData>
    <row r="1" spans="1:75" s="206" customFormat="1" ht="33.75" customHeight="1" x14ac:dyDescent="0.25">
      <c r="A1" s="201" t="s">
        <v>182</v>
      </c>
      <c r="C1" s="201" t="s">
        <v>37</v>
      </c>
      <c r="E1" s="201" t="s">
        <v>36</v>
      </c>
      <c r="F1" s="201" t="s">
        <v>36</v>
      </c>
      <c r="H1" s="201" t="s">
        <v>189</v>
      </c>
      <c r="I1" s="201" t="s">
        <v>194</v>
      </c>
      <c r="J1" s="201" t="s">
        <v>190</v>
      </c>
      <c r="K1" s="201" t="s">
        <v>191</v>
      </c>
      <c r="L1" s="201" t="s">
        <v>193</v>
      </c>
      <c r="N1" s="201" t="s">
        <v>183</v>
      </c>
      <c r="O1" s="201" t="s">
        <v>6159</v>
      </c>
      <c r="P1" s="201" t="s">
        <v>6160</v>
      </c>
      <c r="Q1" s="201" t="s">
        <v>6161</v>
      </c>
      <c r="R1" s="201" t="s">
        <v>6162</v>
      </c>
      <c r="S1" s="201" t="s">
        <v>6163</v>
      </c>
      <c r="T1" s="201" t="s">
        <v>6164</v>
      </c>
      <c r="V1" s="201"/>
      <c r="W1" s="201" t="s">
        <v>6165</v>
      </c>
      <c r="X1" s="201" t="s">
        <v>6166</v>
      </c>
      <c r="Z1" s="216" t="s">
        <v>20</v>
      </c>
      <c r="AA1" s="217"/>
      <c r="AB1" s="209" t="s">
        <v>5850</v>
      </c>
      <c r="AC1" s="209" t="s">
        <v>7</v>
      </c>
      <c r="AD1" s="209" t="s">
        <v>5488</v>
      </c>
      <c r="AF1" s="209" t="s">
        <v>5512</v>
      </c>
      <c r="AG1" s="201" t="s">
        <v>5511</v>
      </c>
      <c r="AI1" s="200" t="s">
        <v>5514</v>
      </c>
      <c r="AJ1" s="201" t="s">
        <v>5544</v>
      </c>
      <c r="AK1" s="201" t="s">
        <v>5545</v>
      </c>
      <c r="AM1" s="200" t="s">
        <v>5546</v>
      </c>
      <c r="AN1" s="201" t="s">
        <v>5544</v>
      </c>
      <c r="AO1" s="201" t="s">
        <v>5545</v>
      </c>
      <c r="AQ1" s="200" t="s">
        <v>5750</v>
      </c>
      <c r="AR1" s="200" t="s">
        <v>5751</v>
      </c>
      <c r="AT1" s="200" t="s">
        <v>5754</v>
      </c>
      <c r="AU1" s="200" t="s">
        <v>5811</v>
      </c>
      <c r="AV1" s="200" t="s">
        <v>5755</v>
      </c>
      <c r="AX1" s="200" t="s">
        <v>5762</v>
      </c>
      <c r="AY1" s="200" t="s">
        <v>5763</v>
      </c>
      <c r="AZ1" s="200" t="s">
        <v>5755</v>
      </c>
      <c r="BB1" s="201" t="s">
        <v>8</v>
      </c>
      <c r="BC1" s="201" t="s">
        <v>5802</v>
      </c>
      <c r="BD1" s="201" t="s">
        <v>5807</v>
      </c>
      <c r="BE1" s="201" t="s">
        <v>5808</v>
      </c>
      <c r="BF1" s="201" t="s">
        <v>5806</v>
      </c>
      <c r="BG1" s="201" t="s">
        <v>5810</v>
      </c>
      <c r="BH1" s="215">
        <f>Geral!C17</f>
        <v>0.49333333333333335</v>
      </c>
      <c r="BI1" s="215" t="str">
        <f>Geral!C16</f>
        <v>Escritórios</v>
      </c>
      <c r="BJ1" s="215">
        <f>Geral!C14</f>
        <v>3</v>
      </c>
      <c r="BK1" s="217"/>
      <c r="BL1" s="201" t="s">
        <v>8</v>
      </c>
      <c r="BM1" s="201" t="s">
        <v>5802</v>
      </c>
      <c r="BN1" s="201" t="s">
        <v>5807</v>
      </c>
      <c r="BO1" s="201" t="s">
        <v>5808</v>
      </c>
      <c r="BP1" s="201" t="s">
        <v>5806</v>
      </c>
      <c r="BQ1" s="201" t="s">
        <v>5810</v>
      </c>
      <c r="BR1" s="215">
        <f>BH1</f>
        <v>0.49333333333333335</v>
      </c>
      <c r="BS1" s="215" t="str">
        <f>BI1</f>
        <v>Escritórios</v>
      </c>
      <c r="BT1" s="215">
        <f>BJ1</f>
        <v>3</v>
      </c>
      <c r="BU1" s="208"/>
      <c r="BW1" s="356" t="s">
        <v>6113</v>
      </c>
    </row>
    <row r="2" spans="1:75" ht="15.75" x14ac:dyDescent="0.25">
      <c r="A2" s="207" t="s">
        <v>38</v>
      </c>
      <c r="C2" s="207" t="s">
        <v>49</v>
      </c>
      <c r="E2" s="207" t="s">
        <v>51</v>
      </c>
      <c r="F2" s="207">
        <v>0</v>
      </c>
      <c r="H2" s="207">
        <v>14.1</v>
      </c>
      <c r="I2" s="207">
        <v>15</v>
      </c>
      <c r="J2" s="207">
        <v>10</v>
      </c>
      <c r="K2" s="207">
        <v>10</v>
      </c>
      <c r="L2" s="207">
        <v>260</v>
      </c>
      <c r="N2" s="207" t="s">
        <v>6211</v>
      </c>
      <c r="O2" s="207">
        <v>0</v>
      </c>
      <c r="P2" s="207">
        <v>1</v>
      </c>
      <c r="Q2" s="207">
        <v>1</v>
      </c>
      <c r="R2" s="207">
        <v>0</v>
      </c>
      <c r="S2" s="207">
        <v>1</v>
      </c>
      <c r="T2" s="207">
        <v>0</v>
      </c>
      <c r="V2" s="207" t="s">
        <v>6214</v>
      </c>
      <c r="W2" s="207">
        <v>1</v>
      </c>
      <c r="X2" s="207">
        <v>0</v>
      </c>
      <c r="Z2" s="207" t="s">
        <v>205</v>
      </c>
      <c r="AA2" s="208" t="s">
        <v>6014</v>
      </c>
      <c r="AB2" s="207" t="s">
        <v>207</v>
      </c>
      <c r="AC2" s="207" t="s">
        <v>208</v>
      </c>
      <c r="AD2" s="213">
        <v>2</v>
      </c>
      <c r="AF2" s="210" t="s">
        <v>5507</v>
      </c>
      <c r="AG2" s="201">
        <v>0.9</v>
      </c>
      <c r="AI2" s="203" t="s">
        <v>5515</v>
      </c>
      <c r="AJ2" s="204">
        <v>7</v>
      </c>
      <c r="AK2" s="204">
        <v>13.8</v>
      </c>
      <c r="AM2" s="200" t="s">
        <v>5547</v>
      </c>
      <c r="AN2" s="202"/>
      <c r="AO2" s="202"/>
      <c r="AQ2" s="203" t="s">
        <v>5752</v>
      </c>
      <c r="AR2" s="203">
        <v>1.6</v>
      </c>
      <c r="AT2" s="203" t="s">
        <v>5756</v>
      </c>
      <c r="AU2" s="203">
        <v>0.20200000000000001</v>
      </c>
      <c r="AV2" s="203" t="s">
        <v>5812</v>
      </c>
      <c r="AX2" s="203" t="s">
        <v>5764</v>
      </c>
      <c r="AY2" s="204">
        <v>0.09</v>
      </c>
      <c r="AZ2" s="200" t="s">
        <v>5765</v>
      </c>
      <c r="BB2" s="207" t="s">
        <v>38</v>
      </c>
      <c r="BC2" s="198">
        <v>1</v>
      </c>
      <c r="BD2" s="198">
        <v>0</v>
      </c>
      <c r="BE2" s="198">
        <v>0.2</v>
      </c>
      <c r="BF2" s="198">
        <v>0.3</v>
      </c>
      <c r="BG2" s="207" t="str">
        <f t="shared" ref="BG2:BG65" si="0">IF(BC2=$BJ$1,IF(BB2=$BI$1,IF(AND($BH$1&gt;BD2,$BH$1&lt;BE2),BF2,""),""),"")</f>
        <v/>
      </c>
      <c r="BL2" s="207" t="s">
        <v>38</v>
      </c>
      <c r="BM2" s="198">
        <v>1</v>
      </c>
      <c r="BN2" s="198">
        <v>0</v>
      </c>
      <c r="BO2" s="198">
        <v>0.2</v>
      </c>
      <c r="BP2" s="198">
        <v>0.3</v>
      </c>
      <c r="BQ2" s="207" t="str">
        <f t="shared" ref="BQ2:BQ65" si="1">IF(BM2=$BJ$1,IF(BL2=$BI$1,IF(AND($BH$1&gt;BN2,$BH$1&lt;BO2),BP2,""),""),"")</f>
        <v/>
      </c>
      <c r="BW2" s="357" t="s">
        <v>6112</v>
      </c>
    </row>
    <row r="3" spans="1:75" x14ac:dyDescent="0.25">
      <c r="A3" s="207" t="s">
        <v>6129</v>
      </c>
      <c r="C3" s="207" t="s">
        <v>50</v>
      </c>
      <c r="E3" s="207" t="s">
        <v>52</v>
      </c>
      <c r="F3" s="207">
        <v>45</v>
      </c>
      <c r="H3" s="207">
        <v>15.5</v>
      </c>
      <c r="I3" s="207">
        <v>15</v>
      </c>
      <c r="J3" s="207">
        <v>2.5</v>
      </c>
      <c r="K3" s="207">
        <v>8</v>
      </c>
      <c r="L3" s="207">
        <v>200</v>
      </c>
      <c r="N3" s="207" t="s">
        <v>6212</v>
      </c>
      <c r="O3" s="207">
        <v>0</v>
      </c>
      <c r="P3" s="207">
        <v>1</v>
      </c>
      <c r="Q3" s="207">
        <v>1</v>
      </c>
      <c r="R3" s="207">
        <v>0</v>
      </c>
      <c r="S3" s="207">
        <v>0</v>
      </c>
      <c r="T3" s="207">
        <v>1</v>
      </c>
      <c r="V3" s="207" t="s">
        <v>6215</v>
      </c>
      <c r="W3" s="207">
        <v>0</v>
      </c>
      <c r="X3" s="207">
        <v>1</v>
      </c>
      <c r="Z3" s="207" t="s">
        <v>1691</v>
      </c>
      <c r="AA3" s="208" t="s">
        <v>6015</v>
      </c>
      <c r="AB3" s="207" t="s">
        <v>207</v>
      </c>
      <c r="AC3" s="207" t="s">
        <v>209</v>
      </c>
      <c r="AD3" s="213">
        <v>3</v>
      </c>
      <c r="AF3" s="211" t="s">
        <v>5508</v>
      </c>
      <c r="AG3" s="207">
        <v>0.8</v>
      </c>
      <c r="AI3" s="203" t="s">
        <v>911</v>
      </c>
      <c r="AJ3" s="204">
        <v>5.2</v>
      </c>
      <c r="AK3" s="204">
        <v>10.3</v>
      </c>
      <c r="AM3" s="203" t="s">
        <v>5548</v>
      </c>
      <c r="AN3" s="204" t="s">
        <v>5549</v>
      </c>
      <c r="AO3" s="204" t="s">
        <v>5550</v>
      </c>
      <c r="AQ3" s="203" t="s">
        <v>5753</v>
      </c>
      <c r="AR3" s="203">
        <v>1.1000000000000001</v>
      </c>
      <c r="AT3" s="203" t="s">
        <v>5757</v>
      </c>
      <c r="AU3" s="203">
        <v>0.26700000000000002</v>
      </c>
      <c r="AV3" s="203" t="s">
        <v>5812</v>
      </c>
      <c r="AX3" s="203" t="s">
        <v>5766</v>
      </c>
      <c r="AY3" s="204">
        <v>0.753</v>
      </c>
      <c r="AZ3" s="200" t="s">
        <v>5765</v>
      </c>
      <c r="BB3" s="207" t="s">
        <v>38</v>
      </c>
      <c r="BC3" s="198">
        <v>2</v>
      </c>
      <c r="BD3" s="198">
        <v>0</v>
      </c>
      <c r="BE3" s="198">
        <v>0.2</v>
      </c>
      <c r="BF3" s="198">
        <v>0.26</v>
      </c>
      <c r="BG3" s="207" t="str">
        <f t="shared" si="0"/>
        <v/>
      </c>
      <c r="BL3" s="207" t="s">
        <v>38</v>
      </c>
      <c r="BM3" s="198">
        <v>2</v>
      </c>
      <c r="BN3" s="198">
        <v>0</v>
      </c>
      <c r="BO3" s="198">
        <v>0.2</v>
      </c>
      <c r="BP3" s="198">
        <v>0.28999999999999998</v>
      </c>
      <c r="BQ3" s="207" t="str">
        <f t="shared" si="1"/>
        <v/>
      </c>
      <c r="BW3" s="357" t="s">
        <v>6114</v>
      </c>
    </row>
    <row r="4" spans="1:75" ht="15.75" x14ac:dyDescent="0.25">
      <c r="A4" s="207" t="s">
        <v>6130</v>
      </c>
      <c r="E4" s="207" t="s">
        <v>53</v>
      </c>
      <c r="F4" s="207">
        <v>-45</v>
      </c>
      <c r="H4" s="207">
        <v>15.5</v>
      </c>
      <c r="I4" s="207">
        <v>15</v>
      </c>
      <c r="J4" s="207">
        <v>1.5</v>
      </c>
      <c r="K4" s="207">
        <v>8</v>
      </c>
      <c r="L4" s="207">
        <v>200</v>
      </c>
      <c r="N4" s="207" t="s">
        <v>6218</v>
      </c>
      <c r="O4" s="207">
        <v>0</v>
      </c>
      <c r="P4" s="207">
        <v>1</v>
      </c>
      <c r="Q4" s="207">
        <v>0</v>
      </c>
      <c r="R4" s="207">
        <v>1</v>
      </c>
      <c r="S4" s="207">
        <v>1</v>
      </c>
      <c r="T4" s="207">
        <v>0</v>
      </c>
      <c r="Z4" s="207" t="s">
        <v>206</v>
      </c>
      <c r="AA4" s="208" t="s">
        <v>6014</v>
      </c>
      <c r="AB4" s="207" t="s">
        <v>27</v>
      </c>
      <c r="AC4" s="207" t="s">
        <v>210</v>
      </c>
      <c r="AD4" s="213">
        <v>2</v>
      </c>
      <c r="AF4" s="211" t="s">
        <v>5509</v>
      </c>
      <c r="AG4" s="207">
        <v>0.95</v>
      </c>
      <c r="AI4" s="203" t="s">
        <v>5516</v>
      </c>
      <c r="AJ4" s="204">
        <v>8.4</v>
      </c>
      <c r="AK4" s="204">
        <v>18.399999999999999</v>
      </c>
      <c r="AM4" s="203" t="s">
        <v>5551</v>
      </c>
      <c r="AN4" s="204" t="s">
        <v>5552</v>
      </c>
      <c r="AO4" s="204" t="s">
        <v>5553</v>
      </c>
      <c r="AT4" s="203" t="s">
        <v>5758</v>
      </c>
      <c r="AU4" s="203">
        <v>0.22700000000000001</v>
      </c>
      <c r="AV4" s="203" t="s">
        <v>5812</v>
      </c>
      <c r="BB4" s="207" t="s">
        <v>38</v>
      </c>
      <c r="BC4" s="198">
        <v>3</v>
      </c>
      <c r="BD4" s="198">
        <v>0</v>
      </c>
      <c r="BE4" s="198">
        <v>0.2</v>
      </c>
      <c r="BF4" s="198">
        <v>0.23</v>
      </c>
      <c r="BG4" s="207" t="str">
        <f t="shared" si="0"/>
        <v/>
      </c>
      <c r="BL4" s="207" t="s">
        <v>38</v>
      </c>
      <c r="BM4" s="198">
        <v>3</v>
      </c>
      <c r="BN4" s="198">
        <v>0</v>
      </c>
      <c r="BO4" s="198">
        <v>0.2</v>
      </c>
      <c r="BP4" s="198">
        <v>0.3</v>
      </c>
      <c r="BQ4" s="207" t="str">
        <f t="shared" si="1"/>
        <v/>
      </c>
      <c r="BU4" s="197"/>
    </row>
    <row r="5" spans="1:75" ht="15.75" x14ac:dyDescent="0.25">
      <c r="A5" s="207" t="s">
        <v>6131</v>
      </c>
      <c r="E5" s="207" t="s">
        <v>54</v>
      </c>
      <c r="F5" s="207">
        <v>90</v>
      </c>
      <c r="H5" s="207">
        <v>15.5</v>
      </c>
      <c r="I5" s="207">
        <v>15</v>
      </c>
      <c r="J5" s="207">
        <v>1.5</v>
      </c>
      <c r="K5" s="207">
        <v>8</v>
      </c>
      <c r="L5" s="207">
        <v>200</v>
      </c>
      <c r="N5" s="207" t="s">
        <v>6219</v>
      </c>
      <c r="O5" s="207">
        <v>0</v>
      </c>
      <c r="P5" s="207">
        <v>1</v>
      </c>
      <c r="Q5" s="207">
        <v>0</v>
      </c>
      <c r="R5" s="207">
        <v>1</v>
      </c>
      <c r="S5" s="207">
        <v>0</v>
      </c>
      <c r="T5" s="207">
        <v>1</v>
      </c>
      <c r="Z5" s="207" t="s">
        <v>3979</v>
      </c>
      <c r="AA5" s="208" t="s">
        <v>6014</v>
      </c>
      <c r="AB5" s="207" t="s">
        <v>207</v>
      </c>
      <c r="AC5" s="207" t="s">
        <v>211</v>
      </c>
      <c r="AD5" s="213">
        <v>2</v>
      </c>
      <c r="AF5" s="211" t="s">
        <v>5510</v>
      </c>
      <c r="AG5" s="207">
        <v>1</v>
      </c>
      <c r="AI5" s="203" t="s">
        <v>5517</v>
      </c>
      <c r="AJ5" s="204">
        <v>5.7</v>
      </c>
      <c r="AK5" s="204">
        <v>11</v>
      </c>
      <c r="AM5" s="200" t="s">
        <v>5554</v>
      </c>
      <c r="AN5" s="202"/>
      <c r="AO5" s="202"/>
      <c r="AT5" s="203" t="s">
        <v>5759</v>
      </c>
      <c r="AU5" s="203">
        <v>0.53100000000000003</v>
      </c>
      <c r="AV5" s="203" t="s">
        <v>5812</v>
      </c>
      <c r="BB5" s="207" t="s">
        <v>38</v>
      </c>
      <c r="BC5" s="198">
        <v>4</v>
      </c>
      <c r="BD5" s="198">
        <v>0</v>
      </c>
      <c r="BE5" s="198">
        <v>0.2</v>
      </c>
      <c r="BF5" s="198">
        <v>0.19</v>
      </c>
      <c r="BG5" s="207" t="str">
        <f t="shared" si="0"/>
        <v/>
      </c>
      <c r="BL5" s="207" t="s">
        <v>38</v>
      </c>
      <c r="BM5" s="198">
        <v>4</v>
      </c>
      <c r="BN5" s="198">
        <v>0</v>
      </c>
      <c r="BO5" s="198">
        <v>0.2</v>
      </c>
      <c r="BP5" s="198">
        <v>0.28999999999999998</v>
      </c>
      <c r="BQ5" s="207" t="str">
        <f t="shared" si="1"/>
        <v/>
      </c>
      <c r="BU5" s="197"/>
    </row>
    <row r="6" spans="1:75" ht="15.75" x14ac:dyDescent="0.25">
      <c r="A6" s="207" t="s">
        <v>5825</v>
      </c>
      <c r="E6" s="207" t="s">
        <v>55</v>
      </c>
      <c r="F6" s="207">
        <v>180</v>
      </c>
      <c r="H6" s="207">
        <v>15.7</v>
      </c>
      <c r="I6" s="207">
        <v>20</v>
      </c>
      <c r="J6" s="207">
        <v>18</v>
      </c>
      <c r="K6" s="207">
        <v>14.4</v>
      </c>
      <c r="L6" s="207">
        <v>365</v>
      </c>
      <c r="N6" s="207" t="s">
        <v>6209</v>
      </c>
      <c r="O6" s="207">
        <v>1</v>
      </c>
      <c r="P6" s="207">
        <v>0</v>
      </c>
      <c r="Q6" s="207">
        <v>1</v>
      </c>
      <c r="R6" s="207">
        <v>0</v>
      </c>
      <c r="S6" s="207">
        <v>1</v>
      </c>
      <c r="T6" s="207">
        <v>0</v>
      </c>
      <c r="Z6" s="207" t="s">
        <v>373</v>
      </c>
      <c r="AA6" s="208" t="s">
        <v>6015</v>
      </c>
      <c r="AB6" s="207" t="s">
        <v>207</v>
      </c>
      <c r="AC6" s="207" t="s">
        <v>212</v>
      </c>
      <c r="AD6" s="213">
        <v>2</v>
      </c>
      <c r="AI6" s="203" t="s">
        <v>5518</v>
      </c>
      <c r="AJ6" s="204">
        <v>8.6999999999999993</v>
      </c>
      <c r="AK6" s="204">
        <v>16.8</v>
      </c>
      <c r="AM6" s="203" t="s">
        <v>5555</v>
      </c>
      <c r="AN6" s="204" t="s">
        <v>5556</v>
      </c>
      <c r="AO6" s="204" t="s">
        <v>5557</v>
      </c>
      <c r="AT6" s="203" t="s">
        <v>5760</v>
      </c>
      <c r="AU6" s="203">
        <v>0.249</v>
      </c>
      <c r="AV6" s="203" t="s">
        <v>5812</v>
      </c>
      <c r="BB6" s="207" t="s">
        <v>38</v>
      </c>
      <c r="BC6" s="198">
        <v>5</v>
      </c>
      <c r="BD6" s="198">
        <v>0</v>
      </c>
      <c r="BE6" s="198">
        <v>0.2</v>
      </c>
      <c r="BF6" s="198">
        <v>0.22</v>
      </c>
      <c r="BG6" s="207" t="str">
        <f t="shared" si="0"/>
        <v/>
      </c>
      <c r="BL6" s="207" t="s">
        <v>38</v>
      </c>
      <c r="BM6" s="198">
        <v>5</v>
      </c>
      <c r="BN6" s="198">
        <v>0</v>
      </c>
      <c r="BO6" s="198">
        <v>0.2</v>
      </c>
      <c r="BP6" s="198">
        <v>0.3</v>
      </c>
      <c r="BQ6" s="207" t="str">
        <f t="shared" si="1"/>
        <v/>
      </c>
      <c r="BU6" s="197"/>
    </row>
    <row r="7" spans="1:75" ht="15.75" x14ac:dyDescent="0.25">
      <c r="A7" s="207" t="s">
        <v>42</v>
      </c>
      <c r="E7" s="207" t="s">
        <v>56</v>
      </c>
      <c r="F7" s="207">
        <v>135</v>
      </c>
      <c r="H7" s="207">
        <v>15</v>
      </c>
      <c r="I7" s="207">
        <v>40</v>
      </c>
      <c r="J7" s="207">
        <v>5</v>
      </c>
      <c r="K7" s="207">
        <v>12</v>
      </c>
      <c r="L7" s="207">
        <v>365</v>
      </c>
      <c r="N7" s="207" t="s">
        <v>6210</v>
      </c>
      <c r="O7" s="207">
        <v>1</v>
      </c>
      <c r="P7" s="207">
        <v>0</v>
      </c>
      <c r="Q7" s="207">
        <v>1</v>
      </c>
      <c r="R7" s="207">
        <v>0</v>
      </c>
      <c r="S7" s="207">
        <v>0</v>
      </c>
      <c r="T7" s="207">
        <v>1</v>
      </c>
      <c r="Z7" s="207" t="s">
        <v>1918</v>
      </c>
      <c r="AA7" s="208" t="s">
        <v>6015</v>
      </c>
      <c r="AB7" s="207" t="s">
        <v>27</v>
      </c>
      <c r="AC7" s="207" t="s">
        <v>213</v>
      </c>
      <c r="AD7" s="213">
        <v>2</v>
      </c>
      <c r="AI7" s="203" t="s">
        <v>5519</v>
      </c>
      <c r="AJ7" s="204">
        <v>8.9</v>
      </c>
      <c r="AK7" s="204">
        <v>12.9</v>
      </c>
      <c r="AM7" s="203" t="s">
        <v>5558</v>
      </c>
      <c r="AN7" s="480" t="s">
        <v>5560</v>
      </c>
      <c r="AO7" s="480" t="s">
        <v>5561</v>
      </c>
      <c r="AT7" s="203" t="s">
        <v>5761</v>
      </c>
      <c r="AU7" s="203">
        <v>0.248</v>
      </c>
      <c r="AV7" s="203" t="s">
        <v>5812</v>
      </c>
      <c r="BB7" s="207" t="s">
        <v>38</v>
      </c>
      <c r="BC7" s="198">
        <v>6</v>
      </c>
      <c r="BD7" s="198">
        <v>0</v>
      </c>
      <c r="BE7" s="198">
        <v>0.2</v>
      </c>
      <c r="BF7" s="198">
        <v>0.19</v>
      </c>
      <c r="BG7" s="207" t="str">
        <f t="shared" si="0"/>
        <v/>
      </c>
      <c r="BL7" s="207" t="s">
        <v>38</v>
      </c>
      <c r="BM7" s="198">
        <v>6</v>
      </c>
      <c r="BN7" s="198">
        <v>0</v>
      </c>
      <c r="BO7" s="198">
        <v>0.2</v>
      </c>
      <c r="BP7" s="198">
        <v>0.3</v>
      </c>
      <c r="BQ7" s="207" t="str">
        <f t="shared" si="1"/>
        <v/>
      </c>
      <c r="BU7" s="197"/>
    </row>
    <row r="8" spans="1:75" ht="15.75" x14ac:dyDescent="0.25">
      <c r="A8" s="207" t="s">
        <v>5804</v>
      </c>
      <c r="E8" s="207" t="s">
        <v>57</v>
      </c>
      <c r="F8" s="207">
        <v>225</v>
      </c>
      <c r="H8" s="207">
        <v>20</v>
      </c>
      <c r="I8" s="207">
        <v>20</v>
      </c>
      <c r="J8" s="207">
        <v>5</v>
      </c>
      <c r="K8" s="207">
        <v>12</v>
      </c>
      <c r="L8" s="207">
        <v>300</v>
      </c>
      <c r="Z8" s="207" t="s">
        <v>24</v>
      </c>
      <c r="AA8" s="208" t="s">
        <v>6016</v>
      </c>
      <c r="AB8" s="207" t="s">
        <v>214</v>
      </c>
      <c r="AC8" s="207" t="s">
        <v>215</v>
      </c>
      <c r="AD8" s="213">
        <v>2</v>
      </c>
      <c r="AI8" s="203" t="s">
        <v>5520</v>
      </c>
      <c r="AJ8" s="204">
        <v>11.4</v>
      </c>
      <c r="AK8" s="204">
        <v>21.9</v>
      </c>
      <c r="AM8" s="203" t="s">
        <v>5559</v>
      </c>
      <c r="AN8" s="480"/>
      <c r="AO8" s="480"/>
      <c r="BB8" s="207" t="s">
        <v>38</v>
      </c>
      <c r="BC8" s="198">
        <v>7</v>
      </c>
      <c r="BD8" s="198">
        <v>0</v>
      </c>
      <c r="BE8" s="198">
        <v>0.2</v>
      </c>
      <c r="BF8" s="198">
        <v>0.13</v>
      </c>
      <c r="BG8" s="207" t="str">
        <f t="shared" si="0"/>
        <v/>
      </c>
      <c r="BL8" s="207" t="s">
        <v>38</v>
      </c>
      <c r="BM8" s="198">
        <v>7</v>
      </c>
      <c r="BN8" s="198">
        <v>0</v>
      </c>
      <c r="BO8" s="198">
        <v>0.2</v>
      </c>
      <c r="BP8" s="198">
        <v>0.28999999999999998</v>
      </c>
      <c r="BQ8" s="207" t="str">
        <f t="shared" si="1"/>
        <v/>
      </c>
      <c r="BU8" s="197"/>
    </row>
    <row r="9" spans="1:75" ht="15.75" x14ac:dyDescent="0.25">
      <c r="A9" s="207" t="s">
        <v>43</v>
      </c>
      <c r="E9" s="207" t="s">
        <v>58</v>
      </c>
      <c r="F9" s="207">
        <v>270</v>
      </c>
      <c r="H9" s="207">
        <v>16.3</v>
      </c>
      <c r="I9" s="207">
        <v>40</v>
      </c>
      <c r="J9" s="207">
        <v>5</v>
      </c>
      <c r="K9" s="207">
        <v>12</v>
      </c>
      <c r="L9" s="207">
        <v>350</v>
      </c>
      <c r="Z9" s="207" t="s">
        <v>219</v>
      </c>
      <c r="AA9" s="208" t="s">
        <v>6017</v>
      </c>
      <c r="AB9" s="207" t="s">
        <v>214</v>
      </c>
      <c r="AC9" s="207" t="s">
        <v>216</v>
      </c>
      <c r="AD9" s="213">
        <v>2</v>
      </c>
      <c r="AI9" s="203" t="s">
        <v>5521</v>
      </c>
      <c r="AJ9" s="204">
        <v>7.2</v>
      </c>
      <c r="AK9" s="204">
        <v>13.6</v>
      </c>
      <c r="AM9" s="200" t="s">
        <v>5562</v>
      </c>
      <c r="AN9" s="202"/>
      <c r="AO9" s="202"/>
      <c r="BB9" s="207" t="s">
        <v>38</v>
      </c>
      <c r="BC9" s="198">
        <v>8</v>
      </c>
      <c r="BD9" s="198">
        <v>0</v>
      </c>
      <c r="BE9" s="198">
        <v>0.2</v>
      </c>
      <c r="BF9" s="198">
        <v>0.15</v>
      </c>
      <c r="BG9" s="207" t="str">
        <f t="shared" si="0"/>
        <v/>
      </c>
      <c r="BL9" s="207" t="s">
        <v>38</v>
      </c>
      <c r="BM9" s="198">
        <v>8</v>
      </c>
      <c r="BN9" s="198">
        <v>0</v>
      </c>
      <c r="BO9" s="198">
        <v>0.2</v>
      </c>
      <c r="BP9" s="198">
        <v>0.28999999999999998</v>
      </c>
      <c r="BQ9" s="207" t="str">
        <f t="shared" si="1"/>
        <v/>
      </c>
      <c r="BU9" s="197"/>
    </row>
    <row r="10" spans="1:75" ht="15.75" x14ac:dyDescent="0.25">
      <c r="A10" s="207" t="s">
        <v>44</v>
      </c>
      <c r="E10" s="207" t="s">
        <v>50</v>
      </c>
      <c r="F10" s="207">
        <v>360</v>
      </c>
      <c r="H10" s="207">
        <v>13.9</v>
      </c>
      <c r="I10" s="207">
        <v>40</v>
      </c>
      <c r="J10" s="207">
        <v>5</v>
      </c>
      <c r="K10" s="207">
        <v>8</v>
      </c>
      <c r="L10" s="207">
        <v>350</v>
      </c>
      <c r="Z10" s="207" t="s">
        <v>1715</v>
      </c>
      <c r="AA10" s="208" t="s">
        <v>6016</v>
      </c>
      <c r="AB10" s="207" t="s">
        <v>217</v>
      </c>
      <c r="AC10" s="207" t="s">
        <v>218</v>
      </c>
      <c r="AD10" s="213">
        <v>8</v>
      </c>
      <c r="AI10" s="203" t="s">
        <v>5522</v>
      </c>
      <c r="AJ10" s="204">
        <v>7.6</v>
      </c>
      <c r="AK10" s="204">
        <v>12.8</v>
      </c>
      <c r="AM10" s="203" t="s">
        <v>5563</v>
      </c>
      <c r="AN10" s="204" t="s">
        <v>5564</v>
      </c>
      <c r="AO10" s="204" t="s">
        <v>5565</v>
      </c>
      <c r="BB10" s="207" t="s">
        <v>38</v>
      </c>
      <c r="BC10" s="198">
        <v>1</v>
      </c>
      <c r="BD10" s="198">
        <v>0.2</v>
      </c>
      <c r="BE10" s="198">
        <v>0.3</v>
      </c>
      <c r="BF10" s="198">
        <v>0.33</v>
      </c>
      <c r="BG10" s="207" t="str">
        <f t="shared" si="0"/>
        <v/>
      </c>
      <c r="BL10" s="207" t="s">
        <v>38</v>
      </c>
      <c r="BM10" s="198">
        <v>1</v>
      </c>
      <c r="BN10" s="198">
        <v>0.2</v>
      </c>
      <c r="BO10" s="198">
        <v>0.3</v>
      </c>
      <c r="BP10" s="198">
        <v>0.33</v>
      </c>
      <c r="BQ10" s="207" t="str">
        <f t="shared" si="1"/>
        <v/>
      </c>
      <c r="BU10" s="197"/>
    </row>
    <row r="11" spans="1:75" ht="15.75" x14ac:dyDescent="0.25">
      <c r="A11" s="207" t="s">
        <v>45</v>
      </c>
      <c r="H11" s="207">
        <v>15</v>
      </c>
      <c r="I11" s="207">
        <v>40</v>
      </c>
      <c r="J11" s="207">
        <v>10</v>
      </c>
      <c r="K11" s="207">
        <v>12</v>
      </c>
      <c r="L11" s="207">
        <v>300</v>
      </c>
      <c r="Z11" s="207" t="s">
        <v>3847</v>
      </c>
      <c r="AA11" s="208" t="s">
        <v>6015</v>
      </c>
      <c r="AB11" s="207" t="s">
        <v>219</v>
      </c>
      <c r="AC11" s="207" t="s">
        <v>220</v>
      </c>
      <c r="AD11" s="213">
        <v>8</v>
      </c>
      <c r="AI11" s="203" t="s">
        <v>5523</v>
      </c>
      <c r="AJ11" s="204">
        <v>8.6999999999999993</v>
      </c>
      <c r="AK11" s="204">
        <v>15.5</v>
      </c>
      <c r="AM11" s="203" t="s">
        <v>5518</v>
      </c>
      <c r="AN11" s="204" t="s">
        <v>5564</v>
      </c>
      <c r="AO11" s="204" t="s">
        <v>5566</v>
      </c>
      <c r="BB11" s="207" t="s">
        <v>38</v>
      </c>
      <c r="BC11" s="198">
        <v>2</v>
      </c>
      <c r="BD11" s="198">
        <v>0.2</v>
      </c>
      <c r="BE11" s="198">
        <v>0.3</v>
      </c>
      <c r="BF11" s="198">
        <v>0.28999999999999998</v>
      </c>
      <c r="BG11" s="207" t="str">
        <f t="shared" si="0"/>
        <v/>
      </c>
      <c r="BL11" s="207" t="s">
        <v>38</v>
      </c>
      <c r="BM11" s="198">
        <v>2</v>
      </c>
      <c r="BN11" s="198">
        <v>0.2</v>
      </c>
      <c r="BO11" s="198">
        <v>0.3</v>
      </c>
      <c r="BP11" s="198">
        <v>0.33</v>
      </c>
      <c r="BQ11" s="207" t="str">
        <f t="shared" si="1"/>
        <v/>
      </c>
      <c r="BU11" s="197"/>
    </row>
    <row r="12" spans="1:75" x14ac:dyDescent="0.25">
      <c r="Z12" s="207" t="s">
        <v>249</v>
      </c>
      <c r="AA12" s="208" t="s">
        <v>6017</v>
      </c>
      <c r="AB12" s="207" t="s">
        <v>219</v>
      </c>
      <c r="AC12" s="207" t="s">
        <v>221</v>
      </c>
      <c r="AD12" s="213">
        <v>8</v>
      </c>
      <c r="AI12" s="203" t="s">
        <v>5524</v>
      </c>
      <c r="AJ12" s="204">
        <v>8.5</v>
      </c>
      <c r="AK12" s="204">
        <v>14.1</v>
      </c>
      <c r="AM12" s="203" t="s">
        <v>5519</v>
      </c>
      <c r="AN12" s="204" t="s">
        <v>5567</v>
      </c>
      <c r="AO12" s="204" t="s">
        <v>5568</v>
      </c>
      <c r="BB12" s="207" t="s">
        <v>38</v>
      </c>
      <c r="BC12" s="198">
        <v>3</v>
      </c>
      <c r="BD12" s="198">
        <v>0.2</v>
      </c>
      <c r="BE12" s="198">
        <v>0.3</v>
      </c>
      <c r="BF12" s="198">
        <v>0.25</v>
      </c>
      <c r="BG12" s="207" t="str">
        <f t="shared" si="0"/>
        <v/>
      </c>
      <c r="BL12" s="207" t="s">
        <v>38</v>
      </c>
      <c r="BM12" s="198">
        <v>3</v>
      </c>
      <c r="BN12" s="198">
        <v>0.2</v>
      </c>
      <c r="BO12" s="198">
        <v>0.3</v>
      </c>
      <c r="BP12" s="198">
        <v>0.33</v>
      </c>
      <c r="BQ12" s="207" t="str">
        <f t="shared" si="1"/>
        <v/>
      </c>
    </row>
    <row r="13" spans="1:75" x14ac:dyDescent="0.25">
      <c r="Z13" s="207" t="s">
        <v>1953</v>
      </c>
      <c r="AA13" s="208" t="s">
        <v>6016</v>
      </c>
      <c r="AB13" s="207" t="s">
        <v>27</v>
      </c>
      <c r="AC13" s="207" t="s">
        <v>222</v>
      </c>
      <c r="AD13" s="213">
        <v>3</v>
      </c>
      <c r="AI13" s="203" t="s">
        <v>5525</v>
      </c>
      <c r="AJ13" s="204">
        <v>9.4</v>
      </c>
      <c r="AK13" s="204">
        <v>12.2</v>
      </c>
      <c r="AM13" s="203" t="s">
        <v>5536</v>
      </c>
      <c r="AN13" s="204" t="s">
        <v>5564</v>
      </c>
      <c r="AO13" s="204" t="s">
        <v>5569</v>
      </c>
      <c r="BB13" s="207" t="s">
        <v>38</v>
      </c>
      <c r="BC13" s="198">
        <v>4</v>
      </c>
      <c r="BD13" s="198">
        <v>0.2</v>
      </c>
      <c r="BE13" s="198">
        <v>0.3</v>
      </c>
      <c r="BF13" s="198">
        <v>0.21</v>
      </c>
      <c r="BG13" s="207" t="str">
        <f t="shared" si="0"/>
        <v/>
      </c>
      <c r="BL13" s="207" t="s">
        <v>38</v>
      </c>
      <c r="BM13" s="198">
        <v>4</v>
      </c>
      <c r="BN13" s="198">
        <v>0.2</v>
      </c>
      <c r="BO13" s="198">
        <v>0.3</v>
      </c>
      <c r="BP13" s="198">
        <v>0.32</v>
      </c>
      <c r="BQ13" s="207" t="str">
        <f t="shared" si="1"/>
        <v/>
      </c>
    </row>
    <row r="14" spans="1:75" x14ac:dyDescent="0.25">
      <c r="Z14" s="207" t="s">
        <v>2160</v>
      </c>
      <c r="AA14" s="208" t="s">
        <v>6016</v>
      </c>
      <c r="AB14" s="207" t="s">
        <v>219</v>
      </c>
      <c r="AC14" s="207" t="s">
        <v>223</v>
      </c>
      <c r="AD14" s="213">
        <v>8</v>
      </c>
      <c r="AI14" s="203" t="s">
        <v>5526</v>
      </c>
      <c r="AJ14" s="204">
        <v>1.6</v>
      </c>
      <c r="AK14" s="204">
        <v>3.9</v>
      </c>
      <c r="AM14" s="203" t="s">
        <v>5540</v>
      </c>
      <c r="AN14" s="204" t="s">
        <v>5570</v>
      </c>
      <c r="AO14" s="204" t="s">
        <v>5571</v>
      </c>
      <c r="BB14" s="207" t="s">
        <v>38</v>
      </c>
      <c r="BC14" s="198">
        <v>5</v>
      </c>
      <c r="BD14" s="198">
        <v>0.2</v>
      </c>
      <c r="BE14" s="198">
        <v>0.3</v>
      </c>
      <c r="BF14" s="198">
        <v>0.25</v>
      </c>
      <c r="BG14" s="207" t="str">
        <f t="shared" si="0"/>
        <v/>
      </c>
      <c r="BL14" s="207" t="s">
        <v>38</v>
      </c>
      <c r="BM14" s="198">
        <v>5</v>
      </c>
      <c r="BN14" s="198">
        <v>0.2</v>
      </c>
      <c r="BO14" s="198">
        <v>0.3</v>
      </c>
      <c r="BP14" s="198">
        <v>0.33</v>
      </c>
      <c r="BQ14" s="207" t="str">
        <f t="shared" si="1"/>
        <v/>
      </c>
    </row>
    <row r="15" spans="1:75" x14ac:dyDescent="0.25">
      <c r="Z15" s="207" t="s">
        <v>29</v>
      </c>
      <c r="AA15" s="208" t="s">
        <v>6014</v>
      </c>
      <c r="AB15" s="207" t="s">
        <v>27</v>
      </c>
      <c r="AC15" s="207" t="s">
        <v>224</v>
      </c>
      <c r="AD15" s="213">
        <v>3</v>
      </c>
      <c r="AI15" s="203" t="s">
        <v>5527</v>
      </c>
      <c r="AJ15" s="204">
        <v>7.3</v>
      </c>
      <c r="AK15" s="204">
        <v>15.7</v>
      </c>
      <c r="AM15" s="200" t="s">
        <v>5572</v>
      </c>
      <c r="AN15" s="204" t="s">
        <v>5573</v>
      </c>
      <c r="AO15" s="204" t="s">
        <v>5574</v>
      </c>
      <c r="BB15" s="207" t="s">
        <v>38</v>
      </c>
      <c r="BC15" s="198">
        <v>6</v>
      </c>
      <c r="BD15" s="198">
        <v>0.2</v>
      </c>
      <c r="BE15" s="198">
        <v>0.3</v>
      </c>
      <c r="BF15" s="198">
        <v>0.21</v>
      </c>
      <c r="BG15" s="207" t="str">
        <f t="shared" si="0"/>
        <v/>
      </c>
      <c r="BL15" s="207" t="s">
        <v>38</v>
      </c>
      <c r="BM15" s="198">
        <v>6</v>
      </c>
      <c r="BN15" s="198">
        <v>0.2</v>
      </c>
      <c r="BO15" s="198">
        <v>0.3</v>
      </c>
      <c r="BP15" s="198">
        <v>0.33</v>
      </c>
      <c r="BQ15" s="207" t="str">
        <f t="shared" si="1"/>
        <v/>
      </c>
    </row>
    <row r="16" spans="1:75" x14ac:dyDescent="0.25">
      <c r="Z16" s="207" t="s">
        <v>1738</v>
      </c>
      <c r="AA16" s="208" t="s">
        <v>6015</v>
      </c>
      <c r="AB16" s="207" t="s">
        <v>27</v>
      </c>
      <c r="AC16" s="207" t="s">
        <v>225</v>
      </c>
      <c r="AD16" s="213">
        <v>2</v>
      </c>
      <c r="AI16" s="203" t="s">
        <v>5528</v>
      </c>
      <c r="AJ16" s="204">
        <v>6.6</v>
      </c>
      <c r="AK16" s="204">
        <v>9.6</v>
      </c>
      <c r="AM16" s="200" t="s">
        <v>5575</v>
      </c>
      <c r="AN16" s="204" t="s">
        <v>5576</v>
      </c>
      <c r="AO16" s="204" t="s">
        <v>5577</v>
      </c>
      <c r="BB16" s="207" t="s">
        <v>38</v>
      </c>
      <c r="BC16" s="198">
        <v>7</v>
      </c>
      <c r="BD16" s="198">
        <v>0.2</v>
      </c>
      <c r="BE16" s="198">
        <v>0.3</v>
      </c>
      <c r="BF16" s="198">
        <v>0.15</v>
      </c>
      <c r="BG16" s="207" t="str">
        <f t="shared" si="0"/>
        <v/>
      </c>
      <c r="BL16" s="207" t="s">
        <v>38</v>
      </c>
      <c r="BM16" s="198">
        <v>7</v>
      </c>
      <c r="BN16" s="198">
        <v>0.2</v>
      </c>
      <c r="BO16" s="198">
        <v>0.3</v>
      </c>
      <c r="BP16" s="198">
        <v>0.31</v>
      </c>
      <c r="BQ16" s="207" t="str">
        <f t="shared" si="1"/>
        <v/>
      </c>
    </row>
    <row r="17" spans="1:69" ht="15.75" x14ac:dyDescent="0.25">
      <c r="A17" s="212" t="s">
        <v>5796</v>
      </c>
      <c r="B17" s="212">
        <v>2.6</v>
      </c>
      <c r="Z17" s="207" t="s">
        <v>217</v>
      </c>
      <c r="AA17" s="208" t="s">
        <v>6015</v>
      </c>
      <c r="AB17" s="207" t="s">
        <v>27</v>
      </c>
      <c r="AC17" s="207" t="s">
        <v>226</v>
      </c>
      <c r="AD17" s="213">
        <v>1</v>
      </c>
      <c r="AI17" s="203" t="s">
        <v>5529</v>
      </c>
      <c r="AJ17" s="204">
        <v>11.3</v>
      </c>
      <c r="AK17" s="204">
        <v>18.899999999999999</v>
      </c>
      <c r="AM17" s="200" t="s">
        <v>5516</v>
      </c>
      <c r="AN17" s="202"/>
      <c r="AO17" s="202"/>
      <c r="BB17" s="207" t="s">
        <v>38</v>
      </c>
      <c r="BC17" s="198">
        <v>8</v>
      </c>
      <c r="BD17" s="198">
        <v>0.2</v>
      </c>
      <c r="BE17" s="198">
        <v>0.3</v>
      </c>
      <c r="BF17" s="198">
        <v>0.17</v>
      </c>
      <c r="BG17" s="207" t="str">
        <f t="shared" si="0"/>
        <v/>
      </c>
      <c r="BL17" s="207" t="s">
        <v>38</v>
      </c>
      <c r="BM17" s="198">
        <v>8</v>
      </c>
      <c r="BN17" s="198">
        <v>0.2</v>
      </c>
      <c r="BO17" s="198">
        <v>0.3</v>
      </c>
      <c r="BP17" s="198">
        <v>0.31</v>
      </c>
      <c r="BQ17" s="207" t="str">
        <f t="shared" si="1"/>
        <v/>
      </c>
    </row>
    <row r="18" spans="1:69" x14ac:dyDescent="0.25">
      <c r="Z18" s="207" t="s">
        <v>3845</v>
      </c>
      <c r="AA18" s="208" t="s">
        <v>6015</v>
      </c>
      <c r="AB18" s="207" t="s">
        <v>227</v>
      </c>
      <c r="AC18" s="207" t="s">
        <v>228</v>
      </c>
      <c r="AD18" s="213">
        <v>3</v>
      </c>
      <c r="AI18" s="203" t="s">
        <v>5530</v>
      </c>
      <c r="AJ18" s="204">
        <v>8.1</v>
      </c>
      <c r="AK18" s="204">
        <v>15.7</v>
      </c>
      <c r="AM18" s="203" t="s">
        <v>5578</v>
      </c>
      <c r="AN18" s="204" t="s">
        <v>5579</v>
      </c>
      <c r="AO18" s="204" t="s">
        <v>5580</v>
      </c>
      <c r="BB18" s="207" t="s">
        <v>38</v>
      </c>
      <c r="BC18" s="198">
        <v>1</v>
      </c>
      <c r="BD18" s="198">
        <v>0.3</v>
      </c>
      <c r="BE18" s="198">
        <v>0.4</v>
      </c>
      <c r="BF18" s="198">
        <v>0.34</v>
      </c>
      <c r="BG18" s="207" t="str">
        <f t="shared" si="0"/>
        <v/>
      </c>
      <c r="BL18" s="207" t="s">
        <v>38</v>
      </c>
      <c r="BM18" s="198">
        <v>1</v>
      </c>
      <c r="BN18" s="198">
        <v>0.3</v>
      </c>
      <c r="BO18" s="198">
        <v>0.4</v>
      </c>
      <c r="BP18" s="198">
        <v>0.35</v>
      </c>
      <c r="BQ18" s="207" t="str">
        <f t="shared" si="1"/>
        <v/>
      </c>
    </row>
    <row r="19" spans="1:69" x14ac:dyDescent="0.25">
      <c r="A19" s="201" t="s">
        <v>6128</v>
      </c>
      <c r="Z19" s="207" t="s">
        <v>214</v>
      </c>
      <c r="AA19" s="208" t="s">
        <v>6018</v>
      </c>
      <c r="AB19" s="207" t="s">
        <v>27</v>
      </c>
      <c r="AC19" s="207" t="s">
        <v>229</v>
      </c>
      <c r="AD19" s="213">
        <v>1</v>
      </c>
      <c r="AI19" s="203" t="s">
        <v>5531</v>
      </c>
      <c r="AJ19" s="204">
        <v>10.1</v>
      </c>
      <c r="AK19" s="204">
        <v>16.399999999999999</v>
      </c>
      <c r="AM19" s="203" t="s">
        <v>5581</v>
      </c>
      <c r="AN19" s="204" t="s">
        <v>5582</v>
      </c>
      <c r="AO19" s="204" t="s">
        <v>5583</v>
      </c>
      <c r="BB19" s="207" t="s">
        <v>38</v>
      </c>
      <c r="BC19" s="198">
        <v>2</v>
      </c>
      <c r="BD19" s="198">
        <v>0.3</v>
      </c>
      <c r="BE19" s="198">
        <v>0.4</v>
      </c>
      <c r="BF19" s="198">
        <v>0.3</v>
      </c>
      <c r="BG19" s="207" t="str">
        <f t="shared" si="0"/>
        <v/>
      </c>
      <c r="BL19" s="207" t="s">
        <v>38</v>
      </c>
      <c r="BM19" s="198">
        <v>2</v>
      </c>
      <c r="BN19" s="198">
        <v>0.3</v>
      </c>
      <c r="BO19" s="198">
        <v>0.4</v>
      </c>
      <c r="BP19" s="198">
        <v>0.33</v>
      </c>
      <c r="BQ19" s="207" t="str">
        <f t="shared" si="1"/>
        <v/>
      </c>
    </row>
    <row r="20" spans="1:69" x14ac:dyDescent="0.25">
      <c r="A20" s="207" t="s">
        <v>38</v>
      </c>
      <c r="Z20" s="207" t="s">
        <v>227</v>
      </c>
      <c r="AA20" s="208" t="s">
        <v>6017</v>
      </c>
      <c r="AB20" s="207" t="s">
        <v>214</v>
      </c>
      <c r="AC20" s="207" t="s">
        <v>230</v>
      </c>
      <c r="AD20" s="213">
        <v>1</v>
      </c>
      <c r="AI20" s="203" t="s">
        <v>5532</v>
      </c>
      <c r="AJ20" s="204">
        <v>8.4</v>
      </c>
      <c r="AK20" s="204">
        <v>13.9</v>
      </c>
      <c r="AM20" s="203" t="s">
        <v>5584</v>
      </c>
      <c r="AN20" s="204" t="s">
        <v>5585</v>
      </c>
      <c r="AO20" s="204" t="s">
        <v>5586</v>
      </c>
      <c r="BB20" s="207" t="s">
        <v>38</v>
      </c>
      <c r="BC20" s="198">
        <v>3</v>
      </c>
      <c r="BD20" s="198">
        <v>0.3</v>
      </c>
      <c r="BE20" s="198">
        <v>0.4</v>
      </c>
      <c r="BF20" s="198">
        <v>0.26</v>
      </c>
      <c r="BG20" s="207" t="str">
        <f t="shared" si="0"/>
        <v/>
      </c>
      <c r="BL20" s="207" t="s">
        <v>38</v>
      </c>
      <c r="BM20" s="198">
        <v>3</v>
      </c>
      <c r="BN20" s="198">
        <v>0.3</v>
      </c>
      <c r="BO20" s="198">
        <v>0.4</v>
      </c>
      <c r="BP20" s="198">
        <v>0.34</v>
      </c>
      <c r="BQ20" s="207" t="str">
        <f t="shared" si="1"/>
        <v/>
      </c>
    </row>
    <row r="21" spans="1:69" x14ac:dyDescent="0.25">
      <c r="A21" s="207" t="s">
        <v>6115</v>
      </c>
      <c r="Z21" s="207" t="s">
        <v>1642</v>
      </c>
      <c r="AA21" s="208" t="s">
        <v>6015</v>
      </c>
      <c r="AB21" s="207" t="s">
        <v>27</v>
      </c>
      <c r="AC21" s="207" t="s">
        <v>231</v>
      </c>
      <c r="AD21" s="213">
        <v>2</v>
      </c>
      <c r="AI21" s="203" t="s">
        <v>5533</v>
      </c>
      <c r="AJ21" s="204">
        <v>10.7</v>
      </c>
      <c r="AK21" s="204">
        <v>15.5</v>
      </c>
      <c r="AM21" s="200" t="s">
        <v>5587</v>
      </c>
      <c r="AN21" s="204" t="s">
        <v>5588</v>
      </c>
      <c r="AO21" s="204" t="s">
        <v>5589</v>
      </c>
      <c r="BB21" s="207" t="s">
        <v>38</v>
      </c>
      <c r="BC21" s="198">
        <v>4</v>
      </c>
      <c r="BD21" s="198">
        <v>0.3</v>
      </c>
      <c r="BE21" s="198">
        <v>0.4</v>
      </c>
      <c r="BF21" s="198">
        <v>0.22</v>
      </c>
      <c r="BG21" s="207" t="str">
        <f t="shared" si="0"/>
        <v/>
      </c>
      <c r="BL21" s="207" t="s">
        <v>38</v>
      </c>
      <c r="BM21" s="198">
        <v>4</v>
      </c>
      <c r="BN21" s="198">
        <v>0.3</v>
      </c>
      <c r="BO21" s="198">
        <v>0.4</v>
      </c>
      <c r="BP21" s="198">
        <v>0.34</v>
      </c>
      <c r="BQ21" s="207" t="str">
        <f t="shared" si="1"/>
        <v/>
      </c>
    </row>
    <row r="22" spans="1:69" ht="15.75" x14ac:dyDescent="0.25">
      <c r="A22" s="207" t="s">
        <v>5825</v>
      </c>
      <c r="Z22" s="207" t="s">
        <v>2173</v>
      </c>
      <c r="AA22" s="208" t="s">
        <v>6014</v>
      </c>
      <c r="AB22" s="207" t="s">
        <v>27</v>
      </c>
      <c r="AC22" s="207" t="s">
        <v>232</v>
      </c>
      <c r="AD22" s="213">
        <v>2</v>
      </c>
      <c r="AI22" s="203" t="s">
        <v>5543</v>
      </c>
      <c r="AJ22" s="204">
        <v>8.5</v>
      </c>
      <c r="AK22" s="204">
        <v>14.1</v>
      </c>
      <c r="AM22" s="200" t="s">
        <v>5590</v>
      </c>
      <c r="AN22" s="205"/>
      <c r="AO22" s="205"/>
      <c r="BB22" s="207" t="s">
        <v>38</v>
      </c>
      <c r="BC22" s="198">
        <v>5</v>
      </c>
      <c r="BD22" s="198">
        <v>0.3</v>
      </c>
      <c r="BE22" s="198">
        <v>0.4</v>
      </c>
      <c r="BF22" s="198">
        <v>0.26</v>
      </c>
      <c r="BG22" s="207" t="str">
        <f t="shared" si="0"/>
        <v/>
      </c>
      <c r="BL22" s="207" t="s">
        <v>38</v>
      </c>
      <c r="BM22" s="198">
        <v>5</v>
      </c>
      <c r="BN22" s="198">
        <v>0.3</v>
      </c>
      <c r="BO22" s="198">
        <v>0.4</v>
      </c>
      <c r="BP22" s="198">
        <v>0.35</v>
      </c>
      <c r="BQ22" s="207" t="str">
        <f t="shared" si="1"/>
        <v/>
      </c>
    </row>
    <row r="23" spans="1:69" x14ac:dyDescent="0.25">
      <c r="A23" s="207" t="s">
        <v>42</v>
      </c>
      <c r="Z23" s="207" t="s">
        <v>1669</v>
      </c>
      <c r="AA23" s="208" t="s">
        <v>6014</v>
      </c>
      <c r="AB23" s="207" t="s">
        <v>233</v>
      </c>
      <c r="AC23" s="207" t="s">
        <v>234</v>
      </c>
      <c r="AD23" s="213">
        <v>3</v>
      </c>
      <c r="AI23" s="203" t="s">
        <v>5534</v>
      </c>
      <c r="AJ23" s="204">
        <v>11.4</v>
      </c>
      <c r="AK23" s="204">
        <v>16.5</v>
      </c>
      <c r="AM23" s="203" t="s">
        <v>5813</v>
      </c>
      <c r="AN23" s="204" t="s">
        <v>5591</v>
      </c>
      <c r="AO23" s="204" t="s">
        <v>5592</v>
      </c>
      <c r="BB23" s="207" t="s">
        <v>38</v>
      </c>
      <c r="BC23" s="198">
        <v>6</v>
      </c>
      <c r="BD23" s="198">
        <v>0.3</v>
      </c>
      <c r="BE23" s="198">
        <v>0.4</v>
      </c>
      <c r="BF23" s="198">
        <v>0.23</v>
      </c>
      <c r="BG23" s="207" t="str">
        <f t="shared" si="0"/>
        <v/>
      </c>
      <c r="BL23" s="207" t="s">
        <v>38</v>
      </c>
      <c r="BM23" s="198">
        <v>6</v>
      </c>
      <c r="BN23" s="198">
        <v>0.3</v>
      </c>
      <c r="BO23" s="198">
        <v>0.4</v>
      </c>
      <c r="BP23" s="198">
        <v>0.35</v>
      </c>
      <c r="BQ23" s="207" t="str">
        <f t="shared" si="1"/>
        <v/>
      </c>
    </row>
    <row r="24" spans="1:69" x14ac:dyDescent="0.25">
      <c r="A24" s="207" t="s">
        <v>5804</v>
      </c>
      <c r="Z24" s="207" t="s">
        <v>207</v>
      </c>
      <c r="AA24" s="208" t="s">
        <v>6018</v>
      </c>
      <c r="AB24" s="207" t="s">
        <v>227</v>
      </c>
      <c r="AC24" s="207" t="s">
        <v>235</v>
      </c>
      <c r="AD24" s="213">
        <v>3</v>
      </c>
      <c r="AI24" s="203" t="s">
        <v>5535</v>
      </c>
      <c r="AJ24" s="204">
        <v>11.2</v>
      </c>
      <c r="AK24" s="204">
        <v>18.7</v>
      </c>
      <c r="AM24" s="200" t="s">
        <v>5593</v>
      </c>
      <c r="AN24" s="204" t="s">
        <v>5594</v>
      </c>
      <c r="AO24" s="204" t="s">
        <v>5595</v>
      </c>
      <c r="BB24" s="207" t="s">
        <v>38</v>
      </c>
      <c r="BC24" s="198">
        <v>7</v>
      </c>
      <c r="BD24" s="198">
        <v>0.3</v>
      </c>
      <c r="BE24" s="198">
        <v>0.4</v>
      </c>
      <c r="BF24" s="198">
        <v>0.16</v>
      </c>
      <c r="BG24" s="207" t="str">
        <f t="shared" si="0"/>
        <v/>
      </c>
      <c r="BL24" s="207" t="s">
        <v>38</v>
      </c>
      <c r="BM24" s="198">
        <v>7</v>
      </c>
      <c r="BN24" s="198">
        <v>0.3</v>
      </c>
      <c r="BO24" s="198">
        <v>0.4</v>
      </c>
      <c r="BP24" s="198">
        <v>0.33</v>
      </c>
      <c r="BQ24" s="207" t="str">
        <f t="shared" si="1"/>
        <v/>
      </c>
    </row>
    <row r="25" spans="1:69" x14ac:dyDescent="0.25">
      <c r="A25" s="207" t="s">
        <v>43</v>
      </c>
      <c r="Z25" s="207" t="s">
        <v>27</v>
      </c>
      <c r="AA25" s="208" t="s">
        <v>6018</v>
      </c>
      <c r="AB25" s="207" t="s">
        <v>233</v>
      </c>
      <c r="AC25" s="207" t="s">
        <v>236</v>
      </c>
      <c r="AD25" s="213">
        <v>3</v>
      </c>
      <c r="AI25" s="203" t="s">
        <v>5536</v>
      </c>
      <c r="AJ25" s="204">
        <v>8.6</v>
      </c>
      <c r="AK25" s="204">
        <v>15.1</v>
      </c>
      <c r="AM25" s="203" t="s">
        <v>5596</v>
      </c>
      <c r="AN25" s="204" t="s">
        <v>5597</v>
      </c>
      <c r="AO25" s="204" t="s">
        <v>5598</v>
      </c>
      <c r="BB25" s="207" t="s">
        <v>38</v>
      </c>
      <c r="BC25" s="198">
        <v>8</v>
      </c>
      <c r="BD25" s="198">
        <v>0.3</v>
      </c>
      <c r="BE25" s="198">
        <v>0.4</v>
      </c>
      <c r="BF25" s="198">
        <v>0.18</v>
      </c>
      <c r="BG25" s="207" t="str">
        <f t="shared" si="0"/>
        <v/>
      </c>
      <c r="BL25" s="207" t="s">
        <v>38</v>
      </c>
      <c r="BM25" s="198">
        <v>8</v>
      </c>
      <c r="BN25" s="198">
        <v>0.3</v>
      </c>
      <c r="BO25" s="198">
        <v>0.4</v>
      </c>
      <c r="BP25" s="198">
        <v>0.34</v>
      </c>
      <c r="BQ25" s="207" t="str">
        <f t="shared" si="1"/>
        <v/>
      </c>
    </row>
    <row r="26" spans="1:69" x14ac:dyDescent="0.25">
      <c r="A26" s="207" t="s">
        <v>44</v>
      </c>
      <c r="Z26" s="207" t="s">
        <v>56</v>
      </c>
      <c r="AA26" s="208" t="s">
        <v>6015</v>
      </c>
      <c r="AB26" s="207" t="s">
        <v>233</v>
      </c>
      <c r="AC26" s="207" t="s">
        <v>237</v>
      </c>
      <c r="AD26" s="213">
        <v>3</v>
      </c>
      <c r="AI26" s="203" t="s">
        <v>5537</v>
      </c>
      <c r="AJ26" s="204">
        <v>8.8000000000000007</v>
      </c>
      <c r="AK26" s="204">
        <v>13.6</v>
      </c>
      <c r="AM26" s="203" t="s">
        <v>5599</v>
      </c>
      <c r="AN26" s="204" t="s">
        <v>5600</v>
      </c>
      <c r="AO26" s="204" t="s">
        <v>5550</v>
      </c>
      <c r="BB26" s="207" t="s">
        <v>38</v>
      </c>
      <c r="BC26" s="198">
        <v>1</v>
      </c>
      <c r="BD26" s="198">
        <v>0.4</v>
      </c>
      <c r="BE26" s="198">
        <v>0.5</v>
      </c>
      <c r="BF26" s="198">
        <v>0.35</v>
      </c>
      <c r="BG26" s="207" t="str">
        <f t="shared" si="0"/>
        <v/>
      </c>
      <c r="BL26" s="207" t="s">
        <v>38</v>
      </c>
      <c r="BM26" s="198">
        <v>1</v>
      </c>
      <c r="BN26" s="198">
        <v>0.4</v>
      </c>
      <c r="BO26" s="198">
        <v>0.5</v>
      </c>
      <c r="BP26" s="198">
        <v>0.36</v>
      </c>
      <c r="BQ26" s="207" t="str">
        <f t="shared" si="1"/>
        <v/>
      </c>
    </row>
    <row r="27" spans="1:69" x14ac:dyDescent="0.25">
      <c r="A27" s="207" t="s">
        <v>45</v>
      </c>
      <c r="Z27" s="207" t="s">
        <v>233</v>
      </c>
      <c r="AA27" s="208" t="s">
        <v>6017</v>
      </c>
      <c r="AB27" s="207" t="s">
        <v>27</v>
      </c>
      <c r="AC27" s="207" t="s">
        <v>238</v>
      </c>
      <c r="AD27" s="213">
        <v>2</v>
      </c>
      <c r="AI27" s="203" t="s">
        <v>5538</v>
      </c>
      <c r="AJ27" s="204">
        <v>8.6</v>
      </c>
      <c r="AK27" s="204">
        <v>14.9</v>
      </c>
      <c r="AM27" s="200" t="s">
        <v>5601</v>
      </c>
      <c r="AN27" s="204" t="s">
        <v>5602</v>
      </c>
      <c r="AO27" s="204" t="s">
        <v>5603</v>
      </c>
      <c r="BB27" s="207" t="s">
        <v>38</v>
      </c>
      <c r="BC27" s="198">
        <v>2</v>
      </c>
      <c r="BD27" s="198">
        <v>0.4</v>
      </c>
      <c r="BE27" s="198">
        <v>0.5</v>
      </c>
      <c r="BF27" s="198">
        <v>0.31</v>
      </c>
      <c r="BG27" s="207" t="str">
        <f t="shared" si="0"/>
        <v/>
      </c>
      <c r="BL27" s="207" t="s">
        <v>38</v>
      </c>
      <c r="BM27" s="198">
        <v>2</v>
      </c>
      <c r="BN27" s="198">
        <v>0.4</v>
      </c>
      <c r="BO27" s="198">
        <v>0.5</v>
      </c>
      <c r="BP27" s="198">
        <v>0.34</v>
      </c>
      <c r="BQ27" s="207" t="str">
        <f t="shared" si="1"/>
        <v/>
      </c>
    </row>
    <row r="28" spans="1:69" x14ac:dyDescent="0.25">
      <c r="Z28" s="207" t="s">
        <v>1951</v>
      </c>
      <c r="AA28" s="208" t="s">
        <v>6014</v>
      </c>
      <c r="AB28" s="207" t="s">
        <v>27</v>
      </c>
      <c r="AC28" s="207" t="s">
        <v>239</v>
      </c>
      <c r="AD28" s="213">
        <v>2</v>
      </c>
      <c r="AI28" s="203" t="s">
        <v>5539</v>
      </c>
      <c r="AJ28" s="204">
        <v>8.6</v>
      </c>
      <c r="AK28" s="204">
        <v>14.4</v>
      </c>
      <c r="AM28" s="200" t="s">
        <v>5604</v>
      </c>
      <c r="AN28" s="204" t="s">
        <v>5605</v>
      </c>
      <c r="AO28" s="204" t="s">
        <v>5553</v>
      </c>
      <c r="BB28" s="207" t="s">
        <v>38</v>
      </c>
      <c r="BC28" s="198">
        <v>3</v>
      </c>
      <c r="BD28" s="198">
        <v>0.4</v>
      </c>
      <c r="BE28" s="198">
        <v>0.5</v>
      </c>
      <c r="BF28" s="198">
        <v>0.27</v>
      </c>
      <c r="BG28" s="207">
        <f t="shared" si="0"/>
        <v>0.27</v>
      </c>
      <c r="BL28" s="207" t="s">
        <v>38</v>
      </c>
      <c r="BM28" s="198">
        <v>3</v>
      </c>
      <c r="BN28" s="198">
        <v>0.4</v>
      </c>
      <c r="BO28" s="198">
        <v>0.5</v>
      </c>
      <c r="BP28" s="198">
        <v>0.35</v>
      </c>
      <c r="BQ28" s="207">
        <f t="shared" si="1"/>
        <v>0.35</v>
      </c>
    </row>
    <row r="29" spans="1:69" x14ac:dyDescent="0.25">
      <c r="AB29" s="207" t="s">
        <v>27</v>
      </c>
      <c r="AC29" s="207" t="s">
        <v>240</v>
      </c>
      <c r="AD29" s="213">
        <v>2</v>
      </c>
      <c r="AI29" s="203" t="s">
        <v>5540</v>
      </c>
      <c r="AJ29" s="204">
        <v>12.7</v>
      </c>
      <c r="AK29" s="204">
        <v>21.8</v>
      </c>
      <c r="AM29" s="200" t="s">
        <v>5606</v>
      </c>
      <c r="AN29" s="204" t="s">
        <v>5607</v>
      </c>
      <c r="AO29" s="204" t="s">
        <v>5608</v>
      </c>
      <c r="BB29" s="207" t="s">
        <v>38</v>
      </c>
      <c r="BC29" s="198">
        <v>4</v>
      </c>
      <c r="BD29" s="198">
        <v>0.4</v>
      </c>
      <c r="BE29" s="198">
        <v>0.5</v>
      </c>
      <c r="BF29" s="198">
        <v>0.23</v>
      </c>
      <c r="BG29" s="207" t="str">
        <f t="shared" si="0"/>
        <v/>
      </c>
      <c r="BL29" s="207" t="s">
        <v>38</v>
      </c>
      <c r="BM29" s="198">
        <v>4</v>
      </c>
      <c r="BN29" s="198">
        <v>0.4</v>
      </c>
      <c r="BO29" s="198">
        <v>0.5</v>
      </c>
      <c r="BP29" s="198">
        <v>0.35</v>
      </c>
      <c r="BQ29" s="207" t="str">
        <f t="shared" si="1"/>
        <v/>
      </c>
    </row>
    <row r="30" spans="1:69" x14ac:dyDescent="0.25">
      <c r="AB30" s="207" t="s">
        <v>233</v>
      </c>
      <c r="AC30" s="207" t="s">
        <v>241</v>
      </c>
      <c r="AD30" s="213">
        <v>3</v>
      </c>
      <c r="AI30" s="203" t="s">
        <v>5541</v>
      </c>
      <c r="AJ30" s="204">
        <v>6.8</v>
      </c>
      <c r="AK30" s="204">
        <v>12</v>
      </c>
      <c r="AM30" s="200" t="s">
        <v>5609</v>
      </c>
      <c r="AN30" s="204" t="s">
        <v>5610</v>
      </c>
      <c r="AO30" s="204" t="s">
        <v>5611</v>
      </c>
      <c r="BB30" s="207" t="s">
        <v>38</v>
      </c>
      <c r="BC30" s="198">
        <v>5</v>
      </c>
      <c r="BD30" s="198">
        <v>0.4</v>
      </c>
      <c r="BE30" s="198">
        <v>0.5</v>
      </c>
      <c r="BF30" s="198">
        <v>0.27</v>
      </c>
      <c r="BG30" s="207" t="str">
        <f t="shared" si="0"/>
        <v/>
      </c>
      <c r="BL30" s="207" t="s">
        <v>38</v>
      </c>
      <c r="BM30" s="198">
        <v>5</v>
      </c>
      <c r="BN30" s="198">
        <v>0.4</v>
      </c>
      <c r="BO30" s="198">
        <v>0.5</v>
      </c>
      <c r="BP30" s="198">
        <v>0.36</v>
      </c>
      <c r="BQ30" s="207" t="str">
        <f t="shared" si="1"/>
        <v/>
      </c>
    </row>
    <row r="31" spans="1:69" x14ac:dyDescent="0.25">
      <c r="AB31" s="207" t="s">
        <v>233</v>
      </c>
      <c r="AC31" s="207" t="s">
        <v>242</v>
      </c>
      <c r="AD31" s="213">
        <v>3</v>
      </c>
      <c r="AI31" s="203" t="s">
        <v>5542</v>
      </c>
      <c r="AJ31" s="204">
        <v>9.6999999999999993</v>
      </c>
      <c r="AK31" s="204">
        <v>16.399999999999999</v>
      </c>
      <c r="AM31" s="200" t="s">
        <v>5524</v>
      </c>
      <c r="AN31" s="204" t="s">
        <v>5573</v>
      </c>
      <c r="AO31" s="204" t="s">
        <v>5612</v>
      </c>
      <c r="BB31" s="207" t="s">
        <v>38</v>
      </c>
      <c r="BC31" s="198">
        <v>6</v>
      </c>
      <c r="BD31" s="198">
        <v>0.4</v>
      </c>
      <c r="BE31" s="198">
        <v>0.5</v>
      </c>
      <c r="BF31" s="198">
        <v>0.23</v>
      </c>
      <c r="BG31" s="207" t="str">
        <f t="shared" si="0"/>
        <v/>
      </c>
      <c r="BL31" s="207" t="s">
        <v>38</v>
      </c>
      <c r="BM31" s="198">
        <v>6</v>
      </c>
      <c r="BN31" s="198">
        <v>0.4</v>
      </c>
      <c r="BO31" s="198">
        <v>0.5</v>
      </c>
      <c r="BP31" s="198">
        <v>0.36</v>
      </c>
      <c r="BQ31" s="207" t="str">
        <f t="shared" si="1"/>
        <v/>
      </c>
    </row>
    <row r="32" spans="1:69" x14ac:dyDescent="0.25">
      <c r="AB32" s="207" t="s">
        <v>233</v>
      </c>
      <c r="AC32" s="207" t="s">
        <v>243</v>
      </c>
      <c r="AD32" s="213">
        <v>3</v>
      </c>
      <c r="AM32" s="203" t="s">
        <v>5814</v>
      </c>
      <c r="AN32" s="204" t="s">
        <v>5613</v>
      </c>
      <c r="AO32" s="204" t="s">
        <v>5614</v>
      </c>
      <c r="BB32" s="207" t="s">
        <v>38</v>
      </c>
      <c r="BC32" s="198">
        <v>7</v>
      </c>
      <c r="BD32" s="198">
        <v>0.4</v>
      </c>
      <c r="BE32" s="198">
        <v>0.5</v>
      </c>
      <c r="BF32" s="198">
        <v>0.16</v>
      </c>
      <c r="BG32" s="207" t="str">
        <f t="shared" si="0"/>
        <v/>
      </c>
      <c r="BL32" s="207" t="s">
        <v>38</v>
      </c>
      <c r="BM32" s="198">
        <v>7</v>
      </c>
      <c r="BN32" s="198">
        <v>0.4</v>
      </c>
      <c r="BO32" s="198">
        <v>0.5</v>
      </c>
      <c r="BP32" s="198">
        <v>0.34</v>
      </c>
      <c r="BQ32" s="207" t="str">
        <f t="shared" si="1"/>
        <v/>
      </c>
    </row>
    <row r="33" spans="28:69" x14ac:dyDescent="0.25">
      <c r="AB33" s="207" t="s">
        <v>233</v>
      </c>
      <c r="AC33" s="207" t="s">
        <v>244</v>
      </c>
      <c r="AD33" s="213">
        <v>3</v>
      </c>
      <c r="AM33" s="200" t="s">
        <v>5615</v>
      </c>
      <c r="AN33" s="204" t="s">
        <v>5616</v>
      </c>
      <c r="AO33" s="204" t="s">
        <v>5617</v>
      </c>
      <c r="BB33" s="207" t="s">
        <v>38</v>
      </c>
      <c r="BC33" s="198">
        <v>8</v>
      </c>
      <c r="BD33" s="198">
        <v>0.4</v>
      </c>
      <c r="BE33" s="198">
        <v>0.5</v>
      </c>
      <c r="BF33" s="198">
        <v>0.19</v>
      </c>
      <c r="BG33" s="207" t="str">
        <f t="shared" si="0"/>
        <v/>
      </c>
      <c r="BL33" s="207" t="s">
        <v>38</v>
      </c>
      <c r="BM33" s="198">
        <v>8</v>
      </c>
      <c r="BN33" s="198">
        <v>0.4</v>
      </c>
      <c r="BO33" s="198">
        <v>0.5</v>
      </c>
      <c r="BP33" s="198">
        <v>0.35</v>
      </c>
      <c r="BQ33" s="207" t="str">
        <f t="shared" si="1"/>
        <v/>
      </c>
    </row>
    <row r="34" spans="28:69" ht="15.75" x14ac:dyDescent="0.25">
      <c r="AB34" s="207" t="s">
        <v>27</v>
      </c>
      <c r="AC34" s="207" t="s">
        <v>245</v>
      </c>
      <c r="AD34" s="213">
        <v>2</v>
      </c>
      <c r="AM34" s="200" t="s">
        <v>5618</v>
      </c>
      <c r="AN34" s="202"/>
      <c r="AO34" s="202"/>
      <c r="BB34" s="207" t="s">
        <v>38</v>
      </c>
      <c r="BC34" s="198">
        <v>1</v>
      </c>
      <c r="BD34" s="198">
        <v>0.5</v>
      </c>
      <c r="BE34" s="198">
        <v>100</v>
      </c>
      <c r="BF34" s="198">
        <v>0.35</v>
      </c>
      <c r="BG34" s="207" t="str">
        <f t="shared" si="0"/>
        <v/>
      </c>
      <c r="BL34" s="207" t="s">
        <v>38</v>
      </c>
      <c r="BM34" s="198">
        <v>1</v>
      </c>
      <c r="BN34" s="198">
        <v>0.5</v>
      </c>
      <c r="BO34" s="198">
        <v>100</v>
      </c>
      <c r="BP34" s="198">
        <v>0.36</v>
      </c>
      <c r="BQ34" s="207" t="str">
        <f t="shared" si="1"/>
        <v/>
      </c>
    </row>
    <row r="35" spans="28:69" x14ac:dyDescent="0.25">
      <c r="AB35" s="207" t="s">
        <v>27</v>
      </c>
      <c r="AC35" s="207" t="s">
        <v>246</v>
      </c>
      <c r="AD35" s="213">
        <v>2</v>
      </c>
      <c r="AM35" s="203" t="s">
        <v>5619</v>
      </c>
      <c r="AN35" s="204" t="s">
        <v>5582</v>
      </c>
      <c r="AO35" s="204" t="s">
        <v>5580</v>
      </c>
      <c r="BB35" s="207" t="s">
        <v>38</v>
      </c>
      <c r="BC35" s="198">
        <v>2</v>
      </c>
      <c r="BD35" s="198">
        <v>0.5</v>
      </c>
      <c r="BE35" s="198">
        <v>100</v>
      </c>
      <c r="BF35" s="198">
        <v>0.31</v>
      </c>
      <c r="BG35" s="207" t="str">
        <f t="shared" si="0"/>
        <v/>
      </c>
      <c r="BL35" s="207" t="s">
        <v>38</v>
      </c>
      <c r="BM35" s="198">
        <v>2</v>
      </c>
      <c r="BN35" s="198">
        <v>0.5</v>
      </c>
      <c r="BO35" s="198">
        <v>100</v>
      </c>
      <c r="BP35" s="198">
        <v>0.35</v>
      </c>
      <c r="BQ35" s="207" t="str">
        <f t="shared" si="1"/>
        <v/>
      </c>
    </row>
    <row r="36" spans="28:69" x14ac:dyDescent="0.25">
      <c r="AB36" s="207" t="s">
        <v>227</v>
      </c>
      <c r="AC36" s="207" t="s">
        <v>247</v>
      </c>
      <c r="AD36" s="213">
        <v>3</v>
      </c>
      <c r="AM36" s="203" t="s">
        <v>5620</v>
      </c>
      <c r="AN36" s="204" t="s">
        <v>5621</v>
      </c>
      <c r="AO36" s="204" t="s">
        <v>5622</v>
      </c>
      <c r="BB36" s="207" t="s">
        <v>38</v>
      </c>
      <c r="BC36" s="198">
        <v>3</v>
      </c>
      <c r="BD36" s="198">
        <v>0.5</v>
      </c>
      <c r="BE36" s="198">
        <v>100</v>
      </c>
      <c r="BF36" s="198">
        <v>0.27</v>
      </c>
      <c r="BG36" s="207" t="str">
        <f t="shared" si="0"/>
        <v/>
      </c>
      <c r="BL36" s="207" t="s">
        <v>38</v>
      </c>
      <c r="BM36" s="198">
        <v>3</v>
      </c>
      <c r="BN36" s="198">
        <v>0.5</v>
      </c>
      <c r="BO36" s="198">
        <v>100</v>
      </c>
      <c r="BP36" s="198">
        <v>0.36</v>
      </c>
      <c r="BQ36" s="207" t="str">
        <f t="shared" si="1"/>
        <v/>
      </c>
    </row>
    <row r="37" spans="28:69" x14ac:dyDescent="0.25">
      <c r="AB37" s="207" t="s">
        <v>27</v>
      </c>
      <c r="AC37" s="207" t="s">
        <v>248</v>
      </c>
      <c r="AD37" s="213">
        <v>2</v>
      </c>
      <c r="AM37" s="203" t="s">
        <v>5623</v>
      </c>
      <c r="AN37" s="204" t="s">
        <v>5624</v>
      </c>
      <c r="AO37" s="204" t="s">
        <v>5625</v>
      </c>
      <c r="BB37" s="207" t="s">
        <v>38</v>
      </c>
      <c r="BC37" s="198">
        <v>4</v>
      </c>
      <c r="BD37" s="198">
        <v>0.5</v>
      </c>
      <c r="BE37" s="198">
        <v>100</v>
      </c>
      <c r="BF37" s="198">
        <v>0.23</v>
      </c>
      <c r="BG37" s="207" t="str">
        <f t="shared" si="0"/>
        <v/>
      </c>
      <c r="BL37" s="207" t="s">
        <v>38</v>
      </c>
      <c r="BM37" s="198">
        <v>4</v>
      </c>
      <c r="BN37" s="198">
        <v>0.5</v>
      </c>
      <c r="BO37" s="198">
        <v>100</v>
      </c>
      <c r="BP37" s="198">
        <v>0.35</v>
      </c>
      <c r="BQ37" s="207" t="str">
        <f t="shared" si="1"/>
        <v/>
      </c>
    </row>
    <row r="38" spans="28:69" x14ac:dyDescent="0.25">
      <c r="AB38" s="207" t="s">
        <v>249</v>
      </c>
      <c r="AC38" s="207" t="s">
        <v>250</v>
      </c>
      <c r="AD38" s="213">
        <v>3</v>
      </c>
      <c r="AM38" s="203" t="s">
        <v>5815</v>
      </c>
      <c r="AN38" s="204" t="s">
        <v>5626</v>
      </c>
      <c r="AO38" s="204" t="s">
        <v>5627</v>
      </c>
      <c r="BB38" s="207" t="s">
        <v>38</v>
      </c>
      <c r="BC38" s="198">
        <v>5</v>
      </c>
      <c r="BD38" s="198">
        <v>0.5</v>
      </c>
      <c r="BE38" s="198">
        <v>100</v>
      </c>
      <c r="BF38" s="198">
        <v>0.27</v>
      </c>
      <c r="BG38" s="207" t="str">
        <f t="shared" si="0"/>
        <v/>
      </c>
      <c r="BL38" s="207" t="s">
        <v>38</v>
      </c>
      <c r="BM38" s="198">
        <v>5</v>
      </c>
      <c r="BN38" s="198">
        <v>0.5</v>
      </c>
      <c r="BO38" s="198">
        <v>100</v>
      </c>
      <c r="BP38" s="198">
        <v>0.36</v>
      </c>
      <c r="BQ38" s="207" t="str">
        <f t="shared" si="1"/>
        <v/>
      </c>
    </row>
    <row r="39" spans="28:69" x14ac:dyDescent="0.25">
      <c r="AB39" s="207" t="s">
        <v>214</v>
      </c>
      <c r="AC39" s="207" t="s">
        <v>251</v>
      </c>
      <c r="AD39" s="213">
        <v>2</v>
      </c>
      <c r="AM39" s="203" t="s">
        <v>5816</v>
      </c>
      <c r="AN39" s="204" t="s">
        <v>5628</v>
      </c>
      <c r="AO39" s="204" t="s">
        <v>5629</v>
      </c>
      <c r="BB39" s="207" t="s">
        <v>38</v>
      </c>
      <c r="BC39" s="198">
        <v>6</v>
      </c>
      <c r="BD39" s="198">
        <v>0.5</v>
      </c>
      <c r="BE39" s="198">
        <v>100</v>
      </c>
      <c r="BF39" s="198">
        <v>0.23</v>
      </c>
      <c r="BG39" s="207" t="str">
        <f t="shared" si="0"/>
        <v/>
      </c>
      <c r="BL39" s="207" t="s">
        <v>38</v>
      </c>
      <c r="BM39" s="198">
        <v>6</v>
      </c>
      <c r="BN39" s="198">
        <v>0.5</v>
      </c>
      <c r="BO39" s="198">
        <v>100</v>
      </c>
      <c r="BP39" s="198">
        <v>0.36</v>
      </c>
      <c r="BQ39" s="207" t="str">
        <f t="shared" si="1"/>
        <v/>
      </c>
    </row>
    <row r="40" spans="28:69" x14ac:dyDescent="0.25">
      <c r="AB40" s="207" t="s">
        <v>214</v>
      </c>
      <c r="AC40" s="207" t="s">
        <v>252</v>
      </c>
      <c r="AD40" s="213">
        <v>1</v>
      </c>
      <c r="AM40" s="203" t="s">
        <v>5817</v>
      </c>
      <c r="AN40" s="204" t="s">
        <v>5630</v>
      </c>
      <c r="AO40" s="204" t="s">
        <v>5631</v>
      </c>
      <c r="BB40" s="207" t="s">
        <v>38</v>
      </c>
      <c r="BC40" s="198">
        <v>7</v>
      </c>
      <c r="BD40" s="198">
        <v>0.5</v>
      </c>
      <c r="BE40" s="198">
        <v>100</v>
      </c>
      <c r="BF40" s="198">
        <v>0.17</v>
      </c>
      <c r="BG40" s="207" t="str">
        <f t="shared" si="0"/>
        <v/>
      </c>
      <c r="BL40" s="207" t="s">
        <v>38</v>
      </c>
      <c r="BM40" s="198">
        <v>7</v>
      </c>
      <c r="BN40" s="198">
        <v>0.5</v>
      </c>
      <c r="BO40" s="198">
        <v>100</v>
      </c>
      <c r="BP40" s="198">
        <v>0.36</v>
      </c>
      <c r="BQ40" s="207" t="str">
        <f t="shared" si="1"/>
        <v/>
      </c>
    </row>
    <row r="41" spans="28:69" x14ac:dyDescent="0.25">
      <c r="AB41" s="207" t="s">
        <v>214</v>
      </c>
      <c r="AC41" s="207" t="s">
        <v>253</v>
      </c>
      <c r="AD41" s="213">
        <v>2</v>
      </c>
      <c r="AM41" s="203" t="s">
        <v>5818</v>
      </c>
      <c r="AN41" s="204" t="s">
        <v>5632</v>
      </c>
      <c r="AO41" s="204" t="s">
        <v>5633</v>
      </c>
      <c r="BB41" s="207" t="s">
        <v>38</v>
      </c>
      <c r="BC41" s="198">
        <v>8</v>
      </c>
      <c r="BD41" s="198">
        <v>0.5</v>
      </c>
      <c r="BE41" s="198">
        <v>100</v>
      </c>
      <c r="BF41" s="198">
        <v>0.19</v>
      </c>
      <c r="BG41" s="207" t="str">
        <f t="shared" si="0"/>
        <v/>
      </c>
      <c r="BL41" s="207" t="s">
        <v>38</v>
      </c>
      <c r="BM41" s="198">
        <v>8</v>
      </c>
      <c r="BN41" s="198">
        <v>0.5</v>
      </c>
      <c r="BO41" s="198">
        <v>100</v>
      </c>
      <c r="BP41" s="198">
        <v>0.36</v>
      </c>
      <c r="BQ41" s="207" t="str">
        <f t="shared" si="1"/>
        <v/>
      </c>
    </row>
    <row r="42" spans="28:69" ht="15.75" x14ac:dyDescent="0.25">
      <c r="AB42" s="207" t="s">
        <v>233</v>
      </c>
      <c r="AC42" s="207" t="s">
        <v>254</v>
      </c>
      <c r="AD42" s="213">
        <v>3</v>
      </c>
      <c r="AM42" s="200" t="s">
        <v>5634</v>
      </c>
      <c r="AN42" s="202"/>
      <c r="AO42" s="202"/>
      <c r="BB42" s="207" t="s">
        <v>6115</v>
      </c>
      <c r="BC42" s="198">
        <v>1</v>
      </c>
      <c r="BD42" s="198">
        <v>0</v>
      </c>
      <c r="BE42" s="198">
        <v>0.2</v>
      </c>
      <c r="BF42" s="198">
        <v>0.19</v>
      </c>
      <c r="BG42" s="207" t="str">
        <f t="shared" si="0"/>
        <v/>
      </c>
      <c r="BL42" s="207" t="s">
        <v>6115</v>
      </c>
      <c r="BM42" s="198">
        <v>1</v>
      </c>
      <c r="BN42" s="198">
        <v>0</v>
      </c>
      <c r="BO42" s="198">
        <v>0.2</v>
      </c>
      <c r="BP42" s="198">
        <v>0.33</v>
      </c>
      <c r="BQ42" s="207" t="str">
        <f t="shared" si="1"/>
        <v/>
      </c>
    </row>
    <row r="43" spans="28:69" x14ac:dyDescent="0.25">
      <c r="AB43" s="207" t="s">
        <v>27</v>
      </c>
      <c r="AC43" s="207" t="s">
        <v>255</v>
      </c>
      <c r="AD43" s="213">
        <v>2</v>
      </c>
      <c r="AM43" s="203" t="s">
        <v>5635</v>
      </c>
      <c r="AN43" s="204" t="s">
        <v>5549</v>
      </c>
      <c r="AO43" s="204" t="s">
        <v>5636</v>
      </c>
      <c r="BB43" s="207" t="s">
        <v>6115</v>
      </c>
      <c r="BC43" s="198">
        <v>2</v>
      </c>
      <c r="BD43" s="198">
        <v>0</v>
      </c>
      <c r="BE43" s="198">
        <v>0.2</v>
      </c>
      <c r="BF43" s="198">
        <v>0.16</v>
      </c>
      <c r="BG43" s="207" t="str">
        <f t="shared" si="0"/>
        <v/>
      </c>
      <c r="BL43" s="207" t="s">
        <v>6115</v>
      </c>
      <c r="BM43" s="198">
        <v>2</v>
      </c>
      <c r="BN43" s="198">
        <v>0</v>
      </c>
      <c r="BO43" s="198">
        <v>0.2</v>
      </c>
      <c r="BP43" s="198">
        <v>0.32</v>
      </c>
      <c r="BQ43" s="207" t="str">
        <f t="shared" si="1"/>
        <v/>
      </c>
    </row>
    <row r="44" spans="28:69" x14ac:dyDescent="0.25">
      <c r="AB44" s="207" t="s">
        <v>27</v>
      </c>
      <c r="AC44" s="207" t="s">
        <v>256</v>
      </c>
      <c r="AD44" s="213">
        <v>2</v>
      </c>
      <c r="AM44" s="203" t="s">
        <v>5637</v>
      </c>
      <c r="AN44" s="204" t="s">
        <v>5638</v>
      </c>
      <c r="AO44" s="204" t="s">
        <v>5639</v>
      </c>
      <c r="BB44" s="207" t="s">
        <v>6115</v>
      </c>
      <c r="BC44" s="198">
        <v>3</v>
      </c>
      <c r="BD44" s="198">
        <v>0</v>
      </c>
      <c r="BE44" s="198">
        <v>0.2</v>
      </c>
      <c r="BF44" s="198">
        <v>0.14000000000000001</v>
      </c>
      <c r="BG44" s="207" t="str">
        <f t="shared" si="0"/>
        <v/>
      </c>
      <c r="BL44" s="207" t="s">
        <v>6115</v>
      </c>
      <c r="BM44" s="198">
        <v>3</v>
      </c>
      <c r="BN44" s="198">
        <v>0</v>
      </c>
      <c r="BO44" s="198">
        <v>0.2</v>
      </c>
      <c r="BP44" s="198">
        <v>0.31</v>
      </c>
      <c r="BQ44" s="207" t="str">
        <f t="shared" si="1"/>
        <v/>
      </c>
    </row>
    <row r="45" spans="28:69" x14ac:dyDescent="0.25">
      <c r="AB45" s="207" t="s">
        <v>27</v>
      </c>
      <c r="AC45" s="207" t="s">
        <v>257</v>
      </c>
      <c r="AD45" s="213">
        <v>2</v>
      </c>
      <c r="AM45" s="203" t="s">
        <v>5530</v>
      </c>
      <c r="AN45" s="204" t="s">
        <v>5602</v>
      </c>
      <c r="AO45" s="204" t="s">
        <v>5639</v>
      </c>
      <c r="BB45" s="207" t="s">
        <v>6115</v>
      </c>
      <c r="BC45" s="198">
        <v>4</v>
      </c>
      <c r="BD45" s="198">
        <v>0</v>
      </c>
      <c r="BE45" s="198">
        <v>0.2</v>
      </c>
      <c r="BF45" s="198">
        <v>0.11</v>
      </c>
      <c r="BG45" s="207" t="str">
        <f t="shared" si="0"/>
        <v/>
      </c>
      <c r="BL45" s="207" t="s">
        <v>6115</v>
      </c>
      <c r="BM45" s="198">
        <v>4</v>
      </c>
      <c r="BN45" s="198">
        <v>0</v>
      </c>
      <c r="BO45" s="198">
        <v>0.2</v>
      </c>
      <c r="BP45" s="198">
        <v>0.3</v>
      </c>
      <c r="BQ45" s="207" t="str">
        <f t="shared" si="1"/>
        <v/>
      </c>
    </row>
    <row r="46" spans="28:69" x14ac:dyDescent="0.25">
      <c r="AB46" s="207" t="s">
        <v>214</v>
      </c>
      <c r="AC46" s="207" t="s">
        <v>258</v>
      </c>
      <c r="AD46" s="213">
        <v>2</v>
      </c>
      <c r="AM46" s="203" t="s">
        <v>5640</v>
      </c>
      <c r="AN46" s="204" t="s">
        <v>5628</v>
      </c>
      <c r="AO46" s="204" t="s">
        <v>5641</v>
      </c>
      <c r="BB46" s="207" t="s">
        <v>6115</v>
      </c>
      <c r="BC46" s="198">
        <v>5</v>
      </c>
      <c r="BD46" s="198">
        <v>0</v>
      </c>
      <c r="BE46" s="198">
        <v>0.2</v>
      </c>
      <c r="BF46" s="198">
        <v>0.14000000000000001</v>
      </c>
      <c r="BG46" s="207" t="str">
        <f t="shared" si="0"/>
        <v/>
      </c>
      <c r="BL46" s="207" t="s">
        <v>6115</v>
      </c>
      <c r="BM46" s="198">
        <v>5</v>
      </c>
      <c r="BN46" s="198">
        <v>0</v>
      </c>
      <c r="BO46" s="198">
        <v>0.2</v>
      </c>
      <c r="BP46" s="198">
        <v>0.31</v>
      </c>
      <c r="BQ46" s="207" t="str">
        <f t="shared" si="1"/>
        <v/>
      </c>
    </row>
    <row r="47" spans="28:69" x14ac:dyDescent="0.25">
      <c r="AB47" s="207" t="s">
        <v>214</v>
      </c>
      <c r="AC47" s="207" t="s">
        <v>259</v>
      </c>
      <c r="AD47" s="213">
        <v>2</v>
      </c>
      <c r="AM47" s="203" t="s">
        <v>108</v>
      </c>
      <c r="AN47" s="204" t="s">
        <v>5642</v>
      </c>
      <c r="AO47" s="204" t="s">
        <v>5643</v>
      </c>
      <c r="BB47" s="207" t="s">
        <v>6115</v>
      </c>
      <c r="BC47" s="198">
        <v>6</v>
      </c>
      <c r="BD47" s="198">
        <v>0</v>
      </c>
      <c r="BE47" s="198">
        <v>0.2</v>
      </c>
      <c r="BF47" s="198">
        <v>0.12</v>
      </c>
      <c r="BG47" s="207" t="str">
        <f t="shared" si="0"/>
        <v/>
      </c>
      <c r="BL47" s="207" t="s">
        <v>6115</v>
      </c>
      <c r="BM47" s="198">
        <v>6</v>
      </c>
      <c r="BN47" s="198">
        <v>0</v>
      </c>
      <c r="BO47" s="198">
        <v>0.2</v>
      </c>
      <c r="BP47" s="198">
        <v>0.31</v>
      </c>
      <c r="BQ47" s="207" t="str">
        <f t="shared" si="1"/>
        <v/>
      </c>
    </row>
    <row r="48" spans="28:69" ht="15.75" x14ac:dyDescent="0.25">
      <c r="AB48" s="207" t="s">
        <v>207</v>
      </c>
      <c r="AC48" s="207" t="s">
        <v>260</v>
      </c>
      <c r="AD48" s="213">
        <v>2</v>
      </c>
      <c r="AM48" s="200" t="s">
        <v>5529</v>
      </c>
      <c r="AN48" s="202"/>
      <c r="AO48" s="202"/>
      <c r="BB48" s="207" t="s">
        <v>6115</v>
      </c>
      <c r="BC48" s="198">
        <v>7</v>
      </c>
      <c r="BD48" s="198">
        <v>0</v>
      </c>
      <c r="BE48" s="198">
        <v>0.2</v>
      </c>
      <c r="BF48" s="198">
        <v>0.08</v>
      </c>
      <c r="BG48" s="207" t="str">
        <f t="shared" si="0"/>
        <v/>
      </c>
      <c r="BL48" s="207" t="s">
        <v>6115</v>
      </c>
      <c r="BM48" s="198">
        <v>7</v>
      </c>
      <c r="BN48" s="198">
        <v>0</v>
      </c>
      <c r="BO48" s="198">
        <v>0.2</v>
      </c>
      <c r="BP48" s="198">
        <v>0.28000000000000003</v>
      </c>
      <c r="BQ48" s="207" t="str">
        <f t="shared" si="1"/>
        <v/>
      </c>
    </row>
    <row r="49" spans="28:69" x14ac:dyDescent="0.25">
      <c r="AB49" s="207" t="s">
        <v>27</v>
      </c>
      <c r="AC49" s="207" t="s">
        <v>261</v>
      </c>
      <c r="AD49" s="213">
        <v>2</v>
      </c>
      <c r="AM49" s="203" t="s">
        <v>5644</v>
      </c>
      <c r="AN49" s="204" t="s">
        <v>5645</v>
      </c>
      <c r="AO49" s="204" t="s">
        <v>5646</v>
      </c>
      <c r="BB49" s="207" t="s">
        <v>6115</v>
      </c>
      <c r="BC49" s="198">
        <v>8</v>
      </c>
      <c r="BD49" s="198">
        <v>0</v>
      </c>
      <c r="BE49" s="198">
        <v>0.2</v>
      </c>
      <c r="BF49" s="198">
        <v>0.08</v>
      </c>
      <c r="BG49" s="207" t="str">
        <f t="shared" si="0"/>
        <v/>
      </c>
      <c r="BL49" s="207" t="s">
        <v>6115</v>
      </c>
      <c r="BM49" s="198">
        <v>8</v>
      </c>
      <c r="BN49" s="198">
        <v>0</v>
      </c>
      <c r="BO49" s="198">
        <v>0.2</v>
      </c>
      <c r="BP49" s="198">
        <v>0.28000000000000003</v>
      </c>
      <c r="BQ49" s="207" t="str">
        <f t="shared" si="1"/>
        <v/>
      </c>
    </row>
    <row r="50" spans="28:69" x14ac:dyDescent="0.25">
      <c r="AB50" s="207" t="s">
        <v>217</v>
      </c>
      <c r="AC50" s="207" t="s">
        <v>262</v>
      </c>
      <c r="AD50" s="213">
        <v>8</v>
      </c>
      <c r="AM50" s="203" t="s">
        <v>5647</v>
      </c>
      <c r="AN50" s="204" t="s">
        <v>5648</v>
      </c>
      <c r="AO50" s="204" t="s">
        <v>5649</v>
      </c>
      <c r="BB50" s="207" t="s">
        <v>6115</v>
      </c>
      <c r="BC50" s="198">
        <v>1</v>
      </c>
      <c r="BD50" s="198">
        <v>0.2</v>
      </c>
      <c r="BE50" s="198">
        <v>0.3</v>
      </c>
      <c r="BF50" s="198">
        <v>0.2</v>
      </c>
      <c r="BG50" s="207" t="str">
        <f t="shared" si="0"/>
        <v/>
      </c>
      <c r="BL50" s="207" t="s">
        <v>6115</v>
      </c>
      <c r="BM50" s="198">
        <v>1</v>
      </c>
      <c r="BN50" s="198">
        <v>0.2</v>
      </c>
      <c r="BO50" s="198">
        <v>0.3</v>
      </c>
      <c r="BP50" s="198">
        <v>0.34</v>
      </c>
      <c r="BQ50" s="207" t="str">
        <f t="shared" si="1"/>
        <v/>
      </c>
    </row>
    <row r="51" spans="28:69" x14ac:dyDescent="0.25">
      <c r="AB51" s="207" t="s">
        <v>227</v>
      </c>
      <c r="AC51" s="207" t="s">
        <v>263</v>
      </c>
      <c r="AD51" s="213">
        <v>3</v>
      </c>
      <c r="AM51" s="203" t="s">
        <v>5650</v>
      </c>
      <c r="AN51" s="204" t="s">
        <v>5651</v>
      </c>
      <c r="AO51" s="204" t="s">
        <v>5652</v>
      </c>
      <c r="BB51" s="207" t="s">
        <v>6115</v>
      </c>
      <c r="BC51" s="198">
        <v>2</v>
      </c>
      <c r="BD51" s="198">
        <v>0.2</v>
      </c>
      <c r="BE51" s="198">
        <v>0.3</v>
      </c>
      <c r="BF51" s="198">
        <v>0.17</v>
      </c>
      <c r="BG51" s="207" t="str">
        <f t="shared" si="0"/>
        <v/>
      </c>
      <c r="BL51" s="207" t="s">
        <v>6115</v>
      </c>
      <c r="BM51" s="198">
        <v>2</v>
      </c>
      <c r="BN51" s="198">
        <v>0.2</v>
      </c>
      <c r="BO51" s="198">
        <v>0.3</v>
      </c>
      <c r="BP51" s="198">
        <v>0.33</v>
      </c>
      <c r="BQ51" s="207" t="str">
        <f t="shared" si="1"/>
        <v/>
      </c>
    </row>
    <row r="52" spans="28:69" x14ac:dyDescent="0.25">
      <c r="AB52" s="207" t="s">
        <v>207</v>
      </c>
      <c r="AC52" s="207" t="s">
        <v>264</v>
      </c>
      <c r="AD52" s="213">
        <v>2</v>
      </c>
      <c r="AM52" s="203" t="s">
        <v>5653</v>
      </c>
      <c r="AN52" s="204" t="s">
        <v>5654</v>
      </c>
      <c r="AO52" s="204" t="s">
        <v>5655</v>
      </c>
      <c r="BB52" s="207" t="s">
        <v>6115</v>
      </c>
      <c r="BC52" s="198">
        <v>3</v>
      </c>
      <c r="BD52" s="198">
        <v>0.2</v>
      </c>
      <c r="BE52" s="198">
        <v>0.3</v>
      </c>
      <c r="BF52" s="198">
        <v>0.15</v>
      </c>
      <c r="BG52" s="207" t="str">
        <f t="shared" si="0"/>
        <v/>
      </c>
      <c r="BL52" s="207" t="s">
        <v>6115</v>
      </c>
      <c r="BM52" s="198">
        <v>3</v>
      </c>
      <c r="BN52" s="198">
        <v>0.2</v>
      </c>
      <c r="BO52" s="198">
        <v>0.3</v>
      </c>
      <c r="BP52" s="198">
        <v>0.32</v>
      </c>
      <c r="BQ52" s="207" t="str">
        <f t="shared" si="1"/>
        <v/>
      </c>
    </row>
    <row r="53" spans="28:69" x14ac:dyDescent="0.25">
      <c r="AB53" s="207" t="s">
        <v>214</v>
      </c>
      <c r="AC53" s="207" t="s">
        <v>265</v>
      </c>
      <c r="AD53" s="213">
        <v>2</v>
      </c>
      <c r="AM53" s="203" t="s">
        <v>5656</v>
      </c>
      <c r="AN53" s="204" t="s">
        <v>5648</v>
      </c>
      <c r="AO53" s="204" t="s">
        <v>5657</v>
      </c>
      <c r="BB53" s="207" t="s">
        <v>6115</v>
      </c>
      <c r="BC53" s="198">
        <v>4</v>
      </c>
      <c r="BD53" s="198">
        <v>0.2</v>
      </c>
      <c r="BE53" s="198">
        <v>0.3</v>
      </c>
      <c r="BF53" s="198">
        <v>0.12</v>
      </c>
      <c r="BG53" s="207" t="str">
        <f t="shared" si="0"/>
        <v/>
      </c>
      <c r="BL53" s="207" t="s">
        <v>6115</v>
      </c>
      <c r="BM53" s="198">
        <v>4</v>
      </c>
      <c r="BN53" s="198">
        <v>0.2</v>
      </c>
      <c r="BO53" s="198">
        <v>0.3</v>
      </c>
      <c r="BP53" s="198">
        <v>0.31</v>
      </c>
      <c r="BQ53" s="207" t="str">
        <f t="shared" si="1"/>
        <v/>
      </c>
    </row>
    <row r="54" spans="28:69" x14ac:dyDescent="0.25">
      <c r="AB54" s="207" t="s">
        <v>214</v>
      </c>
      <c r="AC54" s="207" t="s">
        <v>266</v>
      </c>
      <c r="AD54" s="213">
        <v>2</v>
      </c>
      <c r="AM54" s="203" t="s">
        <v>5658</v>
      </c>
      <c r="AN54" s="204" t="s">
        <v>5659</v>
      </c>
      <c r="AO54" s="204" t="s">
        <v>5660</v>
      </c>
      <c r="BB54" s="207" t="s">
        <v>6115</v>
      </c>
      <c r="BC54" s="198">
        <v>5</v>
      </c>
      <c r="BD54" s="198">
        <v>0.2</v>
      </c>
      <c r="BE54" s="198">
        <v>0.3</v>
      </c>
      <c r="BF54" s="198">
        <v>0.15</v>
      </c>
      <c r="BG54" s="207" t="str">
        <f t="shared" si="0"/>
        <v/>
      </c>
      <c r="BL54" s="207" t="s">
        <v>6115</v>
      </c>
      <c r="BM54" s="198">
        <v>5</v>
      </c>
      <c r="BN54" s="198">
        <v>0.2</v>
      </c>
      <c r="BO54" s="198">
        <v>0.3</v>
      </c>
      <c r="BP54" s="198">
        <v>0.33</v>
      </c>
      <c r="BQ54" s="207" t="str">
        <f t="shared" si="1"/>
        <v/>
      </c>
    </row>
    <row r="55" spans="28:69" x14ac:dyDescent="0.25">
      <c r="AB55" s="207" t="s">
        <v>233</v>
      </c>
      <c r="AC55" s="207" t="s">
        <v>267</v>
      </c>
      <c r="AD55" s="213">
        <v>3</v>
      </c>
      <c r="AM55" s="203" t="s">
        <v>5661</v>
      </c>
      <c r="AN55" s="204" t="s">
        <v>5662</v>
      </c>
      <c r="AO55" s="204" t="s">
        <v>5663</v>
      </c>
      <c r="BB55" s="207" t="s">
        <v>6115</v>
      </c>
      <c r="BC55" s="198">
        <v>6</v>
      </c>
      <c r="BD55" s="198">
        <v>0.2</v>
      </c>
      <c r="BE55" s="198">
        <v>0.3</v>
      </c>
      <c r="BF55" s="198">
        <v>0.13</v>
      </c>
      <c r="BG55" s="207" t="str">
        <f t="shared" si="0"/>
        <v/>
      </c>
      <c r="BL55" s="207" t="s">
        <v>6115</v>
      </c>
      <c r="BM55" s="198">
        <v>6</v>
      </c>
      <c r="BN55" s="198">
        <v>0.2</v>
      </c>
      <c r="BO55" s="198">
        <v>0.3</v>
      </c>
      <c r="BP55" s="198">
        <v>0.32</v>
      </c>
      <c r="BQ55" s="207" t="str">
        <f t="shared" si="1"/>
        <v/>
      </c>
    </row>
    <row r="56" spans="28:69" x14ac:dyDescent="0.25">
      <c r="AB56" s="207" t="s">
        <v>214</v>
      </c>
      <c r="AC56" s="207" t="s">
        <v>268</v>
      </c>
      <c r="AD56" s="213">
        <v>2</v>
      </c>
      <c r="AM56" s="203" t="s">
        <v>5664</v>
      </c>
      <c r="AN56" s="204" t="s">
        <v>5665</v>
      </c>
      <c r="AO56" s="204" t="s">
        <v>5666</v>
      </c>
      <c r="BB56" s="207" t="s">
        <v>6115</v>
      </c>
      <c r="BC56" s="198">
        <v>7</v>
      </c>
      <c r="BD56" s="198">
        <v>0.2</v>
      </c>
      <c r="BE56" s="198">
        <v>0.3</v>
      </c>
      <c r="BF56" s="198">
        <v>0.08</v>
      </c>
      <c r="BG56" s="207" t="str">
        <f t="shared" si="0"/>
        <v/>
      </c>
      <c r="BL56" s="207" t="s">
        <v>6115</v>
      </c>
      <c r="BM56" s="198">
        <v>7</v>
      </c>
      <c r="BN56" s="198">
        <v>0.2</v>
      </c>
      <c r="BO56" s="198">
        <v>0.3</v>
      </c>
      <c r="BP56" s="198">
        <v>0.3</v>
      </c>
      <c r="BQ56" s="207" t="str">
        <f t="shared" si="1"/>
        <v/>
      </c>
    </row>
    <row r="57" spans="28:69" x14ac:dyDescent="0.25">
      <c r="AB57" s="207" t="s">
        <v>217</v>
      </c>
      <c r="AC57" s="207" t="s">
        <v>269</v>
      </c>
      <c r="AD57" s="213">
        <v>8</v>
      </c>
      <c r="AM57" s="203" t="s">
        <v>5667</v>
      </c>
      <c r="AN57" s="204" t="s">
        <v>5668</v>
      </c>
      <c r="AO57" s="204" t="s">
        <v>5669</v>
      </c>
      <c r="BB57" s="207" t="s">
        <v>6115</v>
      </c>
      <c r="BC57" s="198">
        <v>8</v>
      </c>
      <c r="BD57" s="198">
        <v>0.2</v>
      </c>
      <c r="BE57" s="198">
        <v>0.3</v>
      </c>
      <c r="BF57" s="198">
        <v>0.09</v>
      </c>
      <c r="BG57" s="207" t="str">
        <f t="shared" si="0"/>
        <v/>
      </c>
      <c r="BL57" s="207" t="s">
        <v>6115</v>
      </c>
      <c r="BM57" s="198">
        <v>8</v>
      </c>
      <c r="BN57" s="198">
        <v>0.2</v>
      </c>
      <c r="BO57" s="198">
        <v>0.3</v>
      </c>
      <c r="BP57" s="198">
        <v>0.3</v>
      </c>
      <c r="BQ57" s="207" t="str">
        <f t="shared" si="1"/>
        <v/>
      </c>
    </row>
    <row r="58" spans="28:69" x14ac:dyDescent="0.25">
      <c r="AB58" s="207" t="s">
        <v>27</v>
      </c>
      <c r="AC58" s="207" t="s">
        <v>270</v>
      </c>
      <c r="AD58" s="213">
        <v>2</v>
      </c>
      <c r="AM58" s="203" t="s">
        <v>5670</v>
      </c>
      <c r="AN58" s="204" t="s">
        <v>5671</v>
      </c>
      <c r="AO58" s="204" t="s">
        <v>5672</v>
      </c>
      <c r="BB58" s="207" t="s">
        <v>6115</v>
      </c>
      <c r="BC58" s="198">
        <v>1</v>
      </c>
      <c r="BD58" s="198">
        <v>0.3</v>
      </c>
      <c r="BE58" s="198">
        <v>0.4</v>
      </c>
      <c r="BF58" s="198">
        <v>0.24</v>
      </c>
      <c r="BG58" s="207" t="str">
        <f t="shared" si="0"/>
        <v/>
      </c>
      <c r="BL58" s="207" t="s">
        <v>6115</v>
      </c>
      <c r="BM58" s="198">
        <v>1</v>
      </c>
      <c r="BN58" s="198">
        <v>0.3</v>
      </c>
      <c r="BO58" s="198">
        <v>0.4</v>
      </c>
      <c r="BP58" s="198">
        <v>0.31</v>
      </c>
      <c r="BQ58" s="207" t="str">
        <f t="shared" si="1"/>
        <v/>
      </c>
    </row>
    <row r="59" spans="28:69" x14ac:dyDescent="0.25">
      <c r="AB59" s="207" t="s">
        <v>27</v>
      </c>
      <c r="AC59" s="207" t="s">
        <v>271</v>
      </c>
      <c r="AD59" s="213">
        <v>2</v>
      </c>
      <c r="AM59" s="203" t="s">
        <v>5673</v>
      </c>
      <c r="AN59" s="204" t="s">
        <v>5674</v>
      </c>
      <c r="AO59" s="204" t="s">
        <v>5675</v>
      </c>
      <c r="BB59" s="207" t="s">
        <v>6115</v>
      </c>
      <c r="BC59" s="198">
        <v>2</v>
      </c>
      <c r="BD59" s="198">
        <v>0.3</v>
      </c>
      <c r="BE59" s="198">
        <v>0.4</v>
      </c>
      <c r="BF59" s="198">
        <v>0.21</v>
      </c>
      <c r="BG59" s="207" t="str">
        <f t="shared" si="0"/>
        <v/>
      </c>
      <c r="BL59" s="207" t="s">
        <v>6115</v>
      </c>
      <c r="BM59" s="198">
        <v>2</v>
      </c>
      <c r="BN59" s="198">
        <v>0.3</v>
      </c>
      <c r="BO59" s="198">
        <v>0.4</v>
      </c>
      <c r="BP59" s="198">
        <v>0.3</v>
      </c>
      <c r="BQ59" s="207" t="str">
        <f t="shared" si="1"/>
        <v/>
      </c>
    </row>
    <row r="60" spans="28:69" x14ac:dyDescent="0.25">
      <c r="AB60" s="207" t="s">
        <v>27</v>
      </c>
      <c r="AC60" s="207" t="s">
        <v>272</v>
      </c>
      <c r="AD60" s="213">
        <v>5</v>
      </c>
      <c r="AM60" s="203" t="s">
        <v>5676</v>
      </c>
      <c r="AN60" s="204" t="s">
        <v>5607</v>
      </c>
      <c r="AO60" s="204" t="s">
        <v>5677</v>
      </c>
      <c r="BB60" s="207" t="s">
        <v>6115</v>
      </c>
      <c r="BC60" s="198">
        <v>3</v>
      </c>
      <c r="BD60" s="198">
        <v>0.3</v>
      </c>
      <c r="BE60" s="198">
        <v>0.4</v>
      </c>
      <c r="BF60" s="198">
        <v>0.17</v>
      </c>
      <c r="BG60" s="207" t="str">
        <f t="shared" si="0"/>
        <v/>
      </c>
      <c r="BL60" s="207" t="s">
        <v>6115</v>
      </c>
      <c r="BM60" s="198">
        <v>3</v>
      </c>
      <c r="BN60" s="198">
        <v>0.3</v>
      </c>
      <c r="BO60" s="198">
        <v>0.4</v>
      </c>
      <c r="BP60" s="198">
        <v>0.3</v>
      </c>
      <c r="BQ60" s="207" t="str">
        <f t="shared" si="1"/>
        <v/>
      </c>
    </row>
    <row r="61" spans="28:69" x14ac:dyDescent="0.25">
      <c r="AB61" s="207" t="s">
        <v>27</v>
      </c>
      <c r="AC61" s="207" t="s">
        <v>273</v>
      </c>
      <c r="AD61" s="213">
        <v>2</v>
      </c>
      <c r="AM61" s="203" t="s">
        <v>5678</v>
      </c>
      <c r="AN61" s="204" t="s">
        <v>5679</v>
      </c>
      <c r="AO61" s="204" t="s">
        <v>5680</v>
      </c>
      <c r="BB61" s="207" t="s">
        <v>6115</v>
      </c>
      <c r="BC61" s="198">
        <v>4</v>
      </c>
      <c r="BD61" s="198">
        <v>0.3</v>
      </c>
      <c r="BE61" s="198">
        <v>0.4</v>
      </c>
      <c r="BF61" s="198">
        <v>0.13</v>
      </c>
      <c r="BG61" s="207" t="str">
        <f t="shared" si="0"/>
        <v/>
      </c>
      <c r="BL61" s="207" t="s">
        <v>6115</v>
      </c>
      <c r="BM61" s="198">
        <v>4</v>
      </c>
      <c r="BN61" s="198">
        <v>0.3</v>
      </c>
      <c r="BO61" s="198">
        <v>0.4</v>
      </c>
      <c r="BP61" s="198">
        <v>0.28999999999999998</v>
      </c>
      <c r="BQ61" s="207" t="str">
        <f t="shared" si="1"/>
        <v/>
      </c>
    </row>
    <row r="62" spans="28:69" ht="15.75" x14ac:dyDescent="0.25">
      <c r="AB62" s="207" t="s">
        <v>214</v>
      </c>
      <c r="AC62" s="207" t="s">
        <v>274</v>
      </c>
      <c r="AD62" s="213">
        <v>1</v>
      </c>
      <c r="AM62" s="200" t="s">
        <v>5681</v>
      </c>
      <c r="AN62" s="202"/>
      <c r="AO62" s="202"/>
      <c r="BB62" s="207" t="s">
        <v>6115</v>
      </c>
      <c r="BC62" s="198">
        <v>5</v>
      </c>
      <c r="BD62" s="198">
        <v>0.3</v>
      </c>
      <c r="BE62" s="198">
        <v>0.4</v>
      </c>
      <c r="BF62" s="198">
        <v>0.17</v>
      </c>
      <c r="BG62" s="207" t="str">
        <f t="shared" si="0"/>
        <v/>
      </c>
      <c r="BL62" s="207" t="s">
        <v>6115</v>
      </c>
      <c r="BM62" s="198">
        <v>5</v>
      </c>
      <c r="BN62" s="198">
        <v>0.3</v>
      </c>
      <c r="BO62" s="198">
        <v>0.4</v>
      </c>
      <c r="BP62" s="198">
        <v>0.31</v>
      </c>
      <c r="BQ62" s="207" t="str">
        <f t="shared" si="1"/>
        <v/>
      </c>
    </row>
    <row r="63" spans="28:69" x14ac:dyDescent="0.25">
      <c r="AB63" s="207" t="s">
        <v>207</v>
      </c>
      <c r="AC63" s="207" t="s">
        <v>275</v>
      </c>
      <c r="AD63" s="213">
        <v>2</v>
      </c>
      <c r="AM63" s="203" t="s">
        <v>5682</v>
      </c>
      <c r="AN63" s="204" t="s">
        <v>5683</v>
      </c>
      <c r="AO63" s="204" t="s">
        <v>5624</v>
      </c>
      <c r="BB63" s="207" t="s">
        <v>6115</v>
      </c>
      <c r="BC63" s="198">
        <v>6</v>
      </c>
      <c r="BD63" s="198">
        <v>0.3</v>
      </c>
      <c r="BE63" s="198">
        <v>0.4</v>
      </c>
      <c r="BF63" s="198">
        <v>0.14000000000000001</v>
      </c>
      <c r="BG63" s="207" t="str">
        <f t="shared" si="0"/>
        <v/>
      </c>
      <c r="BL63" s="207" t="s">
        <v>6115</v>
      </c>
      <c r="BM63" s="198">
        <v>6</v>
      </c>
      <c r="BN63" s="198">
        <v>0.3</v>
      </c>
      <c r="BO63" s="198">
        <v>0.4</v>
      </c>
      <c r="BP63" s="198">
        <v>0.3</v>
      </c>
      <c r="BQ63" s="207" t="str">
        <f t="shared" si="1"/>
        <v/>
      </c>
    </row>
    <row r="64" spans="28:69" x14ac:dyDescent="0.25">
      <c r="AB64" s="207" t="s">
        <v>214</v>
      </c>
      <c r="AC64" s="207" t="s">
        <v>276</v>
      </c>
      <c r="AD64" s="213">
        <v>3</v>
      </c>
      <c r="AM64" s="203" t="s">
        <v>5684</v>
      </c>
      <c r="AN64" s="204" t="s">
        <v>5683</v>
      </c>
      <c r="AO64" s="204" t="s">
        <v>5624</v>
      </c>
      <c r="BB64" s="207" t="s">
        <v>6115</v>
      </c>
      <c r="BC64" s="198">
        <v>7</v>
      </c>
      <c r="BD64" s="198">
        <v>0.3</v>
      </c>
      <c r="BE64" s="198">
        <v>0.4</v>
      </c>
      <c r="BF64" s="198">
        <v>0.09</v>
      </c>
      <c r="BG64" s="207" t="str">
        <f t="shared" si="0"/>
        <v/>
      </c>
      <c r="BL64" s="207" t="s">
        <v>6115</v>
      </c>
      <c r="BM64" s="198">
        <v>7</v>
      </c>
      <c r="BN64" s="198">
        <v>0.3</v>
      </c>
      <c r="BO64" s="198">
        <v>0.4</v>
      </c>
      <c r="BP64" s="198">
        <v>0.28000000000000003</v>
      </c>
      <c r="BQ64" s="207" t="str">
        <f t="shared" si="1"/>
        <v/>
      </c>
    </row>
    <row r="65" spans="28:69" x14ac:dyDescent="0.25">
      <c r="AB65" s="207" t="s">
        <v>233</v>
      </c>
      <c r="AC65" s="207" t="s">
        <v>277</v>
      </c>
      <c r="AD65" s="213">
        <v>3</v>
      </c>
      <c r="AM65" s="203" t="s">
        <v>5685</v>
      </c>
      <c r="AN65" s="204" t="s">
        <v>5686</v>
      </c>
      <c r="AO65" s="204" t="s">
        <v>5687</v>
      </c>
      <c r="BB65" s="207" t="s">
        <v>6115</v>
      </c>
      <c r="BC65" s="198">
        <v>8</v>
      </c>
      <c r="BD65" s="198">
        <v>0.3</v>
      </c>
      <c r="BE65" s="198">
        <v>0.4</v>
      </c>
      <c r="BF65" s="198">
        <v>0.1</v>
      </c>
      <c r="BG65" s="207" t="str">
        <f t="shared" si="0"/>
        <v/>
      </c>
      <c r="BL65" s="207" t="s">
        <v>6115</v>
      </c>
      <c r="BM65" s="198">
        <v>8</v>
      </c>
      <c r="BN65" s="198">
        <v>0.3</v>
      </c>
      <c r="BO65" s="198">
        <v>0.4</v>
      </c>
      <c r="BP65" s="198">
        <v>0.28000000000000003</v>
      </c>
      <c r="BQ65" s="207" t="str">
        <f t="shared" si="1"/>
        <v/>
      </c>
    </row>
    <row r="66" spans="28:69" ht="15.75" x14ac:dyDescent="0.25">
      <c r="AB66" s="207" t="s">
        <v>27</v>
      </c>
      <c r="AC66" s="207" t="s">
        <v>278</v>
      </c>
      <c r="AD66" s="213">
        <v>3</v>
      </c>
      <c r="AM66" s="200" t="s">
        <v>5688</v>
      </c>
      <c r="AN66" s="202"/>
      <c r="AO66" s="202"/>
      <c r="BB66" s="207" t="s">
        <v>6115</v>
      </c>
      <c r="BC66" s="198">
        <v>1</v>
      </c>
      <c r="BD66" s="198">
        <v>0.4</v>
      </c>
      <c r="BE66" s="198">
        <v>0.5</v>
      </c>
      <c r="BF66" s="198">
        <v>0.3</v>
      </c>
      <c r="BG66" s="207" t="str">
        <f t="shared" ref="BG66:BG129" si="2">IF(BC66=$BJ$1,IF(BB66=$BI$1,IF(AND($BH$1&gt;BD66,$BH$1&lt;BE66),BF66,""),""),"")</f>
        <v/>
      </c>
      <c r="BL66" s="207" t="s">
        <v>6115</v>
      </c>
      <c r="BM66" s="198">
        <v>1</v>
      </c>
      <c r="BN66" s="198">
        <v>0.4</v>
      </c>
      <c r="BO66" s="198">
        <v>0.5</v>
      </c>
      <c r="BP66" s="198">
        <v>0.3</v>
      </c>
      <c r="BQ66" s="207" t="str">
        <f t="shared" ref="BQ66:BQ129" si="3">IF(BM66=$BJ$1,IF(BL66=$BI$1,IF(AND($BH$1&gt;BN66,$BH$1&lt;BO66),BP66,""),""),"")</f>
        <v/>
      </c>
    </row>
    <row r="67" spans="28:69" x14ac:dyDescent="0.25">
      <c r="AB67" s="207" t="s">
        <v>27</v>
      </c>
      <c r="AC67" s="207" t="s">
        <v>258</v>
      </c>
      <c r="AD67" s="213">
        <v>2</v>
      </c>
      <c r="AM67" s="203" t="s">
        <v>5689</v>
      </c>
      <c r="AN67" s="204" t="s">
        <v>5585</v>
      </c>
      <c r="AO67" s="204" t="s">
        <v>5550</v>
      </c>
      <c r="BB67" s="207" t="s">
        <v>6115</v>
      </c>
      <c r="BC67" s="198">
        <v>2</v>
      </c>
      <c r="BD67" s="198">
        <v>0.4</v>
      </c>
      <c r="BE67" s="198">
        <v>0.5</v>
      </c>
      <c r="BF67" s="198">
        <v>0.27</v>
      </c>
      <c r="BG67" s="207" t="str">
        <f t="shared" si="2"/>
        <v/>
      </c>
      <c r="BL67" s="207" t="s">
        <v>6115</v>
      </c>
      <c r="BM67" s="198">
        <v>2</v>
      </c>
      <c r="BN67" s="198">
        <v>0.4</v>
      </c>
      <c r="BO67" s="198">
        <v>0.5</v>
      </c>
      <c r="BP67" s="198">
        <v>0.28000000000000003</v>
      </c>
      <c r="BQ67" s="207" t="str">
        <f t="shared" si="3"/>
        <v/>
      </c>
    </row>
    <row r="68" spans="28:69" x14ac:dyDescent="0.25">
      <c r="AB68" s="207" t="s">
        <v>227</v>
      </c>
      <c r="AC68" s="207" t="s">
        <v>279</v>
      </c>
      <c r="AD68" s="213">
        <v>3</v>
      </c>
      <c r="AM68" s="203" t="s">
        <v>5690</v>
      </c>
      <c r="AN68" s="204" t="s">
        <v>5691</v>
      </c>
      <c r="AO68" s="204" t="s">
        <v>5692</v>
      </c>
      <c r="BB68" s="207" t="s">
        <v>6115</v>
      </c>
      <c r="BC68" s="198">
        <v>3</v>
      </c>
      <c r="BD68" s="198">
        <v>0.4</v>
      </c>
      <c r="BE68" s="198">
        <v>0.5</v>
      </c>
      <c r="BF68" s="198">
        <v>0.19</v>
      </c>
      <c r="BG68" s="207" t="str">
        <f t="shared" si="2"/>
        <v/>
      </c>
      <c r="BL68" s="207" t="s">
        <v>6115</v>
      </c>
      <c r="BM68" s="198">
        <v>3</v>
      </c>
      <c r="BN68" s="198">
        <v>0.4</v>
      </c>
      <c r="BO68" s="198">
        <v>0.5</v>
      </c>
      <c r="BP68" s="198">
        <v>0.28000000000000003</v>
      </c>
      <c r="BQ68" s="207" t="str">
        <f t="shared" si="3"/>
        <v/>
      </c>
    </row>
    <row r="69" spans="28:69" x14ac:dyDescent="0.25">
      <c r="AB69" s="207" t="s">
        <v>214</v>
      </c>
      <c r="AC69" s="207" t="s">
        <v>280</v>
      </c>
      <c r="AD69" s="213">
        <v>1</v>
      </c>
      <c r="AM69" s="200" t="s">
        <v>5693</v>
      </c>
      <c r="AN69" s="204" t="s">
        <v>5588</v>
      </c>
      <c r="AO69" s="204" t="s">
        <v>5694</v>
      </c>
      <c r="BB69" s="207" t="s">
        <v>6115</v>
      </c>
      <c r="BC69" s="198">
        <v>4</v>
      </c>
      <c r="BD69" s="198">
        <v>0.4</v>
      </c>
      <c r="BE69" s="198">
        <v>0.5</v>
      </c>
      <c r="BF69" s="198">
        <v>0.14000000000000001</v>
      </c>
      <c r="BG69" s="207" t="str">
        <f t="shared" si="2"/>
        <v/>
      </c>
      <c r="BL69" s="207" t="s">
        <v>6115</v>
      </c>
      <c r="BM69" s="198">
        <v>4</v>
      </c>
      <c r="BN69" s="198">
        <v>0.4</v>
      </c>
      <c r="BO69" s="198">
        <v>0.5</v>
      </c>
      <c r="BP69" s="198">
        <v>0.27</v>
      </c>
      <c r="BQ69" s="207" t="str">
        <f t="shared" si="3"/>
        <v/>
      </c>
    </row>
    <row r="70" spans="28:69" ht="15.75" x14ac:dyDescent="0.25">
      <c r="AB70" s="207" t="s">
        <v>214</v>
      </c>
      <c r="AC70" s="207" t="s">
        <v>281</v>
      </c>
      <c r="AD70" s="213">
        <v>2</v>
      </c>
      <c r="AM70" s="200" t="s">
        <v>5695</v>
      </c>
      <c r="AN70" s="202"/>
      <c r="AO70" s="202"/>
      <c r="BB70" s="207" t="s">
        <v>6115</v>
      </c>
      <c r="BC70" s="198">
        <v>5</v>
      </c>
      <c r="BD70" s="198">
        <v>0.4</v>
      </c>
      <c r="BE70" s="198">
        <v>0.5</v>
      </c>
      <c r="BF70" s="198">
        <v>0.19</v>
      </c>
      <c r="BG70" s="207" t="str">
        <f t="shared" si="2"/>
        <v/>
      </c>
      <c r="BL70" s="207" t="s">
        <v>6115</v>
      </c>
      <c r="BM70" s="198">
        <v>5</v>
      </c>
      <c r="BN70" s="198">
        <v>0.4</v>
      </c>
      <c r="BO70" s="198">
        <v>0.5</v>
      </c>
      <c r="BP70" s="198">
        <v>0.28999999999999998</v>
      </c>
      <c r="BQ70" s="207" t="str">
        <f t="shared" si="3"/>
        <v/>
      </c>
    </row>
    <row r="71" spans="28:69" x14ac:dyDescent="0.25">
      <c r="AB71" s="207" t="s">
        <v>214</v>
      </c>
      <c r="AC71" s="207" t="s">
        <v>282</v>
      </c>
      <c r="AD71" s="213">
        <v>2</v>
      </c>
      <c r="AM71" s="203" t="s">
        <v>5696</v>
      </c>
      <c r="AN71" s="204" t="s">
        <v>5576</v>
      </c>
      <c r="AO71" s="204" t="s">
        <v>5697</v>
      </c>
      <c r="BB71" s="207" t="s">
        <v>6115</v>
      </c>
      <c r="BC71" s="198">
        <v>6</v>
      </c>
      <c r="BD71" s="198">
        <v>0.4</v>
      </c>
      <c r="BE71" s="198">
        <v>0.5</v>
      </c>
      <c r="BF71" s="198">
        <v>0.14000000000000001</v>
      </c>
      <c r="BG71" s="207" t="str">
        <f t="shared" si="2"/>
        <v/>
      </c>
      <c r="BL71" s="207" t="s">
        <v>6115</v>
      </c>
      <c r="BM71" s="198">
        <v>6</v>
      </c>
      <c r="BN71" s="198">
        <v>0.4</v>
      </c>
      <c r="BO71" s="198">
        <v>0.5</v>
      </c>
      <c r="BP71" s="198">
        <v>0.28000000000000003</v>
      </c>
      <c r="BQ71" s="207" t="str">
        <f t="shared" si="3"/>
        <v/>
      </c>
    </row>
    <row r="72" spans="28:69" x14ac:dyDescent="0.25">
      <c r="AB72" s="207" t="s">
        <v>27</v>
      </c>
      <c r="AC72" s="207" t="s">
        <v>283</v>
      </c>
      <c r="AD72" s="213">
        <v>3</v>
      </c>
      <c r="AM72" s="203" t="s">
        <v>5698</v>
      </c>
      <c r="AN72" s="204" t="s">
        <v>5564</v>
      </c>
      <c r="AO72" s="204" t="s">
        <v>5699</v>
      </c>
      <c r="BB72" s="207" t="s">
        <v>6115</v>
      </c>
      <c r="BC72" s="198">
        <v>7</v>
      </c>
      <c r="BD72" s="198">
        <v>0.4</v>
      </c>
      <c r="BE72" s="198">
        <v>0.5</v>
      </c>
      <c r="BF72" s="198">
        <v>0.08</v>
      </c>
      <c r="BG72" s="207" t="str">
        <f t="shared" si="2"/>
        <v/>
      </c>
      <c r="BL72" s="207" t="s">
        <v>6115</v>
      </c>
      <c r="BM72" s="198">
        <v>7</v>
      </c>
      <c r="BN72" s="198">
        <v>0.4</v>
      </c>
      <c r="BO72" s="198">
        <v>0.5</v>
      </c>
      <c r="BP72" s="198">
        <v>0.26</v>
      </c>
      <c r="BQ72" s="207" t="str">
        <f t="shared" si="3"/>
        <v/>
      </c>
    </row>
    <row r="73" spans="28:69" x14ac:dyDescent="0.25">
      <c r="AB73" s="207" t="s">
        <v>214</v>
      </c>
      <c r="AC73" s="207" t="s">
        <v>284</v>
      </c>
      <c r="AD73" s="213">
        <v>2</v>
      </c>
      <c r="AM73" s="200" t="s">
        <v>5700</v>
      </c>
      <c r="AN73" s="204" t="s">
        <v>5701</v>
      </c>
      <c r="AO73" s="204" t="s">
        <v>5589</v>
      </c>
      <c r="BB73" s="207" t="s">
        <v>6115</v>
      </c>
      <c r="BC73" s="198">
        <v>8</v>
      </c>
      <c r="BD73" s="198">
        <v>0.4</v>
      </c>
      <c r="BE73" s="198">
        <v>0.5</v>
      </c>
      <c r="BF73" s="198">
        <v>0.1</v>
      </c>
      <c r="BG73" s="207" t="str">
        <f t="shared" si="2"/>
        <v/>
      </c>
      <c r="BL73" s="207" t="s">
        <v>6115</v>
      </c>
      <c r="BM73" s="198">
        <v>8</v>
      </c>
      <c r="BN73" s="198">
        <v>0.4</v>
      </c>
      <c r="BO73" s="198">
        <v>0.5</v>
      </c>
      <c r="BP73" s="198">
        <v>0.27</v>
      </c>
      <c r="BQ73" s="207" t="str">
        <f t="shared" si="3"/>
        <v/>
      </c>
    </row>
    <row r="74" spans="28:69" x14ac:dyDescent="0.25">
      <c r="AB74" s="207" t="s">
        <v>249</v>
      </c>
      <c r="AC74" s="207" t="s">
        <v>285</v>
      </c>
      <c r="AD74" s="213">
        <v>2</v>
      </c>
      <c r="AM74" s="200" t="s">
        <v>5702</v>
      </c>
      <c r="AN74" s="204" t="s">
        <v>5567</v>
      </c>
      <c r="AO74" s="204" t="s">
        <v>5703</v>
      </c>
      <c r="BB74" s="207" t="s">
        <v>6115</v>
      </c>
      <c r="BC74" s="198">
        <v>1</v>
      </c>
      <c r="BD74" s="198">
        <v>0.5</v>
      </c>
      <c r="BE74" s="198">
        <v>100</v>
      </c>
      <c r="BF74" s="198">
        <v>0.34</v>
      </c>
      <c r="BG74" s="207" t="str">
        <f t="shared" si="2"/>
        <v/>
      </c>
      <c r="BL74" s="207" t="s">
        <v>6115</v>
      </c>
      <c r="BM74" s="198">
        <v>1</v>
      </c>
      <c r="BN74" s="198">
        <v>0.5</v>
      </c>
      <c r="BO74" s="198">
        <v>100</v>
      </c>
      <c r="BP74" s="198">
        <v>0.3</v>
      </c>
      <c r="BQ74" s="207" t="str">
        <f t="shared" si="3"/>
        <v/>
      </c>
    </row>
    <row r="75" spans="28:69" x14ac:dyDescent="0.25">
      <c r="AB75" s="207" t="s">
        <v>27</v>
      </c>
      <c r="AC75" s="207" t="s">
        <v>286</v>
      </c>
      <c r="AD75" s="213">
        <v>3</v>
      </c>
      <c r="AM75" s="200" t="s">
        <v>5704</v>
      </c>
      <c r="AN75" s="204" t="s">
        <v>5705</v>
      </c>
      <c r="AO75" s="204" t="s">
        <v>5622</v>
      </c>
      <c r="BB75" s="207" t="s">
        <v>6115</v>
      </c>
      <c r="BC75" s="198">
        <v>2</v>
      </c>
      <c r="BD75" s="198">
        <v>0.5</v>
      </c>
      <c r="BE75" s="198">
        <v>100</v>
      </c>
      <c r="BF75" s="198">
        <v>0.32</v>
      </c>
      <c r="BG75" s="207" t="str">
        <f t="shared" si="2"/>
        <v/>
      </c>
      <c r="BL75" s="207" t="s">
        <v>6115</v>
      </c>
      <c r="BM75" s="198">
        <v>2</v>
      </c>
      <c r="BN75" s="198">
        <v>0.5</v>
      </c>
      <c r="BO75" s="198">
        <v>100</v>
      </c>
      <c r="BP75" s="198">
        <v>0.28000000000000003</v>
      </c>
      <c r="BQ75" s="207" t="str">
        <f t="shared" si="3"/>
        <v/>
      </c>
    </row>
    <row r="76" spans="28:69" x14ac:dyDescent="0.25">
      <c r="AB76" s="207" t="s">
        <v>214</v>
      </c>
      <c r="AC76" s="207" t="s">
        <v>287</v>
      </c>
      <c r="AD76" s="213">
        <v>1</v>
      </c>
      <c r="AM76" s="200" t="s">
        <v>5706</v>
      </c>
      <c r="AN76" s="204" t="s">
        <v>5707</v>
      </c>
      <c r="AO76" s="204" t="s">
        <v>5666</v>
      </c>
      <c r="BB76" s="207" t="s">
        <v>6115</v>
      </c>
      <c r="BC76" s="198">
        <v>3</v>
      </c>
      <c r="BD76" s="198">
        <v>0.5</v>
      </c>
      <c r="BE76" s="198">
        <v>100</v>
      </c>
      <c r="BF76" s="198">
        <v>0.2</v>
      </c>
      <c r="BG76" s="207" t="str">
        <f t="shared" si="2"/>
        <v/>
      </c>
      <c r="BL76" s="207" t="s">
        <v>6115</v>
      </c>
      <c r="BM76" s="198">
        <v>3</v>
      </c>
      <c r="BN76" s="198">
        <v>0.5</v>
      </c>
      <c r="BO76" s="198">
        <v>100</v>
      </c>
      <c r="BP76" s="198">
        <v>0.28000000000000003</v>
      </c>
      <c r="BQ76" s="207" t="str">
        <f t="shared" si="3"/>
        <v/>
      </c>
    </row>
    <row r="77" spans="28:69" x14ac:dyDescent="0.25">
      <c r="AB77" s="207" t="s">
        <v>214</v>
      </c>
      <c r="AC77" s="207" t="s">
        <v>288</v>
      </c>
      <c r="AD77" s="213">
        <v>1</v>
      </c>
      <c r="AM77" s="203" t="s">
        <v>5819</v>
      </c>
      <c r="AN77" s="204" t="s">
        <v>5708</v>
      </c>
      <c r="AO77" s="204" t="s">
        <v>5646</v>
      </c>
      <c r="BB77" s="207" t="s">
        <v>6115</v>
      </c>
      <c r="BC77" s="198">
        <v>4</v>
      </c>
      <c r="BD77" s="198">
        <v>0.5</v>
      </c>
      <c r="BE77" s="198">
        <v>100</v>
      </c>
      <c r="BF77" s="198">
        <v>0.15</v>
      </c>
      <c r="BG77" s="207" t="str">
        <f t="shared" si="2"/>
        <v/>
      </c>
      <c r="BL77" s="207" t="s">
        <v>6115</v>
      </c>
      <c r="BM77" s="198">
        <v>4</v>
      </c>
      <c r="BN77" s="198">
        <v>0.5</v>
      </c>
      <c r="BO77" s="198">
        <v>100</v>
      </c>
      <c r="BP77" s="198">
        <v>0.27</v>
      </c>
      <c r="BQ77" s="207" t="str">
        <f t="shared" si="3"/>
        <v/>
      </c>
    </row>
    <row r="78" spans="28:69" x14ac:dyDescent="0.25">
      <c r="AB78" s="207" t="s">
        <v>27</v>
      </c>
      <c r="AC78" s="207" t="s">
        <v>289</v>
      </c>
      <c r="AD78" s="213">
        <v>3</v>
      </c>
      <c r="AM78" s="203" t="s">
        <v>5820</v>
      </c>
      <c r="AN78" s="204" t="s">
        <v>5707</v>
      </c>
      <c r="AO78" s="204" t="s">
        <v>5709</v>
      </c>
      <c r="BB78" s="207" t="s">
        <v>6115</v>
      </c>
      <c r="BC78" s="198">
        <v>5</v>
      </c>
      <c r="BD78" s="198">
        <v>0.5</v>
      </c>
      <c r="BE78" s="198">
        <v>100</v>
      </c>
      <c r="BF78" s="198">
        <v>0.21</v>
      </c>
      <c r="BG78" s="207" t="str">
        <f t="shared" si="2"/>
        <v/>
      </c>
      <c r="BL78" s="207" t="s">
        <v>6115</v>
      </c>
      <c r="BM78" s="198">
        <v>5</v>
      </c>
      <c r="BN78" s="198">
        <v>0.5</v>
      </c>
      <c r="BO78" s="198">
        <v>100</v>
      </c>
      <c r="BP78" s="198">
        <v>0.28999999999999998</v>
      </c>
      <c r="BQ78" s="207" t="str">
        <f t="shared" si="3"/>
        <v/>
      </c>
    </row>
    <row r="79" spans="28:69" x14ac:dyDescent="0.25">
      <c r="AB79" s="207" t="s">
        <v>233</v>
      </c>
      <c r="AC79" s="207" t="s">
        <v>290</v>
      </c>
      <c r="AD79" s="213">
        <v>3</v>
      </c>
      <c r="AM79" s="203" t="s">
        <v>5821</v>
      </c>
      <c r="AN79" s="204" t="s">
        <v>5573</v>
      </c>
      <c r="AO79" s="204" t="s">
        <v>5566</v>
      </c>
      <c r="BB79" s="207" t="s">
        <v>6115</v>
      </c>
      <c r="BC79" s="198">
        <v>6</v>
      </c>
      <c r="BD79" s="198">
        <v>0.5</v>
      </c>
      <c r="BE79" s="198">
        <v>100</v>
      </c>
      <c r="BF79" s="198">
        <v>0.14000000000000001</v>
      </c>
      <c r="BG79" s="207" t="str">
        <f t="shared" si="2"/>
        <v/>
      </c>
      <c r="BL79" s="207" t="s">
        <v>6115</v>
      </c>
      <c r="BM79" s="198">
        <v>6</v>
      </c>
      <c r="BN79" s="198">
        <v>0.5</v>
      </c>
      <c r="BO79" s="198">
        <v>100</v>
      </c>
      <c r="BP79" s="198">
        <v>0.28000000000000003</v>
      </c>
      <c r="BQ79" s="207" t="str">
        <f t="shared" si="3"/>
        <v/>
      </c>
    </row>
    <row r="80" spans="28:69" x14ac:dyDescent="0.25">
      <c r="AB80" s="207" t="s">
        <v>249</v>
      </c>
      <c r="AC80" s="207" t="s">
        <v>291</v>
      </c>
      <c r="AD80" s="213">
        <v>2</v>
      </c>
      <c r="AM80" s="203" t="s">
        <v>5822</v>
      </c>
      <c r="AN80" s="204" t="s">
        <v>5710</v>
      </c>
      <c r="AO80" s="204" t="s">
        <v>5711</v>
      </c>
      <c r="BB80" s="207" t="s">
        <v>6115</v>
      </c>
      <c r="BC80" s="198">
        <v>7</v>
      </c>
      <c r="BD80" s="198">
        <v>0.5</v>
      </c>
      <c r="BE80" s="198">
        <v>100</v>
      </c>
      <c r="BF80" s="198">
        <v>0.08</v>
      </c>
      <c r="BG80" s="207" t="str">
        <f t="shared" si="2"/>
        <v/>
      </c>
      <c r="BL80" s="207" t="s">
        <v>6115</v>
      </c>
      <c r="BM80" s="198">
        <v>7</v>
      </c>
      <c r="BN80" s="198">
        <v>0.5</v>
      </c>
      <c r="BO80" s="198">
        <v>100</v>
      </c>
      <c r="BP80" s="198">
        <v>0.26</v>
      </c>
      <c r="BQ80" s="207" t="str">
        <f t="shared" si="3"/>
        <v/>
      </c>
    </row>
    <row r="81" spans="28:69" x14ac:dyDescent="0.25">
      <c r="AB81" s="207" t="s">
        <v>249</v>
      </c>
      <c r="AC81" s="207" t="s">
        <v>292</v>
      </c>
      <c r="AD81" s="213">
        <v>3</v>
      </c>
      <c r="AM81" s="200" t="s">
        <v>5712</v>
      </c>
      <c r="AN81" s="204" t="s">
        <v>5645</v>
      </c>
      <c r="AO81" s="204" t="s">
        <v>5550</v>
      </c>
      <c r="BB81" s="207" t="s">
        <v>6115</v>
      </c>
      <c r="BC81" s="198">
        <v>8</v>
      </c>
      <c r="BD81" s="198">
        <v>0.5</v>
      </c>
      <c r="BE81" s="198">
        <v>100</v>
      </c>
      <c r="BF81" s="198">
        <v>0.1</v>
      </c>
      <c r="BG81" s="207" t="str">
        <f t="shared" si="2"/>
        <v/>
      </c>
      <c r="BL81" s="207" t="s">
        <v>6115</v>
      </c>
      <c r="BM81" s="198">
        <v>8</v>
      </c>
      <c r="BN81" s="198">
        <v>0.5</v>
      </c>
      <c r="BO81" s="198">
        <v>100</v>
      </c>
      <c r="BP81" s="198">
        <v>0.27</v>
      </c>
      <c r="BQ81" s="207" t="str">
        <f t="shared" si="3"/>
        <v/>
      </c>
    </row>
    <row r="82" spans="28:69" x14ac:dyDescent="0.25">
      <c r="AB82" s="207" t="s">
        <v>214</v>
      </c>
      <c r="AC82" s="207" t="s">
        <v>293</v>
      </c>
      <c r="AD82" s="213">
        <v>2</v>
      </c>
      <c r="AM82" s="200" t="s">
        <v>5713</v>
      </c>
      <c r="AN82" s="204" t="s">
        <v>5714</v>
      </c>
      <c r="AO82" s="204" t="s">
        <v>5589</v>
      </c>
      <c r="BB82" s="207" t="s">
        <v>39</v>
      </c>
      <c r="BC82" s="198">
        <v>1</v>
      </c>
      <c r="BD82" s="198">
        <v>0</v>
      </c>
      <c r="BE82" s="198">
        <v>0.2</v>
      </c>
      <c r="BF82" s="198">
        <v>0.19</v>
      </c>
      <c r="BG82" s="207" t="str">
        <f t="shared" si="2"/>
        <v/>
      </c>
      <c r="BL82" s="207" t="s">
        <v>39</v>
      </c>
      <c r="BM82" s="198">
        <v>1</v>
      </c>
      <c r="BN82" s="198">
        <v>0</v>
      </c>
      <c r="BO82" s="198">
        <v>0.2</v>
      </c>
      <c r="BP82" s="198">
        <v>0.33</v>
      </c>
      <c r="BQ82" s="207" t="str">
        <f t="shared" si="3"/>
        <v/>
      </c>
    </row>
    <row r="83" spans="28:69" x14ac:dyDescent="0.25">
      <c r="AB83" s="207" t="s">
        <v>27</v>
      </c>
      <c r="AC83" s="207" t="s">
        <v>294</v>
      </c>
      <c r="AD83" s="213">
        <v>2</v>
      </c>
      <c r="AM83" s="200" t="s">
        <v>5715</v>
      </c>
      <c r="AN83" s="204" t="s">
        <v>5564</v>
      </c>
      <c r="AO83" s="204" t="s">
        <v>5612</v>
      </c>
      <c r="BB83" s="207" t="s">
        <v>39</v>
      </c>
      <c r="BC83" s="198">
        <v>2</v>
      </c>
      <c r="BD83" s="198">
        <v>0</v>
      </c>
      <c r="BE83" s="198">
        <v>0.2</v>
      </c>
      <c r="BF83" s="198">
        <v>0.16</v>
      </c>
      <c r="BG83" s="207" t="str">
        <f t="shared" si="2"/>
        <v/>
      </c>
      <c r="BL83" s="207" t="s">
        <v>39</v>
      </c>
      <c r="BM83" s="198">
        <v>2</v>
      </c>
      <c r="BN83" s="198">
        <v>0</v>
      </c>
      <c r="BO83" s="198">
        <v>0.2</v>
      </c>
      <c r="BP83" s="198">
        <v>0.32</v>
      </c>
      <c r="BQ83" s="207" t="str">
        <f t="shared" si="3"/>
        <v/>
      </c>
    </row>
    <row r="84" spans="28:69" x14ac:dyDescent="0.25">
      <c r="AB84" s="207" t="s">
        <v>249</v>
      </c>
      <c r="AC84" s="207" t="s">
        <v>295</v>
      </c>
      <c r="AD84" s="213">
        <v>3</v>
      </c>
      <c r="AM84" s="200" t="s">
        <v>5716</v>
      </c>
      <c r="AN84" s="204" t="s">
        <v>5717</v>
      </c>
      <c r="AO84" s="204" t="s">
        <v>5718</v>
      </c>
      <c r="BB84" s="207" t="s">
        <v>39</v>
      </c>
      <c r="BC84" s="198">
        <v>3</v>
      </c>
      <c r="BD84" s="198">
        <v>0</v>
      </c>
      <c r="BE84" s="198">
        <v>0.2</v>
      </c>
      <c r="BF84" s="198">
        <v>0.14000000000000001</v>
      </c>
      <c r="BG84" s="207" t="str">
        <f t="shared" si="2"/>
        <v/>
      </c>
      <c r="BL84" s="207" t="s">
        <v>39</v>
      </c>
      <c r="BM84" s="198">
        <v>3</v>
      </c>
      <c r="BN84" s="198">
        <v>0</v>
      </c>
      <c r="BO84" s="198">
        <v>0.2</v>
      </c>
      <c r="BP84" s="198">
        <v>0.31</v>
      </c>
      <c r="BQ84" s="207" t="str">
        <f t="shared" si="3"/>
        <v/>
      </c>
    </row>
    <row r="85" spans="28:69" ht="15.75" x14ac:dyDescent="0.25">
      <c r="AB85" s="207" t="s">
        <v>27</v>
      </c>
      <c r="AC85" s="207" t="s">
        <v>296</v>
      </c>
      <c r="AD85" s="213">
        <v>2</v>
      </c>
      <c r="AM85" s="200" t="s">
        <v>5541</v>
      </c>
      <c r="AN85" s="202"/>
      <c r="AO85" s="202"/>
      <c r="BB85" s="207" t="s">
        <v>39</v>
      </c>
      <c r="BC85" s="198">
        <v>4</v>
      </c>
      <c r="BD85" s="198">
        <v>0</v>
      </c>
      <c r="BE85" s="198">
        <v>0.2</v>
      </c>
      <c r="BF85" s="198">
        <v>0.11</v>
      </c>
      <c r="BG85" s="207" t="str">
        <f t="shared" si="2"/>
        <v/>
      </c>
      <c r="BL85" s="207" t="s">
        <v>39</v>
      </c>
      <c r="BM85" s="198">
        <v>4</v>
      </c>
      <c r="BN85" s="198">
        <v>0</v>
      </c>
      <c r="BO85" s="198">
        <v>0.2</v>
      </c>
      <c r="BP85" s="198">
        <v>0.3</v>
      </c>
      <c r="BQ85" s="207" t="str">
        <f t="shared" si="3"/>
        <v/>
      </c>
    </row>
    <row r="86" spans="28:69" x14ac:dyDescent="0.25">
      <c r="AB86" s="207" t="s">
        <v>207</v>
      </c>
      <c r="AC86" s="207" t="s">
        <v>297</v>
      </c>
      <c r="AD86" s="213">
        <v>2</v>
      </c>
      <c r="AM86" s="203" t="s">
        <v>5719</v>
      </c>
      <c r="AN86" s="204" t="s">
        <v>5638</v>
      </c>
      <c r="AO86" s="204" t="s">
        <v>5720</v>
      </c>
      <c r="BB86" s="207" t="s">
        <v>39</v>
      </c>
      <c r="BC86" s="198">
        <v>5</v>
      </c>
      <c r="BD86" s="198">
        <v>0</v>
      </c>
      <c r="BE86" s="198">
        <v>0.2</v>
      </c>
      <c r="BF86" s="198">
        <v>0.14000000000000001</v>
      </c>
      <c r="BG86" s="207" t="str">
        <f t="shared" si="2"/>
        <v/>
      </c>
      <c r="BL86" s="207" t="s">
        <v>39</v>
      </c>
      <c r="BM86" s="198">
        <v>5</v>
      </c>
      <c r="BN86" s="198">
        <v>0</v>
      </c>
      <c r="BO86" s="198">
        <v>0.2</v>
      </c>
      <c r="BP86" s="198">
        <v>0.31</v>
      </c>
      <c r="BQ86" s="207" t="str">
        <f t="shared" si="3"/>
        <v/>
      </c>
    </row>
    <row r="87" spans="28:69" x14ac:dyDescent="0.25">
      <c r="AB87" s="207" t="s">
        <v>27</v>
      </c>
      <c r="AC87" s="207" t="s">
        <v>298</v>
      </c>
      <c r="AD87" s="213">
        <v>3</v>
      </c>
      <c r="AM87" s="203" t="s">
        <v>5721</v>
      </c>
      <c r="AN87" s="204" t="s">
        <v>5722</v>
      </c>
      <c r="AO87" s="204" t="s">
        <v>5723</v>
      </c>
      <c r="BB87" s="207" t="s">
        <v>39</v>
      </c>
      <c r="BC87" s="198">
        <v>6</v>
      </c>
      <c r="BD87" s="198">
        <v>0</v>
      </c>
      <c r="BE87" s="198">
        <v>0.2</v>
      </c>
      <c r="BF87" s="198">
        <v>0.12</v>
      </c>
      <c r="BG87" s="207" t="str">
        <f t="shared" si="2"/>
        <v/>
      </c>
      <c r="BL87" s="207" t="s">
        <v>39</v>
      </c>
      <c r="BM87" s="198">
        <v>6</v>
      </c>
      <c r="BN87" s="198">
        <v>0</v>
      </c>
      <c r="BO87" s="198">
        <v>0.2</v>
      </c>
      <c r="BP87" s="198">
        <v>0.31</v>
      </c>
      <c r="BQ87" s="207" t="str">
        <f t="shared" si="3"/>
        <v/>
      </c>
    </row>
    <row r="88" spans="28:69" x14ac:dyDescent="0.25">
      <c r="AB88" s="207" t="s">
        <v>249</v>
      </c>
      <c r="AC88" s="207" t="s">
        <v>299</v>
      </c>
      <c r="AD88" s="213">
        <v>3</v>
      </c>
      <c r="AM88" s="203" t="s">
        <v>5724</v>
      </c>
      <c r="AN88" s="204" t="s">
        <v>5607</v>
      </c>
      <c r="AO88" s="204" t="s">
        <v>5725</v>
      </c>
      <c r="BB88" s="207" t="s">
        <v>39</v>
      </c>
      <c r="BC88" s="198">
        <v>7</v>
      </c>
      <c r="BD88" s="198">
        <v>0</v>
      </c>
      <c r="BE88" s="198">
        <v>0.2</v>
      </c>
      <c r="BF88" s="198">
        <v>0.08</v>
      </c>
      <c r="BG88" s="207" t="str">
        <f t="shared" si="2"/>
        <v/>
      </c>
      <c r="BL88" s="207" t="s">
        <v>39</v>
      </c>
      <c r="BM88" s="198">
        <v>7</v>
      </c>
      <c r="BN88" s="198">
        <v>0</v>
      </c>
      <c r="BO88" s="198">
        <v>0.2</v>
      </c>
      <c r="BP88" s="198">
        <v>0.28000000000000003</v>
      </c>
      <c r="BQ88" s="207" t="str">
        <f t="shared" si="3"/>
        <v/>
      </c>
    </row>
    <row r="89" spans="28:69" x14ac:dyDescent="0.25">
      <c r="AB89" s="207" t="s">
        <v>249</v>
      </c>
      <c r="AC89" s="207" t="s">
        <v>300</v>
      </c>
      <c r="AD89" s="213">
        <v>3</v>
      </c>
      <c r="AM89" s="203" t="s">
        <v>5726</v>
      </c>
      <c r="AN89" s="204" t="s">
        <v>5573</v>
      </c>
      <c r="AO89" s="204" t="s">
        <v>5727</v>
      </c>
      <c r="BB89" s="207" t="s">
        <v>39</v>
      </c>
      <c r="BC89" s="198">
        <v>8</v>
      </c>
      <c r="BD89" s="198">
        <v>0</v>
      </c>
      <c r="BE89" s="198">
        <v>0.2</v>
      </c>
      <c r="BF89" s="198">
        <v>0.08</v>
      </c>
      <c r="BG89" s="207" t="str">
        <f t="shared" si="2"/>
        <v/>
      </c>
      <c r="BL89" s="207" t="s">
        <v>39</v>
      </c>
      <c r="BM89" s="198">
        <v>8</v>
      </c>
      <c r="BN89" s="198">
        <v>0</v>
      </c>
      <c r="BO89" s="198">
        <v>0.2</v>
      </c>
      <c r="BP89" s="198">
        <v>0.28000000000000003</v>
      </c>
      <c r="BQ89" s="207" t="str">
        <f t="shared" si="3"/>
        <v/>
      </c>
    </row>
    <row r="90" spans="28:69" ht="15.75" x14ac:dyDescent="0.25">
      <c r="AB90" s="207" t="s">
        <v>249</v>
      </c>
      <c r="AC90" s="207" t="s">
        <v>301</v>
      </c>
      <c r="AD90" s="213">
        <v>3</v>
      </c>
      <c r="AM90" s="200" t="s">
        <v>5823</v>
      </c>
      <c r="AN90" s="202"/>
      <c r="AO90" s="202"/>
      <c r="BB90" s="207" t="s">
        <v>39</v>
      </c>
      <c r="BC90" s="198">
        <v>1</v>
      </c>
      <c r="BD90" s="198">
        <v>0.2</v>
      </c>
      <c r="BE90" s="198">
        <v>0.3</v>
      </c>
      <c r="BF90" s="198">
        <v>0.2</v>
      </c>
      <c r="BG90" s="207" t="str">
        <f t="shared" si="2"/>
        <v/>
      </c>
      <c r="BL90" s="207" t="s">
        <v>39</v>
      </c>
      <c r="BM90" s="198">
        <v>1</v>
      </c>
      <c r="BN90" s="198">
        <v>0.2</v>
      </c>
      <c r="BO90" s="198">
        <v>0.3</v>
      </c>
      <c r="BP90" s="198">
        <v>0.34</v>
      </c>
      <c r="BQ90" s="207" t="str">
        <f t="shared" si="3"/>
        <v/>
      </c>
    </row>
    <row r="91" spans="28:69" x14ac:dyDescent="0.25">
      <c r="AB91" s="207" t="s">
        <v>227</v>
      </c>
      <c r="AC91" s="207" t="s">
        <v>302</v>
      </c>
      <c r="AD91" s="213">
        <v>3</v>
      </c>
      <c r="AM91" s="203" t="s">
        <v>5728</v>
      </c>
      <c r="AN91" s="204" t="s">
        <v>5729</v>
      </c>
      <c r="AO91" s="204" t="s">
        <v>5730</v>
      </c>
      <c r="BB91" s="207" t="s">
        <v>39</v>
      </c>
      <c r="BC91" s="198">
        <v>2</v>
      </c>
      <c r="BD91" s="198">
        <v>0.2</v>
      </c>
      <c r="BE91" s="198">
        <v>0.3</v>
      </c>
      <c r="BF91" s="198">
        <v>0.17</v>
      </c>
      <c r="BG91" s="207" t="str">
        <f t="shared" si="2"/>
        <v/>
      </c>
      <c r="BL91" s="207" t="s">
        <v>39</v>
      </c>
      <c r="BM91" s="198">
        <v>2</v>
      </c>
      <c r="BN91" s="198">
        <v>0.2</v>
      </c>
      <c r="BO91" s="198">
        <v>0.3</v>
      </c>
      <c r="BP91" s="198">
        <v>0.33</v>
      </c>
      <c r="BQ91" s="207" t="str">
        <f t="shared" si="3"/>
        <v/>
      </c>
    </row>
    <row r="92" spans="28:69" x14ac:dyDescent="0.25">
      <c r="AB92" s="207" t="s">
        <v>207</v>
      </c>
      <c r="AC92" s="207" t="s">
        <v>303</v>
      </c>
      <c r="AD92" s="213">
        <v>1</v>
      </c>
      <c r="AM92" s="203" t="s">
        <v>5731</v>
      </c>
      <c r="AN92" s="204" t="s">
        <v>5732</v>
      </c>
      <c r="AO92" s="204" t="s">
        <v>5733</v>
      </c>
      <c r="BB92" s="207" t="s">
        <v>39</v>
      </c>
      <c r="BC92" s="198">
        <v>3</v>
      </c>
      <c r="BD92" s="198">
        <v>0.2</v>
      </c>
      <c r="BE92" s="198">
        <v>0.3</v>
      </c>
      <c r="BF92" s="198">
        <v>0.15</v>
      </c>
      <c r="BG92" s="207" t="str">
        <f t="shared" si="2"/>
        <v/>
      </c>
      <c r="BL92" s="207" t="s">
        <v>39</v>
      </c>
      <c r="BM92" s="198">
        <v>3</v>
      </c>
      <c r="BN92" s="198">
        <v>0.2</v>
      </c>
      <c r="BO92" s="198">
        <v>0.3</v>
      </c>
      <c r="BP92" s="198">
        <v>0.32</v>
      </c>
      <c r="BQ92" s="207" t="str">
        <f t="shared" si="3"/>
        <v/>
      </c>
    </row>
    <row r="93" spans="28:69" x14ac:dyDescent="0.25">
      <c r="AB93" s="207" t="s">
        <v>214</v>
      </c>
      <c r="AC93" s="207" t="s">
        <v>304</v>
      </c>
      <c r="AD93" s="213">
        <v>1</v>
      </c>
      <c r="AM93" s="203" t="s">
        <v>5734</v>
      </c>
      <c r="AN93" s="204" t="s">
        <v>5645</v>
      </c>
      <c r="AO93" s="204" t="s">
        <v>5735</v>
      </c>
      <c r="BB93" s="207" t="s">
        <v>39</v>
      </c>
      <c r="BC93" s="198">
        <v>4</v>
      </c>
      <c r="BD93" s="198">
        <v>0.2</v>
      </c>
      <c r="BE93" s="198">
        <v>0.3</v>
      </c>
      <c r="BF93" s="198">
        <v>0.12</v>
      </c>
      <c r="BG93" s="207" t="str">
        <f t="shared" si="2"/>
        <v/>
      </c>
      <c r="BL93" s="207" t="s">
        <v>39</v>
      </c>
      <c r="BM93" s="198">
        <v>4</v>
      </c>
      <c r="BN93" s="198">
        <v>0.2</v>
      </c>
      <c r="BO93" s="198">
        <v>0.3</v>
      </c>
      <c r="BP93" s="198">
        <v>0.31</v>
      </c>
      <c r="BQ93" s="207" t="str">
        <f t="shared" si="3"/>
        <v/>
      </c>
    </row>
    <row r="94" spans="28:69" x14ac:dyDescent="0.25">
      <c r="AB94" s="207" t="s">
        <v>249</v>
      </c>
      <c r="AC94" s="207" t="s">
        <v>305</v>
      </c>
      <c r="AD94" s="213">
        <v>3</v>
      </c>
      <c r="AM94" s="200" t="s">
        <v>5736</v>
      </c>
      <c r="AN94" s="204" t="s">
        <v>5570</v>
      </c>
      <c r="AO94" s="204" t="s">
        <v>5737</v>
      </c>
      <c r="BB94" s="207" t="s">
        <v>39</v>
      </c>
      <c r="BC94" s="198">
        <v>5</v>
      </c>
      <c r="BD94" s="198">
        <v>0.2</v>
      </c>
      <c r="BE94" s="198">
        <v>0.3</v>
      </c>
      <c r="BF94" s="198">
        <v>0.15</v>
      </c>
      <c r="BG94" s="207" t="str">
        <f t="shared" si="2"/>
        <v/>
      </c>
      <c r="BL94" s="207" t="s">
        <v>39</v>
      </c>
      <c r="BM94" s="198">
        <v>5</v>
      </c>
      <c r="BN94" s="198">
        <v>0.2</v>
      </c>
      <c r="BO94" s="198">
        <v>0.3</v>
      </c>
      <c r="BP94" s="198">
        <v>0.33</v>
      </c>
      <c r="BQ94" s="207" t="str">
        <f t="shared" si="3"/>
        <v/>
      </c>
    </row>
    <row r="95" spans="28:69" x14ac:dyDescent="0.25">
      <c r="AB95" s="207" t="s">
        <v>214</v>
      </c>
      <c r="AC95" s="207" t="s">
        <v>306</v>
      </c>
      <c r="AD95" s="213">
        <v>2</v>
      </c>
      <c r="AM95" s="203" t="s">
        <v>5738</v>
      </c>
      <c r="AN95" s="204" t="s">
        <v>5710</v>
      </c>
      <c r="AO95" s="204" t="s">
        <v>5739</v>
      </c>
      <c r="BB95" s="207" t="s">
        <v>39</v>
      </c>
      <c r="BC95" s="198">
        <v>6</v>
      </c>
      <c r="BD95" s="198">
        <v>0.2</v>
      </c>
      <c r="BE95" s="198">
        <v>0.3</v>
      </c>
      <c r="BF95" s="198">
        <v>0.13</v>
      </c>
      <c r="BG95" s="207" t="str">
        <f t="shared" si="2"/>
        <v/>
      </c>
      <c r="BL95" s="207" t="s">
        <v>39</v>
      </c>
      <c r="BM95" s="198">
        <v>6</v>
      </c>
      <c r="BN95" s="198">
        <v>0.2</v>
      </c>
      <c r="BO95" s="198">
        <v>0.3</v>
      </c>
      <c r="BP95" s="198">
        <v>0.32</v>
      </c>
      <c r="BQ95" s="207" t="str">
        <f t="shared" si="3"/>
        <v/>
      </c>
    </row>
    <row r="96" spans="28:69" x14ac:dyDescent="0.25">
      <c r="AB96" s="207" t="s">
        <v>214</v>
      </c>
      <c r="AC96" s="207" t="s">
        <v>307</v>
      </c>
      <c r="AD96" s="213">
        <v>3</v>
      </c>
      <c r="BB96" s="207" t="s">
        <v>39</v>
      </c>
      <c r="BC96" s="198">
        <v>7</v>
      </c>
      <c r="BD96" s="198">
        <v>0.2</v>
      </c>
      <c r="BE96" s="198">
        <v>0.3</v>
      </c>
      <c r="BF96" s="198">
        <v>0.08</v>
      </c>
      <c r="BG96" s="207" t="str">
        <f t="shared" si="2"/>
        <v/>
      </c>
      <c r="BL96" s="207" t="s">
        <v>39</v>
      </c>
      <c r="BM96" s="198">
        <v>7</v>
      </c>
      <c r="BN96" s="198">
        <v>0.2</v>
      </c>
      <c r="BO96" s="198">
        <v>0.3</v>
      </c>
      <c r="BP96" s="198">
        <v>0.3</v>
      </c>
      <c r="BQ96" s="207" t="str">
        <f t="shared" si="3"/>
        <v/>
      </c>
    </row>
    <row r="97" spans="28:69" x14ac:dyDescent="0.25">
      <c r="AB97" s="207" t="s">
        <v>27</v>
      </c>
      <c r="AC97" s="207" t="s">
        <v>308</v>
      </c>
      <c r="AD97" s="213">
        <v>2</v>
      </c>
      <c r="BB97" s="207" t="s">
        <v>39</v>
      </c>
      <c r="BC97" s="198">
        <v>8</v>
      </c>
      <c r="BD97" s="198">
        <v>0.2</v>
      </c>
      <c r="BE97" s="198">
        <v>0.3</v>
      </c>
      <c r="BF97" s="198">
        <v>0.09</v>
      </c>
      <c r="BG97" s="207" t="str">
        <f t="shared" si="2"/>
        <v/>
      </c>
      <c r="BL97" s="207" t="s">
        <v>39</v>
      </c>
      <c r="BM97" s="198">
        <v>8</v>
      </c>
      <c r="BN97" s="198">
        <v>0.2</v>
      </c>
      <c r="BO97" s="198">
        <v>0.3</v>
      </c>
      <c r="BP97" s="198">
        <v>0.3</v>
      </c>
      <c r="BQ97" s="207" t="str">
        <f t="shared" si="3"/>
        <v/>
      </c>
    </row>
    <row r="98" spans="28:69" x14ac:dyDescent="0.25">
      <c r="AB98" s="207" t="s">
        <v>249</v>
      </c>
      <c r="AC98" s="207" t="s">
        <v>309</v>
      </c>
      <c r="AD98" s="213">
        <v>3</v>
      </c>
      <c r="BB98" s="207" t="s">
        <v>39</v>
      </c>
      <c r="BC98" s="198">
        <v>1</v>
      </c>
      <c r="BD98" s="198">
        <v>0.3</v>
      </c>
      <c r="BE98" s="198">
        <v>0.4</v>
      </c>
      <c r="BF98" s="198">
        <v>0.24</v>
      </c>
      <c r="BG98" s="207" t="str">
        <f t="shared" si="2"/>
        <v/>
      </c>
      <c r="BL98" s="207" t="s">
        <v>39</v>
      </c>
      <c r="BM98" s="198">
        <v>1</v>
      </c>
      <c r="BN98" s="198">
        <v>0.3</v>
      </c>
      <c r="BO98" s="198">
        <v>0.4</v>
      </c>
      <c r="BP98" s="198">
        <v>0.31</v>
      </c>
      <c r="BQ98" s="207" t="str">
        <f t="shared" si="3"/>
        <v/>
      </c>
    </row>
    <row r="99" spans="28:69" x14ac:dyDescent="0.25">
      <c r="AB99" s="207" t="s">
        <v>249</v>
      </c>
      <c r="AC99" s="207" t="s">
        <v>310</v>
      </c>
      <c r="AD99" s="213">
        <v>3</v>
      </c>
      <c r="BB99" s="207" t="s">
        <v>39</v>
      </c>
      <c r="BC99" s="198">
        <v>2</v>
      </c>
      <c r="BD99" s="198">
        <v>0.3</v>
      </c>
      <c r="BE99" s="198">
        <v>0.4</v>
      </c>
      <c r="BF99" s="198">
        <v>0.21</v>
      </c>
      <c r="BG99" s="207" t="str">
        <f t="shared" si="2"/>
        <v/>
      </c>
      <c r="BL99" s="207" t="s">
        <v>39</v>
      </c>
      <c r="BM99" s="198">
        <v>2</v>
      </c>
      <c r="BN99" s="198">
        <v>0.3</v>
      </c>
      <c r="BO99" s="198">
        <v>0.4</v>
      </c>
      <c r="BP99" s="198">
        <v>0.3</v>
      </c>
      <c r="BQ99" s="207" t="str">
        <f t="shared" si="3"/>
        <v/>
      </c>
    </row>
    <row r="100" spans="28:69" x14ac:dyDescent="0.25">
      <c r="AB100" s="207" t="s">
        <v>214</v>
      </c>
      <c r="AC100" s="207" t="s">
        <v>311</v>
      </c>
      <c r="AD100" s="213">
        <v>2</v>
      </c>
      <c r="BB100" s="207" t="s">
        <v>39</v>
      </c>
      <c r="BC100" s="198">
        <v>3</v>
      </c>
      <c r="BD100" s="198">
        <v>0.3</v>
      </c>
      <c r="BE100" s="198">
        <v>0.4</v>
      </c>
      <c r="BF100" s="198">
        <v>0.17</v>
      </c>
      <c r="BG100" s="207" t="str">
        <f t="shared" si="2"/>
        <v/>
      </c>
      <c r="BL100" s="207" t="s">
        <v>39</v>
      </c>
      <c r="BM100" s="198">
        <v>3</v>
      </c>
      <c r="BN100" s="198">
        <v>0.3</v>
      </c>
      <c r="BO100" s="198">
        <v>0.4</v>
      </c>
      <c r="BP100" s="198">
        <v>0.3</v>
      </c>
      <c r="BQ100" s="207" t="str">
        <f t="shared" si="3"/>
        <v/>
      </c>
    </row>
    <row r="101" spans="28:69" x14ac:dyDescent="0.25">
      <c r="AB101" s="207" t="s">
        <v>214</v>
      </c>
      <c r="AC101" s="207" t="s">
        <v>312</v>
      </c>
      <c r="AD101" s="213">
        <v>1</v>
      </c>
      <c r="BB101" s="207" t="s">
        <v>39</v>
      </c>
      <c r="BC101" s="198">
        <v>4</v>
      </c>
      <c r="BD101" s="198">
        <v>0.3</v>
      </c>
      <c r="BE101" s="198">
        <v>0.4</v>
      </c>
      <c r="BF101" s="198">
        <v>0.13</v>
      </c>
      <c r="BG101" s="207" t="str">
        <f t="shared" si="2"/>
        <v/>
      </c>
      <c r="BL101" s="207" t="s">
        <v>39</v>
      </c>
      <c r="BM101" s="198">
        <v>4</v>
      </c>
      <c r="BN101" s="198">
        <v>0.3</v>
      </c>
      <c r="BO101" s="198">
        <v>0.4</v>
      </c>
      <c r="BP101" s="198">
        <v>0.28999999999999998</v>
      </c>
      <c r="BQ101" s="207" t="str">
        <f t="shared" si="3"/>
        <v/>
      </c>
    </row>
    <row r="102" spans="28:69" x14ac:dyDescent="0.25">
      <c r="AB102" s="207" t="s">
        <v>27</v>
      </c>
      <c r="AC102" s="207" t="s">
        <v>313</v>
      </c>
      <c r="AD102" s="213">
        <v>2</v>
      </c>
      <c r="BB102" s="207" t="s">
        <v>39</v>
      </c>
      <c r="BC102" s="198">
        <v>5</v>
      </c>
      <c r="BD102" s="198">
        <v>0.3</v>
      </c>
      <c r="BE102" s="198">
        <v>0.4</v>
      </c>
      <c r="BF102" s="198">
        <v>0.17</v>
      </c>
      <c r="BG102" s="207" t="str">
        <f t="shared" si="2"/>
        <v/>
      </c>
      <c r="BL102" s="207" t="s">
        <v>39</v>
      </c>
      <c r="BM102" s="198">
        <v>5</v>
      </c>
      <c r="BN102" s="198">
        <v>0.3</v>
      </c>
      <c r="BO102" s="198">
        <v>0.4</v>
      </c>
      <c r="BP102" s="198">
        <v>0.31</v>
      </c>
      <c r="BQ102" s="207" t="str">
        <f t="shared" si="3"/>
        <v/>
      </c>
    </row>
    <row r="103" spans="28:69" x14ac:dyDescent="0.25">
      <c r="AB103" s="207" t="s">
        <v>214</v>
      </c>
      <c r="AC103" s="207" t="s">
        <v>314</v>
      </c>
      <c r="AD103" s="213">
        <v>1</v>
      </c>
      <c r="BB103" s="207" t="s">
        <v>39</v>
      </c>
      <c r="BC103" s="198">
        <v>6</v>
      </c>
      <c r="BD103" s="198">
        <v>0.3</v>
      </c>
      <c r="BE103" s="198">
        <v>0.4</v>
      </c>
      <c r="BF103" s="198">
        <v>0.14000000000000001</v>
      </c>
      <c r="BG103" s="207" t="str">
        <f t="shared" si="2"/>
        <v/>
      </c>
      <c r="BL103" s="207" t="s">
        <v>39</v>
      </c>
      <c r="BM103" s="198">
        <v>6</v>
      </c>
      <c r="BN103" s="198">
        <v>0.3</v>
      </c>
      <c r="BO103" s="198">
        <v>0.4</v>
      </c>
      <c r="BP103" s="198">
        <v>0.3</v>
      </c>
      <c r="BQ103" s="207" t="str">
        <f t="shared" si="3"/>
        <v/>
      </c>
    </row>
    <row r="104" spans="28:69" x14ac:dyDescent="0.25">
      <c r="AB104" s="207" t="s">
        <v>27</v>
      </c>
      <c r="AC104" s="207" t="s">
        <v>26</v>
      </c>
      <c r="AD104" s="213">
        <v>3</v>
      </c>
      <c r="BB104" s="207" t="s">
        <v>39</v>
      </c>
      <c r="BC104" s="198">
        <v>7</v>
      </c>
      <c r="BD104" s="198">
        <v>0.3</v>
      </c>
      <c r="BE104" s="198">
        <v>0.4</v>
      </c>
      <c r="BF104" s="198">
        <v>0.09</v>
      </c>
      <c r="BG104" s="207" t="str">
        <f t="shared" si="2"/>
        <v/>
      </c>
      <c r="BL104" s="207" t="s">
        <v>39</v>
      </c>
      <c r="BM104" s="198">
        <v>7</v>
      </c>
      <c r="BN104" s="198">
        <v>0.3</v>
      </c>
      <c r="BO104" s="198">
        <v>0.4</v>
      </c>
      <c r="BP104" s="198">
        <v>0.28000000000000003</v>
      </c>
      <c r="BQ104" s="207" t="str">
        <f t="shared" si="3"/>
        <v/>
      </c>
    </row>
    <row r="105" spans="28:69" x14ac:dyDescent="0.25">
      <c r="AB105" s="207" t="s">
        <v>249</v>
      </c>
      <c r="AC105" s="207" t="s">
        <v>315</v>
      </c>
      <c r="AD105" s="213">
        <v>3</v>
      </c>
      <c r="BB105" s="207" t="s">
        <v>39</v>
      </c>
      <c r="BC105" s="198">
        <v>8</v>
      </c>
      <c r="BD105" s="198">
        <v>0.3</v>
      </c>
      <c r="BE105" s="198">
        <v>0.4</v>
      </c>
      <c r="BF105" s="198">
        <v>0.1</v>
      </c>
      <c r="BG105" s="207" t="str">
        <f t="shared" si="2"/>
        <v/>
      </c>
      <c r="BL105" s="207" t="s">
        <v>39</v>
      </c>
      <c r="BM105" s="198">
        <v>8</v>
      </c>
      <c r="BN105" s="198">
        <v>0.3</v>
      </c>
      <c r="BO105" s="198">
        <v>0.4</v>
      </c>
      <c r="BP105" s="198">
        <v>0.28000000000000003</v>
      </c>
      <c r="BQ105" s="207" t="str">
        <f t="shared" si="3"/>
        <v/>
      </c>
    </row>
    <row r="106" spans="28:69" x14ac:dyDescent="0.25">
      <c r="AB106" s="207" t="s">
        <v>27</v>
      </c>
      <c r="AC106" s="207" t="s">
        <v>316</v>
      </c>
      <c r="AD106" s="213">
        <v>1</v>
      </c>
      <c r="BB106" s="207" t="s">
        <v>39</v>
      </c>
      <c r="BC106" s="198">
        <v>1</v>
      </c>
      <c r="BD106" s="198">
        <v>0.4</v>
      </c>
      <c r="BE106" s="198">
        <v>0.5</v>
      </c>
      <c r="BF106" s="198">
        <v>0.3</v>
      </c>
      <c r="BG106" s="207" t="str">
        <f t="shared" si="2"/>
        <v/>
      </c>
      <c r="BL106" s="207" t="s">
        <v>39</v>
      </c>
      <c r="BM106" s="198">
        <v>1</v>
      </c>
      <c r="BN106" s="198">
        <v>0.4</v>
      </c>
      <c r="BO106" s="198">
        <v>0.5</v>
      </c>
      <c r="BP106" s="198">
        <v>0.3</v>
      </c>
      <c r="BQ106" s="207" t="str">
        <f t="shared" si="3"/>
        <v/>
      </c>
    </row>
    <row r="107" spans="28:69" x14ac:dyDescent="0.25">
      <c r="AB107" s="207" t="s">
        <v>214</v>
      </c>
      <c r="AC107" s="207" t="s">
        <v>317</v>
      </c>
      <c r="AD107" s="213">
        <v>3</v>
      </c>
      <c r="BB107" s="207" t="s">
        <v>39</v>
      </c>
      <c r="BC107" s="198">
        <v>2</v>
      </c>
      <c r="BD107" s="198">
        <v>0.4</v>
      </c>
      <c r="BE107" s="198">
        <v>0.5</v>
      </c>
      <c r="BF107" s="198">
        <v>0.27</v>
      </c>
      <c r="BG107" s="207" t="str">
        <f t="shared" si="2"/>
        <v/>
      </c>
      <c r="BL107" s="207" t="s">
        <v>39</v>
      </c>
      <c r="BM107" s="198">
        <v>2</v>
      </c>
      <c r="BN107" s="198">
        <v>0.4</v>
      </c>
      <c r="BO107" s="198">
        <v>0.5</v>
      </c>
      <c r="BP107" s="198">
        <v>0.28000000000000003</v>
      </c>
      <c r="BQ107" s="207" t="str">
        <f t="shared" si="3"/>
        <v/>
      </c>
    </row>
    <row r="108" spans="28:69" x14ac:dyDescent="0.25">
      <c r="AB108" s="207" t="s">
        <v>214</v>
      </c>
      <c r="AC108" s="207" t="s">
        <v>318</v>
      </c>
      <c r="AD108" s="213">
        <v>2</v>
      </c>
      <c r="BB108" s="207" t="s">
        <v>39</v>
      </c>
      <c r="BC108" s="198">
        <v>3</v>
      </c>
      <c r="BD108" s="198">
        <v>0.4</v>
      </c>
      <c r="BE108" s="198">
        <v>0.5</v>
      </c>
      <c r="BF108" s="198">
        <v>0.19</v>
      </c>
      <c r="BG108" s="207" t="str">
        <f t="shared" si="2"/>
        <v/>
      </c>
      <c r="BL108" s="207" t="s">
        <v>39</v>
      </c>
      <c r="BM108" s="198">
        <v>3</v>
      </c>
      <c r="BN108" s="198">
        <v>0.4</v>
      </c>
      <c r="BO108" s="198">
        <v>0.5</v>
      </c>
      <c r="BP108" s="198">
        <v>0.28000000000000003</v>
      </c>
      <c r="BQ108" s="207" t="str">
        <f t="shared" si="3"/>
        <v/>
      </c>
    </row>
    <row r="109" spans="28:69" x14ac:dyDescent="0.25">
      <c r="AB109" s="207" t="s">
        <v>214</v>
      </c>
      <c r="AC109" s="207" t="s">
        <v>319</v>
      </c>
      <c r="AD109" s="213">
        <v>2</v>
      </c>
      <c r="BB109" s="207" t="s">
        <v>39</v>
      </c>
      <c r="BC109" s="198">
        <v>4</v>
      </c>
      <c r="BD109" s="198">
        <v>0.4</v>
      </c>
      <c r="BE109" s="198">
        <v>0.5</v>
      </c>
      <c r="BF109" s="198">
        <v>0.14000000000000001</v>
      </c>
      <c r="BG109" s="207" t="str">
        <f t="shared" si="2"/>
        <v/>
      </c>
      <c r="BL109" s="207" t="s">
        <v>39</v>
      </c>
      <c r="BM109" s="198">
        <v>4</v>
      </c>
      <c r="BN109" s="198">
        <v>0.4</v>
      </c>
      <c r="BO109" s="198">
        <v>0.5</v>
      </c>
      <c r="BP109" s="198">
        <v>0.27</v>
      </c>
      <c r="BQ109" s="207" t="str">
        <f t="shared" si="3"/>
        <v/>
      </c>
    </row>
    <row r="110" spans="28:69" x14ac:dyDescent="0.25">
      <c r="AB110" s="207" t="s">
        <v>27</v>
      </c>
      <c r="AC110" s="207" t="s">
        <v>320</v>
      </c>
      <c r="AD110" s="213">
        <v>2</v>
      </c>
      <c r="BB110" s="207" t="s">
        <v>39</v>
      </c>
      <c r="BC110" s="198">
        <v>5</v>
      </c>
      <c r="BD110" s="198">
        <v>0.4</v>
      </c>
      <c r="BE110" s="198">
        <v>0.5</v>
      </c>
      <c r="BF110" s="198">
        <v>0.19</v>
      </c>
      <c r="BG110" s="207" t="str">
        <f t="shared" si="2"/>
        <v/>
      </c>
      <c r="BL110" s="207" t="s">
        <v>39</v>
      </c>
      <c r="BM110" s="198">
        <v>5</v>
      </c>
      <c r="BN110" s="198">
        <v>0.4</v>
      </c>
      <c r="BO110" s="198">
        <v>0.5</v>
      </c>
      <c r="BP110" s="198">
        <v>0.28999999999999998</v>
      </c>
      <c r="BQ110" s="207" t="str">
        <f t="shared" si="3"/>
        <v/>
      </c>
    </row>
    <row r="111" spans="28:69" x14ac:dyDescent="0.25">
      <c r="AB111" s="207" t="s">
        <v>227</v>
      </c>
      <c r="AC111" s="207" t="s">
        <v>321</v>
      </c>
      <c r="AD111" s="213">
        <v>3</v>
      </c>
      <c r="BB111" s="207" t="s">
        <v>39</v>
      </c>
      <c r="BC111" s="198">
        <v>6</v>
      </c>
      <c r="BD111" s="198">
        <v>0.4</v>
      </c>
      <c r="BE111" s="198">
        <v>0.5</v>
      </c>
      <c r="BF111" s="198">
        <v>0.14000000000000001</v>
      </c>
      <c r="BG111" s="207" t="str">
        <f t="shared" si="2"/>
        <v/>
      </c>
      <c r="BL111" s="207" t="s">
        <v>39</v>
      </c>
      <c r="BM111" s="198">
        <v>6</v>
      </c>
      <c r="BN111" s="198">
        <v>0.4</v>
      </c>
      <c r="BO111" s="198">
        <v>0.5</v>
      </c>
      <c r="BP111" s="198">
        <v>0.28000000000000003</v>
      </c>
      <c r="BQ111" s="207" t="str">
        <f t="shared" si="3"/>
        <v/>
      </c>
    </row>
    <row r="112" spans="28:69" x14ac:dyDescent="0.25">
      <c r="AB112" s="207" t="s">
        <v>214</v>
      </c>
      <c r="AC112" s="207" t="s">
        <v>322</v>
      </c>
      <c r="AD112" s="213">
        <v>2</v>
      </c>
      <c r="BB112" s="207" t="s">
        <v>39</v>
      </c>
      <c r="BC112" s="198">
        <v>7</v>
      </c>
      <c r="BD112" s="198">
        <v>0.4</v>
      </c>
      <c r="BE112" s="198">
        <v>0.5</v>
      </c>
      <c r="BF112" s="198">
        <v>0.08</v>
      </c>
      <c r="BG112" s="207" t="str">
        <f t="shared" si="2"/>
        <v/>
      </c>
      <c r="BL112" s="207" t="s">
        <v>39</v>
      </c>
      <c r="BM112" s="198">
        <v>7</v>
      </c>
      <c r="BN112" s="198">
        <v>0.4</v>
      </c>
      <c r="BO112" s="198">
        <v>0.5</v>
      </c>
      <c r="BP112" s="198">
        <v>0.26</v>
      </c>
      <c r="BQ112" s="207" t="str">
        <f t="shared" si="3"/>
        <v/>
      </c>
    </row>
    <row r="113" spans="28:69" x14ac:dyDescent="0.25">
      <c r="AB113" s="207" t="s">
        <v>249</v>
      </c>
      <c r="AC113" s="207" t="s">
        <v>323</v>
      </c>
      <c r="AD113" s="213">
        <v>3</v>
      </c>
      <c r="BB113" s="207" t="s">
        <v>39</v>
      </c>
      <c r="BC113" s="198">
        <v>8</v>
      </c>
      <c r="BD113" s="198">
        <v>0.4</v>
      </c>
      <c r="BE113" s="198">
        <v>0.5</v>
      </c>
      <c r="BF113" s="198">
        <v>0.1</v>
      </c>
      <c r="BG113" s="207" t="str">
        <f t="shared" si="2"/>
        <v/>
      </c>
      <c r="BL113" s="207" t="s">
        <v>39</v>
      </c>
      <c r="BM113" s="198">
        <v>8</v>
      </c>
      <c r="BN113" s="198">
        <v>0.4</v>
      </c>
      <c r="BO113" s="198">
        <v>0.5</v>
      </c>
      <c r="BP113" s="198">
        <v>0.27</v>
      </c>
      <c r="BQ113" s="207" t="str">
        <f t="shared" si="3"/>
        <v/>
      </c>
    </row>
    <row r="114" spans="28:69" x14ac:dyDescent="0.25">
      <c r="AB114" s="207" t="s">
        <v>233</v>
      </c>
      <c r="AC114" s="207" t="s">
        <v>324</v>
      </c>
      <c r="AD114" s="213">
        <v>3</v>
      </c>
      <c r="BB114" s="207" t="s">
        <v>39</v>
      </c>
      <c r="BC114" s="198">
        <v>1</v>
      </c>
      <c r="BD114" s="198">
        <v>0.5</v>
      </c>
      <c r="BE114" s="198">
        <v>100</v>
      </c>
      <c r="BF114" s="198">
        <v>0.34</v>
      </c>
      <c r="BG114" s="207" t="str">
        <f t="shared" si="2"/>
        <v/>
      </c>
      <c r="BL114" s="207" t="s">
        <v>39</v>
      </c>
      <c r="BM114" s="198">
        <v>1</v>
      </c>
      <c r="BN114" s="198">
        <v>0.5</v>
      </c>
      <c r="BO114" s="198">
        <v>100</v>
      </c>
      <c r="BP114" s="198">
        <v>0.3</v>
      </c>
      <c r="BQ114" s="207" t="str">
        <f t="shared" si="3"/>
        <v/>
      </c>
    </row>
    <row r="115" spans="28:69" x14ac:dyDescent="0.25">
      <c r="AB115" s="207" t="s">
        <v>249</v>
      </c>
      <c r="AC115" s="207" t="s">
        <v>325</v>
      </c>
      <c r="AD115" s="213">
        <v>4</v>
      </c>
      <c r="BB115" s="207" t="s">
        <v>39</v>
      </c>
      <c r="BC115" s="198">
        <v>2</v>
      </c>
      <c r="BD115" s="198">
        <v>0.5</v>
      </c>
      <c r="BE115" s="198">
        <v>100</v>
      </c>
      <c r="BF115" s="198">
        <v>0.32</v>
      </c>
      <c r="BG115" s="207" t="str">
        <f t="shared" si="2"/>
        <v/>
      </c>
      <c r="BL115" s="207" t="s">
        <v>39</v>
      </c>
      <c r="BM115" s="198">
        <v>2</v>
      </c>
      <c r="BN115" s="198">
        <v>0.5</v>
      </c>
      <c r="BO115" s="198">
        <v>100</v>
      </c>
      <c r="BP115" s="198">
        <v>0.28000000000000003</v>
      </c>
      <c r="BQ115" s="207" t="str">
        <f t="shared" si="3"/>
        <v/>
      </c>
    </row>
    <row r="116" spans="28:69" x14ac:dyDescent="0.25">
      <c r="AB116" s="207" t="s">
        <v>249</v>
      </c>
      <c r="AC116" s="207" t="s">
        <v>326</v>
      </c>
      <c r="AD116" s="213">
        <v>3</v>
      </c>
      <c r="BB116" s="207" t="s">
        <v>39</v>
      </c>
      <c r="BC116" s="198">
        <v>3</v>
      </c>
      <c r="BD116" s="198">
        <v>0.5</v>
      </c>
      <c r="BE116" s="198">
        <v>100</v>
      </c>
      <c r="BF116" s="198">
        <v>0.2</v>
      </c>
      <c r="BG116" s="207" t="str">
        <f t="shared" si="2"/>
        <v/>
      </c>
      <c r="BL116" s="207" t="s">
        <v>39</v>
      </c>
      <c r="BM116" s="198">
        <v>3</v>
      </c>
      <c r="BN116" s="198">
        <v>0.5</v>
      </c>
      <c r="BO116" s="198">
        <v>100</v>
      </c>
      <c r="BP116" s="198">
        <v>0.28000000000000003</v>
      </c>
      <c r="BQ116" s="207" t="str">
        <f t="shared" si="3"/>
        <v/>
      </c>
    </row>
    <row r="117" spans="28:69" x14ac:dyDescent="0.25">
      <c r="AB117" s="207" t="s">
        <v>249</v>
      </c>
      <c r="AC117" s="207" t="s">
        <v>327</v>
      </c>
      <c r="AD117" s="213">
        <v>3</v>
      </c>
      <c r="BB117" s="207" t="s">
        <v>39</v>
      </c>
      <c r="BC117" s="198">
        <v>4</v>
      </c>
      <c r="BD117" s="198">
        <v>0.5</v>
      </c>
      <c r="BE117" s="198">
        <v>100</v>
      </c>
      <c r="BF117" s="198">
        <v>0.15</v>
      </c>
      <c r="BG117" s="207" t="str">
        <f t="shared" si="2"/>
        <v/>
      </c>
      <c r="BL117" s="207" t="s">
        <v>39</v>
      </c>
      <c r="BM117" s="198">
        <v>4</v>
      </c>
      <c r="BN117" s="198">
        <v>0.5</v>
      </c>
      <c r="BO117" s="198">
        <v>100</v>
      </c>
      <c r="BP117" s="198">
        <v>0.27</v>
      </c>
      <c r="BQ117" s="207" t="str">
        <f t="shared" si="3"/>
        <v/>
      </c>
    </row>
    <row r="118" spans="28:69" x14ac:dyDescent="0.25">
      <c r="AB118" s="207" t="s">
        <v>27</v>
      </c>
      <c r="AC118" s="207" t="s">
        <v>328</v>
      </c>
      <c r="AD118" s="213">
        <v>2</v>
      </c>
      <c r="BB118" s="207" t="s">
        <v>39</v>
      </c>
      <c r="BC118" s="198">
        <v>5</v>
      </c>
      <c r="BD118" s="198">
        <v>0.5</v>
      </c>
      <c r="BE118" s="198">
        <v>100</v>
      </c>
      <c r="BF118" s="198">
        <v>0.21</v>
      </c>
      <c r="BG118" s="207" t="str">
        <f t="shared" si="2"/>
        <v/>
      </c>
      <c r="BL118" s="207" t="s">
        <v>39</v>
      </c>
      <c r="BM118" s="198">
        <v>5</v>
      </c>
      <c r="BN118" s="198">
        <v>0.5</v>
      </c>
      <c r="BO118" s="198">
        <v>100</v>
      </c>
      <c r="BP118" s="198">
        <v>0.28999999999999998</v>
      </c>
      <c r="BQ118" s="207" t="str">
        <f t="shared" si="3"/>
        <v/>
      </c>
    </row>
    <row r="119" spans="28:69" x14ac:dyDescent="0.25">
      <c r="AB119" s="207" t="s">
        <v>249</v>
      </c>
      <c r="AC119" s="207" t="s">
        <v>329</v>
      </c>
      <c r="AD119" s="213">
        <v>3</v>
      </c>
      <c r="BB119" s="207" t="s">
        <v>39</v>
      </c>
      <c r="BC119" s="198">
        <v>6</v>
      </c>
      <c r="BD119" s="198">
        <v>0.5</v>
      </c>
      <c r="BE119" s="198">
        <v>100</v>
      </c>
      <c r="BF119" s="198">
        <v>0.14000000000000001</v>
      </c>
      <c r="BG119" s="207" t="str">
        <f t="shared" si="2"/>
        <v/>
      </c>
      <c r="BL119" s="207" t="s">
        <v>39</v>
      </c>
      <c r="BM119" s="198">
        <v>6</v>
      </c>
      <c r="BN119" s="198">
        <v>0.5</v>
      </c>
      <c r="BO119" s="198">
        <v>100</v>
      </c>
      <c r="BP119" s="198">
        <v>0.28000000000000003</v>
      </c>
      <c r="BQ119" s="207" t="str">
        <f t="shared" si="3"/>
        <v/>
      </c>
    </row>
    <row r="120" spans="28:69" x14ac:dyDescent="0.25">
      <c r="AB120" s="207" t="s">
        <v>249</v>
      </c>
      <c r="AC120" s="207" t="s">
        <v>330</v>
      </c>
      <c r="AD120" s="213">
        <v>3</v>
      </c>
      <c r="BB120" s="207" t="s">
        <v>39</v>
      </c>
      <c r="BC120" s="198">
        <v>7</v>
      </c>
      <c r="BD120" s="198">
        <v>0.5</v>
      </c>
      <c r="BE120" s="198">
        <v>100</v>
      </c>
      <c r="BF120" s="198">
        <v>0.08</v>
      </c>
      <c r="BG120" s="207" t="str">
        <f t="shared" si="2"/>
        <v/>
      </c>
      <c r="BL120" s="207" t="s">
        <v>39</v>
      </c>
      <c r="BM120" s="198">
        <v>7</v>
      </c>
      <c r="BN120" s="198">
        <v>0.5</v>
      </c>
      <c r="BO120" s="198">
        <v>100</v>
      </c>
      <c r="BP120" s="198">
        <v>0.26</v>
      </c>
      <c r="BQ120" s="207" t="str">
        <f t="shared" si="3"/>
        <v/>
      </c>
    </row>
    <row r="121" spans="28:69" x14ac:dyDescent="0.25">
      <c r="AB121" s="207" t="s">
        <v>249</v>
      </c>
      <c r="AC121" s="207" t="s">
        <v>331</v>
      </c>
      <c r="AD121" s="213">
        <v>3</v>
      </c>
      <c r="BB121" s="207" t="s">
        <v>39</v>
      </c>
      <c r="BC121" s="198">
        <v>8</v>
      </c>
      <c r="BD121" s="198">
        <v>0.5</v>
      </c>
      <c r="BE121" s="198">
        <v>100</v>
      </c>
      <c r="BF121" s="198">
        <v>0.1</v>
      </c>
      <c r="BG121" s="207" t="str">
        <f t="shared" si="2"/>
        <v/>
      </c>
      <c r="BL121" s="207" t="s">
        <v>39</v>
      </c>
      <c r="BM121" s="198">
        <v>8</v>
      </c>
      <c r="BN121" s="198">
        <v>0.5</v>
      </c>
      <c r="BO121" s="198">
        <v>100</v>
      </c>
      <c r="BP121" s="198">
        <v>0.27</v>
      </c>
      <c r="BQ121" s="207" t="str">
        <f t="shared" si="3"/>
        <v/>
      </c>
    </row>
    <row r="122" spans="28:69" x14ac:dyDescent="0.25">
      <c r="AB122" s="207" t="s">
        <v>214</v>
      </c>
      <c r="AC122" s="207" t="s">
        <v>332</v>
      </c>
      <c r="AD122" s="213">
        <v>2</v>
      </c>
      <c r="BB122" s="207" t="s">
        <v>40</v>
      </c>
      <c r="BC122" s="198">
        <v>1</v>
      </c>
      <c r="BD122" s="198">
        <v>0</v>
      </c>
      <c r="BE122" s="198">
        <v>0.2</v>
      </c>
      <c r="BF122" s="198">
        <v>0.19</v>
      </c>
      <c r="BG122" s="207" t="str">
        <f t="shared" si="2"/>
        <v/>
      </c>
      <c r="BL122" s="207" t="s">
        <v>40</v>
      </c>
      <c r="BM122" s="198">
        <v>1</v>
      </c>
      <c r="BN122" s="198">
        <v>0</v>
      </c>
      <c r="BO122" s="198">
        <v>0.2</v>
      </c>
      <c r="BP122" s="198">
        <v>0.33</v>
      </c>
      <c r="BQ122" s="207" t="str">
        <f t="shared" si="3"/>
        <v/>
      </c>
    </row>
    <row r="123" spans="28:69" x14ac:dyDescent="0.25">
      <c r="AB123" s="207" t="s">
        <v>27</v>
      </c>
      <c r="AC123" s="207" t="s">
        <v>333</v>
      </c>
      <c r="AD123" s="213">
        <v>2</v>
      </c>
      <c r="BB123" s="207" t="s">
        <v>40</v>
      </c>
      <c r="BC123" s="198">
        <v>2</v>
      </c>
      <c r="BD123" s="198">
        <v>0</v>
      </c>
      <c r="BE123" s="198">
        <v>0.2</v>
      </c>
      <c r="BF123" s="198">
        <v>0.16</v>
      </c>
      <c r="BG123" s="207" t="str">
        <f t="shared" si="2"/>
        <v/>
      </c>
      <c r="BL123" s="207" t="s">
        <v>40</v>
      </c>
      <c r="BM123" s="198">
        <v>2</v>
      </c>
      <c r="BN123" s="198">
        <v>0</v>
      </c>
      <c r="BO123" s="198">
        <v>0.2</v>
      </c>
      <c r="BP123" s="198">
        <v>0.32</v>
      </c>
      <c r="BQ123" s="207" t="str">
        <f t="shared" si="3"/>
        <v/>
      </c>
    </row>
    <row r="124" spans="28:69" x14ac:dyDescent="0.25">
      <c r="AB124" s="207" t="s">
        <v>249</v>
      </c>
      <c r="AC124" s="207" t="s">
        <v>334</v>
      </c>
      <c r="AD124" s="213">
        <v>3</v>
      </c>
      <c r="BB124" s="207" t="s">
        <v>40</v>
      </c>
      <c r="BC124" s="198">
        <v>3</v>
      </c>
      <c r="BD124" s="198">
        <v>0</v>
      </c>
      <c r="BE124" s="198">
        <v>0.2</v>
      </c>
      <c r="BF124" s="198">
        <v>0.14000000000000001</v>
      </c>
      <c r="BG124" s="207" t="str">
        <f t="shared" si="2"/>
        <v/>
      </c>
      <c r="BL124" s="207" t="s">
        <v>40</v>
      </c>
      <c r="BM124" s="198">
        <v>3</v>
      </c>
      <c r="BN124" s="198">
        <v>0</v>
      </c>
      <c r="BO124" s="198">
        <v>0.2</v>
      </c>
      <c r="BP124" s="198">
        <v>0.31</v>
      </c>
      <c r="BQ124" s="207" t="str">
        <f t="shared" si="3"/>
        <v/>
      </c>
    </row>
    <row r="125" spans="28:69" x14ac:dyDescent="0.25">
      <c r="AB125" s="207" t="s">
        <v>227</v>
      </c>
      <c r="AC125" s="207" t="s">
        <v>335</v>
      </c>
      <c r="AD125" s="213">
        <v>3</v>
      </c>
      <c r="BB125" s="207" t="s">
        <v>40</v>
      </c>
      <c r="BC125" s="198">
        <v>4</v>
      </c>
      <c r="BD125" s="198">
        <v>0</v>
      </c>
      <c r="BE125" s="198">
        <v>0.2</v>
      </c>
      <c r="BF125" s="198">
        <v>0.11</v>
      </c>
      <c r="BG125" s="207" t="str">
        <f t="shared" si="2"/>
        <v/>
      </c>
      <c r="BL125" s="207" t="s">
        <v>40</v>
      </c>
      <c r="BM125" s="198">
        <v>4</v>
      </c>
      <c r="BN125" s="198">
        <v>0</v>
      </c>
      <c r="BO125" s="198">
        <v>0.2</v>
      </c>
      <c r="BP125" s="198">
        <v>0.3</v>
      </c>
      <c r="BQ125" s="207" t="str">
        <f t="shared" si="3"/>
        <v/>
      </c>
    </row>
    <row r="126" spans="28:69" x14ac:dyDescent="0.25">
      <c r="AB126" s="207" t="s">
        <v>214</v>
      </c>
      <c r="AC126" s="207" t="s">
        <v>336</v>
      </c>
      <c r="AD126" s="213">
        <v>1</v>
      </c>
      <c r="BB126" s="207" t="s">
        <v>40</v>
      </c>
      <c r="BC126" s="198">
        <v>5</v>
      </c>
      <c r="BD126" s="198">
        <v>0</v>
      </c>
      <c r="BE126" s="198">
        <v>0.2</v>
      </c>
      <c r="BF126" s="198">
        <v>0.14000000000000001</v>
      </c>
      <c r="BG126" s="207" t="str">
        <f t="shared" si="2"/>
        <v/>
      </c>
      <c r="BL126" s="207" t="s">
        <v>40</v>
      </c>
      <c r="BM126" s="198">
        <v>5</v>
      </c>
      <c r="BN126" s="198">
        <v>0</v>
      </c>
      <c r="BO126" s="198">
        <v>0.2</v>
      </c>
      <c r="BP126" s="198">
        <v>0.31</v>
      </c>
      <c r="BQ126" s="207" t="str">
        <f t="shared" si="3"/>
        <v/>
      </c>
    </row>
    <row r="127" spans="28:69" x14ac:dyDescent="0.25">
      <c r="AB127" s="207" t="s">
        <v>27</v>
      </c>
      <c r="AC127" s="207" t="s">
        <v>337</v>
      </c>
      <c r="AD127" s="213">
        <v>3</v>
      </c>
      <c r="BB127" s="207" t="s">
        <v>40</v>
      </c>
      <c r="BC127" s="198">
        <v>6</v>
      </c>
      <c r="BD127" s="198">
        <v>0</v>
      </c>
      <c r="BE127" s="198">
        <v>0.2</v>
      </c>
      <c r="BF127" s="198">
        <v>0.12</v>
      </c>
      <c r="BG127" s="207" t="str">
        <f t="shared" si="2"/>
        <v/>
      </c>
      <c r="BL127" s="207" t="s">
        <v>40</v>
      </c>
      <c r="BM127" s="198">
        <v>6</v>
      </c>
      <c r="BN127" s="198">
        <v>0</v>
      </c>
      <c r="BO127" s="198">
        <v>0.2</v>
      </c>
      <c r="BP127" s="198">
        <v>0.31</v>
      </c>
      <c r="BQ127" s="207" t="str">
        <f t="shared" si="3"/>
        <v/>
      </c>
    </row>
    <row r="128" spans="28:69" x14ac:dyDescent="0.25">
      <c r="AB128" s="207" t="s">
        <v>249</v>
      </c>
      <c r="AC128" s="207" t="s">
        <v>338</v>
      </c>
      <c r="AD128" s="213">
        <v>2</v>
      </c>
      <c r="BB128" s="207" t="s">
        <v>40</v>
      </c>
      <c r="BC128" s="198">
        <v>7</v>
      </c>
      <c r="BD128" s="198">
        <v>0</v>
      </c>
      <c r="BE128" s="198">
        <v>0.2</v>
      </c>
      <c r="BF128" s="198">
        <v>0.08</v>
      </c>
      <c r="BG128" s="207" t="str">
        <f t="shared" si="2"/>
        <v/>
      </c>
      <c r="BL128" s="207" t="s">
        <v>40</v>
      </c>
      <c r="BM128" s="198">
        <v>7</v>
      </c>
      <c r="BN128" s="198">
        <v>0</v>
      </c>
      <c r="BO128" s="198">
        <v>0.2</v>
      </c>
      <c r="BP128" s="198">
        <v>0.28000000000000003</v>
      </c>
      <c r="BQ128" s="207" t="str">
        <f t="shared" si="3"/>
        <v/>
      </c>
    </row>
    <row r="129" spans="28:69" x14ac:dyDescent="0.25">
      <c r="AB129" s="207" t="s">
        <v>249</v>
      </c>
      <c r="AC129" s="207" t="s">
        <v>339</v>
      </c>
      <c r="AD129" s="213">
        <v>2</v>
      </c>
      <c r="BB129" s="207" t="s">
        <v>40</v>
      </c>
      <c r="BC129" s="198">
        <v>8</v>
      </c>
      <c r="BD129" s="198">
        <v>0</v>
      </c>
      <c r="BE129" s="198">
        <v>0.2</v>
      </c>
      <c r="BF129" s="198">
        <v>0.08</v>
      </c>
      <c r="BG129" s="207" t="str">
        <f t="shared" si="2"/>
        <v/>
      </c>
      <c r="BL129" s="207" t="s">
        <v>40</v>
      </c>
      <c r="BM129" s="198">
        <v>8</v>
      </c>
      <c r="BN129" s="198">
        <v>0</v>
      </c>
      <c r="BO129" s="198">
        <v>0.2</v>
      </c>
      <c r="BP129" s="198">
        <v>0.28000000000000003</v>
      </c>
      <c r="BQ129" s="207" t="str">
        <f t="shared" si="3"/>
        <v/>
      </c>
    </row>
    <row r="130" spans="28:69" x14ac:dyDescent="0.25">
      <c r="AB130" s="207" t="s">
        <v>249</v>
      </c>
      <c r="AC130" s="207" t="s">
        <v>340</v>
      </c>
      <c r="AD130" s="213">
        <v>3</v>
      </c>
      <c r="BB130" s="207" t="s">
        <v>40</v>
      </c>
      <c r="BC130" s="198">
        <v>1</v>
      </c>
      <c r="BD130" s="198">
        <v>0.2</v>
      </c>
      <c r="BE130" s="198">
        <v>0.3</v>
      </c>
      <c r="BF130" s="198">
        <v>0.2</v>
      </c>
      <c r="BG130" s="207" t="str">
        <f t="shared" ref="BG130:BG193" si="4">IF(BC130=$BJ$1,IF(BB130=$BI$1,IF(AND($BH$1&gt;BD130,$BH$1&lt;BE130),BF130,""),""),"")</f>
        <v/>
      </c>
      <c r="BL130" s="207" t="s">
        <v>40</v>
      </c>
      <c r="BM130" s="198">
        <v>1</v>
      </c>
      <c r="BN130" s="198">
        <v>0.2</v>
      </c>
      <c r="BO130" s="198">
        <v>0.3</v>
      </c>
      <c r="BP130" s="198">
        <v>0.34</v>
      </c>
      <c r="BQ130" s="207" t="str">
        <f t="shared" ref="BQ130:BQ193" si="5">IF(BM130=$BJ$1,IF(BL130=$BI$1,IF(AND($BH$1&gt;BN130,$BH$1&lt;BO130),BP130,""),""),"")</f>
        <v/>
      </c>
    </row>
    <row r="131" spans="28:69" x14ac:dyDescent="0.25">
      <c r="AB131" s="207" t="s">
        <v>227</v>
      </c>
      <c r="AC131" s="207" t="s">
        <v>341</v>
      </c>
      <c r="AD131" s="213">
        <v>2</v>
      </c>
      <c r="BB131" s="207" t="s">
        <v>40</v>
      </c>
      <c r="BC131" s="198">
        <v>2</v>
      </c>
      <c r="BD131" s="198">
        <v>0.2</v>
      </c>
      <c r="BE131" s="198">
        <v>0.3</v>
      </c>
      <c r="BF131" s="198">
        <v>0.17</v>
      </c>
      <c r="BG131" s="207" t="str">
        <f t="shared" si="4"/>
        <v/>
      </c>
      <c r="BL131" s="207" t="s">
        <v>40</v>
      </c>
      <c r="BM131" s="198">
        <v>2</v>
      </c>
      <c r="BN131" s="198">
        <v>0.2</v>
      </c>
      <c r="BO131" s="198">
        <v>0.3</v>
      </c>
      <c r="BP131" s="198">
        <v>0.33</v>
      </c>
      <c r="BQ131" s="207" t="str">
        <f t="shared" si="5"/>
        <v/>
      </c>
    </row>
    <row r="132" spans="28:69" x14ac:dyDescent="0.25">
      <c r="AB132" s="207" t="s">
        <v>249</v>
      </c>
      <c r="AC132" s="207" t="s">
        <v>342</v>
      </c>
      <c r="AD132" s="213">
        <v>2</v>
      </c>
      <c r="BB132" s="207" t="s">
        <v>40</v>
      </c>
      <c r="BC132" s="198">
        <v>3</v>
      </c>
      <c r="BD132" s="198">
        <v>0.2</v>
      </c>
      <c r="BE132" s="198">
        <v>0.3</v>
      </c>
      <c r="BF132" s="198">
        <v>0.15</v>
      </c>
      <c r="BG132" s="207" t="str">
        <f t="shared" si="4"/>
        <v/>
      </c>
      <c r="BL132" s="207" t="s">
        <v>40</v>
      </c>
      <c r="BM132" s="198">
        <v>3</v>
      </c>
      <c r="BN132" s="198">
        <v>0.2</v>
      </c>
      <c r="BO132" s="198">
        <v>0.3</v>
      </c>
      <c r="BP132" s="198">
        <v>0.32</v>
      </c>
      <c r="BQ132" s="207" t="str">
        <f t="shared" si="5"/>
        <v/>
      </c>
    </row>
    <row r="133" spans="28:69" x14ac:dyDescent="0.25">
      <c r="AB133" s="207" t="s">
        <v>233</v>
      </c>
      <c r="AC133" s="207" t="s">
        <v>343</v>
      </c>
      <c r="AD133" s="213">
        <v>3</v>
      </c>
      <c r="BB133" s="207" t="s">
        <v>40</v>
      </c>
      <c r="BC133" s="198">
        <v>4</v>
      </c>
      <c r="BD133" s="198">
        <v>0.2</v>
      </c>
      <c r="BE133" s="198">
        <v>0.3</v>
      </c>
      <c r="BF133" s="198">
        <v>0.12</v>
      </c>
      <c r="BG133" s="207" t="str">
        <f t="shared" si="4"/>
        <v/>
      </c>
      <c r="BL133" s="207" t="s">
        <v>40</v>
      </c>
      <c r="BM133" s="198">
        <v>4</v>
      </c>
      <c r="BN133" s="198">
        <v>0.2</v>
      </c>
      <c r="BO133" s="198">
        <v>0.3</v>
      </c>
      <c r="BP133" s="198">
        <v>0.31</v>
      </c>
      <c r="BQ133" s="207" t="str">
        <f t="shared" si="5"/>
        <v/>
      </c>
    </row>
    <row r="134" spans="28:69" x14ac:dyDescent="0.25">
      <c r="AB134" s="207" t="s">
        <v>27</v>
      </c>
      <c r="AC134" s="207" t="s">
        <v>344</v>
      </c>
      <c r="AD134" s="213">
        <v>3</v>
      </c>
      <c r="BB134" s="207" t="s">
        <v>40</v>
      </c>
      <c r="BC134" s="198">
        <v>5</v>
      </c>
      <c r="BD134" s="198">
        <v>0.2</v>
      </c>
      <c r="BE134" s="198">
        <v>0.3</v>
      </c>
      <c r="BF134" s="198">
        <v>0.15</v>
      </c>
      <c r="BG134" s="207" t="str">
        <f t="shared" si="4"/>
        <v/>
      </c>
      <c r="BL134" s="207" t="s">
        <v>40</v>
      </c>
      <c r="BM134" s="198">
        <v>5</v>
      </c>
      <c r="BN134" s="198">
        <v>0.2</v>
      </c>
      <c r="BO134" s="198">
        <v>0.3</v>
      </c>
      <c r="BP134" s="198">
        <v>0.33</v>
      </c>
      <c r="BQ134" s="207" t="str">
        <f t="shared" si="5"/>
        <v/>
      </c>
    </row>
    <row r="135" spans="28:69" x14ac:dyDescent="0.25">
      <c r="AB135" s="207" t="s">
        <v>214</v>
      </c>
      <c r="AC135" s="207" t="s">
        <v>345</v>
      </c>
      <c r="AD135" s="213">
        <v>1</v>
      </c>
      <c r="BB135" s="207" t="s">
        <v>40</v>
      </c>
      <c r="BC135" s="198">
        <v>6</v>
      </c>
      <c r="BD135" s="198">
        <v>0.2</v>
      </c>
      <c r="BE135" s="198">
        <v>0.3</v>
      </c>
      <c r="BF135" s="198">
        <v>0.13</v>
      </c>
      <c r="BG135" s="207" t="str">
        <f t="shared" si="4"/>
        <v/>
      </c>
      <c r="BL135" s="207" t="s">
        <v>40</v>
      </c>
      <c r="BM135" s="198">
        <v>6</v>
      </c>
      <c r="BN135" s="198">
        <v>0.2</v>
      </c>
      <c r="BO135" s="198">
        <v>0.3</v>
      </c>
      <c r="BP135" s="198">
        <v>0.32</v>
      </c>
      <c r="BQ135" s="207" t="str">
        <f t="shared" si="5"/>
        <v/>
      </c>
    </row>
    <row r="136" spans="28:69" x14ac:dyDescent="0.25">
      <c r="AB136" s="207" t="s">
        <v>249</v>
      </c>
      <c r="AC136" s="207" t="s">
        <v>346</v>
      </c>
      <c r="AD136" s="213">
        <v>3</v>
      </c>
      <c r="BB136" s="207" t="s">
        <v>40</v>
      </c>
      <c r="BC136" s="198">
        <v>7</v>
      </c>
      <c r="BD136" s="198">
        <v>0.2</v>
      </c>
      <c r="BE136" s="198">
        <v>0.3</v>
      </c>
      <c r="BF136" s="198">
        <v>0.08</v>
      </c>
      <c r="BG136" s="207" t="str">
        <f t="shared" si="4"/>
        <v/>
      </c>
      <c r="BL136" s="207" t="s">
        <v>40</v>
      </c>
      <c r="BM136" s="198">
        <v>7</v>
      </c>
      <c r="BN136" s="198">
        <v>0.2</v>
      </c>
      <c r="BO136" s="198">
        <v>0.3</v>
      </c>
      <c r="BP136" s="198">
        <v>0.3</v>
      </c>
      <c r="BQ136" s="207" t="str">
        <f t="shared" si="5"/>
        <v/>
      </c>
    </row>
    <row r="137" spans="28:69" x14ac:dyDescent="0.25">
      <c r="AB137" s="207" t="s">
        <v>249</v>
      </c>
      <c r="AC137" s="207" t="s">
        <v>347</v>
      </c>
      <c r="AD137" s="213">
        <v>3</v>
      </c>
      <c r="BB137" s="207" t="s">
        <v>40</v>
      </c>
      <c r="BC137" s="198">
        <v>8</v>
      </c>
      <c r="BD137" s="198">
        <v>0.2</v>
      </c>
      <c r="BE137" s="198">
        <v>0.3</v>
      </c>
      <c r="BF137" s="198">
        <v>0.09</v>
      </c>
      <c r="BG137" s="207" t="str">
        <f t="shared" si="4"/>
        <v/>
      </c>
      <c r="BL137" s="207" t="s">
        <v>40</v>
      </c>
      <c r="BM137" s="198">
        <v>8</v>
      </c>
      <c r="BN137" s="198">
        <v>0.2</v>
      </c>
      <c r="BO137" s="198">
        <v>0.3</v>
      </c>
      <c r="BP137" s="198">
        <v>0.3</v>
      </c>
      <c r="BQ137" s="207" t="str">
        <f t="shared" si="5"/>
        <v/>
      </c>
    </row>
    <row r="138" spans="28:69" x14ac:dyDescent="0.25">
      <c r="AB138" s="207" t="s">
        <v>227</v>
      </c>
      <c r="AC138" s="207" t="s">
        <v>348</v>
      </c>
      <c r="AD138" s="213">
        <v>3</v>
      </c>
      <c r="BB138" s="207" t="s">
        <v>40</v>
      </c>
      <c r="BC138" s="198">
        <v>1</v>
      </c>
      <c r="BD138" s="198">
        <v>0.3</v>
      </c>
      <c r="BE138" s="198">
        <v>0.4</v>
      </c>
      <c r="BF138" s="198">
        <v>0.24</v>
      </c>
      <c r="BG138" s="207" t="str">
        <f t="shared" si="4"/>
        <v/>
      </c>
      <c r="BL138" s="207" t="s">
        <v>40</v>
      </c>
      <c r="BM138" s="198">
        <v>1</v>
      </c>
      <c r="BN138" s="198">
        <v>0.3</v>
      </c>
      <c r="BO138" s="198">
        <v>0.4</v>
      </c>
      <c r="BP138" s="198">
        <v>0.31</v>
      </c>
      <c r="BQ138" s="207" t="str">
        <f t="shared" si="5"/>
        <v/>
      </c>
    </row>
    <row r="139" spans="28:69" x14ac:dyDescent="0.25">
      <c r="AB139" s="207" t="s">
        <v>249</v>
      </c>
      <c r="AC139" s="207" t="s">
        <v>349</v>
      </c>
      <c r="AD139" s="213">
        <v>3</v>
      </c>
      <c r="BB139" s="207" t="s">
        <v>40</v>
      </c>
      <c r="BC139" s="198">
        <v>2</v>
      </c>
      <c r="BD139" s="198">
        <v>0.3</v>
      </c>
      <c r="BE139" s="198">
        <v>0.4</v>
      </c>
      <c r="BF139" s="198">
        <v>0.21</v>
      </c>
      <c r="BG139" s="207" t="str">
        <f t="shared" si="4"/>
        <v/>
      </c>
      <c r="BL139" s="207" t="s">
        <v>40</v>
      </c>
      <c r="BM139" s="198">
        <v>2</v>
      </c>
      <c r="BN139" s="198">
        <v>0.3</v>
      </c>
      <c r="BO139" s="198">
        <v>0.4</v>
      </c>
      <c r="BP139" s="198">
        <v>0.3</v>
      </c>
      <c r="BQ139" s="207" t="str">
        <f t="shared" si="5"/>
        <v/>
      </c>
    </row>
    <row r="140" spans="28:69" x14ac:dyDescent="0.25">
      <c r="AB140" s="207" t="s">
        <v>249</v>
      </c>
      <c r="AC140" s="207" t="s">
        <v>350</v>
      </c>
      <c r="AD140" s="213">
        <v>2</v>
      </c>
      <c r="BB140" s="207" t="s">
        <v>40</v>
      </c>
      <c r="BC140" s="198">
        <v>3</v>
      </c>
      <c r="BD140" s="198">
        <v>0.3</v>
      </c>
      <c r="BE140" s="198">
        <v>0.4</v>
      </c>
      <c r="BF140" s="198">
        <v>0.17</v>
      </c>
      <c r="BG140" s="207" t="str">
        <f t="shared" si="4"/>
        <v/>
      </c>
      <c r="BL140" s="207" t="s">
        <v>40</v>
      </c>
      <c r="BM140" s="198">
        <v>3</v>
      </c>
      <c r="BN140" s="198">
        <v>0.3</v>
      </c>
      <c r="BO140" s="198">
        <v>0.4</v>
      </c>
      <c r="BP140" s="198">
        <v>0.3</v>
      </c>
      <c r="BQ140" s="207" t="str">
        <f t="shared" si="5"/>
        <v/>
      </c>
    </row>
    <row r="141" spans="28:69" x14ac:dyDescent="0.25">
      <c r="AB141" s="207" t="s">
        <v>249</v>
      </c>
      <c r="AC141" s="207" t="s">
        <v>351</v>
      </c>
      <c r="AD141" s="213">
        <v>3</v>
      </c>
      <c r="BB141" s="207" t="s">
        <v>40</v>
      </c>
      <c r="BC141" s="198">
        <v>4</v>
      </c>
      <c r="BD141" s="198">
        <v>0.3</v>
      </c>
      <c r="BE141" s="198">
        <v>0.4</v>
      </c>
      <c r="BF141" s="198">
        <v>0.13</v>
      </c>
      <c r="BG141" s="207" t="str">
        <f t="shared" si="4"/>
        <v/>
      </c>
      <c r="BL141" s="207" t="s">
        <v>40</v>
      </c>
      <c r="BM141" s="198">
        <v>4</v>
      </c>
      <c r="BN141" s="198">
        <v>0.3</v>
      </c>
      <c r="BO141" s="198">
        <v>0.4</v>
      </c>
      <c r="BP141" s="198">
        <v>0.28999999999999998</v>
      </c>
      <c r="BQ141" s="207" t="str">
        <f t="shared" si="5"/>
        <v/>
      </c>
    </row>
    <row r="142" spans="28:69" x14ac:dyDescent="0.25">
      <c r="AB142" s="207" t="s">
        <v>249</v>
      </c>
      <c r="AC142" s="207" t="s">
        <v>352</v>
      </c>
      <c r="AD142" s="213">
        <v>3</v>
      </c>
      <c r="BB142" s="207" t="s">
        <v>40</v>
      </c>
      <c r="BC142" s="198">
        <v>5</v>
      </c>
      <c r="BD142" s="198">
        <v>0.3</v>
      </c>
      <c r="BE142" s="198">
        <v>0.4</v>
      </c>
      <c r="BF142" s="198">
        <v>0.17</v>
      </c>
      <c r="BG142" s="207" t="str">
        <f t="shared" si="4"/>
        <v/>
      </c>
      <c r="BL142" s="207" t="s">
        <v>40</v>
      </c>
      <c r="BM142" s="198">
        <v>5</v>
      </c>
      <c r="BN142" s="198">
        <v>0.3</v>
      </c>
      <c r="BO142" s="198">
        <v>0.4</v>
      </c>
      <c r="BP142" s="198">
        <v>0.31</v>
      </c>
      <c r="BQ142" s="207" t="str">
        <f t="shared" si="5"/>
        <v/>
      </c>
    </row>
    <row r="143" spans="28:69" x14ac:dyDescent="0.25">
      <c r="AB143" s="207" t="s">
        <v>249</v>
      </c>
      <c r="AC143" s="207" t="s">
        <v>353</v>
      </c>
      <c r="AD143" s="213">
        <v>3</v>
      </c>
      <c r="BB143" s="207" t="s">
        <v>40</v>
      </c>
      <c r="BC143" s="198">
        <v>6</v>
      </c>
      <c r="BD143" s="198">
        <v>0.3</v>
      </c>
      <c r="BE143" s="198">
        <v>0.4</v>
      </c>
      <c r="BF143" s="198">
        <v>0.14000000000000001</v>
      </c>
      <c r="BG143" s="207" t="str">
        <f t="shared" si="4"/>
        <v/>
      </c>
      <c r="BL143" s="207" t="s">
        <v>40</v>
      </c>
      <c r="BM143" s="198">
        <v>6</v>
      </c>
      <c r="BN143" s="198">
        <v>0.3</v>
      </c>
      <c r="BO143" s="198">
        <v>0.4</v>
      </c>
      <c r="BP143" s="198">
        <v>0.3</v>
      </c>
      <c r="BQ143" s="207" t="str">
        <f t="shared" si="5"/>
        <v/>
      </c>
    </row>
    <row r="144" spans="28:69" x14ac:dyDescent="0.25">
      <c r="AB144" s="207" t="s">
        <v>249</v>
      </c>
      <c r="AC144" s="207" t="s">
        <v>354</v>
      </c>
      <c r="AD144" s="213">
        <v>3</v>
      </c>
      <c r="BB144" s="207" t="s">
        <v>40</v>
      </c>
      <c r="BC144" s="198">
        <v>7</v>
      </c>
      <c r="BD144" s="198">
        <v>0.3</v>
      </c>
      <c r="BE144" s="198">
        <v>0.4</v>
      </c>
      <c r="BF144" s="198">
        <v>0.09</v>
      </c>
      <c r="BG144" s="207" t="str">
        <f t="shared" si="4"/>
        <v/>
      </c>
      <c r="BL144" s="207" t="s">
        <v>40</v>
      </c>
      <c r="BM144" s="198">
        <v>7</v>
      </c>
      <c r="BN144" s="198">
        <v>0.3</v>
      </c>
      <c r="BO144" s="198">
        <v>0.4</v>
      </c>
      <c r="BP144" s="198">
        <v>0.28000000000000003</v>
      </c>
      <c r="BQ144" s="207" t="str">
        <f t="shared" si="5"/>
        <v/>
      </c>
    </row>
    <row r="145" spans="28:69" x14ac:dyDescent="0.25">
      <c r="AB145" s="207" t="s">
        <v>233</v>
      </c>
      <c r="AC145" s="207" t="s">
        <v>355</v>
      </c>
      <c r="AD145" s="213">
        <v>3</v>
      </c>
      <c r="BB145" s="207" t="s">
        <v>40</v>
      </c>
      <c r="BC145" s="198">
        <v>8</v>
      </c>
      <c r="BD145" s="198">
        <v>0.3</v>
      </c>
      <c r="BE145" s="198">
        <v>0.4</v>
      </c>
      <c r="BF145" s="198">
        <v>0.1</v>
      </c>
      <c r="BG145" s="207" t="str">
        <f t="shared" si="4"/>
        <v/>
      </c>
      <c r="BL145" s="207" t="s">
        <v>40</v>
      </c>
      <c r="BM145" s="198">
        <v>8</v>
      </c>
      <c r="BN145" s="198">
        <v>0.3</v>
      </c>
      <c r="BO145" s="198">
        <v>0.4</v>
      </c>
      <c r="BP145" s="198">
        <v>0.28000000000000003</v>
      </c>
      <c r="BQ145" s="207" t="str">
        <f t="shared" si="5"/>
        <v/>
      </c>
    </row>
    <row r="146" spans="28:69" x14ac:dyDescent="0.25">
      <c r="AB146" s="207" t="s">
        <v>214</v>
      </c>
      <c r="AC146" s="207" t="s">
        <v>356</v>
      </c>
      <c r="AD146" s="213">
        <v>2</v>
      </c>
      <c r="BB146" s="207" t="s">
        <v>40</v>
      </c>
      <c r="BC146" s="198">
        <v>1</v>
      </c>
      <c r="BD146" s="198">
        <v>0.4</v>
      </c>
      <c r="BE146" s="198">
        <v>0.5</v>
      </c>
      <c r="BF146" s="198">
        <v>0.3</v>
      </c>
      <c r="BG146" s="207" t="str">
        <f t="shared" si="4"/>
        <v/>
      </c>
      <c r="BL146" s="207" t="s">
        <v>40</v>
      </c>
      <c r="BM146" s="198">
        <v>1</v>
      </c>
      <c r="BN146" s="198">
        <v>0.4</v>
      </c>
      <c r="BO146" s="198">
        <v>0.5</v>
      </c>
      <c r="BP146" s="198">
        <v>0.3</v>
      </c>
      <c r="BQ146" s="207" t="str">
        <f t="shared" si="5"/>
        <v/>
      </c>
    </row>
    <row r="147" spans="28:69" x14ac:dyDescent="0.25">
      <c r="AB147" s="207" t="s">
        <v>214</v>
      </c>
      <c r="AC147" s="207" t="s">
        <v>357</v>
      </c>
      <c r="AD147" s="213">
        <v>2</v>
      </c>
      <c r="BB147" s="207" t="s">
        <v>40</v>
      </c>
      <c r="BC147" s="198">
        <v>2</v>
      </c>
      <c r="BD147" s="198">
        <v>0.4</v>
      </c>
      <c r="BE147" s="198">
        <v>0.5</v>
      </c>
      <c r="BF147" s="198">
        <v>0.27</v>
      </c>
      <c r="BG147" s="207" t="str">
        <f t="shared" si="4"/>
        <v/>
      </c>
      <c r="BL147" s="207" t="s">
        <v>40</v>
      </c>
      <c r="BM147" s="198">
        <v>2</v>
      </c>
      <c r="BN147" s="198">
        <v>0.4</v>
      </c>
      <c r="BO147" s="198">
        <v>0.5</v>
      </c>
      <c r="BP147" s="198">
        <v>0.28000000000000003</v>
      </c>
      <c r="BQ147" s="207" t="str">
        <f t="shared" si="5"/>
        <v/>
      </c>
    </row>
    <row r="148" spans="28:69" x14ac:dyDescent="0.25">
      <c r="AB148" s="207" t="s">
        <v>249</v>
      </c>
      <c r="AC148" s="207" t="s">
        <v>358</v>
      </c>
      <c r="AD148" s="213">
        <v>3</v>
      </c>
      <c r="BB148" s="207" t="s">
        <v>40</v>
      </c>
      <c r="BC148" s="198">
        <v>3</v>
      </c>
      <c r="BD148" s="198">
        <v>0.4</v>
      </c>
      <c r="BE148" s="198">
        <v>0.5</v>
      </c>
      <c r="BF148" s="198">
        <v>0.19</v>
      </c>
      <c r="BG148" s="207" t="str">
        <f t="shared" si="4"/>
        <v/>
      </c>
      <c r="BL148" s="207" t="s">
        <v>40</v>
      </c>
      <c r="BM148" s="198">
        <v>3</v>
      </c>
      <c r="BN148" s="198">
        <v>0.4</v>
      </c>
      <c r="BO148" s="198">
        <v>0.5</v>
      </c>
      <c r="BP148" s="198">
        <v>0.28000000000000003</v>
      </c>
      <c r="BQ148" s="207" t="str">
        <f t="shared" si="5"/>
        <v/>
      </c>
    </row>
    <row r="149" spans="28:69" x14ac:dyDescent="0.25">
      <c r="AB149" s="207" t="s">
        <v>214</v>
      </c>
      <c r="AC149" s="207" t="s">
        <v>359</v>
      </c>
      <c r="AD149" s="213">
        <v>2</v>
      </c>
      <c r="BB149" s="207" t="s">
        <v>40</v>
      </c>
      <c r="BC149" s="198">
        <v>4</v>
      </c>
      <c r="BD149" s="198">
        <v>0.4</v>
      </c>
      <c r="BE149" s="198">
        <v>0.5</v>
      </c>
      <c r="BF149" s="198">
        <v>0.14000000000000001</v>
      </c>
      <c r="BG149" s="207" t="str">
        <f t="shared" si="4"/>
        <v/>
      </c>
      <c r="BL149" s="207" t="s">
        <v>40</v>
      </c>
      <c r="BM149" s="198">
        <v>4</v>
      </c>
      <c r="BN149" s="198">
        <v>0.4</v>
      </c>
      <c r="BO149" s="198">
        <v>0.5</v>
      </c>
      <c r="BP149" s="198">
        <v>0.27</v>
      </c>
      <c r="BQ149" s="207" t="str">
        <f t="shared" si="5"/>
        <v/>
      </c>
    </row>
    <row r="150" spans="28:69" x14ac:dyDescent="0.25">
      <c r="AB150" s="207" t="s">
        <v>214</v>
      </c>
      <c r="AC150" s="207" t="s">
        <v>360</v>
      </c>
      <c r="AD150" s="213">
        <v>2</v>
      </c>
      <c r="BB150" s="207" t="s">
        <v>40</v>
      </c>
      <c r="BC150" s="198">
        <v>5</v>
      </c>
      <c r="BD150" s="198">
        <v>0.4</v>
      </c>
      <c r="BE150" s="198">
        <v>0.5</v>
      </c>
      <c r="BF150" s="198">
        <v>0.19</v>
      </c>
      <c r="BG150" s="207" t="str">
        <f t="shared" si="4"/>
        <v/>
      </c>
      <c r="BL150" s="207" t="s">
        <v>40</v>
      </c>
      <c r="BM150" s="198">
        <v>5</v>
      </c>
      <c r="BN150" s="198">
        <v>0.4</v>
      </c>
      <c r="BO150" s="198">
        <v>0.5</v>
      </c>
      <c r="BP150" s="198">
        <v>0.28999999999999998</v>
      </c>
      <c r="BQ150" s="207" t="str">
        <f t="shared" si="5"/>
        <v/>
      </c>
    </row>
    <row r="151" spans="28:69" x14ac:dyDescent="0.25">
      <c r="AB151" s="207" t="s">
        <v>249</v>
      </c>
      <c r="AC151" s="207" t="s">
        <v>361</v>
      </c>
      <c r="AD151" s="213">
        <v>3</v>
      </c>
      <c r="BB151" s="207" t="s">
        <v>40</v>
      </c>
      <c r="BC151" s="198">
        <v>6</v>
      </c>
      <c r="BD151" s="198">
        <v>0.4</v>
      </c>
      <c r="BE151" s="198">
        <v>0.5</v>
      </c>
      <c r="BF151" s="198">
        <v>0.14000000000000001</v>
      </c>
      <c r="BG151" s="207" t="str">
        <f t="shared" si="4"/>
        <v/>
      </c>
      <c r="BL151" s="207" t="s">
        <v>40</v>
      </c>
      <c r="BM151" s="198">
        <v>6</v>
      </c>
      <c r="BN151" s="198">
        <v>0.4</v>
      </c>
      <c r="BO151" s="198">
        <v>0.5</v>
      </c>
      <c r="BP151" s="198">
        <v>0.28000000000000003</v>
      </c>
      <c r="BQ151" s="207" t="str">
        <f t="shared" si="5"/>
        <v/>
      </c>
    </row>
    <row r="152" spans="28:69" x14ac:dyDescent="0.25">
      <c r="AB152" s="207" t="s">
        <v>249</v>
      </c>
      <c r="AC152" s="207" t="s">
        <v>362</v>
      </c>
      <c r="AD152" s="213">
        <v>3</v>
      </c>
      <c r="BB152" s="207" t="s">
        <v>40</v>
      </c>
      <c r="BC152" s="198">
        <v>7</v>
      </c>
      <c r="BD152" s="198">
        <v>0.4</v>
      </c>
      <c r="BE152" s="198">
        <v>0.5</v>
      </c>
      <c r="BF152" s="198">
        <v>0.08</v>
      </c>
      <c r="BG152" s="207" t="str">
        <f t="shared" si="4"/>
        <v/>
      </c>
      <c r="BL152" s="207" t="s">
        <v>40</v>
      </c>
      <c r="BM152" s="198">
        <v>7</v>
      </c>
      <c r="BN152" s="198">
        <v>0.4</v>
      </c>
      <c r="BO152" s="198">
        <v>0.5</v>
      </c>
      <c r="BP152" s="198">
        <v>0.26</v>
      </c>
      <c r="BQ152" s="207" t="str">
        <f t="shared" si="5"/>
        <v/>
      </c>
    </row>
    <row r="153" spans="28:69" x14ac:dyDescent="0.25">
      <c r="AB153" s="207" t="s">
        <v>214</v>
      </c>
      <c r="AC153" s="207" t="s">
        <v>363</v>
      </c>
      <c r="AD153" s="213">
        <v>2</v>
      </c>
      <c r="BB153" s="207" t="s">
        <v>40</v>
      </c>
      <c r="BC153" s="198">
        <v>8</v>
      </c>
      <c r="BD153" s="198">
        <v>0.4</v>
      </c>
      <c r="BE153" s="198">
        <v>0.5</v>
      </c>
      <c r="BF153" s="198">
        <v>0.1</v>
      </c>
      <c r="BG153" s="207" t="str">
        <f t="shared" si="4"/>
        <v/>
      </c>
      <c r="BL153" s="207" t="s">
        <v>40</v>
      </c>
      <c r="BM153" s="198">
        <v>8</v>
      </c>
      <c r="BN153" s="198">
        <v>0.4</v>
      </c>
      <c r="BO153" s="198">
        <v>0.5</v>
      </c>
      <c r="BP153" s="198">
        <v>0.27</v>
      </c>
      <c r="BQ153" s="207" t="str">
        <f t="shared" si="5"/>
        <v/>
      </c>
    </row>
    <row r="154" spans="28:69" x14ac:dyDescent="0.25">
      <c r="AB154" s="207" t="s">
        <v>249</v>
      </c>
      <c r="AC154" s="207" t="s">
        <v>364</v>
      </c>
      <c r="AD154" s="213">
        <v>3</v>
      </c>
      <c r="BB154" s="207" t="s">
        <v>40</v>
      </c>
      <c r="BC154" s="198">
        <v>1</v>
      </c>
      <c r="BD154" s="198">
        <v>0.5</v>
      </c>
      <c r="BE154" s="198">
        <v>100</v>
      </c>
      <c r="BF154" s="198">
        <v>0.34</v>
      </c>
      <c r="BG154" s="207" t="str">
        <f t="shared" si="4"/>
        <v/>
      </c>
      <c r="BL154" s="207" t="s">
        <v>40</v>
      </c>
      <c r="BM154" s="198">
        <v>1</v>
      </c>
      <c r="BN154" s="198">
        <v>0.5</v>
      </c>
      <c r="BO154" s="198">
        <v>100</v>
      </c>
      <c r="BP154" s="198">
        <v>0.3</v>
      </c>
      <c r="BQ154" s="207" t="str">
        <f t="shared" si="5"/>
        <v/>
      </c>
    </row>
    <row r="155" spans="28:69" x14ac:dyDescent="0.25">
      <c r="AB155" s="207" t="s">
        <v>249</v>
      </c>
      <c r="AC155" s="207" t="s">
        <v>365</v>
      </c>
      <c r="AD155" s="213">
        <v>2</v>
      </c>
      <c r="BB155" s="207" t="s">
        <v>40</v>
      </c>
      <c r="BC155" s="198">
        <v>2</v>
      </c>
      <c r="BD155" s="198">
        <v>0.5</v>
      </c>
      <c r="BE155" s="198">
        <v>100</v>
      </c>
      <c r="BF155" s="198">
        <v>0.32</v>
      </c>
      <c r="BG155" s="207" t="str">
        <f t="shared" si="4"/>
        <v/>
      </c>
      <c r="BL155" s="207" t="s">
        <v>40</v>
      </c>
      <c r="BM155" s="198">
        <v>2</v>
      </c>
      <c r="BN155" s="198">
        <v>0.5</v>
      </c>
      <c r="BO155" s="198">
        <v>100</v>
      </c>
      <c r="BP155" s="198">
        <v>0.28000000000000003</v>
      </c>
      <c r="BQ155" s="207" t="str">
        <f t="shared" si="5"/>
        <v/>
      </c>
    </row>
    <row r="156" spans="28:69" x14ac:dyDescent="0.25">
      <c r="AB156" s="207" t="s">
        <v>249</v>
      </c>
      <c r="AC156" s="207" t="s">
        <v>366</v>
      </c>
      <c r="AD156" s="213">
        <v>3</v>
      </c>
      <c r="BB156" s="207" t="s">
        <v>40</v>
      </c>
      <c r="BC156" s="198">
        <v>3</v>
      </c>
      <c r="BD156" s="198">
        <v>0.5</v>
      </c>
      <c r="BE156" s="198">
        <v>100</v>
      </c>
      <c r="BF156" s="198">
        <v>0.2</v>
      </c>
      <c r="BG156" s="207" t="str">
        <f t="shared" si="4"/>
        <v/>
      </c>
      <c r="BL156" s="207" t="s">
        <v>40</v>
      </c>
      <c r="BM156" s="198">
        <v>3</v>
      </c>
      <c r="BN156" s="198">
        <v>0.5</v>
      </c>
      <c r="BO156" s="198">
        <v>100</v>
      </c>
      <c r="BP156" s="198">
        <v>0.28000000000000003</v>
      </c>
      <c r="BQ156" s="207" t="str">
        <f t="shared" si="5"/>
        <v/>
      </c>
    </row>
    <row r="157" spans="28:69" x14ac:dyDescent="0.25">
      <c r="AB157" s="207" t="s">
        <v>249</v>
      </c>
      <c r="AC157" s="207" t="s">
        <v>367</v>
      </c>
      <c r="AD157" s="213">
        <v>3</v>
      </c>
      <c r="BB157" s="207" t="s">
        <v>40</v>
      </c>
      <c r="BC157" s="198">
        <v>4</v>
      </c>
      <c r="BD157" s="198">
        <v>0.5</v>
      </c>
      <c r="BE157" s="198">
        <v>100</v>
      </c>
      <c r="BF157" s="198">
        <v>0.15</v>
      </c>
      <c r="BG157" s="207" t="str">
        <f t="shared" si="4"/>
        <v/>
      </c>
      <c r="BL157" s="207" t="s">
        <v>40</v>
      </c>
      <c r="BM157" s="198">
        <v>4</v>
      </c>
      <c r="BN157" s="198">
        <v>0.5</v>
      </c>
      <c r="BO157" s="198">
        <v>100</v>
      </c>
      <c r="BP157" s="198">
        <v>0.27</v>
      </c>
      <c r="BQ157" s="207" t="str">
        <f t="shared" si="5"/>
        <v/>
      </c>
    </row>
    <row r="158" spans="28:69" x14ac:dyDescent="0.25">
      <c r="AB158" s="207" t="s">
        <v>249</v>
      </c>
      <c r="AC158" s="207" t="s">
        <v>368</v>
      </c>
      <c r="AD158" s="213">
        <v>3</v>
      </c>
      <c r="BB158" s="207" t="s">
        <v>40</v>
      </c>
      <c r="BC158" s="198">
        <v>5</v>
      </c>
      <c r="BD158" s="198">
        <v>0.5</v>
      </c>
      <c r="BE158" s="198">
        <v>100</v>
      </c>
      <c r="BF158" s="198">
        <v>0.21</v>
      </c>
      <c r="BG158" s="207" t="str">
        <f t="shared" si="4"/>
        <v/>
      </c>
      <c r="BL158" s="207" t="s">
        <v>40</v>
      </c>
      <c r="BM158" s="198">
        <v>5</v>
      </c>
      <c r="BN158" s="198">
        <v>0.5</v>
      </c>
      <c r="BO158" s="198">
        <v>100</v>
      </c>
      <c r="BP158" s="198">
        <v>0.28999999999999998</v>
      </c>
      <c r="BQ158" s="207" t="str">
        <f t="shared" si="5"/>
        <v/>
      </c>
    </row>
    <row r="159" spans="28:69" x14ac:dyDescent="0.25">
      <c r="AB159" s="207" t="s">
        <v>249</v>
      </c>
      <c r="AC159" s="207" t="s">
        <v>369</v>
      </c>
      <c r="AD159" s="213">
        <v>3</v>
      </c>
      <c r="BB159" s="207" t="s">
        <v>40</v>
      </c>
      <c r="BC159" s="198">
        <v>6</v>
      </c>
      <c r="BD159" s="198">
        <v>0.5</v>
      </c>
      <c r="BE159" s="198">
        <v>100</v>
      </c>
      <c r="BF159" s="198">
        <v>0.14000000000000001</v>
      </c>
      <c r="BG159" s="207" t="str">
        <f t="shared" si="4"/>
        <v/>
      </c>
      <c r="BL159" s="207" t="s">
        <v>40</v>
      </c>
      <c r="BM159" s="198">
        <v>6</v>
      </c>
      <c r="BN159" s="198">
        <v>0.5</v>
      </c>
      <c r="BO159" s="198">
        <v>100</v>
      </c>
      <c r="BP159" s="198">
        <v>0.28000000000000003</v>
      </c>
      <c r="BQ159" s="207" t="str">
        <f t="shared" si="5"/>
        <v/>
      </c>
    </row>
    <row r="160" spans="28:69" x14ac:dyDescent="0.25">
      <c r="AB160" s="207" t="s">
        <v>249</v>
      </c>
      <c r="AC160" s="207" t="s">
        <v>370</v>
      </c>
      <c r="AD160" s="213">
        <v>2</v>
      </c>
      <c r="BB160" s="207" t="s">
        <v>40</v>
      </c>
      <c r="BC160" s="198">
        <v>7</v>
      </c>
      <c r="BD160" s="198">
        <v>0.5</v>
      </c>
      <c r="BE160" s="198">
        <v>100</v>
      </c>
      <c r="BF160" s="198">
        <v>0.08</v>
      </c>
      <c r="BG160" s="207" t="str">
        <f t="shared" si="4"/>
        <v/>
      </c>
      <c r="BL160" s="207" t="s">
        <v>40</v>
      </c>
      <c r="BM160" s="198">
        <v>7</v>
      </c>
      <c r="BN160" s="198">
        <v>0.5</v>
      </c>
      <c r="BO160" s="198">
        <v>100</v>
      </c>
      <c r="BP160" s="198">
        <v>0.26</v>
      </c>
      <c r="BQ160" s="207" t="str">
        <f t="shared" si="5"/>
        <v/>
      </c>
    </row>
    <row r="161" spans="28:69" x14ac:dyDescent="0.25">
      <c r="AB161" s="207" t="s">
        <v>214</v>
      </c>
      <c r="AC161" s="207" t="s">
        <v>371</v>
      </c>
      <c r="AD161" s="213">
        <v>2</v>
      </c>
      <c r="BB161" s="207" t="s">
        <v>40</v>
      </c>
      <c r="BC161" s="198">
        <v>8</v>
      </c>
      <c r="BD161" s="198">
        <v>0.5</v>
      </c>
      <c r="BE161" s="198">
        <v>100</v>
      </c>
      <c r="BF161" s="198">
        <v>0.1</v>
      </c>
      <c r="BG161" s="207" t="str">
        <f t="shared" si="4"/>
        <v/>
      </c>
      <c r="BL161" s="207" t="s">
        <v>40</v>
      </c>
      <c r="BM161" s="198">
        <v>8</v>
      </c>
      <c r="BN161" s="198">
        <v>0.5</v>
      </c>
      <c r="BO161" s="198">
        <v>100</v>
      </c>
      <c r="BP161" s="198">
        <v>0.27</v>
      </c>
      <c r="BQ161" s="207" t="str">
        <f t="shared" si="5"/>
        <v/>
      </c>
    </row>
    <row r="162" spans="28:69" x14ac:dyDescent="0.25">
      <c r="AB162" s="207" t="s">
        <v>249</v>
      </c>
      <c r="AC162" s="207" t="s">
        <v>372</v>
      </c>
      <c r="AD162" s="213">
        <v>2</v>
      </c>
      <c r="BB162" s="207" t="s">
        <v>41</v>
      </c>
      <c r="BC162" s="198">
        <v>1</v>
      </c>
      <c r="BD162" s="198">
        <v>0</v>
      </c>
      <c r="BE162" s="198">
        <v>0.2</v>
      </c>
      <c r="BF162" s="198">
        <v>0.43</v>
      </c>
      <c r="BG162" s="207" t="str">
        <f t="shared" si="4"/>
        <v/>
      </c>
      <c r="BL162" s="207" t="s">
        <v>5825</v>
      </c>
      <c r="BM162" s="198">
        <v>1</v>
      </c>
      <c r="BN162" s="198">
        <v>0</v>
      </c>
      <c r="BO162" s="198">
        <v>0.2</v>
      </c>
      <c r="BP162" s="198">
        <v>0.37</v>
      </c>
      <c r="BQ162" s="207" t="str">
        <f t="shared" si="5"/>
        <v/>
      </c>
    </row>
    <row r="163" spans="28:69" x14ac:dyDescent="0.25">
      <c r="AB163" s="207" t="s">
        <v>373</v>
      </c>
      <c r="AC163" s="207" t="s">
        <v>374</v>
      </c>
      <c r="AD163" s="213">
        <v>5</v>
      </c>
      <c r="BB163" s="207" t="s">
        <v>41</v>
      </c>
      <c r="BC163" s="198">
        <v>2</v>
      </c>
      <c r="BD163" s="198">
        <v>0</v>
      </c>
      <c r="BE163" s="198">
        <v>0.2</v>
      </c>
      <c r="BF163" s="198">
        <v>0.38</v>
      </c>
      <c r="BG163" s="207" t="str">
        <f t="shared" si="4"/>
        <v/>
      </c>
      <c r="BL163" s="207" t="s">
        <v>5825</v>
      </c>
      <c r="BM163" s="198">
        <v>2</v>
      </c>
      <c r="BN163" s="198">
        <v>0</v>
      </c>
      <c r="BO163" s="198">
        <v>0.2</v>
      </c>
      <c r="BP163" s="198">
        <v>0.36</v>
      </c>
      <c r="BQ163" s="207" t="str">
        <f t="shared" si="5"/>
        <v/>
      </c>
    </row>
    <row r="164" spans="28:69" x14ac:dyDescent="0.25">
      <c r="AB164" s="207" t="s">
        <v>373</v>
      </c>
      <c r="AC164" s="207" t="s">
        <v>375</v>
      </c>
      <c r="AD164" s="213">
        <v>5</v>
      </c>
      <c r="BB164" s="207" t="s">
        <v>41</v>
      </c>
      <c r="BC164" s="198">
        <v>3</v>
      </c>
      <c r="BD164" s="198">
        <v>0</v>
      </c>
      <c r="BE164" s="198">
        <v>0.2</v>
      </c>
      <c r="BF164" s="198">
        <v>0.34</v>
      </c>
      <c r="BG164" s="207" t="str">
        <f t="shared" si="4"/>
        <v/>
      </c>
      <c r="BL164" s="207" t="s">
        <v>5825</v>
      </c>
      <c r="BM164" s="198">
        <v>3</v>
      </c>
      <c r="BN164" s="198">
        <v>0</v>
      </c>
      <c r="BO164" s="198">
        <v>0.2</v>
      </c>
      <c r="BP164" s="198">
        <v>0.36</v>
      </c>
      <c r="BQ164" s="207" t="str">
        <f t="shared" si="5"/>
        <v/>
      </c>
    </row>
    <row r="165" spans="28:69" x14ac:dyDescent="0.25">
      <c r="AB165" s="207" t="s">
        <v>219</v>
      </c>
      <c r="AC165" s="207" t="s">
        <v>376</v>
      </c>
      <c r="AD165" s="213">
        <v>5</v>
      </c>
      <c r="BB165" s="207" t="s">
        <v>41</v>
      </c>
      <c r="BC165" s="198">
        <v>4</v>
      </c>
      <c r="BD165" s="198">
        <v>0</v>
      </c>
      <c r="BE165" s="198">
        <v>0.2</v>
      </c>
      <c r="BF165" s="198">
        <v>0.28000000000000003</v>
      </c>
      <c r="BG165" s="207" t="str">
        <f t="shared" si="4"/>
        <v/>
      </c>
      <c r="BL165" s="207" t="s">
        <v>5825</v>
      </c>
      <c r="BM165" s="198">
        <v>4</v>
      </c>
      <c r="BN165" s="198">
        <v>0</v>
      </c>
      <c r="BO165" s="198">
        <v>0.2</v>
      </c>
      <c r="BP165" s="198">
        <v>0.35</v>
      </c>
      <c r="BQ165" s="207" t="str">
        <f t="shared" si="5"/>
        <v/>
      </c>
    </row>
    <row r="166" spans="28:69" x14ac:dyDescent="0.25">
      <c r="AB166" s="207" t="s">
        <v>249</v>
      </c>
      <c r="AC166" s="207" t="s">
        <v>377</v>
      </c>
      <c r="AD166" s="213">
        <v>3</v>
      </c>
      <c r="BB166" s="207" t="s">
        <v>41</v>
      </c>
      <c r="BC166" s="198">
        <v>5</v>
      </c>
      <c r="BD166" s="198">
        <v>0</v>
      </c>
      <c r="BE166" s="198">
        <v>0.2</v>
      </c>
      <c r="BF166" s="198">
        <v>0.33</v>
      </c>
      <c r="BG166" s="207" t="str">
        <f t="shared" si="4"/>
        <v/>
      </c>
      <c r="BL166" s="207" t="s">
        <v>5825</v>
      </c>
      <c r="BM166" s="198">
        <v>5</v>
      </c>
      <c r="BN166" s="198">
        <v>0</v>
      </c>
      <c r="BO166" s="198">
        <v>0.2</v>
      </c>
      <c r="BP166" s="198">
        <v>0.36</v>
      </c>
      <c r="BQ166" s="207" t="str">
        <f t="shared" si="5"/>
        <v/>
      </c>
    </row>
    <row r="167" spans="28:69" x14ac:dyDescent="0.25">
      <c r="AB167" s="207" t="s">
        <v>249</v>
      </c>
      <c r="AC167" s="207" t="s">
        <v>378</v>
      </c>
      <c r="AD167" s="213">
        <v>2</v>
      </c>
      <c r="BB167" s="207" t="s">
        <v>41</v>
      </c>
      <c r="BC167" s="198">
        <v>6</v>
      </c>
      <c r="BD167" s="198">
        <v>0</v>
      </c>
      <c r="BE167" s="198">
        <v>0.2</v>
      </c>
      <c r="BF167" s="198">
        <v>0.28999999999999998</v>
      </c>
      <c r="BG167" s="207" t="str">
        <f t="shared" si="4"/>
        <v/>
      </c>
      <c r="BL167" s="207" t="s">
        <v>5825</v>
      </c>
      <c r="BM167" s="198">
        <v>6</v>
      </c>
      <c r="BN167" s="198">
        <v>0</v>
      </c>
      <c r="BO167" s="198">
        <v>0.2</v>
      </c>
      <c r="BP167" s="198">
        <v>0.36</v>
      </c>
      <c r="BQ167" s="207" t="str">
        <f t="shared" si="5"/>
        <v/>
      </c>
    </row>
    <row r="168" spans="28:69" x14ac:dyDescent="0.25">
      <c r="AB168" s="207" t="s">
        <v>249</v>
      </c>
      <c r="AC168" s="207" t="s">
        <v>379</v>
      </c>
      <c r="AD168" s="213">
        <v>2</v>
      </c>
      <c r="BB168" s="207" t="s">
        <v>41</v>
      </c>
      <c r="BC168" s="198">
        <v>7</v>
      </c>
      <c r="BD168" s="198">
        <v>0</v>
      </c>
      <c r="BE168" s="198">
        <v>0.2</v>
      </c>
      <c r="BF168" s="198">
        <v>0.19</v>
      </c>
      <c r="BG168" s="207" t="str">
        <f t="shared" si="4"/>
        <v/>
      </c>
      <c r="BL168" s="207" t="s">
        <v>5825</v>
      </c>
      <c r="BM168" s="198">
        <v>7</v>
      </c>
      <c r="BN168" s="198">
        <v>0</v>
      </c>
      <c r="BO168" s="198">
        <v>0.2</v>
      </c>
      <c r="BP168" s="198">
        <v>0.34</v>
      </c>
      <c r="BQ168" s="207" t="str">
        <f t="shared" si="5"/>
        <v/>
      </c>
    </row>
    <row r="169" spans="28:69" x14ac:dyDescent="0.25">
      <c r="AB169" s="207" t="s">
        <v>249</v>
      </c>
      <c r="AC169" s="207" t="s">
        <v>380</v>
      </c>
      <c r="AD169" s="213">
        <v>4</v>
      </c>
      <c r="BB169" s="207" t="s">
        <v>41</v>
      </c>
      <c r="BC169" s="198">
        <v>8</v>
      </c>
      <c r="BD169" s="198">
        <v>0</v>
      </c>
      <c r="BE169" s="198">
        <v>0.2</v>
      </c>
      <c r="BF169" s="198">
        <v>0.23</v>
      </c>
      <c r="BG169" s="207" t="str">
        <f t="shared" si="4"/>
        <v/>
      </c>
      <c r="BL169" s="207" t="s">
        <v>5825</v>
      </c>
      <c r="BM169" s="198">
        <v>8</v>
      </c>
      <c r="BN169" s="198">
        <v>0</v>
      </c>
      <c r="BO169" s="198">
        <v>0.2</v>
      </c>
      <c r="BP169" s="198">
        <v>0.35</v>
      </c>
      <c r="BQ169" s="207" t="str">
        <f t="shared" si="5"/>
        <v/>
      </c>
    </row>
    <row r="170" spans="28:69" x14ac:dyDescent="0.25">
      <c r="AB170" s="207" t="s">
        <v>249</v>
      </c>
      <c r="AC170" s="207" t="s">
        <v>381</v>
      </c>
      <c r="AD170" s="213">
        <v>3</v>
      </c>
      <c r="BB170" s="207" t="s">
        <v>41</v>
      </c>
      <c r="BC170" s="198">
        <v>1</v>
      </c>
      <c r="BD170" s="198">
        <v>0.2</v>
      </c>
      <c r="BE170" s="198">
        <v>0.3</v>
      </c>
      <c r="BF170" s="198">
        <v>0.44</v>
      </c>
      <c r="BG170" s="207" t="str">
        <f t="shared" si="4"/>
        <v/>
      </c>
      <c r="BL170" s="207" t="s">
        <v>5825</v>
      </c>
      <c r="BM170" s="198">
        <v>1</v>
      </c>
      <c r="BN170" s="198">
        <v>0.2</v>
      </c>
      <c r="BO170" s="198">
        <v>0.3</v>
      </c>
      <c r="BP170" s="198">
        <v>0.35</v>
      </c>
      <c r="BQ170" s="207" t="str">
        <f t="shared" si="5"/>
        <v/>
      </c>
    </row>
    <row r="171" spans="28:69" x14ac:dyDescent="0.25">
      <c r="AB171" s="207" t="s">
        <v>249</v>
      </c>
      <c r="AC171" s="207" t="s">
        <v>382</v>
      </c>
      <c r="AD171" s="213">
        <v>4</v>
      </c>
      <c r="BB171" s="207" t="s">
        <v>41</v>
      </c>
      <c r="BC171" s="198">
        <v>2</v>
      </c>
      <c r="BD171" s="198">
        <v>0.2</v>
      </c>
      <c r="BE171" s="198">
        <v>0.3</v>
      </c>
      <c r="BF171" s="198">
        <v>0.39</v>
      </c>
      <c r="BG171" s="207" t="str">
        <f t="shared" si="4"/>
        <v/>
      </c>
      <c r="BL171" s="207" t="s">
        <v>5825</v>
      </c>
      <c r="BM171" s="198">
        <v>2</v>
      </c>
      <c r="BN171" s="198">
        <v>0.2</v>
      </c>
      <c r="BO171" s="198">
        <v>0.3</v>
      </c>
      <c r="BP171" s="198">
        <v>0.34</v>
      </c>
      <c r="BQ171" s="207" t="str">
        <f t="shared" si="5"/>
        <v/>
      </c>
    </row>
    <row r="172" spans="28:69" x14ac:dyDescent="0.25">
      <c r="AB172" s="207" t="s">
        <v>249</v>
      </c>
      <c r="AC172" s="207" t="s">
        <v>383</v>
      </c>
      <c r="AD172" s="213">
        <v>4</v>
      </c>
      <c r="BB172" s="207" t="s">
        <v>41</v>
      </c>
      <c r="BC172" s="198">
        <v>3</v>
      </c>
      <c r="BD172" s="198">
        <v>0.2</v>
      </c>
      <c r="BE172" s="198">
        <v>0.3</v>
      </c>
      <c r="BF172" s="198">
        <v>0.34</v>
      </c>
      <c r="BG172" s="207" t="str">
        <f t="shared" si="4"/>
        <v/>
      </c>
      <c r="BL172" s="207" t="s">
        <v>5825</v>
      </c>
      <c r="BM172" s="198">
        <v>3</v>
      </c>
      <c r="BN172" s="198">
        <v>0.2</v>
      </c>
      <c r="BO172" s="198">
        <v>0.3</v>
      </c>
      <c r="BP172" s="198">
        <v>0.34</v>
      </c>
      <c r="BQ172" s="207" t="str">
        <f t="shared" si="5"/>
        <v/>
      </c>
    </row>
    <row r="173" spans="28:69" x14ac:dyDescent="0.25">
      <c r="AB173" s="207" t="s">
        <v>249</v>
      </c>
      <c r="AC173" s="207" t="s">
        <v>384</v>
      </c>
      <c r="AD173" s="213">
        <v>3</v>
      </c>
      <c r="BB173" s="207" t="s">
        <v>41</v>
      </c>
      <c r="BC173" s="198">
        <v>4</v>
      </c>
      <c r="BD173" s="198">
        <v>0.2</v>
      </c>
      <c r="BE173" s="198">
        <v>0.3</v>
      </c>
      <c r="BF173" s="198">
        <v>0.28999999999999998</v>
      </c>
      <c r="BG173" s="207" t="str">
        <f t="shared" si="4"/>
        <v/>
      </c>
      <c r="BL173" s="207" t="s">
        <v>5825</v>
      </c>
      <c r="BM173" s="198">
        <v>4</v>
      </c>
      <c r="BN173" s="198">
        <v>0.2</v>
      </c>
      <c r="BO173" s="198">
        <v>0.3</v>
      </c>
      <c r="BP173" s="198">
        <v>0.34</v>
      </c>
      <c r="BQ173" s="207" t="str">
        <f t="shared" si="5"/>
        <v/>
      </c>
    </row>
    <row r="174" spans="28:69" x14ac:dyDescent="0.25">
      <c r="AB174" s="207" t="s">
        <v>249</v>
      </c>
      <c r="AC174" s="207" t="s">
        <v>385</v>
      </c>
      <c r="AD174" s="213">
        <v>3</v>
      </c>
      <c r="BB174" s="207" t="s">
        <v>41</v>
      </c>
      <c r="BC174" s="198">
        <v>5</v>
      </c>
      <c r="BD174" s="198">
        <v>0.2</v>
      </c>
      <c r="BE174" s="198">
        <v>0.3</v>
      </c>
      <c r="BF174" s="198">
        <v>0.34</v>
      </c>
      <c r="BG174" s="207" t="str">
        <f t="shared" si="4"/>
        <v/>
      </c>
      <c r="BL174" s="207" t="s">
        <v>5825</v>
      </c>
      <c r="BM174" s="198">
        <v>5</v>
      </c>
      <c r="BN174" s="198">
        <v>0.2</v>
      </c>
      <c r="BO174" s="198">
        <v>0.3</v>
      </c>
      <c r="BP174" s="198">
        <v>0.34</v>
      </c>
      <c r="BQ174" s="207" t="str">
        <f t="shared" si="5"/>
        <v/>
      </c>
    </row>
    <row r="175" spans="28:69" x14ac:dyDescent="0.25">
      <c r="AB175" s="207" t="s">
        <v>249</v>
      </c>
      <c r="AC175" s="207" t="s">
        <v>386</v>
      </c>
      <c r="AD175" s="213">
        <v>3</v>
      </c>
      <c r="BB175" s="207" t="s">
        <v>41</v>
      </c>
      <c r="BC175" s="198">
        <v>6</v>
      </c>
      <c r="BD175" s="198">
        <v>0.2</v>
      </c>
      <c r="BE175" s="198">
        <v>0.3</v>
      </c>
      <c r="BF175" s="198">
        <v>0.28999999999999998</v>
      </c>
      <c r="BG175" s="207" t="str">
        <f t="shared" si="4"/>
        <v/>
      </c>
      <c r="BL175" s="207" t="s">
        <v>5825</v>
      </c>
      <c r="BM175" s="198">
        <v>6</v>
      </c>
      <c r="BN175" s="198">
        <v>0.2</v>
      </c>
      <c r="BO175" s="198">
        <v>0.3</v>
      </c>
      <c r="BP175" s="198">
        <v>0.34</v>
      </c>
      <c r="BQ175" s="207" t="str">
        <f t="shared" si="5"/>
        <v/>
      </c>
    </row>
    <row r="176" spans="28:69" x14ac:dyDescent="0.25">
      <c r="AB176" s="207" t="s">
        <v>249</v>
      </c>
      <c r="AC176" s="207" t="s">
        <v>387</v>
      </c>
      <c r="AD176" s="213">
        <v>3</v>
      </c>
      <c r="BB176" s="207" t="s">
        <v>41</v>
      </c>
      <c r="BC176" s="198">
        <v>7</v>
      </c>
      <c r="BD176" s="198">
        <v>0.2</v>
      </c>
      <c r="BE176" s="198">
        <v>0.3</v>
      </c>
      <c r="BF176" s="198">
        <v>0.2</v>
      </c>
      <c r="BG176" s="207" t="str">
        <f t="shared" si="4"/>
        <v/>
      </c>
      <c r="BL176" s="207" t="s">
        <v>5825</v>
      </c>
      <c r="BM176" s="198">
        <v>7</v>
      </c>
      <c r="BN176" s="198">
        <v>0.2</v>
      </c>
      <c r="BO176" s="198">
        <v>0.3</v>
      </c>
      <c r="BP176" s="198">
        <v>0.33</v>
      </c>
      <c r="BQ176" s="207" t="str">
        <f t="shared" si="5"/>
        <v/>
      </c>
    </row>
    <row r="177" spans="28:69" x14ac:dyDescent="0.25">
      <c r="AB177" s="207" t="s">
        <v>249</v>
      </c>
      <c r="AC177" s="207" t="s">
        <v>388</v>
      </c>
      <c r="AD177" s="213">
        <v>3</v>
      </c>
      <c r="BB177" s="207" t="s">
        <v>41</v>
      </c>
      <c r="BC177" s="198">
        <v>8</v>
      </c>
      <c r="BD177" s="198">
        <v>0.2</v>
      </c>
      <c r="BE177" s="198">
        <v>0.3</v>
      </c>
      <c r="BF177" s="198">
        <v>0.23</v>
      </c>
      <c r="BG177" s="207" t="str">
        <f t="shared" si="4"/>
        <v/>
      </c>
      <c r="BL177" s="207" t="s">
        <v>5825</v>
      </c>
      <c r="BM177" s="198">
        <v>8</v>
      </c>
      <c r="BN177" s="198">
        <v>0.2</v>
      </c>
      <c r="BO177" s="198">
        <v>0.3</v>
      </c>
      <c r="BP177" s="198">
        <v>0.33</v>
      </c>
      <c r="BQ177" s="207" t="str">
        <f t="shared" si="5"/>
        <v/>
      </c>
    </row>
    <row r="178" spans="28:69" x14ac:dyDescent="0.25">
      <c r="AB178" s="207" t="s">
        <v>249</v>
      </c>
      <c r="AC178" s="207" t="s">
        <v>389</v>
      </c>
      <c r="AD178" s="213">
        <v>4</v>
      </c>
      <c r="BB178" s="207" t="s">
        <v>41</v>
      </c>
      <c r="BC178" s="198">
        <v>1</v>
      </c>
      <c r="BD178" s="198">
        <v>0.3</v>
      </c>
      <c r="BE178" s="198">
        <v>0.4</v>
      </c>
      <c r="BF178" s="198">
        <v>0.45</v>
      </c>
      <c r="BG178" s="207" t="str">
        <f t="shared" si="4"/>
        <v/>
      </c>
      <c r="BL178" s="207" t="s">
        <v>5825</v>
      </c>
      <c r="BM178" s="198">
        <v>1</v>
      </c>
      <c r="BN178" s="198">
        <v>0.3</v>
      </c>
      <c r="BO178" s="198">
        <v>0.4</v>
      </c>
      <c r="BP178" s="198">
        <v>0.34</v>
      </c>
      <c r="BQ178" s="207" t="str">
        <f t="shared" si="5"/>
        <v/>
      </c>
    </row>
    <row r="179" spans="28:69" x14ac:dyDescent="0.25">
      <c r="AB179" s="207" t="s">
        <v>249</v>
      </c>
      <c r="AC179" s="207" t="s">
        <v>390</v>
      </c>
      <c r="AD179" s="213">
        <v>3</v>
      </c>
      <c r="BB179" s="207" t="s">
        <v>41</v>
      </c>
      <c r="BC179" s="198">
        <v>2</v>
      </c>
      <c r="BD179" s="198">
        <v>0.3</v>
      </c>
      <c r="BE179" s="198">
        <v>0.4</v>
      </c>
      <c r="BF179" s="198">
        <v>0.41</v>
      </c>
      <c r="BG179" s="207" t="str">
        <f t="shared" si="4"/>
        <v/>
      </c>
      <c r="BL179" s="207" t="s">
        <v>5825</v>
      </c>
      <c r="BM179" s="198">
        <v>2</v>
      </c>
      <c r="BN179" s="198">
        <v>0.3</v>
      </c>
      <c r="BO179" s="198">
        <v>0.4</v>
      </c>
      <c r="BP179" s="198">
        <v>0.34</v>
      </c>
      <c r="BQ179" s="207" t="str">
        <f t="shared" si="5"/>
        <v/>
      </c>
    </row>
    <row r="180" spans="28:69" x14ac:dyDescent="0.25">
      <c r="AB180" s="207" t="s">
        <v>249</v>
      </c>
      <c r="AC180" s="207" t="s">
        <v>391</v>
      </c>
      <c r="AD180" s="213">
        <v>3</v>
      </c>
      <c r="BB180" s="207" t="s">
        <v>41</v>
      </c>
      <c r="BC180" s="198">
        <v>3</v>
      </c>
      <c r="BD180" s="198">
        <v>0.3</v>
      </c>
      <c r="BE180" s="198">
        <v>0.4</v>
      </c>
      <c r="BF180" s="198">
        <v>0.36</v>
      </c>
      <c r="BG180" s="207" t="str">
        <f t="shared" si="4"/>
        <v/>
      </c>
      <c r="BL180" s="207" t="s">
        <v>5825</v>
      </c>
      <c r="BM180" s="198">
        <v>3</v>
      </c>
      <c r="BN180" s="198">
        <v>0.3</v>
      </c>
      <c r="BO180" s="198">
        <v>0.4</v>
      </c>
      <c r="BP180" s="198">
        <v>0.34</v>
      </c>
      <c r="BQ180" s="207" t="str">
        <f t="shared" si="5"/>
        <v/>
      </c>
    </row>
    <row r="181" spans="28:69" x14ac:dyDescent="0.25">
      <c r="AB181" s="207" t="s">
        <v>249</v>
      </c>
      <c r="AC181" s="207" t="s">
        <v>392</v>
      </c>
      <c r="AD181" s="213">
        <v>3</v>
      </c>
      <c r="BB181" s="207" t="s">
        <v>41</v>
      </c>
      <c r="BC181" s="198">
        <v>4</v>
      </c>
      <c r="BD181" s="198">
        <v>0.3</v>
      </c>
      <c r="BE181" s="198">
        <v>0.4</v>
      </c>
      <c r="BF181" s="198">
        <v>0.3</v>
      </c>
      <c r="BG181" s="207" t="str">
        <f t="shared" si="4"/>
        <v/>
      </c>
      <c r="BL181" s="207" t="s">
        <v>5825</v>
      </c>
      <c r="BM181" s="198">
        <v>4</v>
      </c>
      <c r="BN181" s="198">
        <v>0.3</v>
      </c>
      <c r="BO181" s="198">
        <v>0.4</v>
      </c>
      <c r="BP181" s="198">
        <v>0.33</v>
      </c>
      <c r="BQ181" s="207" t="str">
        <f t="shared" si="5"/>
        <v/>
      </c>
    </row>
    <row r="182" spans="28:69" x14ac:dyDescent="0.25">
      <c r="AB182" s="207" t="s">
        <v>249</v>
      </c>
      <c r="AC182" s="207" t="s">
        <v>393</v>
      </c>
      <c r="AD182" s="213">
        <v>3</v>
      </c>
      <c r="BB182" s="207" t="s">
        <v>41</v>
      </c>
      <c r="BC182" s="198">
        <v>5</v>
      </c>
      <c r="BD182" s="198">
        <v>0.3</v>
      </c>
      <c r="BE182" s="198">
        <v>0.4</v>
      </c>
      <c r="BF182" s="198">
        <v>0.35</v>
      </c>
      <c r="BG182" s="207" t="str">
        <f t="shared" si="4"/>
        <v/>
      </c>
      <c r="BL182" s="207" t="s">
        <v>5825</v>
      </c>
      <c r="BM182" s="198">
        <v>5</v>
      </c>
      <c r="BN182" s="198">
        <v>0.3</v>
      </c>
      <c r="BO182" s="198">
        <v>0.4</v>
      </c>
      <c r="BP182" s="198">
        <v>0.34</v>
      </c>
      <c r="BQ182" s="207" t="str">
        <f t="shared" si="5"/>
        <v/>
      </c>
    </row>
    <row r="183" spans="28:69" x14ac:dyDescent="0.25">
      <c r="AB183" s="207" t="s">
        <v>249</v>
      </c>
      <c r="AC183" s="207" t="s">
        <v>394</v>
      </c>
      <c r="AD183" s="213">
        <v>2</v>
      </c>
      <c r="BB183" s="207" t="s">
        <v>41</v>
      </c>
      <c r="BC183" s="198">
        <v>6</v>
      </c>
      <c r="BD183" s="198">
        <v>0.3</v>
      </c>
      <c r="BE183" s="198">
        <v>0.4</v>
      </c>
      <c r="BF183" s="198">
        <v>0.31</v>
      </c>
      <c r="BG183" s="207" t="str">
        <f t="shared" si="4"/>
        <v/>
      </c>
      <c r="BL183" s="207" t="s">
        <v>5825</v>
      </c>
      <c r="BM183" s="198">
        <v>6</v>
      </c>
      <c r="BN183" s="198">
        <v>0.3</v>
      </c>
      <c r="BO183" s="198">
        <v>0.4</v>
      </c>
      <c r="BP183" s="198">
        <v>0.34</v>
      </c>
      <c r="BQ183" s="207" t="str">
        <f t="shared" si="5"/>
        <v/>
      </c>
    </row>
    <row r="184" spans="28:69" x14ac:dyDescent="0.25">
      <c r="AB184" s="207" t="s">
        <v>249</v>
      </c>
      <c r="AC184" s="207" t="s">
        <v>395</v>
      </c>
      <c r="AD184" s="213">
        <v>3</v>
      </c>
      <c r="BB184" s="207" t="s">
        <v>41</v>
      </c>
      <c r="BC184" s="198">
        <v>7</v>
      </c>
      <c r="BD184" s="198">
        <v>0.3</v>
      </c>
      <c r="BE184" s="198">
        <v>0.4</v>
      </c>
      <c r="BF184" s="198">
        <v>0.21</v>
      </c>
      <c r="BG184" s="207" t="str">
        <f t="shared" si="4"/>
        <v/>
      </c>
      <c r="BL184" s="207" t="s">
        <v>5825</v>
      </c>
      <c r="BM184" s="198">
        <v>7</v>
      </c>
      <c r="BN184" s="198">
        <v>0.3</v>
      </c>
      <c r="BO184" s="198">
        <v>0.4</v>
      </c>
      <c r="BP184" s="198">
        <v>0.33</v>
      </c>
      <c r="BQ184" s="207" t="str">
        <f t="shared" si="5"/>
        <v/>
      </c>
    </row>
    <row r="185" spans="28:69" x14ac:dyDescent="0.25">
      <c r="AB185" s="207" t="s">
        <v>249</v>
      </c>
      <c r="AC185" s="207" t="s">
        <v>396</v>
      </c>
      <c r="AD185" s="213">
        <v>3</v>
      </c>
      <c r="BB185" s="207" t="s">
        <v>41</v>
      </c>
      <c r="BC185" s="198">
        <v>8</v>
      </c>
      <c r="BD185" s="198">
        <v>0.3</v>
      </c>
      <c r="BE185" s="198">
        <v>0.4</v>
      </c>
      <c r="BF185" s="198">
        <v>0.24</v>
      </c>
      <c r="BG185" s="207" t="str">
        <f t="shared" si="4"/>
        <v/>
      </c>
      <c r="BL185" s="207" t="s">
        <v>5825</v>
      </c>
      <c r="BM185" s="198">
        <v>8</v>
      </c>
      <c r="BN185" s="198">
        <v>0.3</v>
      </c>
      <c r="BO185" s="198">
        <v>0.4</v>
      </c>
      <c r="BP185" s="198">
        <v>0.33</v>
      </c>
      <c r="BQ185" s="207" t="str">
        <f t="shared" si="5"/>
        <v/>
      </c>
    </row>
    <row r="186" spans="28:69" x14ac:dyDescent="0.25">
      <c r="AB186" s="207" t="s">
        <v>249</v>
      </c>
      <c r="AC186" s="207" t="s">
        <v>397</v>
      </c>
      <c r="AD186" s="213">
        <v>4</v>
      </c>
      <c r="BB186" s="207" t="s">
        <v>41</v>
      </c>
      <c r="BC186" s="198">
        <v>1</v>
      </c>
      <c r="BD186" s="198">
        <v>0.4</v>
      </c>
      <c r="BE186" s="198">
        <v>100</v>
      </c>
      <c r="BF186" s="198">
        <v>0.47</v>
      </c>
      <c r="BG186" s="207" t="str">
        <f t="shared" si="4"/>
        <v/>
      </c>
      <c r="BL186" s="207" t="s">
        <v>5825</v>
      </c>
      <c r="BM186" s="198">
        <v>1</v>
      </c>
      <c r="BN186" s="198">
        <v>0.4</v>
      </c>
      <c r="BO186" s="198">
        <v>100</v>
      </c>
      <c r="BP186" s="198">
        <v>0.34</v>
      </c>
      <c r="BQ186" s="207" t="str">
        <f t="shared" si="5"/>
        <v/>
      </c>
    </row>
    <row r="187" spans="28:69" x14ac:dyDescent="0.25">
      <c r="AB187" s="207" t="s">
        <v>249</v>
      </c>
      <c r="AC187" s="207" t="s">
        <v>398</v>
      </c>
      <c r="AD187" s="213">
        <v>2</v>
      </c>
      <c r="BB187" s="207" t="s">
        <v>41</v>
      </c>
      <c r="BC187" s="198">
        <v>2</v>
      </c>
      <c r="BD187" s="198">
        <v>0.4</v>
      </c>
      <c r="BE187" s="198">
        <v>100</v>
      </c>
      <c r="BF187" s="198">
        <v>0.42</v>
      </c>
      <c r="BG187" s="207" t="str">
        <f t="shared" si="4"/>
        <v/>
      </c>
      <c r="BL187" s="207" t="s">
        <v>5825</v>
      </c>
      <c r="BM187" s="198">
        <v>2</v>
      </c>
      <c r="BN187" s="198">
        <v>0.4</v>
      </c>
      <c r="BO187" s="198">
        <v>100</v>
      </c>
      <c r="BP187" s="198">
        <v>0.33</v>
      </c>
      <c r="BQ187" s="207" t="str">
        <f t="shared" si="5"/>
        <v/>
      </c>
    </row>
    <row r="188" spans="28:69" x14ac:dyDescent="0.25">
      <c r="AB188" s="207" t="s">
        <v>249</v>
      </c>
      <c r="AC188" s="207" t="s">
        <v>399</v>
      </c>
      <c r="AD188" s="213">
        <v>3</v>
      </c>
      <c r="BB188" s="207" t="s">
        <v>41</v>
      </c>
      <c r="BC188" s="198">
        <v>3</v>
      </c>
      <c r="BD188" s="198">
        <v>0.4</v>
      </c>
      <c r="BE188" s="198">
        <v>100</v>
      </c>
      <c r="BF188" s="198">
        <v>0.37</v>
      </c>
      <c r="BG188" s="207" t="str">
        <f t="shared" si="4"/>
        <v/>
      </c>
      <c r="BL188" s="207" t="s">
        <v>5825</v>
      </c>
      <c r="BM188" s="198">
        <v>3</v>
      </c>
      <c r="BN188" s="198">
        <v>0.4</v>
      </c>
      <c r="BO188" s="198">
        <v>100</v>
      </c>
      <c r="BP188" s="198">
        <v>0.33</v>
      </c>
      <c r="BQ188" s="207" t="str">
        <f t="shared" si="5"/>
        <v/>
      </c>
    </row>
    <row r="189" spans="28:69" x14ac:dyDescent="0.25">
      <c r="AB189" s="207" t="s">
        <v>249</v>
      </c>
      <c r="AC189" s="207" t="s">
        <v>400</v>
      </c>
      <c r="AD189" s="213">
        <v>3</v>
      </c>
      <c r="BB189" s="207" t="s">
        <v>41</v>
      </c>
      <c r="BC189" s="198">
        <v>4</v>
      </c>
      <c r="BD189" s="198">
        <v>0.4</v>
      </c>
      <c r="BE189" s="198">
        <v>100</v>
      </c>
      <c r="BF189" s="198">
        <v>0.31</v>
      </c>
      <c r="BG189" s="207" t="str">
        <f t="shared" si="4"/>
        <v/>
      </c>
      <c r="BL189" s="207" t="s">
        <v>5825</v>
      </c>
      <c r="BM189" s="198">
        <v>4</v>
      </c>
      <c r="BN189" s="198">
        <v>0.4</v>
      </c>
      <c r="BO189" s="198">
        <v>100</v>
      </c>
      <c r="BP189" s="198">
        <v>0.33</v>
      </c>
      <c r="BQ189" s="207" t="str">
        <f t="shared" si="5"/>
        <v/>
      </c>
    </row>
    <row r="190" spans="28:69" x14ac:dyDescent="0.25">
      <c r="AB190" s="207" t="s">
        <v>249</v>
      </c>
      <c r="AC190" s="207" t="s">
        <v>401</v>
      </c>
      <c r="AD190" s="213">
        <v>2</v>
      </c>
      <c r="BB190" s="207" t="s">
        <v>41</v>
      </c>
      <c r="BC190" s="198">
        <v>5</v>
      </c>
      <c r="BD190" s="198">
        <v>0.4</v>
      </c>
      <c r="BE190" s="198">
        <v>100</v>
      </c>
      <c r="BF190" s="198">
        <v>0.36</v>
      </c>
      <c r="BG190" s="207" t="str">
        <f t="shared" si="4"/>
        <v/>
      </c>
      <c r="BL190" s="207" t="s">
        <v>5825</v>
      </c>
      <c r="BM190" s="198">
        <v>5</v>
      </c>
      <c r="BN190" s="198">
        <v>0.4</v>
      </c>
      <c r="BO190" s="198">
        <v>100</v>
      </c>
      <c r="BP190" s="198">
        <v>0.34</v>
      </c>
      <c r="BQ190" s="207" t="str">
        <f t="shared" si="5"/>
        <v/>
      </c>
    </row>
    <row r="191" spans="28:69" x14ac:dyDescent="0.25">
      <c r="AB191" s="207" t="s">
        <v>249</v>
      </c>
      <c r="AC191" s="207" t="s">
        <v>402</v>
      </c>
      <c r="AD191" s="213">
        <v>3</v>
      </c>
      <c r="BB191" s="207" t="s">
        <v>41</v>
      </c>
      <c r="BC191" s="198">
        <v>6</v>
      </c>
      <c r="BD191" s="198">
        <v>0.4</v>
      </c>
      <c r="BE191" s="198">
        <v>100</v>
      </c>
      <c r="BF191" s="198">
        <v>0.33</v>
      </c>
      <c r="BG191" s="207" t="str">
        <f t="shared" si="4"/>
        <v/>
      </c>
      <c r="BL191" s="207" t="s">
        <v>5825</v>
      </c>
      <c r="BM191" s="198">
        <v>6</v>
      </c>
      <c r="BN191" s="198">
        <v>0.4</v>
      </c>
      <c r="BO191" s="198">
        <v>100</v>
      </c>
      <c r="BP191" s="198">
        <v>0.34</v>
      </c>
      <c r="BQ191" s="207" t="str">
        <f t="shared" si="5"/>
        <v/>
      </c>
    </row>
    <row r="192" spans="28:69" x14ac:dyDescent="0.25">
      <c r="AB192" s="207" t="s">
        <v>249</v>
      </c>
      <c r="AC192" s="207" t="s">
        <v>403</v>
      </c>
      <c r="AD192" s="213">
        <v>2</v>
      </c>
      <c r="BB192" s="207" t="s">
        <v>41</v>
      </c>
      <c r="BC192" s="198">
        <v>7</v>
      </c>
      <c r="BD192" s="198">
        <v>0.4</v>
      </c>
      <c r="BE192" s="198">
        <v>100</v>
      </c>
      <c r="BF192" s="198">
        <v>0.22</v>
      </c>
      <c r="BG192" s="207" t="str">
        <f t="shared" si="4"/>
        <v/>
      </c>
      <c r="BL192" s="207" t="s">
        <v>5825</v>
      </c>
      <c r="BM192" s="198">
        <v>7</v>
      </c>
      <c r="BN192" s="198">
        <v>0.4</v>
      </c>
      <c r="BO192" s="198">
        <v>100</v>
      </c>
      <c r="BP192" s="198">
        <v>0.33</v>
      </c>
      <c r="BQ192" s="207" t="str">
        <f t="shared" si="5"/>
        <v/>
      </c>
    </row>
    <row r="193" spans="28:69" x14ac:dyDescent="0.25">
      <c r="AB193" s="207" t="s">
        <v>249</v>
      </c>
      <c r="AC193" s="207" t="s">
        <v>404</v>
      </c>
      <c r="AD193" s="213">
        <v>2</v>
      </c>
      <c r="BB193" s="207" t="s">
        <v>41</v>
      </c>
      <c r="BC193" s="198">
        <v>8</v>
      </c>
      <c r="BD193" s="198">
        <v>0.4</v>
      </c>
      <c r="BE193" s="198">
        <v>100</v>
      </c>
      <c r="BF193" s="198">
        <v>0.25</v>
      </c>
      <c r="BG193" s="207" t="str">
        <f t="shared" si="4"/>
        <v/>
      </c>
      <c r="BL193" s="207" t="s">
        <v>5825</v>
      </c>
      <c r="BM193" s="198">
        <v>8</v>
      </c>
      <c r="BN193" s="198">
        <v>0.4</v>
      </c>
      <c r="BO193" s="198">
        <v>100</v>
      </c>
      <c r="BP193" s="198">
        <v>0.33</v>
      </c>
      <c r="BQ193" s="207" t="str">
        <f t="shared" si="5"/>
        <v/>
      </c>
    </row>
    <row r="194" spans="28:69" x14ac:dyDescent="0.25">
      <c r="AB194" s="207" t="s">
        <v>249</v>
      </c>
      <c r="AC194" s="207" t="s">
        <v>405</v>
      </c>
      <c r="AD194" s="213">
        <v>3</v>
      </c>
      <c r="BB194" s="207" t="s">
        <v>42</v>
      </c>
      <c r="BC194" s="198">
        <v>1</v>
      </c>
      <c r="BD194" s="198">
        <v>0</v>
      </c>
      <c r="BE194" s="198">
        <v>0.2</v>
      </c>
      <c r="BF194" s="198">
        <v>0.23</v>
      </c>
      <c r="BG194" s="207" t="str">
        <f t="shared" ref="BG194:BG257" si="6">IF(BC194=$BJ$1,IF(BB194=$BI$1,IF(AND($BH$1&gt;BD194,$BH$1&lt;BE194),BF194,""),""),"")</f>
        <v/>
      </c>
      <c r="BL194" s="207" t="s">
        <v>42</v>
      </c>
      <c r="BM194" s="198">
        <v>1</v>
      </c>
      <c r="BN194" s="198">
        <v>0</v>
      </c>
      <c r="BO194" s="198">
        <v>0.2</v>
      </c>
      <c r="BP194" s="198">
        <v>0.18</v>
      </c>
      <c r="BQ194" s="207" t="str">
        <f t="shared" ref="BQ194:BQ257" si="7">IF(BM194=$BJ$1,IF(BL194=$BI$1,IF(AND($BH$1&gt;BN194,$BH$1&lt;BO194),BP194,""),""),"")</f>
        <v/>
      </c>
    </row>
    <row r="195" spans="28:69" x14ac:dyDescent="0.25">
      <c r="AB195" s="207" t="s">
        <v>249</v>
      </c>
      <c r="AC195" s="207" t="s">
        <v>406</v>
      </c>
      <c r="AD195" s="213">
        <v>3</v>
      </c>
      <c r="BB195" s="207" t="s">
        <v>42</v>
      </c>
      <c r="BC195" s="198">
        <v>2</v>
      </c>
      <c r="BD195" s="198">
        <v>0</v>
      </c>
      <c r="BE195" s="198">
        <v>0.2</v>
      </c>
      <c r="BF195" s="198">
        <v>0.23</v>
      </c>
      <c r="BG195" s="207" t="str">
        <f t="shared" si="6"/>
        <v/>
      </c>
      <c r="BL195" s="207" t="s">
        <v>42</v>
      </c>
      <c r="BM195" s="198">
        <v>2</v>
      </c>
      <c r="BN195" s="198">
        <v>0</v>
      </c>
      <c r="BO195" s="198">
        <v>0.2</v>
      </c>
      <c r="BP195" s="198">
        <v>0.18</v>
      </c>
      <c r="BQ195" s="207" t="str">
        <f t="shared" si="7"/>
        <v/>
      </c>
    </row>
    <row r="196" spans="28:69" x14ac:dyDescent="0.25">
      <c r="AB196" s="207" t="s">
        <v>249</v>
      </c>
      <c r="AC196" s="207" t="s">
        <v>407</v>
      </c>
      <c r="AD196" s="213">
        <v>3</v>
      </c>
      <c r="BB196" s="207" t="s">
        <v>42</v>
      </c>
      <c r="BC196" s="198">
        <v>3</v>
      </c>
      <c r="BD196" s="198">
        <v>0</v>
      </c>
      <c r="BE196" s="198">
        <v>0.2</v>
      </c>
      <c r="BF196" s="198">
        <v>0.22</v>
      </c>
      <c r="BG196" s="207" t="str">
        <f t="shared" si="6"/>
        <v/>
      </c>
      <c r="BL196" s="207" t="s">
        <v>42</v>
      </c>
      <c r="BM196" s="198">
        <v>3</v>
      </c>
      <c r="BN196" s="198">
        <v>0</v>
      </c>
      <c r="BO196" s="198">
        <v>0.2</v>
      </c>
      <c r="BP196" s="198">
        <v>0.18</v>
      </c>
      <c r="BQ196" s="207" t="str">
        <f t="shared" si="7"/>
        <v/>
      </c>
    </row>
    <row r="197" spans="28:69" x14ac:dyDescent="0.25">
      <c r="AB197" s="207" t="s">
        <v>249</v>
      </c>
      <c r="AC197" s="207" t="s">
        <v>408</v>
      </c>
      <c r="AD197" s="213">
        <v>3</v>
      </c>
      <c r="BB197" s="207" t="s">
        <v>42</v>
      </c>
      <c r="BC197" s="198">
        <v>4</v>
      </c>
      <c r="BD197" s="198">
        <v>0</v>
      </c>
      <c r="BE197" s="198">
        <v>0.2</v>
      </c>
      <c r="BF197" s="198">
        <v>0.19</v>
      </c>
      <c r="BG197" s="207" t="str">
        <f t="shared" si="6"/>
        <v/>
      </c>
      <c r="BL197" s="207" t="s">
        <v>42</v>
      </c>
      <c r="BM197" s="198">
        <v>4</v>
      </c>
      <c r="BN197" s="198">
        <v>0</v>
      </c>
      <c r="BO197" s="198">
        <v>0.2</v>
      </c>
      <c r="BP197" s="198">
        <v>0.18</v>
      </c>
      <c r="BQ197" s="207" t="str">
        <f t="shared" si="7"/>
        <v/>
      </c>
    </row>
    <row r="198" spans="28:69" x14ac:dyDescent="0.25">
      <c r="AB198" s="207" t="s">
        <v>249</v>
      </c>
      <c r="AC198" s="207" t="s">
        <v>409</v>
      </c>
      <c r="AD198" s="213">
        <v>3</v>
      </c>
      <c r="BB198" s="207" t="s">
        <v>42</v>
      </c>
      <c r="BC198" s="198">
        <v>5</v>
      </c>
      <c r="BD198" s="198">
        <v>0</v>
      </c>
      <c r="BE198" s="198">
        <v>0.2</v>
      </c>
      <c r="BF198" s="198">
        <v>0.22</v>
      </c>
      <c r="BG198" s="207" t="str">
        <f t="shared" si="6"/>
        <v/>
      </c>
      <c r="BL198" s="207" t="s">
        <v>42</v>
      </c>
      <c r="BM198" s="198">
        <v>5</v>
      </c>
      <c r="BN198" s="198">
        <v>0</v>
      </c>
      <c r="BO198" s="198">
        <v>0.2</v>
      </c>
      <c r="BP198" s="198">
        <v>0.18</v>
      </c>
      <c r="BQ198" s="207" t="str">
        <f t="shared" si="7"/>
        <v/>
      </c>
    </row>
    <row r="199" spans="28:69" x14ac:dyDescent="0.25">
      <c r="AB199" s="207" t="s">
        <v>249</v>
      </c>
      <c r="AC199" s="207" t="s">
        <v>410</v>
      </c>
      <c r="AD199" s="213">
        <v>2</v>
      </c>
      <c r="BB199" s="207" t="s">
        <v>42</v>
      </c>
      <c r="BC199" s="198">
        <v>6</v>
      </c>
      <c r="BD199" s="198">
        <v>0</v>
      </c>
      <c r="BE199" s="198">
        <v>0.2</v>
      </c>
      <c r="BF199" s="198">
        <v>0.2</v>
      </c>
      <c r="BG199" s="207" t="str">
        <f t="shared" si="6"/>
        <v/>
      </c>
      <c r="BL199" s="207" t="s">
        <v>42</v>
      </c>
      <c r="BM199" s="198">
        <v>6</v>
      </c>
      <c r="BN199" s="198">
        <v>0</v>
      </c>
      <c r="BO199" s="198">
        <v>0.2</v>
      </c>
      <c r="BP199" s="198">
        <v>0.18</v>
      </c>
      <c r="BQ199" s="207" t="str">
        <f t="shared" si="7"/>
        <v/>
      </c>
    </row>
    <row r="200" spans="28:69" x14ac:dyDescent="0.25">
      <c r="AB200" s="207" t="s">
        <v>249</v>
      </c>
      <c r="AC200" s="207" t="s">
        <v>411</v>
      </c>
      <c r="AD200" s="213">
        <v>2</v>
      </c>
      <c r="BB200" s="207" t="s">
        <v>42</v>
      </c>
      <c r="BC200" s="198">
        <v>7</v>
      </c>
      <c r="BD200" s="198">
        <v>0</v>
      </c>
      <c r="BE200" s="198">
        <v>0.2</v>
      </c>
      <c r="BF200" s="198">
        <v>0.15</v>
      </c>
      <c r="BG200" s="207" t="str">
        <f t="shared" si="6"/>
        <v/>
      </c>
      <c r="BL200" s="207" t="s">
        <v>42</v>
      </c>
      <c r="BM200" s="198">
        <v>7</v>
      </c>
      <c r="BN200" s="198">
        <v>0</v>
      </c>
      <c r="BO200" s="198">
        <v>0.2</v>
      </c>
      <c r="BP200" s="198">
        <v>0.18</v>
      </c>
      <c r="BQ200" s="207" t="str">
        <f t="shared" si="7"/>
        <v/>
      </c>
    </row>
    <row r="201" spans="28:69" x14ac:dyDescent="0.25">
      <c r="AB201" s="207" t="s">
        <v>249</v>
      </c>
      <c r="AC201" s="207" t="s">
        <v>412</v>
      </c>
      <c r="AD201" s="213">
        <v>4</v>
      </c>
      <c r="BB201" s="207" t="s">
        <v>42</v>
      </c>
      <c r="BC201" s="198">
        <v>8</v>
      </c>
      <c r="BD201" s="198">
        <v>0</v>
      </c>
      <c r="BE201" s="198">
        <v>0.2</v>
      </c>
      <c r="BF201" s="198">
        <v>0.17</v>
      </c>
      <c r="BG201" s="207" t="str">
        <f t="shared" si="6"/>
        <v/>
      </c>
      <c r="BL201" s="207" t="s">
        <v>42</v>
      </c>
      <c r="BM201" s="198">
        <v>8</v>
      </c>
      <c r="BN201" s="198">
        <v>0</v>
      </c>
      <c r="BO201" s="198">
        <v>0.2</v>
      </c>
      <c r="BP201" s="198">
        <v>0.18</v>
      </c>
      <c r="BQ201" s="207" t="str">
        <f t="shared" si="7"/>
        <v/>
      </c>
    </row>
    <row r="202" spans="28:69" x14ac:dyDescent="0.25">
      <c r="AB202" s="207" t="s">
        <v>249</v>
      </c>
      <c r="AC202" s="207" t="s">
        <v>413</v>
      </c>
      <c r="AD202" s="213">
        <v>2</v>
      </c>
      <c r="BB202" s="207" t="s">
        <v>42</v>
      </c>
      <c r="BC202" s="198">
        <v>1</v>
      </c>
      <c r="BD202" s="198">
        <v>0.2</v>
      </c>
      <c r="BE202" s="198">
        <v>0.3</v>
      </c>
      <c r="BF202" s="198">
        <v>0.21</v>
      </c>
      <c r="BG202" s="207" t="str">
        <f t="shared" si="6"/>
        <v/>
      </c>
      <c r="BL202" s="207" t="s">
        <v>42</v>
      </c>
      <c r="BM202" s="198">
        <v>1</v>
      </c>
      <c r="BN202" s="198">
        <v>0.2</v>
      </c>
      <c r="BO202" s="198">
        <v>0.3</v>
      </c>
      <c r="BP202" s="198">
        <v>0.16</v>
      </c>
      <c r="BQ202" s="207" t="str">
        <f t="shared" si="7"/>
        <v/>
      </c>
    </row>
    <row r="203" spans="28:69" x14ac:dyDescent="0.25">
      <c r="AB203" s="207" t="s">
        <v>249</v>
      </c>
      <c r="AC203" s="207" t="s">
        <v>414</v>
      </c>
      <c r="AD203" s="213">
        <v>3</v>
      </c>
      <c r="BB203" s="207" t="s">
        <v>42</v>
      </c>
      <c r="BC203" s="198">
        <v>2</v>
      </c>
      <c r="BD203" s="198">
        <v>0.2</v>
      </c>
      <c r="BE203" s="198">
        <v>0.3</v>
      </c>
      <c r="BF203" s="198">
        <v>0.18</v>
      </c>
      <c r="BG203" s="207" t="str">
        <f t="shared" si="6"/>
        <v/>
      </c>
      <c r="BL203" s="207" t="s">
        <v>42</v>
      </c>
      <c r="BM203" s="198">
        <v>2</v>
      </c>
      <c r="BN203" s="198">
        <v>0.2</v>
      </c>
      <c r="BO203" s="198">
        <v>0.3</v>
      </c>
      <c r="BP203" s="198">
        <v>0.16</v>
      </c>
      <c r="BQ203" s="207" t="str">
        <f t="shared" si="7"/>
        <v/>
      </c>
    </row>
    <row r="204" spans="28:69" x14ac:dyDescent="0.25">
      <c r="AB204" s="207" t="s">
        <v>249</v>
      </c>
      <c r="AC204" s="207" t="s">
        <v>415</v>
      </c>
      <c r="AD204" s="213">
        <v>2</v>
      </c>
      <c r="BB204" s="207" t="s">
        <v>42</v>
      </c>
      <c r="BC204" s="198">
        <v>3</v>
      </c>
      <c r="BD204" s="198">
        <v>0.2</v>
      </c>
      <c r="BE204" s="198">
        <v>0.3</v>
      </c>
      <c r="BF204" s="198">
        <v>0.2</v>
      </c>
      <c r="BG204" s="207" t="str">
        <f t="shared" si="6"/>
        <v/>
      </c>
      <c r="BL204" s="207" t="s">
        <v>42</v>
      </c>
      <c r="BM204" s="198">
        <v>3</v>
      </c>
      <c r="BN204" s="198">
        <v>0.2</v>
      </c>
      <c r="BO204" s="198">
        <v>0.3</v>
      </c>
      <c r="BP204" s="198">
        <v>0.17</v>
      </c>
      <c r="BQ204" s="207" t="str">
        <f t="shared" si="7"/>
        <v/>
      </c>
    </row>
    <row r="205" spans="28:69" x14ac:dyDescent="0.25">
      <c r="AB205" s="207" t="s">
        <v>249</v>
      </c>
      <c r="AC205" s="207" t="s">
        <v>416</v>
      </c>
      <c r="AD205" s="213">
        <v>3</v>
      </c>
      <c r="BB205" s="207" t="s">
        <v>42</v>
      </c>
      <c r="BC205" s="198">
        <v>4</v>
      </c>
      <c r="BD205" s="198">
        <v>0.2</v>
      </c>
      <c r="BE205" s="198">
        <v>0.3</v>
      </c>
      <c r="BF205" s="198">
        <v>0.17</v>
      </c>
      <c r="BG205" s="207" t="str">
        <f t="shared" si="6"/>
        <v/>
      </c>
      <c r="BL205" s="207" t="s">
        <v>42</v>
      </c>
      <c r="BM205" s="198">
        <v>4</v>
      </c>
      <c r="BN205" s="198">
        <v>0.2</v>
      </c>
      <c r="BO205" s="198">
        <v>0.3</v>
      </c>
      <c r="BP205" s="198">
        <v>0.17</v>
      </c>
      <c r="BQ205" s="207" t="str">
        <f t="shared" si="7"/>
        <v/>
      </c>
    </row>
    <row r="206" spans="28:69" x14ac:dyDescent="0.25">
      <c r="AB206" s="207" t="s">
        <v>249</v>
      </c>
      <c r="AC206" s="207" t="s">
        <v>417</v>
      </c>
      <c r="AD206" s="213">
        <v>3</v>
      </c>
      <c r="BB206" s="207" t="s">
        <v>42</v>
      </c>
      <c r="BC206" s="198">
        <v>5</v>
      </c>
      <c r="BD206" s="198">
        <v>0.2</v>
      </c>
      <c r="BE206" s="198">
        <v>0.3</v>
      </c>
      <c r="BF206" s="198">
        <v>0.2</v>
      </c>
      <c r="BG206" s="207" t="str">
        <f t="shared" si="6"/>
        <v/>
      </c>
      <c r="BL206" s="207" t="s">
        <v>42</v>
      </c>
      <c r="BM206" s="198">
        <v>5</v>
      </c>
      <c r="BN206" s="198">
        <v>0.2</v>
      </c>
      <c r="BO206" s="198">
        <v>0.3</v>
      </c>
      <c r="BP206" s="198">
        <v>0.17</v>
      </c>
      <c r="BQ206" s="207" t="str">
        <f t="shared" si="7"/>
        <v/>
      </c>
    </row>
    <row r="207" spans="28:69" x14ac:dyDescent="0.25">
      <c r="AB207" s="207" t="s">
        <v>249</v>
      </c>
      <c r="AC207" s="207" t="s">
        <v>418</v>
      </c>
      <c r="AD207" s="213">
        <v>3</v>
      </c>
      <c r="BB207" s="207" t="s">
        <v>42</v>
      </c>
      <c r="BC207" s="198">
        <v>6</v>
      </c>
      <c r="BD207" s="198">
        <v>0.2</v>
      </c>
      <c r="BE207" s="198">
        <v>0.3</v>
      </c>
      <c r="BF207" s="198">
        <v>0.18</v>
      </c>
      <c r="BG207" s="207" t="str">
        <f t="shared" si="6"/>
        <v/>
      </c>
      <c r="BL207" s="207" t="s">
        <v>42</v>
      </c>
      <c r="BM207" s="198">
        <v>6</v>
      </c>
      <c r="BN207" s="198">
        <v>0.2</v>
      </c>
      <c r="BO207" s="198">
        <v>0.3</v>
      </c>
      <c r="BP207" s="198">
        <v>0.18</v>
      </c>
      <c r="BQ207" s="207" t="str">
        <f t="shared" si="7"/>
        <v/>
      </c>
    </row>
    <row r="208" spans="28:69" x14ac:dyDescent="0.25">
      <c r="AB208" s="207" t="s">
        <v>249</v>
      </c>
      <c r="AC208" s="207" t="s">
        <v>419</v>
      </c>
      <c r="AD208" s="213">
        <v>2</v>
      </c>
      <c r="BB208" s="207" t="s">
        <v>42</v>
      </c>
      <c r="BC208" s="198">
        <v>7</v>
      </c>
      <c r="BD208" s="198">
        <v>0.2</v>
      </c>
      <c r="BE208" s="198">
        <v>0.3</v>
      </c>
      <c r="BF208" s="198">
        <v>0.13</v>
      </c>
      <c r="BG208" s="207" t="str">
        <f t="shared" si="6"/>
        <v/>
      </c>
      <c r="BL208" s="207" t="s">
        <v>42</v>
      </c>
      <c r="BM208" s="198">
        <v>7</v>
      </c>
      <c r="BN208" s="198">
        <v>0.2</v>
      </c>
      <c r="BO208" s="198">
        <v>0.3</v>
      </c>
      <c r="BP208" s="198">
        <v>0.19</v>
      </c>
      <c r="BQ208" s="207" t="str">
        <f t="shared" si="7"/>
        <v/>
      </c>
    </row>
    <row r="209" spans="28:69" x14ac:dyDescent="0.25">
      <c r="AB209" s="207" t="s">
        <v>249</v>
      </c>
      <c r="AC209" s="207" t="s">
        <v>420</v>
      </c>
      <c r="AD209" s="213">
        <v>2</v>
      </c>
      <c r="BB209" s="207" t="s">
        <v>42</v>
      </c>
      <c r="BC209" s="198">
        <v>8</v>
      </c>
      <c r="BD209" s="198">
        <v>0.2</v>
      </c>
      <c r="BE209" s="198">
        <v>0.3</v>
      </c>
      <c r="BF209" s="198">
        <v>0.14000000000000001</v>
      </c>
      <c r="BG209" s="207" t="str">
        <f t="shared" si="6"/>
        <v/>
      </c>
      <c r="BL209" s="207" t="s">
        <v>42</v>
      </c>
      <c r="BM209" s="198">
        <v>8</v>
      </c>
      <c r="BN209" s="198">
        <v>0.2</v>
      </c>
      <c r="BO209" s="198">
        <v>0.3</v>
      </c>
      <c r="BP209" s="198">
        <v>0.18</v>
      </c>
      <c r="BQ209" s="207" t="str">
        <f t="shared" si="7"/>
        <v/>
      </c>
    </row>
    <row r="210" spans="28:69" x14ac:dyDescent="0.25">
      <c r="AB210" s="207" t="s">
        <v>249</v>
      </c>
      <c r="AC210" s="207" t="s">
        <v>421</v>
      </c>
      <c r="AD210" s="213">
        <v>3</v>
      </c>
      <c r="BB210" s="207" t="s">
        <v>42</v>
      </c>
      <c r="BC210" s="198">
        <v>1</v>
      </c>
      <c r="BD210" s="198">
        <v>0.3</v>
      </c>
      <c r="BE210" s="198">
        <v>0.4</v>
      </c>
      <c r="BF210" s="198">
        <v>0.2</v>
      </c>
      <c r="BG210" s="207" t="str">
        <f t="shared" si="6"/>
        <v/>
      </c>
      <c r="BL210" s="207" t="s">
        <v>42</v>
      </c>
      <c r="BM210" s="198">
        <v>1</v>
      </c>
      <c r="BN210" s="198">
        <v>0.3</v>
      </c>
      <c r="BO210" s="198">
        <v>0.4</v>
      </c>
      <c r="BP210" s="198">
        <v>0.16</v>
      </c>
      <c r="BQ210" s="207" t="str">
        <f t="shared" si="7"/>
        <v/>
      </c>
    </row>
    <row r="211" spans="28:69" x14ac:dyDescent="0.25">
      <c r="AB211" s="207" t="s">
        <v>249</v>
      </c>
      <c r="AC211" s="207" t="s">
        <v>422</v>
      </c>
      <c r="AD211" s="213">
        <v>2</v>
      </c>
      <c r="BB211" s="207" t="s">
        <v>42</v>
      </c>
      <c r="BC211" s="198">
        <v>2</v>
      </c>
      <c r="BD211" s="198">
        <v>0.3</v>
      </c>
      <c r="BE211" s="198">
        <v>0.4</v>
      </c>
      <c r="BF211" s="198">
        <v>0.15</v>
      </c>
      <c r="BG211" s="207" t="str">
        <f t="shared" si="6"/>
        <v/>
      </c>
      <c r="BL211" s="207" t="s">
        <v>42</v>
      </c>
      <c r="BM211" s="198">
        <v>2</v>
      </c>
      <c r="BN211" s="198">
        <v>0.3</v>
      </c>
      <c r="BO211" s="198">
        <v>0.4</v>
      </c>
      <c r="BP211" s="198">
        <v>0.15</v>
      </c>
      <c r="BQ211" s="207" t="str">
        <f t="shared" si="7"/>
        <v/>
      </c>
    </row>
    <row r="212" spans="28:69" x14ac:dyDescent="0.25">
      <c r="AB212" s="207" t="s">
        <v>249</v>
      </c>
      <c r="AC212" s="207" t="s">
        <v>423</v>
      </c>
      <c r="AD212" s="213">
        <v>2</v>
      </c>
      <c r="BB212" s="207" t="s">
        <v>42</v>
      </c>
      <c r="BC212" s="198">
        <v>3</v>
      </c>
      <c r="BD212" s="198">
        <v>0.3</v>
      </c>
      <c r="BE212" s="198">
        <v>0.4</v>
      </c>
      <c r="BF212" s="198">
        <v>0.18</v>
      </c>
      <c r="BG212" s="207" t="str">
        <f t="shared" si="6"/>
        <v/>
      </c>
      <c r="BL212" s="207" t="s">
        <v>42</v>
      </c>
      <c r="BM212" s="198">
        <v>3</v>
      </c>
      <c r="BN212" s="198">
        <v>0.3</v>
      </c>
      <c r="BO212" s="198">
        <v>0.4</v>
      </c>
      <c r="BP212" s="198">
        <v>0.16</v>
      </c>
      <c r="BQ212" s="207" t="str">
        <f t="shared" si="7"/>
        <v/>
      </c>
    </row>
    <row r="213" spans="28:69" x14ac:dyDescent="0.25">
      <c r="AB213" s="207" t="s">
        <v>249</v>
      </c>
      <c r="AC213" s="207" t="s">
        <v>424</v>
      </c>
      <c r="AD213" s="213">
        <v>2</v>
      </c>
      <c r="BB213" s="207" t="s">
        <v>42</v>
      </c>
      <c r="BC213" s="198">
        <v>4</v>
      </c>
      <c r="BD213" s="198">
        <v>0.3</v>
      </c>
      <c r="BE213" s="198">
        <v>0.4</v>
      </c>
      <c r="BF213" s="198">
        <v>0.15</v>
      </c>
      <c r="BG213" s="207" t="str">
        <f t="shared" si="6"/>
        <v/>
      </c>
      <c r="BL213" s="207" t="s">
        <v>42</v>
      </c>
      <c r="BM213" s="198">
        <v>4</v>
      </c>
      <c r="BN213" s="198">
        <v>0.3</v>
      </c>
      <c r="BO213" s="198">
        <v>0.4</v>
      </c>
      <c r="BP213" s="198">
        <v>0.17</v>
      </c>
      <c r="BQ213" s="207" t="str">
        <f t="shared" si="7"/>
        <v/>
      </c>
    </row>
    <row r="214" spans="28:69" x14ac:dyDescent="0.25">
      <c r="AB214" s="207" t="s">
        <v>249</v>
      </c>
      <c r="AC214" s="207" t="s">
        <v>425</v>
      </c>
      <c r="AD214" s="213">
        <v>3</v>
      </c>
      <c r="BB214" s="207" t="s">
        <v>42</v>
      </c>
      <c r="BC214" s="198">
        <v>5</v>
      </c>
      <c r="BD214" s="198">
        <v>0.3</v>
      </c>
      <c r="BE214" s="198">
        <v>0.4</v>
      </c>
      <c r="BF214" s="198">
        <v>0.18</v>
      </c>
      <c r="BG214" s="207" t="str">
        <f t="shared" si="6"/>
        <v/>
      </c>
      <c r="BL214" s="207" t="s">
        <v>42</v>
      </c>
      <c r="BM214" s="198">
        <v>5</v>
      </c>
      <c r="BN214" s="198">
        <v>0.3</v>
      </c>
      <c r="BO214" s="198">
        <v>0.4</v>
      </c>
      <c r="BP214" s="198">
        <v>0.17</v>
      </c>
      <c r="BQ214" s="207" t="str">
        <f t="shared" si="7"/>
        <v/>
      </c>
    </row>
    <row r="215" spans="28:69" x14ac:dyDescent="0.25">
      <c r="AB215" s="207" t="s">
        <v>249</v>
      </c>
      <c r="AC215" s="207" t="s">
        <v>426</v>
      </c>
      <c r="AD215" s="213">
        <v>3</v>
      </c>
      <c r="BB215" s="207" t="s">
        <v>42</v>
      </c>
      <c r="BC215" s="198">
        <v>6</v>
      </c>
      <c r="BD215" s="198">
        <v>0.3</v>
      </c>
      <c r="BE215" s="198">
        <v>0.4</v>
      </c>
      <c r="BF215" s="198">
        <v>0.16</v>
      </c>
      <c r="BG215" s="207" t="str">
        <f t="shared" si="6"/>
        <v/>
      </c>
      <c r="BL215" s="207" t="s">
        <v>42</v>
      </c>
      <c r="BM215" s="198">
        <v>6</v>
      </c>
      <c r="BN215" s="198">
        <v>0.3</v>
      </c>
      <c r="BO215" s="198">
        <v>0.4</v>
      </c>
      <c r="BP215" s="198">
        <v>0.18</v>
      </c>
      <c r="BQ215" s="207" t="str">
        <f t="shared" si="7"/>
        <v/>
      </c>
    </row>
    <row r="216" spans="28:69" x14ac:dyDescent="0.25">
      <c r="AB216" s="207" t="s">
        <v>249</v>
      </c>
      <c r="AC216" s="207" t="s">
        <v>427</v>
      </c>
      <c r="AD216" s="213">
        <v>2</v>
      </c>
      <c r="BB216" s="207" t="s">
        <v>42</v>
      </c>
      <c r="BC216" s="198">
        <v>7</v>
      </c>
      <c r="BD216" s="198">
        <v>0.3</v>
      </c>
      <c r="BE216" s="198">
        <v>0.4</v>
      </c>
      <c r="BF216" s="198">
        <v>0.11</v>
      </c>
      <c r="BG216" s="207" t="str">
        <f t="shared" si="6"/>
        <v/>
      </c>
      <c r="BL216" s="207" t="s">
        <v>42</v>
      </c>
      <c r="BM216" s="198">
        <v>7</v>
      </c>
      <c r="BN216" s="198">
        <v>0.3</v>
      </c>
      <c r="BO216" s="198">
        <v>0.4</v>
      </c>
      <c r="BP216" s="198">
        <v>0.19</v>
      </c>
      <c r="BQ216" s="207" t="str">
        <f t="shared" si="7"/>
        <v/>
      </c>
    </row>
    <row r="217" spans="28:69" x14ac:dyDescent="0.25">
      <c r="AB217" s="207" t="s">
        <v>249</v>
      </c>
      <c r="AC217" s="207" t="s">
        <v>428</v>
      </c>
      <c r="AD217" s="213">
        <v>2</v>
      </c>
      <c r="BB217" s="207" t="s">
        <v>42</v>
      </c>
      <c r="BC217" s="198">
        <v>8</v>
      </c>
      <c r="BD217" s="198">
        <v>0.3</v>
      </c>
      <c r="BE217" s="198">
        <v>0.4</v>
      </c>
      <c r="BF217" s="198">
        <v>0.12</v>
      </c>
      <c r="BG217" s="207" t="str">
        <f t="shared" si="6"/>
        <v/>
      </c>
      <c r="BL217" s="207" t="s">
        <v>42</v>
      </c>
      <c r="BM217" s="198">
        <v>8</v>
      </c>
      <c r="BN217" s="198">
        <v>0.3</v>
      </c>
      <c r="BO217" s="198">
        <v>0.4</v>
      </c>
      <c r="BP217" s="198">
        <v>0.18</v>
      </c>
      <c r="BQ217" s="207" t="str">
        <f t="shared" si="7"/>
        <v/>
      </c>
    </row>
    <row r="218" spans="28:69" x14ac:dyDescent="0.25">
      <c r="AB218" s="207" t="s">
        <v>249</v>
      </c>
      <c r="AC218" s="207" t="s">
        <v>429</v>
      </c>
      <c r="AD218" s="213">
        <v>3</v>
      </c>
      <c r="BB218" s="207" t="s">
        <v>42</v>
      </c>
      <c r="BC218" s="198">
        <v>1</v>
      </c>
      <c r="BD218" s="198">
        <v>0.4</v>
      </c>
      <c r="BE218" s="198">
        <v>100</v>
      </c>
      <c r="BF218" s="198">
        <v>0.18</v>
      </c>
      <c r="BG218" s="207" t="str">
        <f t="shared" si="6"/>
        <v/>
      </c>
      <c r="BL218" s="207" t="s">
        <v>42</v>
      </c>
      <c r="BM218" s="198">
        <v>1</v>
      </c>
      <c r="BN218" s="198">
        <v>0.4</v>
      </c>
      <c r="BO218" s="198">
        <v>100</v>
      </c>
      <c r="BP218" s="198">
        <v>0.16</v>
      </c>
      <c r="BQ218" s="207" t="str">
        <f t="shared" si="7"/>
        <v/>
      </c>
    </row>
    <row r="219" spans="28:69" x14ac:dyDescent="0.25">
      <c r="AB219" s="207" t="s">
        <v>249</v>
      </c>
      <c r="AC219" s="207" t="s">
        <v>430</v>
      </c>
      <c r="AD219" s="213">
        <v>3</v>
      </c>
      <c r="BB219" s="207" t="s">
        <v>42</v>
      </c>
      <c r="BC219" s="198">
        <v>2</v>
      </c>
      <c r="BD219" s="198">
        <v>0.4</v>
      </c>
      <c r="BE219" s="198">
        <v>100</v>
      </c>
      <c r="BF219" s="198">
        <v>0.14000000000000001</v>
      </c>
      <c r="BG219" s="207" t="str">
        <f t="shared" si="6"/>
        <v/>
      </c>
      <c r="BL219" s="207" t="s">
        <v>42</v>
      </c>
      <c r="BM219" s="198">
        <v>2</v>
      </c>
      <c r="BN219" s="198">
        <v>0.4</v>
      </c>
      <c r="BO219" s="198">
        <v>100</v>
      </c>
      <c r="BP219" s="198">
        <v>0.15</v>
      </c>
      <c r="BQ219" s="207" t="str">
        <f t="shared" si="7"/>
        <v/>
      </c>
    </row>
    <row r="220" spans="28:69" x14ac:dyDescent="0.25">
      <c r="AB220" s="207" t="s">
        <v>249</v>
      </c>
      <c r="AC220" s="207" t="s">
        <v>431</v>
      </c>
      <c r="AD220" s="213">
        <v>2</v>
      </c>
      <c r="BB220" s="207" t="s">
        <v>42</v>
      </c>
      <c r="BC220" s="198">
        <v>3</v>
      </c>
      <c r="BD220" s="198">
        <v>0.4</v>
      </c>
      <c r="BE220" s="198">
        <v>100</v>
      </c>
      <c r="BF220" s="198">
        <v>0.17</v>
      </c>
      <c r="BG220" s="207" t="str">
        <f t="shared" si="6"/>
        <v/>
      </c>
      <c r="BL220" s="207" t="s">
        <v>42</v>
      </c>
      <c r="BM220" s="198">
        <v>3</v>
      </c>
      <c r="BN220" s="198">
        <v>0.4</v>
      </c>
      <c r="BO220" s="198">
        <v>100</v>
      </c>
      <c r="BP220" s="198">
        <v>0.16</v>
      </c>
      <c r="BQ220" s="207" t="str">
        <f t="shared" si="7"/>
        <v/>
      </c>
    </row>
    <row r="221" spans="28:69" x14ac:dyDescent="0.25">
      <c r="AB221" s="207" t="s">
        <v>249</v>
      </c>
      <c r="AC221" s="207" t="s">
        <v>432</v>
      </c>
      <c r="AD221" s="213">
        <v>2</v>
      </c>
      <c r="BB221" s="207" t="s">
        <v>42</v>
      </c>
      <c r="BC221" s="198">
        <v>4</v>
      </c>
      <c r="BD221" s="198">
        <v>0.4</v>
      </c>
      <c r="BE221" s="198">
        <v>100</v>
      </c>
      <c r="BF221" s="198">
        <v>0.14000000000000001</v>
      </c>
      <c r="BG221" s="207" t="str">
        <f t="shared" si="6"/>
        <v/>
      </c>
      <c r="BL221" s="207" t="s">
        <v>42</v>
      </c>
      <c r="BM221" s="198">
        <v>4</v>
      </c>
      <c r="BN221" s="198">
        <v>0.4</v>
      </c>
      <c r="BO221" s="198">
        <v>100</v>
      </c>
      <c r="BP221" s="198">
        <v>0.17</v>
      </c>
      <c r="BQ221" s="207" t="str">
        <f t="shared" si="7"/>
        <v/>
      </c>
    </row>
    <row r="222" spans="28:69" x14ac:dyDescent="0.25">
      <c r="AB222" s="207" t="s">
        <v>249</v>
      </c>
      <c r="AC222" s="207" t="s">
        <v>433</v>
      </c>
      <c r="AD222" s="213">
        <v>2</v>
      </c>
      <c r="BB222" s="207" t="s">
        <v>42</v>
      </c>
      <c r="BC222" s="198">
        <v>5</v>
      </c>
      <c r="BD222" s="198">
        <v>0.4</v>
      </c>
      <c r="BE222" s="198">
        <v>100</v>
      </c>
      <c r="BF222" s="198">
        <v>0.17</v>
      </c>
      <c r="BG222" s="207" t="str">
        <f t="shared" si="6"/>
        <v/>
      </c>
      <c r="BL222" s="207" t="s">
        <v>42</v>
      </c>
      <c r="BM222" s="198">
        <v>5</v>
      </c>
      <c r="BN222" s="198">
        <v>0.4</v>
      </c>
      <c r="BO222" s="198">
        <v>100</v>
      </c>
      <c r="BP222" s="198">
        <v>0.17</v>
      </c>
      <c r="BQ222" s="207" t="str">
        <f t="shared" si="7"/>
        <v/>
      </c>
    </row>
    <row r="223" spans="28:69" x14ac:dyDescent="0.25">
      <c r="AB223" s="207" t="s">
        <v>249</v>
      </c>
      <c r="AC223" s="207" t="s">
        <v>434</v>
      </c>
      <c r="AD223" s="213">
        <v>3</v>
      </c>
      <c r="BB223" s="207" t="s">
        <v>42</v>
      </c>
      <c r="BC223" s="198">
        <v>6</v>
      </c>
      <c r="BD223" s="198">
        <v>0.4</v>
      </c>
      <c r="BE223" s="198">
        <v>100</v>
      </c>
      <c r="BF223" s="198">
        <v>0.14000000000000001</v>
      </c>
      <c r="BG223" s="207" t="str">
        <f t="shared" si="6"/>
        <v/>
      </c>
      <c r="BL223" s="207" t="s">
        <v>42</v>
      </c>
      <c r="BM223" s="198">
        <v>6</v>
      </c>
      <c r="BN223" s="198">
        <v>0.4</v>
      </c>
      <c r="BO223" s="198">
        <v>100</v>
      </c>
      <c r="BP223" s="198">
        <v>0.18</v>
      </c>
      <c r="BQ223" s="207" t="str">
        <f t="shared" si="7"/>
        <v/>
      </c>
    </row>
    <row r="224" spans="28:69" x14ac:dyDescent="0.25">
      <c r="AB224" s="207" t="s">
        <v>249</v>
      </c>
      <c r="AC224" s="207" t="s">
        <v>435</v>
      </c>
      <c r="AD224" s="213">
        <v>2</v>
      </c>
      <c r="BB224" s="207" t="s">
        <v>42</v>
      </c>
      <c r="BC224" s="198">
        <v>7</v>
      </c>
      <c r="BD224" s="198">
        <v>0.4</v>
      </c>
      <c r="BE224" s="198">
        <v>100</v>
      </c>
      <c r="BF224" s="198">
        <v>0.1</v>
      </c>
      <c r="BG224" s="207" t="str">
        <f t="shared" si="6"/>
        <v/>
      </c>
      <c r="BL224" s="207" t="s">
        <v>42</v>
      </c>
      <c r="BM224" s="198">
        <v>7</v>
      </c>
      <c r="BN224" s="198">
        <v>0.4</v>
      </c>
      <c r="BO224" s="198">
        <v>100</v>
      </c>
      <c r="BP224" s="198">
        <v>0.19</v>
      </c>
      <c r="BQ224" s="207" t="str">
        <f t="shared" si="7"/>
        <v/>
      </c>
    </row>
    <row r="225" spans="28:69" x14ac:dyDescent="0.25">
      <c r="AB225" s="207" t="s">
        <v>249</v>
      </c>
      <c r="AC225" s="207" t="s">
        <v>436</v>
      </c>
      <c r="AD225" s="213">
        <v>3</v>
      </c>
      <c r="BB225" s="207" t="s">
        <v>42</v>
      </c>
      <c r="BC225" s="198">
        <v>8</v>
      </c>
      <c r="BD225" s="198">
        <v>0.4</v>
      </c>
      <c r="BE225" s="198">
        <v>100</v>
      </c>
      <c r="BF225" s="198">
        <v>0.11</v>
      </c>
      <c r="BG225" s="207" t="str">
        <f t="shared" si="6"/>
        <v/>
      </c>
      <c r="BL225" s="207" t="s">
        <v>42</v>
      </c>
      <c r="BM225" s="198">
        <v>8</v>
      </c>
      <c r="BN225" s="198">
        <v>0.4</v>
      </c>
      <c r="BO225" s="198">
        <v>100</v>
      </c>
      <c r="BP225" s="198">
        <v>0.19</v>
      </c>
      <c r="BQ225" s="207" t="str">
        <f t="shared" si="7"/>
        <v/>
      </c>
    </row>
    <row r="226" spans="28:69" x14ac:dyDescent="0.25">
      <c r="AB226" s="207" t="s">
        <v>249</v>
      </c>
      <c r="AC226" s="207" t="s">
        <v>437</v>
      </c>
      <c r="AD226" s="213">
        <v>1</v>
      </c>
      <c r="BB226" s="207" t="s">
        <v>5803</v>
      </c>
      <c r="BC226" s="198">
        <v>1</v>
      </c>
      <c r="BD226" s="198">
        <v>0</v>
      </c>
      <c r="BE226" s="198">
        <v>0.2</v>
      </c>
      <c r="BF226" s="198">
        <v>0.26</v>
      </c>
      <c r="BG226" s="207" t="str">
        <f t="shared" si="6"/>
        <v/>
      </c>
      <c r="BL226" s="207" t="s">
        <v>5804</v>
      </c>
      <c r="BM226" s="198">
        <v>1</v>
      </c>
      <c r="BN226" s="198">
        <v>0</v>
      </c>
      <c r="BO226" s="198">
        <v>0.2</v>
      </c>
      <c r="BP226" s="198">
        <v>0.3</v>
      </c>
      <c r="BQ226" s="207" t="str">
        <f t="shared" si="7"/>
        <v/>
      </c>
    </row>
    <row r="227" spans="28:69" x14ac:dyDescent="0.25">
      <c r="AB227" s="207" t="s">
        <v>249</v>
      </c>
      <c r="AC227" s="207" t="s">
        <v>5851</v>
      </c>
      <c r="AD227" s="213">
        <v>3</v>
      </c>
      <c r="BB227" s="207" t="s">
        <v>5803</v>
      </c>
      <c r="BC227" s="198">
        <v>2</v>
      </c>
      <c r="BD227" s="198">
        <v>0</v>
      </c>
      <c r="BE227" s="198">
        <v>0.2</v>
      </c>
      <c r="BF227" s="198">
        <v>0.2</v>
      </c>
      <c r="BG227" s="207" t="str">
        <f t="shared" si="6"/>
        <v/>
      </c>
      <c r="BL227" s="207" t="s">
        <v>5804</v>
      </c>
      <c r="BM227" s="198">
        <v>2</v>
      </c>
      <c r="BN227" s="198">
        <v>0</v>
      </c>
      <c r="BO227" s="198">
        <v>0.2</v>
      </c>
      <c r="BP227" s="198">
        <v>0.28999999999999998</v>
      </c>
      <c r="BQ227" s="207" t="str">
        <f t="shared" si="7"/>
        <v/>
      </c>
    </row>
    <row r="228" spans="28:69" x14ac:dyDescent="0.25">
      <c r="AB228" s="207" t="s">
        <v>249</v>
      </c>
      <c r="AC228" s="207" t="s">
        <v>438</v>
      </c>
      <c r="AD228" s="213">
        <v>3</v>
      </c>
      <c r="BB228" s="207" t="s">
        <v>5803</v>
      </c>
      <c r="BC228" s="198">
        <v>3</v>
      </c>
      <c r="BD228" s="198">
        <v>0</v>
      </c>
      <c r="BE228" s="198">
        <v>0.2</v>
      </c>
      <c r="BF228" s="198">
        <v>0.21</v>
      </c>
      <c r="BG228" s="207" t="str">
        <f t="shared" si="6"/>
        <v/>
      </c>
      <c r="BL228" s="207" t="s">
        <v>5804</v>
      </c>
      <c r="BM228" s="198">
        <v>3</v>
      </c>
      <c r="BN228" s="198">
        <v>0</v>
      </c>
      <c r="BO228" s="198">
        <v>0.2</v>
      </c>
      <c r="BP228" s="198">
        <v>0.3</v>
      </c>
      <c r="BQ228" s="207" t="str">
        <f t="shared" si="7"/>
        <v/>
      </c>
    </row>
    <row r="229" spans="28:69" x14ac:dyDescent="0.25">
      <c r="AB229" s="207" t="s">
        <v>249</v>
      </c>
      <c r="AC229" s="207" t="s">
        <v>439</v>
      </c>
      <c r="AD229" s="213">
        <v>3</v>
      </c>
      <c r="BB229" s="207" t="s">
        <v>5803</v>
      </c>
      <c r="BC229" s="198">
        <v>4</v>
      </c>
      <c r="BD229" s="198">
        <v>0</v>
      </c>
      <c r="BE229" s="198">
        <v>0.2</v>
      </c>
      <c r="BF229" s="198">
        <v>0.17</v>
      </c>
      <c r="BG229" s="207" t="str">
        <f t="shared" si="6"/>
        <v/>
      </c>
      <c r="BL229" s="207" t="s">
        <v>5804</v>
      </c>
      <c r="BM229" s="198">
        <v>4</v>
      </c>
      <c r="BN229" s="198">
        <v>0</v>
      </c>
      <c r="BO229" s="198">
        <v>0.2</v>
      </c>
      <c r="BP229" s="198">
        <v>0.28999999999999998</v>
      </c>
      <c r="BQ229" s="207" t="str">
        <f t="shared" si="7"/>
        <v/>
      </c>
    </row>
    <row r="230" spans="28:69" x14ac:dyDescent="0.25">
      <c r="AB230" s="207" t="s">
        <v>249</v>
      </c>
      <c r="AC230" s="207" t="s">
        <v>440</v>
      </c>
      <c r="AD230" s="213">
        <v>2</v>
      </c>
      <c r="BB230" s="207" t="s">
        <v>5803</v>
      </c>
      <c r="BC230" s="198">
        <v>5</v>
      </c>
      <c r="BD230" s="198">
        <v>0</v>
      </c>
      <c r="BE230" s="198">
        <v>0.2</v>
      </c>
      <c r="BF230" s="198">
        <v>0.21</v>
      </c>
      <c r="BG230" s="207" t="str">
        <f t="shared" si="6"/>
        <v/>
      </c>
      <c r="BL230" s="207" t="s">
        <v>5804</v>
      </c>
      <c r="BM230" s="198">
        <v>5</v>
      </c>
      <c r="BN230" s="198">
        <v>0</v>
      </c>
      <c r="BO230" s="198">
        <v>0.2</v>
      </c>
      <c r="BP230" s="198">
        <v>0.3</v>
      </c>
      <c r="BQ230" s="207" t="str">
        <f t="shared" si="7"/>
        <v/>
      </c>
    </row>
    <row r="231" spans="28:69" x14ac:dyDescent="0.25">
      <c r="AB231" s="207" t="s">
        <v>249</v>
      </c>
      <c r="AC231" s="207" t="s">
        <v>441</v>
      </c>
      <c r="AD231" s="213">
        <v>2</v>
      </c>
      <c r="BB231" s="207" t="s">
        <v>5803</v>
      </c>
      <c r="BC231" s="198">
        <v>6</v>
      </c>
      <c r="BD231" s="198">
        <v>0</v>
      </c>
      <c r="BE231" s="198">
        <v>0.2</v>
      </c>
      <c r="BF231" s="198">
        <v>0.18</v>
      </c>
      <c r="BG231" s="207" t="str">
        <f t="shared" si="6"/>
        <v/>
      </c>
      <c r="BL231" s="207" t="s">
        <v>5804</v>
      </c>
      <c r="BM231" s="198">
        <v>6</v>
      </c>
      <c r="BN231" s="198">
        <v>0</v>
      </c>
      <c r="BO231" s="198">
        <v>0.2</v>
      </c>
      <c r="BP231" s="198">
        <v>0.3</v>
      </c>
      <c r="BQ231" s="207" t="str">
        <f t="shared" si="7"/>
        <v/>
      </c>
    </row>
    <row r="232" spans="28:69" x14ac:dyDescent="0.25">
      <c r="AB232" s="207" t="s">
        <v>249</v>
      </c>
      <c r="AC232" s="207" t="s">
        <v>442</v>
      </c>
      <c r="AD232" s="213">
        <v>2</v>
      </c>
      <c r="BB232" s="207" t="s">
        <v>5803</v>
      </c>
      <c r="BC232" s="198">
        <v>7</v>
      </c>
      <c r="BD232" s="198">
        <v>0</v>
      </c>
      <c r="BE232" s="198">
        <v>0.2</v>
      </c>
      <c r="BF232" s="198">
        <v>0.12</v>
      </c>
      <c r="BG232" s="207" t="str">
        <f t="shared" si="6"/>
        <v/>
      </c>
      <c r="BL232" s="207" t="s">
        <v>5804</v>
      </c>
      <c r="BM232" s="198">
        <v>7</v>
      </c>
      <c r="BN232" s="198">
        <v>0</v>
      </c>
      <c r="BO232" s="198">
        <v>0.2</v>
      </c>
      <c r="BP232" s="198">
        <v>0.28999999999999998</v>
      </c>
      <c r="BQ232" s="207" t="str">
        <f t="shared" si="7"/>
        <v/>
      </c>
    </row>
    <row r="233" spans="28:69" x14ac:dyDescent="0.25">
      <c r="AB233" s="207" t="s">
        <v>249</v>
      </c>
      <c r="AC233" s="207" t="s">
        <v>443</v>
      </c>
      <c r="AD233" s="213">
        <v>3</v>
      </c>
      <c r="BB233" s="207" t="s">
        <v>5803</v>
      </c>
      <c r="BC233" s="198">
        <v>8</v>
      </c>
      <c r="BD233" s="198">
        <v>0</v>
      </c>
      <c r="BE233" s="198">
        <v>0.2</v>
      </c>
      <c r="BF233" s="198">
        <v>0.14000000000000001</v>
      </c>
      <c r="BG233" s="207" t="str">
        <f t="shared" si="6"/>
        <v/>
      </c>
      <c r="BL233" s="207" t="s">
        <v>5804</v>
      </c>
      <c r="BM233" s="198">
        <v>8</v>
      </c>
      <c r="BN233" s="198">
        <v>0</v>
      </c>
      <c r="BO233" s="198">
        <v>0.2</v>
      </c>
      <c r="BP233" s="198">
        <v>0.28999999999999998</v>
      </c>
      <c r="BQ233" s="207" t="str">
        <f t="shared" si="7"/>
        <v/>
      </c>
    </row>
    <row r="234" spans="28:69" x14ac:dyDescent="0.25">
      <c r="AB234" s="207" t="s">
        <v>249</v>
      </c>
      <c r="AC234" s="207" t="s">
        <v>444</v>
      </c>
      <c r="AD234" s="213">
        <v>3</v>
      </c>
      <c r="BB234" s="207" t="s">
        <v>5803</v>
      </c>
      <c r="BC234" s="198">
        <v>1</v>
      </c>
      <c r="BD234" s="198">
        <v>0.2</v>
      </c>
      <c r="BE234" s="198">
        <v>0.3</v>
      </c>
      <c r="BF234" s="198">
        <v>0.26</v>
      </c>
      <c r="BG234" s="207" t="str">
        <f t="shared" si="6"/>
        <v/>
      </c>
      <c r="BL234" s="207" t="s">
        <v>5804</v>
      </c>
      <c r="BM234" s="198">
        <v>1</v>
      </c>
      <c r="BN234" s="198">
        <v>0.2</v>
      </c>
      <c r="BO234" s="198">
        <v>0.3</v>
      </c>
      <c r="BP234" s="198">
        <v>0.3</v>
      </c>
      <c r="BQ234" s="207" t="str">
        <f t="shared" si="7"/>
        <v/>
      </c>
    </row>
    <row r="235" spans="28:69" x14ac:dyDescent="0.25">
      <c r="AB235" s="207" t="s">
        <v>249</v>
      </c>
      <c r="AC235" s="207" t="s">
        <v>445</v>
      </c>
      <c r="AD235" s="213">
        <v>2</v>
      </c>
      <c r="BB235" s="207" t="s">
        <v>5803</v>
      </c>
      <c r="BC235" s="198">
        <v>2</v>
      </c>
      <c r="BD235" s="198">
        <v>0.2</v>
      </c>
      <c r="BE235" s="198">
        <v>0.3</v>
      </c>
      <c r="BF235" s="198">
        <v>0.21</v>
      </c>
      <c r="BG235" s="207" t="str">
        <f t="shared" si="6"/>
        <v/>
      </c>
      <c r="BL235" s="207" t="s">
        <v>5804</v>
      </c>
      <c r="BM235" s="198">
        <v>2</v>
      </c>
      <c r="BN235" s="198">
        <v>0.2</v>
      </c>
      <c r="BO235" s="198">
        <v>0.3</v>
      </c>
      <c r="BP235" s="198">
        <v>0.28999999999999998</v>
      </c>
      <c r="BQ235" s="207" t="str">
        <f t="shared" si="7"/>
        <v/>
      </c>
    </row>
    <row r="236" spans="28:69" x14ac:dyDescent="0.25">
      <c r="AB236" s="207" t="s">
        <v>249</v>
      </c>
      <c r="AC236" s="207" t="s">
        <v>446</v>
      </c>
      <c r="AD236" s="213">
        <v>2</v>
      </c>
      <c r="BB236" s="207" t="s">
        <v>5803</v>
      </c>
      <c r="BC236" s="198">
        <v>3</v>
      </c>
      <c r="BD236" s="198">
        <v>0.2</v>
      </c>
      <c r="BE236" s="198">
        <v>0.3</v>
      </c>
      <c r="BF236" s="198">
        <v>0.21</v>
      </c>
      <c r="BG236" s="207" t="str">
        <f t="shared" si="6"/>
        <v/>
      </c>
      <c r="BL236" s="207" t="s">
        <v>5804</v>
      </c>
      <c r="BM236" s="198">
        <v>3</v>
      </c>
      <c r="BN236" s="198">
        <v>0.2</v>
      </c>
      <c r="BO236" s="198">
        <v>0.3</v>
      </c>
      <c r="BP236" s="198">
        <v>0.3</v>
      </c>
      <c r="BQ236" s="207" t="str">
        <f t="shared" si="7"/>
        <v/>
      </c>
    </row>
    <row r="237" spans="28:69" x14ac:dyDescent="0.25">
      <c r="AB237" s="207" t="s">
        <v>249</v>
      </c>
      <c r="AC237" s="207" t="s">
        <v>447</v>
      </c>
      <c r="AD237" s="213">
        <v>3</v>
      </c>
      <c r="BB237" s="207" t="s">
        <v>5803</v>
      </c>
      <c r="BC237" s="198">
        <v>4</v>
      </c>
      <c r="BD237" s="198">
        <v>0.2</v>
      </c>
      <c r="BE237" s="198">
        <v>0.3</v>
      </c>
      <c r="BF237" s="198">
        <v>0.17</v>
      </c>
      <c r="BG237" s="207" t="str">
        <f t="shared" si="6"/>
        <v/>
      </c>
      <c r="BL237" s="207" t="s">
        <v>5804</v>
      </c>
      <c r="BM237" s="198">
        <v>4</v>
      </c>
      <c r="BN237" s="198">
        <v>0.2</v>
      </c>
      <c r="BO237" s="198">
        <v>0.3</v>
      </c>
      <c r="BP237" s="198">
        <v>0.28999999999999998</v>
      </c>
      <c r="BQ237" s="207" t="str">
        <f t="shared" si="7"/>
        <v/>
      </c>
    </row>
    <row r="238" spans="28:69" x14ac:dyDescent="0.25">
      <c r="AB238" s="207" t="s">
        <v>249</v>
      </c>
      <c r="AC238" s="207" t="s">
        <v>448</v>
      </c>
      <c r="AD238" s="213">
        <v>3</v>
      </c>
      <c r="BB238" s="207" t="s">
        <v>5803</v>
      </c>
      <c r="BC238" s="198">
        <v>5</v>
      </c>
      <c r="BD238" s="198">
        <v>0.2</v>
      </c>
      <c r="BE238" s="198">
        <v>0.3</v>
      </c>
      <c r="BF238" s="198">
        <v>0.21</v>
      </c>
      <c r="BG238" s="207" t="str">
        <f t="shared" si="6"/>
        <v/>
      </c>
      <c r="BL238" s="207" t="s">
        <v>5804</v>
      </c>
      <c r="BM238" s="198">
        <v>5</v>
      </c>
      <c r="BN238" s="198">
        <v>0.2</v>
      </c>
      <c r="BO238" s="198">
        <v>0.3</v>
      </c>
      <c r="BP238" s="198">
        <v>0.3</v>
      </c>
      <c r="BQ238" s="207" t="str">
        <f t="shared" si="7"/>
        <v/>
      </c>
    </row>
    <row r="239" spans="28:69" x14ac:dyDescent="0.25">
      <c r="AB239" s="207" t="s">
        <v>249</v>
      </c>
      <c r="AC239" s="207" t="s">
        <v>449</v>
      </c>
      <c r="AD239" s="213">
        <v>3</v>
      </c>
      <c r="BB239" s="207" t="s">
        <v>5803</v>
      </c>
      <c r="BC239" s="198">
        <v>6</v>
      </c>
      <c r="BD239" s="198">
        <v>0.2</v>
      </c>
      <c r="BE239" s="198">
        <v>0.3</v>
      </c>
      <c r="BF239" s="198">
        <v>0.18</v>
      </c>
      <c r="BG239" s="207" t="str">
        <f t="shared" si="6"/>
        <v/>
      </c>
      <c r="BL239" s="207" t="s">
        <v>5804</v>
      </c>
      <c r="BM239" s="198">
        <v>6</v>
      </c>
      <c r="BN239" s="198">
        <v>0.2</v>
      </c>
      <c r="BO239" s="198">
        <v>0.3</v>
      </c>
      <c r="BP239" s="198">
        <v>0.3</v>
      </c>
      <c r="BQ239" s="207" t="str">
        <f t="shared" si="7"/>
        <v/>
      </c>
    </row>
    <row r="240" spans="28:69" x14ac:dyDescent="0.25">
      <c r="AB240" s="207" t="s">
        <v>249</v>
      </c>
      <c r="AC240" s="207" t="s">
        <v>450</v>
      </c>
      <c r="AD240" s="213">
        <v>3</v>
      </c>
      <c r="BB240" s="207" t="s">
        <v>5803</v>
      </c>
      <c r="BC240" s="198">
        <v>7</v>
      </c>
      <c r="BD240" s="198">
        <v>0.2</v>
      </c>
      <c r="BE240" s="198">
        <v>0.3</v>
      </c>
      <c r="BF240" s="198">
        <v>0.12</v>
      </c>
      <c r="BG240" s="207" t="str">
        <f t="shared" si="6"/>
        <v/>
      </c>
      <c r="BL240" s="207" t="s">
        <v>5804</v>
      </c>
      <c r="BM240" s="198">
        <v>7</v>
      </c>
      <c r="BN240" s="198">
        <v>0.2</v>
      </c>
      <c r="BO240" s="198">
        <v>0.3</v>
      </c>
      <c r="BP240" s="198">
        <v>0.28999999999999998</v>
      </c>
      <c r="BQ240" s="207" t="str">
        <f t="shared" si="7"/>
        <v/>
      </c>
    </row>
    <row r="241" spans="28:69" x14ac:dyDescent="0.25">
      <c r="AB241" s="207" t="s">
        <v>249</v>
      </c>
      <c r="AC241" s="207" t="s">
        <v>451</v>
      </c>
      <c r="AD241" s="213">
        <v>2</v>
      </c>
      <c r="BB241" s="207" t="s">
        <v>5803</v>
      </c>
      <c r="BC241" s="198">
        <v>8</v>
      </c>
      <c r="BD241" s="198">
        <v>0.2</v>
      </c>
      <c r="BE241" s="198">
        <v>0.3</v>
      </c>
      <c r="BF241" s="198">
        <v>0.14000000000000001</v>
      </c>
      <c r="BG241" s="207" t="str">
        <f t="shared" si="6"/>
        <v/>
      </c>
      <c r="BL241" s="207" t="s">
        <v>5804</v>
      </c>
      <c r="BM241" s="198">
        <v>8</v>
      </c>
      <c r="BN241" s="198">
        <v>0.2</v>
      </c>
      <c r="BO241" s="198">
        <v>0.3</v>
      </c>
      <c r="BP241" s="198">
        <v>0.28999999999999998</v>
      </c>
      <c r="BQ241" s="207" t="str">
        <f t="shared" si="7"/>
        <v/>
      </c>
    </row>
    <row r="242" spans="28:69" x14ac:dyDescent="0.25">
      <c r="AB242" s="207" t="s">
        <v>249</v>
      </c>
      <c r="AC242" s="207" t="s">
        <v>452</v>
      </c>
      <c r="AD242" s="213">
        <v>3</v>
      </c>
      <c r="BB242" s="207" t="s">
        <v>5803</v>
      </c>
      <c r="BC242" s="198">
        <v>1</v>
      </c>
      <c r="BD242" s="198">
        <v>0.3</v>
      </c>
      <c r="BE242" s="198">
        <v>0.4</v>
      </c>
      <c r="BF242" s="198">
        <v>0.27</v>
      </c>
      <c r="BG242" s="207" t="str">
        <f t="shared" si="6"/>
        <v/>
      </c>
      <c r="BL242" s="207" t="s">
        <v>5804</v>
      </c>
      <c r="BM242" s="198">
        <v>1</v>
      </c>
      <c r="BN242" s="198">
        <v>0.3</v>
      </c>
      <c r="BO242" s="198">
        <v>0.4</v>
      </c>
      <c r="BP242" s="198">
        <v>0.31</v>
      </c>
      <c r="BQ242" s="207" t="str">
        <f t="shared" si="7"/>
        <v/>
      </c>
    </row>
    <row r="243" spans="28:69" x14ac:dyDescent="0.25">
      <c r="AB243" s="207" t="s">
        <v>249</v>
      </c>
      <c r="AC243" s="207" t="s">
        <v>453</v>
      </c>
      <c r="AD243" s="213">
        <v>3</v>
      </c>
      <c r="BB243" s="207" t="s">
        <v>5803</v>
      </c>
      <c r="BC243" s="198">
        <v>2</v>
      </c>
      <c r="BD243" s="198">
        <v>0.3</v>
      </c>
      <c r="BE243" s="198">
        <v>0.4</v>
      </c>
      <c r="BF243" s="198">
        <v>0.22</v>
      </c>
      <c r="BG243" s="207" t="str">
        <f t="shared" si="6"/>
        <v/>
      </c>
      <c r="BL243" s="207" t="s">
        <v>5804</v>
      </c>
      <c r="BM243" s="198">
        <v>2</v>
      </c>
      <c r="BN243" s="198">
        <v>0.3</v>
      </c>
      <c r="BO243" s="198">
        <v>0.4</v>
      </c>
      <c r="BP243" s="198">
        <v>0.3</v>
      </c>
      <c r="BQ243" s="207" t="str">
        <f t="shared" si="7"/>
        <v/>
      </c>
    </row>
    <row r="244" spans="28:69" x14ac:dyDescent="0.25">
      <c r="AB244" s="207" t="s">
        <v>249</v>
      </c>
      <c r="AC244" s="207" t="s">
        <v>454</v>
      </c>
      <c r="AD244" s="213">
        <v>3</v>
      </c>
      <c r="BB244" s="207" t="s">
        <v>5803</v>
      </c>
      <c r="BC244" s="198">
        <v>3</v>
      </c>
      <c r="BD244" s="198">
        <v>0.3</v>
      </c>
      <c r="BE244" s="198">
        <v>0.4</v>
      </c>
      <c r="BF244" s="198">
        <v>0.22</v>
      </c>
      <c r="BG244" s="207" t="str">
        <f t="shared" si="6"/>
        <v/>
      </c>
      <c r="BL244" s="207" t="s">
        <v>5804</v>
      </c>
      <c r="BM244" s="198">
        <v>3</v>
      </c>
      <c r="BN244" s="198">
        <v>0.3</v>
      </c>
      <c r="BO244" s="198">
        <v>0.4</v>
      </c>
      <c r="BP244" s="198">
        <v>0.31</v>
      </c>
      <c r="BQ244" s="207" t="str">
        <f t="shared" si="7"/>
        <v/>
      </c>
    </row>
    <row r="245" spans="28:69" x14ac:dyDescent="0.25">
      <c r="AB245" s="207" t="s">
        <v>249</v>
      </c>
      <c r="AC245" s="207" t="s">
        <v>455</v>
      </c>
      <c r="AD245" s="213">
        <v>3</v>
      </c>
      <c r="BB245" s="207" t="s">
        <v>5803</v>
      </c>
      <c r="BC245" s="198">
        <v>4</v>
      </c>
      <c r="BD245" s="198">
        <v>0.3</v>
      </c>
      <c r="BE245" s="198">
        <v>0.4</v>
      </c>
      <c r="BF245" s="198">
        <v>0.18</v>
      </c>
      <c r="BG245" s="207" t="str">
        <f t="shared" si="6"/>
        <v/>
      </c>
      <c r="BL245" s="207" t="s">
        <v>5804</v>
      </c>
      <c r="BM245" s="198">
        <v>4</v>
      </c>
      <c r="BN245" s="198">
        <v>0.3</v>
      </c>
      <c r="BO245" s="198">
        <v>0.4</v>
      </c>
      <c r="BP245" s="198">
        <v>0.3</v>
      </c>
      <c r="BQ245" s="207" t="str">
        <f t="shared" si="7"/>
        <v/>
      </c>
    </row>
    <row r="246" spans="28:69" x14ac:dyDescent="0.25">
      <c r="AB246" s="207" t="s">
        <v>249</v>
      </c>
      <c r="AC246" s="207" t="s">
        <v>456</v>
      </c>
      <c r="AD246" s="213">
        <v>2</v>
      </c>
      <c r="BB246" s="207" t="s">
        <v>5803</v>
      </c>
      <c r="BC246" s="198">
        <v>5</v>
      </c>
      <c r="BD246" s="198">
        <v>0.3</v>
      </c>
      <c r="BE246" s="198">
        <v>0.4</v>
      </c>
      <c r="BF246" s="198">
        <v>0.22</v>
      </c>
      <c r="BG246" s="207" t="str">
        <f t="shared" si="6"/>
        <v/>
      </c>
      <c r="BL246" s="207" t="s">
        <v>5804</v>
      </c>
      <c r="BM246" s="198">
        <v>5</v>
      </c>
      <c r="BN246" s="198">
        <v>0.3</v>
      </c>
      <c r="BO246" s="198">
        <v>0.4</v>
      </c>
      <c r="BP246" s="198">
        <v>0.31</v>
      </c>
      <c r="BQ246" s="207" t="str">
        <f t="shared" si="7"/>
        <v/>
      </c>
    </row>
    <row r="247" spans="28:69" x14ac:dyDescent="0.25">
      <c r="AB247" s="207" t="s">
        <v>249</v>
      </c>
      <c r="AC247" s="207" t="s">
        <v>457</v>
      </c>
      <c r="AD247" s="213">
        <v>3</v>
      </c>
      <c r="BB247" s="207" t="s">
        <v>5803</v>
      </c>
      <c r="BC247" s="198">
        <v>6</v>
      </c>
      <c r="BD247" s="198">
        <v>0.3</v>
      </c>
      <c r="BE247" s="198">
        <v>0.4</v>
      </c>
      <c r="BF247" s="198">
        <v>0.18</v>
      </c>
      <c r="BG247" s="207" t="str">
        <f t="shared" si="6"/>
        <v/>
      </c>
      <c r="BL247" s="207" t="s">
        <v>5804</v>
      </c>
      <c r="BM247" s="198">
        <v>6</v>
      </c>
      <c r="BN247" s="198">
        <v>0.3</v>
      </c>
      <c r="BO247" s="198">
        <v>0.4</v>
      </c>
      <c r="BP247" s="198">
        <v>0.31</v>
      </c>
      <c r="BQ247" s="207" t="str">
        <f t="shared" si="7"/>
        <v/>
      </c>
    </row>
    <row r="248" spans="28:69" x14ac:dyDescent="0.25">
      <c r="AB248" s="207" t="s">
        <v>249</v>
      </c>
      <c r="AC248" s="207" t="s">
        <v>458</v>
      </c>
      <c r="AD248" s="213">
        <v>3</v>
      </c>
      <c r="BB248" s="207" t="s">
        <v>5803</v>
      </c>
      <c r="BC248" s="198">
        <v>7</v>
      </c>
      <c r="BD248" s="198">
        <v>0.3</v>
      </c>
      <c r="BE248" s="198">
        <v>0.4</v>
      </c>
      <c r="BF248" s="198">
        <v>0.12</v>
      </c>
      <c r="BG248" s="207" t="str">
        <f t="shared" si="6"/>
        <v/>
      </c>
      <c r="BL248" s="207" t="s">
        <v>5804</v>
      </c>
      <c r="BM248" s="198">
        <v>7</v>
      </c>
      <c r="BN248" s="198">
        <v>0.3</v>
      </c>
      <c r="BO248" s="198">
        <v>0.4</v>
      </c>
      <c r="BP248" s="198">
        <v>0.3</v>
      </c>
      <c r="BQ248" s="207" t="str">
        <f t="shared" si="7"/>
        <v/>
      </c>
    </row>
    <row r="249" spans="28:69" x14ac:dyDescent="0.25">
      <c r="AB249" s="207" t="s">
        <v>249</v>
      </c>
      <c r="AC249" s="207" t="s">
        <v>459</v>
      </c>
      <c r="AD249" s="213">
        <v>4</v>
      </c>
      <c r="BB249" s="207" t="s">
        <v>5803</v>
      </c>
      <c r="BC249" s="198">
        <v>8</v>
      </c>
      <c r="BD249" s="198">
        <v>0.3</v>
      </c>
      <c r="BE249" s="198">
        <v>0.4</v>
      </c>
      <c r="BF249" s="198">
        <v>0.14000000000000001</v>
      </c>
      <c r="BG249" s="207" t="str">
        <f t="shared" si="6"/>
        <v/>
      </c>
      <c r="BL249" s="207" t="s">
        <v>5804</v>
      </c>
      <c r="BM249" s="198">
        <v>8</v>
      </c>
      <c r="BN249" s="198">
        <v>0.3</v>
      </c>
      <c r="BO249" s="198">
        <v>0.4</v>
      </c>
      <c r="BP249" s="198">
        <v>0.3</v>
      </c>
      <c r="BQ249" s="207" t="str">
        <f t="shared" si="7"/>
        <v/>
      </c>
    </row>
    <row r="250" spans="28:69" x14ac:dyDescent="0.25">
      <c r="AB250" s="207" t="s">
        <v>249</v>
      </c>
      <c r="AC250" s="207" t="s">
        <v>460</v>
      </c>
      <c r="AD250" s="213">
        <v>3</v>
      </c>
      <c r="BB250" s="207" t="s">
        <v>5803</v>
      </c>
      <c r="BC250" s="198">
        <v>1</v>
      </c>
      <c r="BD250" s="198">
        <v>0.4</v>
      </c>
      <c r="BE250" s="198">
        <v>0.5</v>
      </c>
      <c r="BF250" s="198">
        <v>0.28000000000000003</v>
      </c>
      <c r="BG250" s="207" t="str">
        <f t="shared" si="6"/>
        <v/>
      </c>
      <c r="BL250" s="207" t="s">
        <v>5804</v>
      </c>
      <c r="BM250" s="198">
        <v>1</v>
      </c>
      <c r="BN250" s="198">
        <v>0.4</v>
      </c>
      <c r="BO250" s="198">
        <v>0.5</v>
      </c>
      <c r="BP250" s="198">
        <v>0.32</v>
      </c>
      <c r="BQ250" s="207" t="str">
        <f t="shared" si="7"/>
        <v/>
      </c>
    </row>
    <row r="251" spans="28:69" x14ac:dyDescent="0.25">
      <c r="AB251" s="207" t="s">
        <v>249</v>
      </c>
      <c r="AC251" s="207" t="s">
        <v>461</v>
      </c>
      <c r="AD251" s="213">
        <v>3</v>
      </c>
      <c r="BB251" s="207" t="s">
        <v>5803</v>
      </c>
      <c r="BC251" s="198">
        <v>2</v>
      </c>
      <c r="BD251" s="198">
        <v>0.4</v>
      </c>
      <c r="BE251" s="198">
        <v>0.5</v>
      </c>
      <c r="BF251" s="198">
        <v>0.24</v>
      </c>
      <c r="BG251" s="207" t="str">
        <f t="shared" si="6"/>
        <v/>
      </c>
      <c r="BL251" s="207" t="s">
        <v>5804</v>
      </c>
      <c r="BM251" s="198">
        <v>2</v>
      </c>
      <c r="BN251" s="198">
        <v>0.4</v>
      </c>
      <c r="BO251" s="198">
        <v>0.5</v>
      </c>
      <c r="BP251" s="198">
        <v>0.31</v>
      </c>
      <c r="BQ251" s="207" t="str">
        <f t="shared" si="7"/>
        <v/>
      </c>
    </row>
    <row r="252" spans="28:69" x14ac:dyDescent="0.25">
      <c r="AB252" s="207" t="s">
        <v>249</v>
      </c>
      <c r="AC252" s="207" t="s">
        <v>462</v>
      </c>
      <c r="AD252" s="213">
        <v>2</v>
      </c>
      <c r="BB252" s="207" t="s">
        <v>5803</v>
      </c>
      <c r="BC252" s="198">
        <v>3</v>
      </c>
      <c r="BD252" s="198">
        <v>0.4</v>
      </c>
      <c r="BE252" s="198">
        <v>0.5</v>
      </c>
      <c r="BF252" s="198">
        <v>0.2</v>
      </c>
      <c r="BG252" s="207" t="str">
        <f t="shared" si="6"/>
        <v/>
      </c>
      <c r="BL252" s="207" t="s">
        <v>5804</v>
      </c>
      <c r="BM252" s="198">
        <v>3</v>
      </c>
      <c r="BN252" s="198">
        <v>0.4</v>
      </c>
      <c r="BO252" s="198">
        <v>0.5</v>
      </c>
      <c r="BP252" s="198">
        <v>0.32</v>
      </c>
      <c r="BQ252" s="207" t="str">
        <f t="shared" si="7"/>
        <v/>
      </c>
    </row>
    <row r="253" spans="28:69" x14ac:dyDescent="0.25">
      <c r="AB253" s="207" t="s">
        <v>249</v>
      </c>
      <c r="AC253" s="207" t="s">
        <v>463</v>
      </c>
      <c r="AD253" s="213">
        <v>2</v>
      </c>
      <c r="BB253" s="207" t="s">
        <v>5803</v>
      </c>
      <c r="BC253" s="198">
        <v>4</v>
      </c>
      <c r="BD253" s="198">
        <v>0.4</v>
      </c>
      <c r="BE253" s="198">
        <v>0.5</v>
      </c>
      <c r="BF253" s="198">
        <v>0.16</v>
      </c>
      <c r="BG253" s="207" t="str">
        <f t="shared" si="6"/>
        <v/>
      </c>
      <c r="BL253" s="207" t="s">
        <v>5804</v>
      </c>
      <c r="BM253" s="198">
        <v>4</v>
      </c>
      <c r="BN253" s="198">
        <v>0.4</v>
      </c>
      <c r="BO253" s="198">
        <v>0.5</v>
      </c>
      <c r="BP253" s="198">
        <v>0.31</v>
      </c>
      <c r="BQ253" s="207" t="str">
        <f t="shared" si="7"/>
        <v/>
      </c>
    </row>
    <row r="254" spans="28:69" x14ac:dyDescent="0.25">
      <c r="AB254" s="207" t="s">
        <v>249</v>
      </c>
      <c r="AC254" s="207" t="s">
        <v>464</v>
      </c>
      <c r="AD254" s="213">
        <v>3</v>
      </c>
      <c r="BB254" s="207" t="s">
        <v>5803</v>
      </c>
      <c r="BC254" s="198">
        <v>5</v>
      </c>
      <c r="BD254" s="198">
        <v>0.4</v>
      </c>
      <c r="BE254" s="198">
        <v>0.5</v>
      </c>
      <c r="BF254" s="198">
        <v>0.21</v>
      </c>
      <c r="BG254" s="207" t="str">
        <f t="shared" si="6"/>
        <v/>
      </c>
      <c r="BL254" s="207" t="s">
        <v>5804</v>
      </c>
      <c r="BM254" s="198">
        <v>5</v>
      </c>
      <c r="BN254" s="198">
        <v>0.4</v>
      </c>
      <c r="BO254" s="198">
        <v>0.5</v>
      </c>
      <c r="BP254" s="198">
        <v>0.32</v>
      </c>
      <c r="BQ254" s="207" t="str">
        <f t="shared" si="7"/>
        <v/>
      </c>
    </row>
    <row r="255" spans="28:69" x14ac:dyDescent="0.25">
      <c r="AB255" s="207" t="s">
        <v>249</v>
      </c>
      <c r="AC255" s="207" t="s">
        <v>465</v>
      </c>
      <c r="AD255" s="213">
        <v>3</v>
      </c>
      <c r="BB255" s="207" t="s">
        <v>5803</v>
      </c>
      <c r="BC255" s="198">
        <v>6</v>
      </c>
      <c r="BD255" s="198">
        <v>0.4</v>
      </c>
      <c r="BE255" s="198">
        <v>0.5</v>
      </c>
      <c r="BF255" s="198">
        <v>0.16</v>
      </c>
      <c r="BG255" s="207" t="str">
        <f t="shared" si="6"/>
        <v/>
      </c>
      <c r="BL255" s="207" t="s">
        <v>5804</v>
      </c>
      <c r="BM255" s="198">
        <v>6</v>
      </c>
      <c r="BN255" s="198">
        <v>0.4</v>
      </c>
      <c r="BO255" s="198">
        <v>0.5</v>
      </c>
      <c r="BP255" s="198">
        <v>0.32</v>
      </c>
      <c r="BQ255" s="207" t="str">
        <f t="shared" si="7"/>
        <v/>
      </c>
    </row>
    <row r="256" spans="28:69" x14ac:dyDescent="0.25">
      <c r="AB256" s="207" t="s">
        <v>249</v>
      </c>
      <c r="AC256" s="207" t="s">
        <v>466</v>
      </c>
      <c r="AD256" s="213">
        <v>2</v>
      </c>
      <c r="BB256" s="207" t="s">
        <v>5803</v>
      </c>
      <c r="BC256" s="198">
        <v>7</v>
      </c>
      <c r="BD256" s="198">
        <v>0.4</v>
      </c>
      <c r="BE256" s="198">
        <v>0.5</v>
      </c>
      <c r="BF256" s="198">
        <v>0.1</v>
      </c>
      <c r="BG256" s="207" t="str">
        <f t="shared" si="6"/>
        <v/>
      </c>
      <c r="BL256" s="207" t="s">
        <v>5804</v>
      </c>
      <c r="BM256" s="198">
        <v>7</v>
      </c>
      <c r="BN256" s="198">
        <v>0.4</v>
      </c>
      <c r="BO256" s="198">
        <v>0.5</v>
      </c>
      <c r="BP256" s="198">
        <v>0.3</v>
      </c>
      <c r="BQ256" s="207" t="str">
        <f t="shared" si="7"/>
        <v/>
      </c>
    </row>
    <row r="257" spans="28:73" x14ac:dyDescent="0.25">
      <c r="AB257" s="207" t="s">
        <v>249</v>
      </c>
      <c r="AC257" s="207" t="s">
        <v>467</v>
      </c>
      <c r="AD257" s="213">
        <v>2</v>
      </c>
      <c r="BB257" s="207" t="s">
        <v>5803</v>
      </c>
      <c r="BC257" s="198">
        <v>8</v>
      </c>
      <c r="BD257" s="198">
        <v>0.4</v>
      </c>
      <c r="BE257" s="198">
        <v>0.5</v>
      </c>
      <c r="BF257" s="198">
        <v>0.12</v>
      </c>
      <c r="BG257" s="207" t="str">
        <f t="shared" si="6"/>
        <v/>
      </c>
      <c r="BL257" s="207" t="s">
        <v>5804</v>
      </c>
      <c r="BM257" s="198">
        <v>8</v>
      </c>
      <c r="BN257" s="198">
        <v>0.4</v>
      </c>
      <c r="BO257" s="198">
        <v>0.5</v>
      </c>
      <c r="BP257" s="198">
        <v>0.31</v>
      </c>
      <c r="BQ257" s="207" t="str">
        <f t="shared" si="7"/>
        <v/>
      </c>
    </row>
    <row r="258" spans="28:73" x14ac:dyDescent="0.25">
      <c r="AB258" s="207" t="s">
        <v>249</v>
      </c>
      <c r="AC258" s="207" t="s">
        <v>468</v>
      </c>
      <c r="AD258" s="213">
        <v>3</v>
      </c>
      <c r="BB258" s="207" t="s">
        <v>5803</v>
      </c>
      <c r="BC258" s="198">
        <v>1</v>
      </c>
      <c r="BD258" s="198">
        <v>0.5</v>
      </c>
      <c r="BE258" s="198">
        <v>100</v>
      </c>
      <c r="BF258" s="198">
        <v>0.28000000000000003</v>
      </c>
      <c r="BG258" s="207" t="str">
        <f t="shared" ref="BG258:BG321" si="8">IF(BC258=$BJ$1,IF(BB258=$BI$1,IF(AND($BH$1&gt;BD258,$BH$1&lt;BE258),BF258,""),""),"")</f>
        <v/>
      </c>
      <c r="BL258" s="207" t="s">
        <v>5804</v>
      </c>
      <c r="BM258" s="198">
        <v>1</v>
      </c>
      <c r="BN258" s="198">
        <v>0.5</v>
      </c>
      <c r="BO258" s="198">
        <v>100</v>
      </c>
      <c r="BP258" s="198">
        <v>0.37</v>
      </c>
      <c r="BQ258" s="207" t="str">
        <f t="shared" ref="BQ258:BQ321" si="9">IF(BM258=$BJ$1,IF(BL258=$BI$1,IF(AND($BH$1&gt;BN258,$BH$1&lt;BO258),BP258,""),""),"")</f>
        <v/>
      </c>
    </row>
    <row r="259" spans="28:73" x14ac:dyDescent="0.25">
      <c r="AB259" s="207" t="s">
        <v>249</v>
      </c>
      <c r="AC259" s="207" t="s">
        <v>469</v>
      </c>
      <c r="AD259" s="213">
        <v>3</v>
      </c>
      <c r="BB259" s="207" t="s">
        <v>5803</v>
      </c>
      <c r="BC259" s="198">
        <v>2</v>
      </c>
      <c r="BD259" s="198">
        <v>0.5</v>
      </c>
      <c r="BE259" s="198">
        <v>100</v>
      </c>
      <c r="BF259" s="198">
        <v>0.25</v>
      </c>
      <c r="BG259" s="207" t="str">
        <f t="shared" si="8"/>
        <v/>
      </c>
      <c r="BL259" s="207" t="s">
        <v>5804</v>
      </c>
      <c r="BM259" s="198">
        <v>2</v>
      </c>
      <c r="BN259" s="198">
        <v>0.5</v>
      </c>
      <c r="BO259" s="198">
        <v>100</v>
      </c>
      <c r="BP259" s="198">
        <v>0.35</v>
      </c>
      <c r="BQ259" s="207" t="str">
        <f t="shared" si="9"/>
        <v/>
      </c>
    </row>
    <row r="260" spans="28:73" x14ac:dyDescent="0.25">
      <c r="AB260" s="207" t="s">
        <v>249</v>
      </c>
      <c r="AC260" s="207" t="s">
        <v>470</v>
      </c>
      <c r="AD260" s="213">
        <v>2</v>
      </c>
      <c r="BB260" s="207" t="s">
        <v>5803</v>
      </c>
      <c r="BC260" s="198">
        <v>3</v>
      </c>
      <c r="BD260" s="198">
        <v>0.5</v>
      </c>
      <c r="BE260" s="198">
        <v>100</v>
      </c>
      <c r="BF260" s="198">
        <v>0.17</v>
      </c>
      <c r="BG260" s="207" t="str">
        <f t="shared" si="8"/>
        <v/>
      </c>
      <c r="BL260" s="207" t="s">
        <v>5804</v>
      </c>
      <c r="BM260" s="198">
        <v>3</v>
      </c>
      <c r="BN260" s="198">
        <v>0.5</v>
      </c>
      <c r="BO260" s="198">
        <v>100</v>
      </c>
      <c r="BP260" s="198">
        <v>0.35</v>
      </c>
      <c r="BQ260" s="207" t="str">
        <f t="shared" si="9"/>
        <v/>
      </c>
    </row>
    <row r="261" spans="28:73" x14ac:dyDescent="0.25">
      <c r="AB261" s="207" t="s">
        <v>249</v>
      </c>
      <c r="AC261" s="207" t="s">
        <v>471</v>
      </c>
      <c r="AD261" s="213">
        <v>3</v>
      </c>
      <c r="BB261" s="207" t="s">
        <v>5803</v>
      </c>
      <c r="BC261" s="198">
        <v>4</v>
      </c>
      <c r="BD261" s="198">
        <v>0.5</v>
      </c>
      <c r="BE261" s="198">
        <v>100</v>
      </c>
      <c r="BF261" s="198">
        <v>0.13</v>
      </c>
      <c r="BG261" s="207" t="str">
        <f t="shared" si="8"/>
        <v/>
      </c>
      <c r="BL261" s="207" t="s">
        <v>5804</v>
      </c>
      <c r="BM261" s="198">
        <v>4</v>
      </c>
      <c r="BN261" s="198">
        <v>0.5</v>
      </c>
      <c r="BO261" s="198">
        <v>100</v>
      </c>
      <c r="BP261" s="198">
        <v>0.33</v>
      </c>
      <c r="BQ261" s="207" t="str">
        <f t="shared" si="9"/>
        <v/>
      </c>
    </row>
    <row r="262" spans="28:73" x14ac:dyDescent="0.25">
      <c r="AB262" s="207" t="s">
        <v>249</v>
      </c>
      <c r="AC262" s="207" t="s">
        <v>472</v>
      </c>
      <c r="AD262" s="213">
        <v>3</v>
      </c>
      <c r="BB262" s="207" t="s">
        <v>5803</v>
      </c>
      <c r="BC262" s="198">
        <v>5</v>
      </c>
      <c r="BD262" s="198">
        <v>0.5</v>
      </c>
      <c r="BE262" s="198">
        <v>100</v>
      </c>
      <c r="BF262" s="198">
        <v>0.18</v>
      </c>
      <c r="BG262" s="207" t="str">
        <f t="shared" si="8"/>
        <v/>
      </c>
      <c r="BL262" s="207" t="s">
        <v>5804</v>
      </c>
      <c r="BM262" s="198">
        <v>5</v>
      </c>
      <c r="BN262" s="198">
        <v>0.5</v>
      </c>
      <c r="BO262" s="198">
        <v>100</v>
      </c>
      <c r="BP262" s="198">
        <v>0.36</v>
      </c>
      <c r="BQ262" s="207" t="str">
        <f t="shared" si="9"/>
        <v/>
      </c>
    </row>
    <row r="263" spans="28:73" x14ac:dyDescent="0.25">
      <c r="AB263" s="207" t="s">
        <v>249</v>
      </c>
      <c r="AC263" s="207" t="s">
        <v>473</v>
      </c>
      <c r="AD263" s="213">
        <v>3</v>
      </c>
      <c r="BB263" s="207" t="s">
        <v>5803</v>
      </c>
      <c r="BC263" s="198">
        <v>6</v>
      </c>
      <c r="BD263" s="198">
        <v>0.5</v>
      </c>
      <c r="BE263" s="198">
        <v>100</v>
      </c>
      <c r="BF263" s="198">
        <v>0.11</v>
      </c>
      <c r="BG263" s="207" t="str">
        <f t="shared" si="8"/>
        <v/>
      </c>
      <c r="BL263" s="207" t="s">
        <v>5804</v>
      </c>
      <c r="BM263" s="198">
        <v>6</v>
      </c>
      <c r="BN263" s="198">
        <v>0.5</v>
      </c>
      <c r="BO263" s="198">
        <v>100</v>
      </c>
      <c r="BP263" s="198">
        <v>0.34</v>
      </c>
      <c r="BQ263" s="207" t="str">
        <f t="shared" si="9"/>
        <v/>
      </c>
    </row>
    <row r="264" spans="28:73" x14ac:dyDescent="0.25">
      <c r="AB264" s="207" t="s">
        <v>249</v>
      </c>
      <c r="AC264" s="207" t="s">
        <v>474</v>
      </c>
      <c r="AD264" s="213">
        <v>6</v>
      </c>
      <c r="BB264" s="207" t="s">
        <v>5803</v>
      </c>
      <c r="BC264" s="198">
        <v>7</v>
      </c>
      <c r="BD264" s="198">
        <v>0.5</v>
      </c>
      <c r="BE264" s="198">
        <v>100</v>
      </c>
      <c r="BF264" s="198">
        <v>0.06</v>
      </c>
      <c r="BG264" s="207" t="str">
        <f t="shared" si="8"/>
        <v/>
      </c>
      <c r="BL264" s="207" t="s">
        <v>5804</v>
      </c>
      <c r="BM264" s="198">
        <v>7</v>
      </c>
      <c r="BN264" s="198">
        <v>0.5</v>
      </c>
      <c r="BO264" s="198">
        <v>100</v>
      </c>
      <c r="BP264" s="198">
        <v>0.32</v>
      </c>
      <c r="BQ264" s="207" t="str">
        <f t="shared" si="9"/>
        <v/>
      </c>
    </row>
    <row r="265" spans="28:73" x14ac:dyDescent="0.25">
      <c r="AB265" s="207" t="s">
        <v>249</v>
      </c>
      <c r="AC265" s="207" t="s">
        <v>5852</v>
      </c>
      <c r="AD265" s="213">
        <v>2</v>
      </c>
      <c r="BB265" s="207" t="s">
        <v>5803</v>
      </c>
      <c r="BC265" s="198">
        <v>8</v>
      </c>
      <c r="BD265" s="198">
        <v>0.5</v>
      </c>
      <c r="BE265" s="198">
        <v>100</v>
      </c>
      <c r="BF265" s="198">
        <v>0.08</v>
      </c>
      <c r="BG265" s="207" t="str">
        <f t="shared" si="8"/>
        <v/>
      </c>
      <c r="BL265" s="207" t="s">
        <v>5804</v>
      </c>
      <c r="BM265" s="198">
        <v>8</v>
      </c>
      <c r="BN265" s="198">
        <v>0.5</v>
      </c>
      <c r="BO265" s="198">
        <v>100</v>
      </c>
      <c r="BP265" s="198">
        <v>0.32</v>
      </c>
      <c r="BQ265" s="207" t="str">
        <f t="shared" si="9"/>
        <v/>
      </c>
    </row>
    <row r="266" spans="28:73" ht="15.75" x14ac:dyDescent="0.25">
      <c r="AB266" s="207" t="s">
        <v>249</v>
      </c>
      <c r="AC266" s="207" t="s">
        <v>475</v>
      </c>
      <c r="AD266" s="213">
        <v>2</v>
      </c>
      <c r="BB266" s="207" t="s">
        <v>43</v>
      </c>
      <c r="BC266" s="198">
        <v>1</v>
      </c>
      <c r="BD266" s="198">
        <v>0</v>
      </c>
      <c r="BE266" s="198">
        <v>0.2</v>
      </c>
      <c r="BF266" s="198">
        <v>0.28000000000000003</v>
      </c>
      <c r="BG266" s="207" t="str">
        <f t="shared" si="8"/>
        <v/>
      </c>
      <c r="BL266" s="207" t="s">
        <v>43</v>
      </c>
      <c r="BM266" s="198">
        <v>1</v>
      </c>
      <c r="BN266" s="198">
        <v>0</v>
      </c>
      <c r="BO266" s="198">
        <v>0.2</v>
      </c>
      <c r="BP266" s="198">
        <v>0.28000000000000003</v>
      </c>
      <c r="BQ266" s="207" t="str">
        <f t="shared" si="9"/>
        <v/>
      </c>
      <c r="BU266" s="197"/>
    </row>
    <row r="267" spans="28:73" ht="15.75" x14ac:dyDescent="0.25">
      <c r="AB267" s="207" t="s">
        <v>249</v>
      </c>
      <c r="AC267" s="207" t="s">
        <v>476</v>
      </c>
      <c r="AD267" s="213">
        <v>3</v>
      </c>
      <c r="BB267" s="207" t="s">
        <v>43</v>
      </c>
      <c r="BC267" s="198">
        <v>2</v>
      </c>
      <c r="BD267" s="198">
        <v>0</v>
      </c>
      <c r="BE267" s="198">
        <v>0.2</v>
      </c>
      <c r="BF267" s="198">
        <v>0.23</v>
      </c>
      <c r="BG267" s="207" t="str">
        <f t="shared" si="8"/>
        <v/>
      </c>
      <c r="BL267" s="207" t="s">
        <v>43</v>
      </c>
      <c r="BM267" s="198">
        <v>2</v>
      </c>
      <c r="BN267" s="198">
        <v>0</v>
      </c>
      <c r="BO267" s="198">
        <v>0.2</v>
      </c>
      <c r="BP267" s="198">
        <v>0.28000000000000003</v>
      </c>
      <c r="BQ267" s="207" t="str">
        <f t="shared" si="9"/>
        <v/>
      </c>
      <c r="BU267" s="197"/>
    </row>
    <row r="268" spans="28:73" ht="15.75" x14ac:dyDescent="0.25">
      <c r="AB268" s="207" t="s">
        <v>249</v>
      </c>
      <c r="AC268" s="207" t="s">
        <v>477</v>
      </c>
      <c r="AD268" s="213">
        <v>3</v>
      </c>
      <c r="BB268" s="207" t="s">
        <v>43</v>
      </c>
      <c r="BC268" s="198">
        <v>3</v>
      </c>
      <c r="BD268" s="198">
        <v>0</v>
      </c>
      <c r="BE268" s="198">
        <v>0.2</v>
      </c>
      <c r="BF268" s="198">
        <v>0.24</v>
      </c>
      <c r="BG268" s="207" t="str">
        <f t="shared" si="8"/>
        <v/>
      </c>
      <c r="BL268" s="207" t="s">
        <v>43</v>
      </c>
      <c r="BM268" s="198">
        <v>3</v>
      </c>
      <c r="BN268" s="198">
        <v>0</v>
      </c>
      <c r="BO268" s="198">
        <v>0.2</v>
      </c>
      <c r="BP268" s="198">
        <v>0.28000000000000003</v>
      </c>
      <c r="BQ268" s="207" t="str">
        <f t="shared" si="9"/>
        <v/>
      </c>
      <c r="BU268" s="197"/>
    </row>
    <row r="269" spans="28:73" ht="15.75" x14ac:dyDescent="0.25">
      <c r="AB269" s="207" t="s">
        <v>249</v>
      </c>
      <c r="AC269" s="207" t="s">
        <v>478</v>
      </c>
      <c r="AD269" s="213">
        <v>2</v>
      </c>
      <c r="BB269" s="207" t="s">
        <v>43</v>
      </c>
      <c r="BC269" s="198">
        <v>4</v>
      </c>
      <c r="BD269" s="198">
        <v>0</v>
      </c>
      <c r="BE269" s="198">
        <v>0.2</v>
      </c>
      <c r="BF269" s="198">
        <v>0.2</v>
      </c>
      <c r="BG269" s="207" t="str">
        <f t="shared" si="8"/>
        <v/>
      </c>
      <c r="BL269" s="207" t="s">
        <v>43</v>
      </c>
      <c r="BM269" s="198">
        <v>4</v>
      </c>
      <c r="BN269" s="198">
        <v>0</v>
      </c>
      <c r="BO269" s="198">
        <v>0.2</v>
      </c>
      <c r="BP269" s="198">
        <v>0.27</v>
      </c>
      <c r="BQ269" s="207" t="str">
        <f t="shared" si="9"/>
        <v/>
      </c>
      <c r="BU269" s="197"/>
    </row>
    <row r="270" spans="28:73" ht="15.75" x14ac:dyDescent="0.25">
      <c r="AB270" s="207" t="s">
        <v>249</v>
      </c>
      <c r="AC270" s="207" t="s">
        <v>479</v>
      </c>
      <c r="AD270" s="213">
        <v>2</v>
      </c>
      <c r="BB270" s="207" t="s">
        <v>43</v>
      </c>
      <c r="BC270" s="198">
        <v>5</v>
      </c>
      <c r="BD270" s="198">
        <v>0</v>
      </c>
      <c r="BE270" s="198">
        <v>0.2</v>
      </c>
      <c r="BF270" s="198">
        <v>0.24</v>
      </c>
      <c r="BG270" s="207" t="str">
        <f t="shared" si="8"/>
        <v/>
      </c>
      <c r="BL270" s="207" t="s">
        <v>43</v>
      </c>
      <c r="BM270" s="198">
        <v>5</v>
      </c>
      <c r="BN270" s="198">
        <v>0</v>
      </c>
      <c r="BO270" s="198">
        <v>0.2</v>
      </c>
      <c r="BP270" s="198">
        <v>0.27</v>
      </c>
      <c r="BQ270" s="207" t="str">
        <f t="shared" si="9"/>
        <v/>
      </c>
      <c r="BU270" s="197"/>
    </row>
    <row r="271" spans="28:73" ht="15.75" x14ac:dyDescent="0.25">
      <c r="AB271" s="207" t="s">
        <v>249</v>
      </c>
      <c r="AC271" s="207" t="s">
        <v>480</v>
      </c>
      <c r="AD271" s="213">
        <v>3</v>
      </c>
      <c r="BB271" s="207" t="s">
        <v>43</v>
      </c>
      <c r="BC271" s="198">
        <v>6</v>
      </c>
      <c r="BD271" s="198">
        <v>0</v>
      </c>
      <c r="BE271" s="198">
        <v>0.2</v>
      </c>
      <c r="BF271" s="198">
        <v>0.21</v>
      </c>
      <c r="BG271" s="207" t="str">
        <f t="shared" si="8"/>
        <v/>
      </c>
      <c r="BL271" s="207" t="s">
        <v>43</v>
      </c>
      <c r="BM271" s="198">
        <v>6</v>
      </c>
      <c r="BN271" s="198">
        <v>0</v>
      </c>
      <c r="BO271" s="198">
        <v>0.2</v>
      </c>
      <c r="BP271" s="198">
        <v>0.28000000000000003</v>
      </c>
      <c r="BQ271" s="207" t="str">
        <f t="shared" si="9"/>
        <v/>
      </c>
      <c r="BU271" s="197"/>
    </row>
    <row r="272" spans="28:73" ht="15.75" x14ac:dyDescent="0.25">
      <c r="AB272" s="207" t="s">
        <v>249</v>
      </c>
      <c r="AC272" s="207" t="s">
        <v>481</v>
      </c>
      <c r="AD272" s="213">
        <v>3</v>
      </c>
      <c r="BB272" s="207" t="s">
        <v>43</v>
      </c>
      <c r="BC272" s="198">
        <v>7</v>
      </c>
      <c r="BD272" s="198">
        <v>0</v>
      </c>
      <c r="BE272" s="198">
        <v>0.2</v>
      </c>
      <c r="BF272" s="198">
        <v>0.15</v>
      </c>
      <c r="BG272" s="207" t="str">
        <f t="shared" si="8"/>
        <v/>
      </c>
      <c r="BL272" s="207" t="s">
        <v>43</v>
      </c>
      <c r="BM272" s="198">
        <v>7</v>
      </c>
      <c r="BN272" s="198">
        <v>0</v>
      </c>
      <c r="BO272" s="198">
        <v>0.2</v>
      </c>
      <c r="BP272" s="198">
        <v>0.27</v>
      </c>
      <c r="BQ272" s="207" t="str">
        <f t="shared" si="9"/>
        <v/>
      </c>
      <c r="BU272" s="197"/>
    </row>
    <row r="273" spans="28:73" ht="15.75" x14ac:dyDescent="0.25">
      <c r="AB273" s="207" t="s">
        <v>249</v>
      </c>
      <c r="AC273" s="207" t="s">
        <v>482</v>
      </c>
      <c r="AD273" s="213">
        <v>3</v>
      </c>
      <c r="BB273" s="207" t="s">
        <v>43</v>
      </c>
      <c r="BC273" s="198">
        <v>8</v>
      </c>
      <c r="BD273" s="198">
        <v>0</v>
      </c>
      <c r="BE273" s="198">
        <v>0.2</v>
      </c>
      <c r="BF273" s="198">
        <v>0.16</v>
      </c>
      <c r="BG273" s="207" t="str">
        <f t="shared" si="8"/>
        <v/>
      </c>
      <c r="BL273" s="207" t="s">
        <v>43</v>
      </c>
      <c r="BM273" s="198">
        <v>8</v>
      </c>
      <c r="BN273" s="198">
        <v>0</v>
      </c>
      <c r="BO273" s="198">
        <v>0.2</v>
      </c>
      <c r="BP273" s="198">
        <v>0.27</v>
      </c>
      <c r="BQ273" s="207" t="str">
        <f t="shared" si="9"/>
        <v/>
      </c>
      <c r="BU273" s="197"/>
    </row>
    <row r="274" spans="28:73" x14ac:dyDescent="0.25">
      <c r="AB274" s="207" t="s">
        <v>249</v>
      </c>
      <c r="AC274" s="207" t="s">
        <v>483</v>
      </c>
      <c r="AD274" s="213">
        <v>2</v>
      </c>
      <c r="BB274" s="207" t="s">
        <v>43</v>
      </c>
      <c r="BC274" s="198">
        <v>1</v>
      </c>
      <c r="BD274" s="198">
        <v>0.2</v>
      </c>
      <c r="BE274" s="198">
        <v>0.3</v>
      </c>
      <c r="BF274" s="198">
        <v>0.28000000000000003</v>
      </c>
      <c r="BG274" s="207" t="str">
        <f t="shared" si="8"/>
        <v/>
      </c>
      <c r="BL274" s="207" t="s">
        <v>43</v>
      </c>
      <c r="BM274" s="198">
        <v>1</v>
      </c>
      <c r="BN274" s="198">
        <v>0.2</v>
      </c>
      <c r="BO274" s="198">
        <v>0.3</v>
      </c>
      <c r="BP274" s="198">
        <v>0.28000000000000003</v>
      </c>
      <c r="BQ274" s="207" t="str">
        <f t="shared" si="9"/>
        <v/>
      </c>
    </row>
    <row r="275" spans="28:73" x14ac:dyDescent="0.25">
      <c r="AB275" s="207" t="s">
        <v>249</v>
      </c>
      <c r="AC275" s="207" t="s">
        <v>484</v>
      </c>
      <c r="AD275" s="213">
        <v>3</v>
      </c>
      <c r="BB275" s="207" t="s">
        <v>43</v>
      </c>
      <c r="BC275" s="198">
        <v>2</v>
      </c>
      <c r="BD275" s="198">
        <v>0.2</v>
      </c>
      <c r="BE275" s="198">
        <v>0.3</v>
      </c>
      <c r="BF275" s="198">
        <v>0.24</v>
      </c>
      <c r="BG275" s="207" t="str">
        <f t="shared" si="8"/>
        <v/>
      </c>
      <c r="BL275" s="207" t="s">
        <v>43</v>
      </c>
      <c r="BM275" s="198">
        <v>2</v>
      </c>
      <c r="BN275" s="198">
        <v>0.2</v>
      </c>
      <c r="BO275" s="198">
        <v>0.3</v>
      </c>
      <c r="BP275" s="198">
        <v>0.27</v>
      </c>
      <c r="BQ275" s="207" t="str">
        <f t="shared" si="9"/>
        <v/>
      </c>
    </row>
    <row r="276" spans="28:73" x14ac:dyDescent="0.25">
      <c r="AB276" s="207" t="s">
        <v>249</v>
      </c>
      <c r="AC276" s="207" t="s">
        <v>5853</v>
      </c>
      <c r="AD276" s="213">
        <v>3</v>
      </c>
      <c r="BB276" s="207" t="s">
        <v>43</v>
      </c>
      <c r="BC276" s="198">
        <v>3</v>
      </c>
      <c r="BD276" s="198">
        <v>0.2</v>
      </c>
      <c r="BE276" s="198">
        <v>0.3</v>
      </c>
      <c r="BF276" s="198">
        <v>0.22</v>
      </c>
      <c r="BG276" s="207" t="str">
        <f t="shared" si="8"/>
        <v/>
      </c>
      <c r="BL276" s="207" t="s">
        <v>43</v>
      </c>
      <c r="BM276" s="198">
        <v>3</v>
      </c>
      <c r="BN276" s="198">
        <v>0.2</v>
      </c>
      <c r="BO276" s="198">
        <v>0.3</v>
      </c>
      <c r="BP276" s="198">
        <v>0.28000000000000003</v>
      </c>
      <c r="BQ276" s="207" t="str">
        <f t="shared" si="9"/>
        <v/>
      </c>
    </row>
    <row r="277" spans="28:73" x14ac:dyDescent="0.25">
      <c r="AB277" s="207" t="s">
        <v>249</v>
      </c>
      <c r="AC277" s="207" t="s">
        <v>485</v>
      </c>
      <c r="AD277" s="213">
        <v>3</v>
      </c>
      <c r="BB277" s="207" t="s">
        <v>43</v>
      </c>
      <c r="BC277" s="198">
        <v>4</v>
      </c>
      <c r="BD277" s="198">
        <v>0.2</v>
      </c>
      <c r="BE277" s="198">
        <v>0.3</v>
      </c>
      <c r="BF277" s="198">
        <v>0.17</v>
      </c>
      <c r="BG277" s="207" t="str">
        <f t="shared" si="8"/>
        <v/>
      </c>
      <c r="BL277" s="207" t="s">
        <v>43</v>
      </c>
      <c r="BM277" s="198">
        <v>4</v>
      </c>
      <c r="BN277" s="198">
        <v>0.2</v>
      </c>
      <c r="BO277" s="198">
        <v>0.3</v>
      </c>
      <c r="BP277" s="198">
        <v>0.27</v>
      </c>
      <c r="BQ277" s="207" t="str">
        <f t="shared" si="9"/>
        <v/>
      </c>
    </row>
    <row r="278" spans="28:73" x14ac:dyDescent="0.25">
      <c r="AB278" s="207" t="s">
        <v>249</v>
      </c>
      <c r="AC278" s="207" t="s">
        <v>486</v>
      </c>
      <c r="AD278" s="213">
        <v>2</v>
      </c>
      <c r="BB278" s="207" t="s">
        <v>43</v>
      </c>
      <c r="BC278" s="198">
        <v>5</v>
      </c>
      <c r="BD278" s="198">
        <v>0.2</v>
      </c>
      <c r="BE278" s="198">
        <v>0.3</v>
      </c>
      <c r="BF278" s="198">
        <v>0.22</v>
      </c>
      <c r="BG278" s="207" t="str">
        <f t="shared" si="8"/>
        <v/>
      </c>
      <c r="BL278" s="207" t="s">
        <v>43</v>
      </c>
      <c r="BM278" s="198">
        <v>5</v>
      </c>
      <c r="BN278" s="198">
        <v>0.2</v>
      </c>
      <c r="BO278" s="198">
        <v>0.3</v>
      </c>
      <c r="BP278" s="198">
        <v>0.27</v>
      </c>
      <c r="BQ278" s="207" t="str">
        <f t="shared" si="9"/>
        <v/>
      </c>
    </row>
    <row r="279" spans="28:73" x14ac:dyDescent="0.25">
      <c r="AB279" s="207" t="s">
        <v>249</v>
      </c>
      <c r="AC279" s="207" t="s">
        <v>487</v>
      </c>
      <c r="AD279" s="213">
        <v>3</v>
      </c>
      <c r="BB279" s="207" t="s">
        <v>43</v>
      </c>
      <c r="BC279" s="198">
        <v>6</v>
      </c>
      <c r="BD279" s="198">
        <v>0.2</v>
      </c>
      <c r="BE279" s="198">
        <v>0.3</v>
      </c>
      <c r="BF279" s="198">
        <v>0.17</v>
      </c>
      <c r="BG279" s="207" t="str">
        <f t="shared" si="8"/>
        <v/>
      </c>
      <c r="BL279" s="207" t="s">
        <v>43</v>
      </c>
      <c r="BM279" s="198">
        <v>6</v>
      </c>
      <c r="BN279" s="198">
        <v>0.2</v>
      </c>
      <c r="BO279" s="198">
        <v>0.3</v>
      </c>
      <c r="BP279" s="198">
        <v>0.27</v>
      </c>
      <c r="BQ279" s="207" t="str">
        <f t="shared" si="9"/>
        <v/>
      </c>
    </row>
    <row r="280" spans="28:73" x14ac:dyDescent="0.25">
      <c r="AB280" s="207" t="s">
        <v>249</v>
      </c>
      <c r="AC280" s="207" t="s">
        <v>488</v>
      </c>
      <c r="AD280" s="213">
        <v>3</v>
      </c>
      <c r="BB280" s="207" t="s">
        <v>43</v>
      </c>
      <c r="BC280" s="198">
        <v>7</v>
      </c>
      <c r="BD280" s="198">
        <v>0.2</v>
      </c>
      <c r="BE280" s="198">
        <v>0.3</v>
      </c>
      <c r="BF280" s="198">
        <v>0.11</v>
      </c>
      <c r="BG280" s="207" t="str">
        <f t="shared" si="8"/>
        <v/>
      </c>
      <c r="BL280" s="207" t="s">
        <v>43</v>
      </c>
      <c r="BM280" s="198">
        <v>7</v>
      </c>
      <c r="BN280" s="198">
        <v>0.2</v>
      </c>
      <c r="BO280" s="198">
        <v>0.3</v>
      </c>
      <c r="BP280" s="198">
        <v>0.26</v>
      </c>
      <c r="BQ280" s="207" t="str">
        <f t="shared" si="9"/>
        <v/>
      </c>
    </row>
    <row r="281" spans="28:73" x14ac:dyDescent="0.25">
      <c r="AB281" s="207" t="s">
        <v>249</v>
      </c>
      <c r="AC281" s="207" t="s">
        <v>489</v>
      </c>
      <c r="AD281" s="213">
        <v>3</v>
      </c>
      <c r="BB281" s="207" t="s">
        <v>43</v>
      </c>
      <c r="BC281" s="198">
        <v>8</v>
      </c>
      <c r="BD281" s="198">
        <v>0.2</v>
      </c>
      <c r="BE281" s="198">
        <v>0.3</v>
      </c>
      <c r="BF281" s="198">
        <v>0.12</v>
      </c>
      <c r="BG281" s="207" t="str">
        <f t="shared" si="8"/>
        <v/>
      </c>
      <c r="BL281" s="207" t="s">
        <v>43</v>
      </c>
      <c r="BM281" s="198">
        <v>8</v>
      </c>
      <c r="BN281" s="198">
        <v>0.2</v>
      </c>
      <c r="BO281" s="198">
        <v>0.3</v>
      </c>
      <c r="BP281" s="198">
        <v>0.27</v>
      </c>
      <c r="BQ281" s="207" t="str">
        <f t="shared" si="9"/>
        <v/>
      </c>
    </row>
    <row r="282" spans="28:73" x14ac:dyDescent="0.25">
      <c r="AB282" s="207" t="s">
        <v>249</v>
      </c>
      <c r="AC282" s="207" t="s">
        <v>490</v>
      </c>
      <c r="AD282" s="213">
        <v>3</v>
      </c>
      <c r="BB282" s="207" t="s">
        <v>43</v>
      </c>
      <c r="BC282" s="198">
        <v>1</v>
      </c>
      <c r="BD282" s="198">
        <v>0.3</v>
      </c>
      <c r="BE282" s="198">
        <v>0.4</v>
      </c>
      <c r="BF282" s="198">
        <v>0.31</v>
      </c>
      <c r="BG282" s="207" t="str">
        <f t="shared" si="8"/>
        <v/>
      </c>
      <c r="BL282" s="207" t="s">
        <v>43</v>
      </c>
      <c r="BM282" s="198">
        <v>1</v>
      </c>
      <c r="BN282" s="198">
        <v>0.3</v>
      </c>
      <c r="BO282" s="198">
        <v>0.4</v>
      </c>
      <c r="BP282" s="198">
        <v>0.28000000000000003</v>
      </c>
      <c r="BQ282" s="207" t="str">
        <f t="shared" si="9"/>
        <v/>
      </c>
    </row>
    <row r="283" spans="28:73" x14ac:dyDescent="0.25">
      <c r="AB283" s="207" t="s">
        <v>249</v>
      </c>
      <c r="AC283" s="207" t="s">
        <v>491</v>
      </c>
      <c r="AD283" s="213">
        <v>3</v>
      </c>
      <c r="BB283" s="207" t="s">
        <v>43</v>
      </c>
      <c r="BC283" s="198">
        <v>2</v>
      </c>
      <c r="BD283" s="198">
        <v>0.3</v>
      </c>
      <c r="BE283" s="198">
        <v>0.4</v>
      </c>
      <c r="BF283" s="198">
        <v>0.27</v>
      </c>
      <c r="BG283" s="207" t="str">
        <f t="shared" si="8"/>
        <v/>
      </c>
      <c r="BL283" s="207" t="s">
        <v>43</v>
      </c>
      <c r="BM283" s="198">
        <v>2</v>
      </c>
      <c r="BN283" s="198">
        <v>0.3</v>
      </c>
      <c r="BO283" s="198">
        <v>0.4</v>
      </c>
      <c r="BP283" s="198">
        <v>0.27</v>
      </c>
      <c r="BQ283" s="207" t="str">
        <f t="shared" si="9"/>
        <v/>
      </c>
    </row>
    <row r="284" spans="28:73" x14ac:dyDescent="0.25">
      <c r="AB284" s="207" t="s">
        <v>249</v>
      </c>
      <c r="AC284" s="207" t="s">
        <v>492</v>
      </c>
      <c r="AD284" s="213">
        <v>2</v>
      </c>
      <c r="BB284" s="207" t="s">
        <v>43</v>
      </c>
      <c r="BC284" s="198">
        <v>3</v>
      </c>
      <c r="BD284" s="198">
        <v>0.3</v>
      </c>
      <c r="BE284" s="198">
        <v>0.4</v>
      </c>
      <c r="BF284" s="198">
        <v>0.22</v>
      </c>
      <c r="BG284" s="207" t="str">
        <f t="shared" si="8"/>
        <v/>
      </c>
      <c r="BL284" s="207" t="s">
        <v>43</v>
      </c>
      <c r="BM284" s="198">
        <v>3</v>
      </c>
      <c r="BN284" s="198">
        <v>0.3</v>
      </c>
      <c r="BO284" s="198">
        <v>0.4</v>
      </c>
      <c r="BP284" s="198">
        <v>0.27</v>
      </c>
      <c r="BQ284" s="207" t="str">
        <f t="shared" si="9"/>
        <v/>
      </c>
    </row>
    <row r="285" spans="28:73" x14ac:dyDescent="0.25">
      <c r="AB285" s="207" t="s">
        <v>249</v>
      </c>
      <c r="AC285" s="207" t="s">
        <v>493</v>
      </c>
      <c r="AD285" s="213">
        <v>4</v>
      </c>
      <c r="BB285" s="207" t="s">
        <v>43</v>
      </c>
      <c r="BC285" s="198">
        <v>4</v>
      </c>
      <c r="BD285" s="198">
        <v>0.3</v>
      </c>
      <c r="BE285" s="198">
        <v>0.4</v>
      </c>
      <c r="BF285" s="198">
        <v>0.16</v>
      </c>
      <c r="BG285" s="207" t="str">
        <f t="shared" si="8"/>
        <v/>
      </c>
      <c r="BL285" s="207" t="s">
        <v>43</v>
      </c>
      <c r="BM285" s="198">
        <v>4</v>
      </c>
      <c r="BN285" s="198">
        <v>0.3</v>
      </c>
      <c r="BO285" s="198">
        <v>0.4</v>
      </c>
      <c r="BP285" s="198">
        <v>0.26</v>
      </c>
      <c r="BQ285" s="207" t="str">
        <f t="shared" si="9"/>
        <v/>
      </c>
    </row>
    <row r="286" spans="28:73" x14ac:dyDescent="0.25">
      <c r="AB286" s="207" t="s">
        <v>249</v>
      </c>
      <c r="AC286" s="207" t="s">
        <v>494</v>
      </c>
      <c r="AD286" s="213">
        <v>3</v>
      </c>
      <c r="BB286" s="207" t="s">
        <v>43</v>
      </c>
      <c r="BC286" s="198">
        <v>5</v>
      </c>
      <c r="BD286" s="198">
        <v>0.3</v>
      </c>
      <c r="BE286" s="198">
        <v>0.4</v>
      </c>
      <c r="BF286" s="198">
        <v>0.2</v>
      </c>
      <c r="BG286" s="207" t="str">
        <f t="shared" si="8"/>
        <v/>
      </c>
      <c r="BL286" s="207" t="s">
        <v>43</v>
      </c>
      <c r="BM286" s="198">
        <v>5</v>
      </c>
      <c r="BN286" s="198">
        <v>0.3</v>
      </c>
      <c r="BO286" s="198">
        <v>0.4</v>
      </c>
      <c r="BP286" s="198">
        <v>0.27</v>
      </c>
      <c r="BQ286" s="207" t="str">
        <f t="shared" si="9"/>
        <v/>
      </c>
    </row>
    <row r="287" spans="28:73" x14ac:dyDescent="0.25">
      <c r="AB287" s="207" t="s">
        <v>249</v>
      </c>
      <c r="AC287" s="207" t="s">
        <v>495</v>
      </c>
      <c r="AD287" s="213">
        <v>2</v>
      </c>
      <c r="BB287" s="207" t="s">
        <v>43</v>
      </c>
      <c r="BC287" s="198">
        <v>6</v>
      </c>
      <c r="BD287" s="198">
        <v>0.3</v>
      </c>
      <c r="BE287" s="198">
        <v>0.4</v>
      </c>
      <c r="BF287" s="198">
        <v>0.14000000000000001</v>
      </c>
      <c r="BG287" s="207" t="str">
        <f t="shared" si="8"/>
        <v/>
      </c>
      <c r="BL287" s="207" t="s">
        <v>43</v>
      </c>
      <c r="BM287" s="198">
        <v>6</v>
      </c>
      <c r="BN287" s="198">
        <v>0.3</v>
      </c>
      <c r="BO287" s="198">
        <v>0.4</v>
      </c>
      <c r="BP287" s="198">
        <v>0.27</v>
      </c>
      <c r="BQ287" s="207" t="str">
        <f t="shared" si="9"/>
        <v/>
      </c>
    </row>
    <row r="288" spans="28:73" x14ac:dyDescent="0.25">
      <c r="AB288" s="207" t="s">
        <v>249</v>
      </c>
      <c r="AC288" s="207" t="s">
        <v>496</v>
      </c>
      <c r="AD288" s="213">
        <v>4</v>
      </c>
      <c r="BB288" s="207" t="s">
        <v>43</v>
      </c>
      <c r="BC288" s="198">
        <v>7</v>
      </c>
      <c r="BD288" s="198">
        <v>0.3</v>
      </c>
      <c r="BE288" s="198">
        <v>0.4</v>
      </c>
      <c r="BF288" s="198">
        <v>0.08</v>
      </c>
      <c r="BG288" s="207" t="str">
        <f t="shared" si="8"/>
        <v/>
      </c>
      <c r="BL288" s="207" t="s">
        <v>43</v>
      </c>
      <c r="BM288" s="198">
        <v>7</v>
      </c>
      <c r="BN288" s="198">
        <v>0.3</v>
      </c>
      <c r="BO288" s="198">
        <v>0.4</v>
      </c>
      <c r="BP288" s="198">
        <v>0.26</v>
      </c>
      <c r="BQ288" s="207" t="str">
        <f t="shared" si="9"/>
        <v/>
      </c>
    </row>
    <row r="289" spans="28:69" x14ac:dyDescent="0.25">
      <c r="AB289" s="207" t="s">
        <v>249</v>
      </c>
      <c r="AC289" s="207" t="s">
        <v>497</v>
      </c>
      <c r="AD289" s="213">
        <v>3</v>
      </c>
      <c r="BB289" s="207" t="s">
        <v>43</v>
      </c>
      <c r="BC289" s="198">
        <v>8</v>
      </c>
      <c r="BD289" s="198">
        <v>0.3</v>
      </c>
      <c r="BE289" s="198">
        <v>0.4</v>
      </c>
      <c r="BF289" s="198">
        <v>0.1</v>
      </c>
      <c r="BG289" s="207" t="str">
        <f t="shared" si="8"/>
        <v/>
      </c>
      <c r="BL289" s="207" t="s">
        <v>43</v>
      </c>
      <c r="BM289" s="198">
        <v>8</v>
      </c>
      <c r="BN289" s="198">
        <v>0.3</v>
      </c>
      <c r="BO289" s="198">
        <v>0.4</v>
      </c>
      <c r="BP289" s="198">
        <v>0.26</v>
      </c>
      <c r="BQ289" s="207" t="str">
        <f t="shared" si="9"/>
        <v/>
      </c>
    </row>
    <row r="290" spans="28:69" x14ac:dyDescent="0.25">
      <c r="AB290" s="207" t="s">
        <v>249</v>
      </c>
      <c r="AC290" s="207" t="s">
        <v>498</v>
      </c>
      <c r="AD290" s="213">
        <v>2</v>
      </c>
      <c r="BB290" s="207" t="s">
        <v>43</v>
      </c>
      <c r="BC290" s="198">
        <v>1</v>
      </c>
      <c r="BD290" s="198">
        <v>0.4</v>
      </c>
      <c r="BE290" s="198">
        <v>100</v>
      </c>
      <c r="BF290" s="198">
        <v>0.34</v>
      </c>
      <c r="BG290" s="207" t="str">
        <f t="shared" si="8"/>
        <v/>
      </c>
      <c r="BL290" s="207" t="s">
        <v>43</v>
      </c>
      <c r="BM290" s="198">
        <v>1</v>
      </c>
      <c r="BN290" s="198">
        <v>0.4</v>
      </c>
      <c r="BO290" s="198">
        <v>0.5</v>
      </c>
      <c r="BP290" s="198">
        <v>0.28000000000000003</v>
      </c>
      <c r="BQ290" s="207" t="str">
        <f t="shared" si="9"/>
        <v/>
      </c>
    </row>
    <row r="291" spans="28:69" x14ac:dyDescent="0.25">
      <c r="AB291" s="207" t="s">
        <v>249</v>
      </c>
      <c r="AC291" s="207" t="s">
        <v>499</v>
      </c>
      <c r="AD291" s="213">
        <v>3</v>
      </c>
      <c r="BB291" s="207" t="s">
        <v>43</v>
      </c>
      <c r="BC291" s="198">
        <v>2</v>
      </c>
      <c r="BD291" s="198">
        <v>0.4</v>
      </c>
      <c r="BE291" s="198">
        <v>100</v>
      </c>
      <c r="BF291" s="198">
        <v>0.3</v>
      </c>
      <c r="BG291" s="207" t="str">
        <f t="shared" si="8"/>
        <v/>
      </c>
      <c r="BL291" s="207" t="s">
        <v>43</v>
      </c>
      <c r="BM291" s="198">
        <v>2</v>
      </c>
      <c r="BN291" s="198">
        <v>0.4</v>
      </c>
      <c r="BO291" s="198">
        <v>0.5</v>
      </c>
      <c r="BP291" s="198">
        <v>0.27</v>
      </c>
      <c r="BQ291" s="207" t="str">
        <f t="shared" si="9"/>
        <v/>
      </c>
    </row>
    <row r="292" spans="28:69" x14ac:dyDescent="0.25">
      <c r="AB292" s="207" t="s">
        <v>249</v>
      </c>
      <c r="AC292" s="207" t="s">
        <v>500</v>
      </c>
      <c r="AD292" s="213">
        <v>3</v>
      </c>
      <c r="BB292" s="207" t="s">
        <v>43</v>
      </c>
      <c r="BC292" s="198">
        <v>3</v>
      </c>
      <c r="BD292" s="198">
        <v>0.4</v>
      </c>
      <c r="BE292" s="198">
        <v>100</v>
      </c>
      <c r="BF292" s="198">
        <v>0.22</v>
      </c>
      <c r="BG292" s="207" t="str">
        <f t="shared" si="8"/>
        <v/>
      </c>
      <c r="BL292" s="207" t="s">
        <v>43</v>
      </c>
      <c r="BM292" s="198">
        <v>3</v>
      </c>
      <c r="BN292" s="198">
        <v>0.4</v>
      </c>
      <c r="BO292" s="198">
        <v>0.5</v>
      </c>
      <c r="BP292" s="198">
        <v>0.27</v>
      </c>
      <c r="BQ292" s="207" t="str">
        <f t="shared" si="9"/>
        <v/>
      </c>
    </row>
    <row r="293" spans="28:69" x14ac:dyDescent="0.25">
      <c r="AB293" s="207" t="s">
        <v>249</v>
      </c>
      <c r="AC293" s="207" t="s">
        <v>501</v>
      </c>
      <c r="AD293" s="213">
        <v>3</v>
      </c>
      <c r="BB293" s="207" t="s">
        <v>43</v>
      </c>
      <c r="BC293" s="198">
        <v>4</v>
      </c>
      <c r="BD293" s="198">
        <v>0.4</v>
      </c>
      <c r="BE293" s="198">
        <v>100</v>
      </c>
      <c r="BF293" s="198">
        <v>0.16</v>
      </c>
      <c r="BG293" s="207" t="str">
        <f t="shared" si="8"/>
        <v/>
      </c>
      <c r="BL293" s="207" t="s">
        <v>43</v>
      </c>
      <c r="BM293" s="198">
        <v>4</v>
      </c>
      <c r="BN293" s="198">
        <v>0.4</v>
      </c>
      <c r="BO293" s="198">
        <v>0.5</v>
      </c>
      <c r="BP293" s="198">
        <v>0.26</v>
      </c>
      <c r="BQ293" s="207" t="str">
        <f t="shared" si="9"/>
        <v/>
      </c>
    </row>
    <row r="294" spans="28:69" x14ac:dyDescent="0.25">
      <c r="AB294" s="207" t="s">
        <v>249</v>
      </c>
      <c r="AC294" s="207" t="s">
        <v>502</v>
      </c>
      <c r="AD294" s="213">
        <v>3</v>
      </c>
      <c r="BB294" s="207" t="s">
        <v>43</v>
      </c>
      <c r="BC294" s="198">
        <v>5</v>
      </c>
      <c r="BD294" s="198">
        <v>0.4</v>
      </c>
      <c r="BE294" s="198">
        <v>100</v>
      </c>
      <c r="BF294" s="198">
        <v>0.2</v>
      </c>
      <c r="BG294" s="207" t="str">
        <f t="shared" si="8"/>
        <v/>
      </c>
      <c r="BL294" s="207" t="s">
        <v>43</v>
      </c>
      <c r="BM294" s="198">
        <v>5</v>
      </c>
      <c r="BN294" s="198">
        <v>0.4</v>
      </c>
      <c r="BO294" s="198">
        <v>0.5</v>
      </c>
      <c r="BP294" s="198">
        <v>0.27</v>
      </c>
      <c r="BQ294" s="207" t="str">
        <f t="shared" si="9"/>
        <v/>
      </c>
    </row>
    <row r="295" spans="28:69" x14ac:dyDescent="0.25">
      <c r="AB295" s="207" t="s">
        <v>249</v>
      </c>
      <c r="AC295" s="207" t="s">
        <v>503</v>
      </c>
      <c r="AD295" s="213">
        <v>3</v>
      </c>
      <c r="BB295" s="207" t="s">
        <v>43</v>
      </c>
      <c r="BC295" s="198">
        <v>6</v>
      </c>
      <c r="BD295" s="198">
        <v>0.4</v>
      </c>
      <c r="BE295" s="198">
        <v>100</v>
      </c>
      <c r="BF295" s="198">
        <v>0.14000000000000001</v>
      </c>
      <c r="BG295" s="207" t="str">
        <f t="shared" si="8"/>
        <v/>
      </c>
      <c r="BL295" s="207" t="s">
        <v>43</v>
      </c>
      <c r="BM295" s="198">
        <v>6</v>
      </c>
      <c r="BN295" s="198">
        <v>0.4</v>
      </c>
      <c r="BO295" s="198">
        <v>0.5</v>
      </c>
      <c r="BP295" s="198">
        <v>0.27</v>
      </c>
      <c r="BQ295" s="207" t="str">
        <f t="shared" si="9"/>
        <v/>
      </c>
    </row>
    <row r="296" spans="28:69" x14ac:dyDescent="0.25">
      <c r="AB296" s="207" t="s">
        <v>249</v>
      </c>
      <c r="AC296" s="207" t="s">
        <v>504</v>
      </c>
      <c r="AD296" s="213">
        <v>3</v>
      </c>
      <c r="BB296" s="207" t="s">
        <v>43</v>
      </c>
      <c r="BC296" s="198">
        <v>7</v>
      </c>
      <c r="BD296" s="198">
        <v>0.4</v>
      </c>
      <c r="BE296" s="198">
        <v>100</v>
      </c>
      <c r="BF296" s="198">
        <v>0.08</v>
      </c>
      <c r="BG296" s="207" t="str">
        <f t="shared" si="8"/>
        <v/>
      </c>
      <c r="BL296" s="207" t="s">
        <v>43</v>
      </c>
      <c r="BM296" s="198">
        <v>7</v>
      </c>
      <c r="BN296" s="198">
        <v>0.4</v>
      </c>
      <c r="BO296" s="198">
        <v>0.5</v>
      </c>
      <c r="BP296" s="198">
        <v>0.26</v>
      </c>
      <c r="BQ296" s="207" t="str">
        <f t="shared" si="9"/>
        <v/>
      </c>
    </row>
    <row r="297" spans="28:69" x14ac:dyDescent="0.25">
      <c r="AB297" s="207" t="s">
        <v>249</v>
      </c>
      <c r="AC297" s="207" t="s">
        <v>505</v>
      </c>
      <c r="AD297" s="213">
        <v>3</v>
      </c>
      <c r="BB297" s="207" t="s">
        <v>43</v>
      </c>
      <c r="BC297" s="198">
        <v>8</v>
      </c>
      <c r="BD297" s="198">
        <v>0.4</v>
      </c>
      <c r="BE297" s="198">
        <v>100</v>
      </c>
      <c r="BF297" s="198">
        <v>0.1</v>
      </c>
      <c r="BG297" s="207" t="str">
        <f t="shared" si="8"/>
        <v/>
      </c>
      <c r="BL297" s="207" t="s">
        <v>43</v>
      </c>
      <c r="BM297" s="198">
        <v>8</v>
      </c>
      <c r="BN297" s="198">
        <v>0.4</v>
      </c>
      <c r="BO297" s="198">
        <v>0.5</v>
      </c>
      <c r="BP297" s="198">
        <v>0.26</v>
      </c>
      <c r="BQ297" s="207" t="str">
        <f t="shared" si="9"/>
        <v/>
      </c>
    </row>
    <row r="298" spans="28:69" x14ac:dyDescent="0.25">
      <c r="AB298" s="207" t="s">
        <v>249</v>
      </c>
      <c r="AC298" s="207" t="s">
        <v>506</v>
      </c>
      <c r="AD298" s="213">
        <v>2</v>
      </c>
      <c r="BB298" s="207" t="s">
        <v>44</v>
      </c>
      <c r="BC298" s="198">
        <v>1</v>
      </c>
      <c r="BD298" s="198">
        <v>0</v>
      </c>
      <c r="BE298" s="198">
        <v>0.2</v>
      </c>
      <c r="BF298" s="198">
        <v>0.34</v>
      </c>
      <c r="BG298" s="207" t="str">
        <f t="shared" si="8"/>
        <v/>
      </c>
      <c r="BL298" s="207" t="s">
        <v>43</v>
      </c>
      <c r="BM298" s="198">
        <v>1</v>
      </c>
      <c r="BN298" s="198">
        <v>0.5</v>
      </c>
      <c r="BO298" s="198">
        <v>100</v>
      </c>
      <c r="BP298" s="198">
        <v>0.28999999999999998</v>
      </c>
      <c r="BQ298" s="207" t="str">
        <f t="shared" si="9"/>
        <v/>
      </c>
    </row>
    <row r="299" spans="28:69" x14ac:dyDescent="0.25">
      <c r="AB299" s="207" t="s">
        <v>249</v>
      </c>
      <c r="AC299" s="207" t="s">
        <v>507</v>
      </c>
      <c r="AD299" s="213">
        <v>3</v>
      </c>
      <c r="BB299" s="207" t="s">
        <v>44</v>
      </c>
      <c r="BC299" s="198">
        <v>2</v>
      </c>
      <c r="BD299" s="198">
        <v>0</v>
      </c>
      <c r="BE299" s="198">
        <v>0.2</v>
      </c>
      <c r="BF299" s="198">
        <v>0.3</v>
      </c>
      <c r="BG299" s="207" t="str">
        <f t="shared" si="8"/>
        <v/>
      </c>
      <c r="BL299" s="207" t="s">
        <v>43</v>
      </c>
      <c r="BM299" s="198">
        <v>2</v>
      </c>
      <c r="BN299" s="198">
        <v>0.5</v>
      </c>
      <c r="BO299" s="198">
        <v>100</v>
      </c>
      <c r="BP299" s="198">
        <v>0.28000000000000003</v>
      </c>
      <c r="BQ299" s="207" t="str">
        <f t="shared" si="9"/>
        <v/>
      </c>
    </row>
    <row r="300" spans="28:69" x14ac:dyDescent="0.25">
      <c r="AB300" s="207" t="s">
        <v>249</v>
      </c>
      <c r="AC300" s="207" t="s">
        <v>508</v>
      </c>
      <c r="AD300" s="213">
        <v>3</v>
      </c>
      <c r="BB300" s="207" t="s">
        <v>44</v>
      </c>
      <c r="BC300" s="198">
        <v>3</v>
      </c>
      <c r="BD300" s="198">
        <v>0</v>
      </c>
      <c r="BE300" s="198">
        <v>0.2</v>
      </c>
      <c r="BF300" s="198">
        <v>0.28999999999999998</v>
      </c>
      <c r="BG300" s="207" t="str">
        <f t="shared" si="8"/>
        <v/>
      </c>
      <c r="BL300" s="207" t="s">
        <v>43</v>
      </c>
      <c r="BM300" s="198">
        <v>3</v>
      </c>
      <c r="BN300" s="198">
        <v>0.5</v>
      </c>
      <c r="BO300" s="198">
        <v>100</v>
      </c>
      <c r="BP300" s="198">
        <v>0.28000000000000003</v>
      </c>
      <c r="BQ300" s="207" t="str">
        <f t="shared" si="9"/>
        <v/>
      </c>
    </row>
    <row r="301" spans="28:69" x14ac:dyDescent="0.25">
      <c r="AB301" s="207" t="s">
        <v>249</v>
      </c>
      <c r="AC301" s="207" t="s">
        <v>509</v>
      </c>
      <c r="AD301" s="213">
        <v>3</v>
      </c>
      <c r="BB301" s="207" t="s">
        <v>44</v>
      </c>
      <c r="BC301" s="198">
        <v>4</v>
      </c>
      <c r="BD301" s="198">
        <v>0</v>
      </c>
      <c r="BE301" s="198">
        <v>0.2</v>
      </c>
      <c r="BF301" s="198">
        <v>0.25</v>
      </c>
      <c r="BG301" s="207" t="str">
        <f t="shared" si="8"/>
        <v/>
      </c>
      <c r="BL301" s="207" t="s">
        <v>43</v>
      </c>
      <c r="BM301" s="198">
        <v>4</v>
      </c>
      <c r="BN301" s="198">
        <v>0.5</v>
      </c>
      <c r="BO301" s="198">
        <v>100</v>
      </c>
      <c r="BP301" s="198">
        <v>0.28000000000000003</v>
      </c>
      <c r="BQ301" s="207" t="str">
        <f t="shared" si="9"/>
        <v/>
      </c>
    </row>
    <row r="302" spans="28:69" x14ac:dyDescent="0.25">
      <c r="AB302" s="207" t="s">
        <v>249</v>
      </c>
      <c r="AC302" s="207" t="s">
        <v>510</v>
      </c>
      <c r="AD302" s="213">
        <v>2</v>
      </c>
      <c r="BB302" s="207" t="s">
        <v>44</v>
      </c>
      <c r="BC302" s="198">
        <v>5</v>
      </c>
      <c r="BD302" s="198">
        <v>0</v>
      </c>
      <c r="BE302" s="198">
        <v>0.2</v>
      </c>
      <c r="BF302" s="198">
        <v>0.28999999999999998</v>
      </c>
      <c r="BG302" s="207" t="str">
        <f t="shared" si="8"/>
        <v/>
      </c>
      <c r="BL302" s="207" t="s">
        <v>43</v>
      </c>
      <c r="BM302" s="198">
        <v>5</v>
      </c>
      <c r="BN302" s="198">
        <v>0.5</v>
      </c>
      <c r="BO302" s="198">
        <v>100</v>
      </c>
      <c r="BP302" s="198">
        <v>0.28000000000000003</v>
      </c>
      <c r="BQ302" s="207" t="str">
        <f t="shared" si="9"/>
        <v/>
      </c>
    </row>
    <row r="303" spans="28:69" x14ac:dyDescent="0.25">
      <c r="AB303" s="207" t="s">
        <v>249</v>
      </c>
      <c r="AC303" s="207" t="s">
        <v>511</v>
      </c>
      <c r="AD303" s="213">
        <v>2</v>
      </c>
      <c r="BB303" s="207" t="s">
        <v>44</v>
      </c>
      <c r="BC303" s="198">
        <v>6</v>
      </c>
      <c r="BD303" s="198">
        <v>0</v>
      </c>
      <c r="BE303" s="198">
        <v>0.2</v>
      </c>
      <c r="BF303" s="198">
        <v>0.26</v>
      </c>
      <c r="BG303" s="207" t="str">
        <f t="shared" si="8"/>
        <v/>
      </c>
      <c r="BL303" s="207" t="s">
        <v>43</v>
      </c>
      <c r="BM303" s="198">
        <v>6</v>
      </c>
      <c r="BN303" s="198">
        <v>0.5</v>
      </c>
      <c r="BO303" s="198">
        <v>100</v>
      </c>
      <c r="BP303" s="198">
        <v>0.28000000000000003</v>
      </c>
      <c r="BQ303" s="207" t="str">
        <f t="shared" si="9"/>
        <v/>
      </c>
    </row>
    <row r="304" spans="28:69" x14ac:dyDescent="0.25">
      <c r="AB304" s="207" t="s">
        <v>249</v>
      </c>
      <c r="AC304" s="207" t="s">
        <v>512</v>
      </c>
      <c r="AD304" s="213">
        <v>3</v>
      </c>
      <c r="BB304" s="207" t="s">
        <v>44</v>
      </c>
      <c r="BC304" s="198">
        <v>7</v>
      </c>
      <c r="BD304" s="198">
        <v>0</v>
      </c>
      <c r="BE304" s="198">
        <v>0.2</v>
      </c>
      <c r="BF304" s="198">
        <v>0.19</v>
      </c>
      <c r="BG304" s="207" t="str">
        <f t="shared" si="8"/>
        <v/>
      </c>
      <c r="BL304" s="207" t="s">
        <v>43</v>
      </c>
      <c r="BM304" s="198">
        <v>7</v>
      </c>
      <c r="BN304" s="198">
        <v>0.5</v>
      </c>
      <c r="BO304" s="198">
        <v>100</v>
      </c>
      <c r="BP304" s="198">
        <v>0.28000000000000003</v>
      </c>
      <c r="BQ304" s="207" t="str">
        <f t="shared" si="9"/>
        <v/>
      </c>
    </row>
    <row r="305" spans="28:73" x14ac:dyDescent="0.25">
      <c r="AB305" s="207" t="s">
        <v>214</v>
      </c>
      <c r="AC305" s="207" t="s">
        <v>513</v>
      </c>
      <c r="AD305" s="213">
        <v>1</v>
      </c>
      <c r="BB305" s="207" t="s">
        <v>44</v>
      </c>
      <c r="BC305" s="198">
        <v>8</v>
      </c>
      <c r="BD305" s="198">
        <v>0</v>
      </c>
      <c r="BE305" s="198">
        <v>0.2</v>
      </c>
      <c r="BF305" s="198">
        <v>0.2</v>
      </c>
      <c r="BG305" s="207" t="str">
        <f t="shared" si="8"/>
        <v/>
      </c>
      <c r="BL305" s="207" t="s">
        <v>43</v>
      </c>
      <c r="BM305" s="198">
        <v>8</v>
      </c>
      <c r="BN305" s="198">
        <v>0.5</v>
      </c>
      <c r="BO305" s="198">
        <v>100</v>
      </c>
      <c r="BP305" s="198">
        <v>0.27</v>
      </c>
      <c r="BQ305" s="207" t="str">
        <f t="shared" si="9"/>
        <v/>
      </c>
    </row>
    <row r="306" spans="28:73" ht="15.75" x14ac:dyDescent="0.25">
      <c r="AB306" s="207" t="s">
        <v>214</v>
      </c>
      <c r="AC306" s="207" t="s">
        <v>514</v>
      </c>
      <c r="AD306" s="213">
        <v>1</v>
      </c>
      <c r="BB306" s="207" t="s">
        <v>44</v>
      </c>
      <c r="BC306" s="198">
        <v>1</v>
      </c>
      <c r="BD306" s="198">
        <v>0.2</v>
      </c>
      <c r="BE306" s="198">
        <v>0.3</v>
      </c>
      <c r="BF306" s="198">
        <v>0.34</v>
      </c>
      <c r="BG306" s="207" t="str">
        <f t="shared" si="8"/>
        <v/>
      </c>
      <c r="BL306" s="207" t="s">
        <v>44</v>
      </c>
      <c r="BM306" s="198">
        <v>1</v>
      </c>
      <c r="BN306" s="198">
        <v>0</v>
      </c>
      <c r="BO306" s="198">
        <v>0.2</v>
      </c>
      <c r="BP306" s="198">
        <v>0.23</v>
      </c>
      <c r="BQ306" s="207" t="str">
        <f t="shared" si="9"/>
        <v/>
      </c>
      <c r="BU306" s="197"/>
    </row>
    <row r="307" spans="28:73" ht="15.75" x14ac:dyDescent="0.25">
      <c r="AB307" s="207" t="s">
        <v>214</v>
      </c>
      <c r="AC307" s="207" t="s">
        <v>515</v>
      </c>
      <c r="AD307" s="213">
        <v>2</v>
      </c>
      <c r="BB307" s="207" t="s">
        <v>44</v>
      </c>
      <c r="BC307" s="198">
        <v>2</v>
      </c>
      <c r="BD307" s="198">
        <v>0.2</v>
      </c>
      <c r="BE307" s="198">
        <v>0.3</v>
      </c>
      <c r="BF307" s="198">
        <v>0.3</v>
      </c>
      <c r="BG307" s="207" t="str">
        <f t="shared" si="8"/>
        <v/>
      </c>
      <c r="BL307" s="207" t="s">
        <v>44</v>
      </c>
      <c r="BM307" s="198">
        <v>2</v>
      </c>
      <c r="BN307" s="198">
        <v>0</v>
      </c>
      <c r="BO307" s="198">
        <v>0.2</v>
      </c>
      <c r="BP307" s="198">
        <v>0.22</v>
      </c>
      <c r="BQ307" s="207" t="str">
        <f t="shared" si="9"/>
        <v/>
      </c>
      <c r="BU307" s="197"/>
    </row>
    <row r="308" spans="28:73" ht="15.75" x14ac:dyDescent="0.25">
      <c r="AB308" s="207" t="s">
        <v>214</v>
      </c>
      <c r="AC308" s="207" t="s">
        <v>516</v>
      </c>
      <c r="AD308" s="213">
        <v>2</v>
      </c>
      <c r="BB308" s="207" t="s">
        <v>44</v>
      </c>
      <c r="BC308" s="198">
        <v>3</v>
      </c>
      <c r="BD308" s="198">
        <v>0.2</v>
      </c>
      <c r="BE308" s="198">
        <v>0.3</v>
      </c>
      <c r="BF308" s="198">
        <v>0.28000000000000003</v>
      </c>
      <c r="BG308" s="207" t="str">
        <f t="shared" si="8"/>
        <v/>
      </c>
      <c r="BL308" s="207" t="s">
        <v>44</v>
      </c>
      <c r="BM308" s="198">
        <v>3</v>
      </c>
      <c r="BN308" s="198">
        <v>0</v>
      </c>
      <c r="BO308" s="198">
        <v>0.2</v>
      </c>
      <c r="BP308" s="198">
        <v>0.23</v>
      </c>
      <c r="BQ308" s="207" t="str">
        <f t="shared" si="9"/>
        <v/>
      </c>
      <c r="BU308" s="197"/>
    </row>
    <row r="309" spans="28:73" ht="15.75" x14ac:dyDescent="0.25">
      <c r="AB309" s="207" t="s">
        <v>214</v>
      </c>
      <c r="AC309" s="207" t="s">
        <v>517</v>
      </c>
      <c r="AD309" s="213">
        <v>2</v>
      </c>
      <c r="BB309" s="207" t="s">
        <v>44</v>
      </c>
      <c r="BC309" s="198">
        <v>4</v>
      </c>
      <c r="BD309" s="198">
        <v>0.2</v>
      </c>
      <c r="BE309" s="198">
        <v>0.3</v>
      </c>
      <c r="BF309" s="198">
        <v>0.23</v>
      </c>
      <c r="BG309" s="207" t="str">
        <f t="shared" si="8"/>
        <v/>
      </c>
      <c r="BL309" s="207" t="s">
        <v>44</v>
      </c>
      <c r="BM309" s="198">
        <v>4</v>
      </c>
      <c r="BN309" s="198">
        <v>0</v>
      </c>
      <c r="BO309" s="198">
        <v>0.2</v>
      </c>
      <c r="BP309" s="198">
        <v>0.23</v>
      </c>
      <c r="BQ309" s="207" t="str">
        <f t="shared" si="9"/>
        <v/>
      </c>
      <c r="BU309" s="197"/>
    </row>
    <row r="310" spans="28:73" ht="15.75" x14ac:dyDescent="0.25">
      <c r="AB310" s="207" t="s">
        <v>214</v>
      </c>
      <c r="AC310" s="207" t="s">
        <v>518</v>
      </c>
      <c r="AD310" s="213">
        <v>2</v>
      </c>
      <c r="BB310" s="207" t="s">
        <v>44</v>
      </c>
      <c r="BC310" s="198">
        <v>5</v>
      </c>
      <c r="BD310" s="198">
        <v>0.2</v>
      </c>
      <c r="BE310" s="198">
        <v>0.3</v>
      </c>
      <c r="BF310" s="198">
        <v>0.27</v>
      </c>
      <c r="BG310" s="207" t="str">
        <f t="shared" si="8"/>
        <v/>
      </c>
      <c r="BL310" s="207" t="s">
        <v>44</v>
      </c>
      <c r="BM310" s="198">
        <v>5</v>
      </c>
      <c r="BN310" s="198">
        <v>0</v>
      </c>
      <c r="BO310" s="198">
        <v>0.2</v>
      </c>
      <c r="BP310" s="198">
        <v>0.23</v>
      </c>
      <c r="BQ310" s="207" t="str">
        <f t="shared" si="9"/>
        <v/>
      </c>
      <c r="BU310" s="197"/>
    </row>
    <row r="311" spans="28:73" ht="15.75" x14ac:dyDescent="0.25">
      <c r="AB311" s="207" t="s">
        <v>227</v>
      </c>
      <c r="AC311" s="207" t="s">
        <v>519</v>
      </c>
      <c r="AD311" s="213">
        <v>2</v>
      </c>
      <c r="BB311" s="207" t="s">
        <v>44</v>
      </c>
      <c r="BC311" s="198">
        <v>6</v>
      </c>
      <c r="BD311" s="198">
        <v>0.2</v>
      </c>
      <c r="BE311" s="198">
        <v>0.3</v>
      </c>
      <c r="BF311" s="198">
        <v>0.24</v>
      </c>
      <c r="BG311" s="207" t="str">
        <f t="shared" si="8"/>
        <v/>
      </c>
      <c r="BL311" s="207" t="s">
        <v>44</v>
      </c>
      <c r="BM311" s="198">
        <v>6</v>
      </c>
      <c r="BN311" s="198">
        <v>0</v>
      </c>
      <c r="BO311" s="198">
        <v>0.2</v>
      </c>
      <c r="BP311" s="198">
        <v>0.24</v>
      </c>
      <c r="BQ311" s="207" t="str">
        <f t="shared" si="9"/>
        <v/>
      </c>
      <c r="BU311" s="197"/>
    </row>
    <row r="312" spans="28:73" ht="15.75" x14ac:dyDescent="0.25">
      <c r="AB312" s="207" t="s">
        <v>227</v>
      </c>
      <c r="AC312" s="207" t="s">
        <v>520</v>
      </c>
      <c r="AD312" s="213">
        <v>3</v>
      </c>
      <c r="BB312" s="207" t="s">
        <v>44</v>
      </c>
      <c r="BC312" s="198">
        <v>7</v>
      </c>
      <c r="BD312" s="198">
        <v>0.2</v>
      </c>
      <c r="BE312" s="198">
        <v>0.3</v>
      </c>
      <c r="BF312" s="198">
        <v>0.17</v>
      </c>
      <c r="BG312" s="207" t="str">
        <f t="shared" si="8"/>
        <v/>
      </c>
      <c r="BL312" s="207" t="s">
        <v>44</v>
      </c>
      <c r="BM312" s="198">
        <v>7</v>
      </c>
      <c r="BN312" s="198">
        <v>0</v>
      </c>
      <c r="BO312" s="198">
        <v>0.2</v>
      </c>
      <c r="BP312" s="198">
        <v>0.23</v>
      </c>
      <c r="BQ312" s="207" t="str">
        <f t="shared" si="9"/>
        <v/>
      </c>
      <c r="BU312" s="197"/>
    </row>
    <row r="313" spans="28:73" ht="15.75" x14ac:dyDescent="0.25">
      <c r="AB313" s="207" t="s">
        <v>227</v>
      </c>
      <c r="AC313" s="207" t="s">
        <v>521</v>
      </c>
      <c r="AD313" s="213">
        <v>3</v>
      </c>
      <c r="BB313" s="207" t="s">
        <v>44</v>
      </c>
      <c r="BC313" s="198">
        <v>8</v>
      </c>
      <c r="BD313" s="198">
        <v>0.2</v>
      </c>
      <c r="BE313" s="198">
        <v>0.3</v>
      </c>
      <c r="BF313" s="198">
        <v>0.19</v>
      </c>
      <c r="BG313" s="207" t="str">
        <f t="shared" si="8"/>
        <v/>
      </c>
      <c r="BL313" s="207" t="s">
        <v>44</v>
      </c>
      <c r="BM313" s="198">
        <v>8</v>
      </c>
      <c r="BN313" s="198">
        <v>0</v>
      </c>
      <c r="BO313" s="198">
        <v>0.2</v>
      </c>
      <c r="BP313" s="198">
        <v>0.23</v>
      </c>
      <c r="BQ313" s="207" t="str">
        <f t="shared" si="9"/>
        <v/>
      </c>
      <c r="BU313" s="197"/>
    </row>
    <row r="314" spans="28:73" x14ac:dyDescent="0.25">
      <c r="AB314" s="207" t="s">
        <v>227</v>
      </c>
      <c r="AC314" s="207" t="s">
        <v>522</v>
      </c>
      <c r="AD314" s="213">
        <v>2</v>
      </c>
      <c r="BB314" s="207" t="s">
        <v>44</v>
      </c>
      <c r="BC314" s="198">
        <v>1</v>
      </c>
      <c r="BD314" s="198">
        <v>0.3</v>
      </c>
      <c r="BE314" s="198">
        <v>0.4</v>
      </c>
      <c r="BF314" s="198">
        <v>0.34</v>
      </c>
      <c r="BG314" s="207" t="str">
        <f t="shared" si="8"/>
        <v/>
      </c>
      <c r="BL314" s="207" t="s">
        <v>44</v>
      </c>
      <c r="BM314" s="198">
        <v>1</v>
      </c>
      <c r="BN314" s="198">
        <v>0.2</v>
      </c>
      <c r="BO314" s="198">
        <v>0.3</v>
      </c>
      <c r="BP314" s="198">
        <v>0.23</v>
      </c>
      <c r="BQ314" s="207" t="str">
        <f t="shared" si="9"/>
        <v/>
      </c>
    </row>
    <row r="315" spans="28:73" x14ac:dyDescent="0.25">
      <c r="AB315" s="207" t="s">
        <v>227</v>
      </c>
      <c r="AC315" s="207" t="s">
        <v>523</v>
      </c>
      <c r="AD315" s="213">
        <v>3</v>
      </c>
      <c r="BB315" s="207" t="s">
        <v>44</v>
      </c>
      <c r="BC315" s="198">
        <v>2</v>
      </c>
      <c r="BD315" s="198">
        <v>0.3</v>
      </c>
      <c r="BE315" s="198">
        <v>0.4</v>
      </c>
      <c r="BF315" s="198">
        <v>0.31</v>
      </c>
      <c r="BG315" s="207" t="str">
        <f t="shared" si="8"/>
        <v/>
      </c>
      <c r="BL315" s="207" t="s">
        <v>44</v>
      </c>
      <c r="BM315" s="198">
        <v>2</v>
      </c>
      <c r="BN315" s="198">
        <v>0.2</v>
      </c>
      <c r="BO315" s="198">
        <v>0.3</v>
      </c>
      <c r="BP315" s="198">
        <v>0.22</v>
      </c>
      <c r="BQ315" s="207" t="str">
        <f t="shared" si="9"/>
        <v/>
      </c>
    </row>
    <row r="316" spans="28:73" x14ac:dyDescent="0.25">
      <c r="AB316" s="207" t="s">
        <v>227</v>
      </c>
      <c r="AC316" s="207" t="s">
        <v>524</v>
      </c>
      <c r="AD316" s="213">
        <v>2</v>
      </c>
      <c r="BB316" s="207" t="s">
        <v>44</v>
      </c>
      <c r="BC316" s="198">
        <v>3</v>
      </c>
      <c r="BD316" s="198">
        <v>0.3</v>
      </c>
      <c r="BE316" s="198">
        <v>0.4</v>
      </c>
      <c r="BF316" s="198">
        <v>0.27</v>
      </c>
      <c r="BG316" s="207" t="str">
        <f t="shared" si="8"/>
        <v/>
      </c>
      <c r="BL316" s="207" t="s">
        <v>44</v>
      </c>
      <c r="BM316" s="198">
        <v>3</v>
      </c>
      <c r="BN316" s="198">
        <v>0.2</v>
      </c>
      <c r="BO316" s="198">
        <v>0.3</v>
      </c>
      <c r="BP316" s="198">
        <v>0.22</v>
      </c>
      <c r="BQ316" s="207" t="str">
        <f t="shared" si="9"/>
        <v/>
      </c>
    </row>
    <row r="317" spans="28:73" x14ac:dyDescent="0.25">
      <c r="AB317" s="207" t="s">
        <v>227</v>
      </c>
      <c r="AC317" s="207" t="s">
        <v>525</v>
      </c>
      <c r="AD317" s="213">
        <v>3</v>
      </c>
      <c r="BB317" s="207" t="s">
        <v>44</v>
      </c>
      <c r="BC317" s="198">
        <v>4</v>
      </c>
      <c r="BD317" s="198">
        <v>0.3</v>
      </c>
      <c r="BE317" s="198">
        <v>0.4</v>
      </c>
      <c r="BF317" s="198">
        <v>0.21</v>
      </c>
      <c r="BG317" s="207" t="str">
        <f t="shared" si="8"/>
        <v/>
      </c>
      <c r="BL317" s="207" t="s">
        <v>44</v>
      </c>
      <c r="BM317" s="198">
        <v>4</v>
      </c>
      <c r="BN317" s="198">
        <v>0.2</v>
      </c>
      <c r="BO317" s="198">
        <v>0.3</v>
      </c>
      <c r="BP317" s="198">
        <v>0.23</v>
      </c>
      <c r="BQ317" s="207" t="str">
        <f t="shared" si="9"/>
        <v/>
      </c>
    </row>
    <row r="318" spans="28:73" x14ac:dyDescent="0.25">
      <c r="AB318" s="207" t="s">
        <v>27</v>
      </c>
      <c r="AC318" s="207" t="s">
        <v>526</v>
      </c>
      <c r="AD318" s="213">
        <v>3</v>
      </c>
      <c r="BB318" s="207" t="s">
        <v>44</v>
      </c>
      <c r="BC318" s="198">
        <v>5</v>
      </c>
      <c r="BD318" s="198">
        <v>0.3</v>
      </c>
      <c r="BE318" s="198">
        <v>0.4</v>
      </c>
      <c r="BF318" s="198">
        <v>0.25</v>
      </c>
      <c r="BG318" s="207" t="str">
        <f t="shared" si="8"/>
        <v/>
      </c>
      <c r="BL318" s="207" t="s">
        <v>44</v>
      </c>
      <c r="BM318" s="198">
        <v>5</v>
      </c>
      <c r="BN318" s="198">
        <v>0.2</v>
      </c>
      <c r="BO318" s="198">
        <v>0.3</v>
      </c>
      <c r="BP318" s="198">
        <v>0.23</v>
      </c>
      <c r="BQ318" s="207" t="str">
        <f t="shared" si="9"/>
        <v/>
      </c>
    </row>
    <row r="319" spans="28:73" x14ac:dyDescent="0.25">
      <c r="AB319" s="207" t="s">
        <v>27</v>
      </c>
      <c r="AC319" s="207" t="s">
        <v>527</v>
      </c>
      <c r="AD319" s="213">
        <v>5</v>
      </c>
      <c r="BB319" s="207" t="s">
        <v>44</v>
      </c>
      <c r="BC319" s="198">
        <v>6</v>
      </c>
      <c r="BD319" s="198">
        <v>0.3</v>
      </c>
      <c r="BE319" s="198">
        <v>0.4</v>
      </c>
      <c r="BF319" s="198">
        <v>0.21</v>
      </c>
      <c r="BG319" s="207" t="str">
        <f t="shared" si="8"/>
        <v/>
      </c>
      <c r="BL319" s="207" t="s">
        <v>44</v>
      </c>
      <c r="BM319" s="198">
        <v>6</v>
      </c>
      <c r="BN319" s="198">
        <v>0.2</v>
      </c>
      <c r="BO319" s="198">
        <v>0.3</v>
      </c>
      <c r="BP319" s="198">
        <v>0.23</v>
      </c>
      <c r="BQ319" s="207" t="str">
        <f t="shared" si="9"/>
        <v/>
      </c>
    </row>
    <row r="320" spans="28:73" x14ac:dyDescent="0.25">
      <c r="AB320" s="207" t="s">
        <v>27</v>
      </c>
      <c r="AC320" s="207" t="s">
        <v>528</v>
      </c>
      <c r="AD320" s="213">
        <v>3</v>
      </c>
      <c r="BB320" s="207" t="s">
        <v>44</v>
      </c>
      <c r="BC320" s="198">
        <v>7</v>
      </c>
      <c r="BD320" s="198">
        <v>0.3</v>
      </c>
      <c r="BE320" s="198">
        <v>0.4</v>
      </c>
      <c r="BF320" s="198">
        <v>0.14000000000000001</v>
      </c>
      <c r="BG320" s="207" t="str">
        <f t="shared" si="8"/>
        <v/>
      </c>
      <c r="BL320" s="207" t="s">
        <v>44</v>
      </c>
      <c r="BM320" s="198">
        <v>7</v>
      </c>
      <c r="BN320" s="198">
        <v>0.2</v>
      </c>
      <c r="BO320" s="198">
        <v>0.3</v>
      </c>
      <c r="BP320" s="198">
        <v>0.23</v>
      </c>
      <c r="BQ320" s="207" t="str">
        <f t="shared" si="9"/>
        <v/>
      </c>
    </row>
    <row r="321" spans="28:69" x14ac:dyDescent="0.25">
      <c r="AB321" s="207" t="s">
        <v>233</v>
      </c>
      <c r="AC321" s="207" t="s">
        <v>529</v>
      </c>
      <c r="AD321" s="213">
        <v>3</v>
      </c>
      <c r="BB321" s="207" t="s">
        <v>44</v>
      </c>
      <c r="BC321" s="198">
        <v>8</v>
      </c>
      <c r="BD321" s="198">
        <v>0.3</v>
      </c>
      <c r="BE321" s="198">
        <v>0.4</v>
      </c>
      <c r="BF321" s="198">
        <v>0.16</v>
      </c>
      <c r="BG321" s="207" t="str">
        <f t="shared" si="8"/>
        <v/>
      </c>
      <c r="BL321" s="207" t="s">
        <v>44</v>
      </c>
      <c r="BM321" s="198">
        <v>8</v>
      </c>
      <c r="BN321" s="198">
        <v>0.2</v>
      </c>
      <c r="BO321" s="198">
        <v>0.3</v>
      </c>
      <c r="BP321" s="198">
        <v>0.23</v>
      </c>
      <c r="BQ321" s="207" t="str">
        <f t="shared" si="9"/>
        <v/>
      </c>
    </row>
    <row r="322" spans="28:69" x14ac:dyDescent="0.25">
      <c r="AB322" s="207" t="s">
        <v>233</v>
      </c>
      <c r="AC322" s="207" t="s">
        <v>530</v>
      </c>
      <c r="AD322" s="213">
        <v>3</v>
      </c>
      <c r="BB322" s="207" t="s">
        <v>44</v>
      </c>
      <c r="BC322" s="198">
        <v>1</v>
      </c>
      <c r="BD322" s="198">
        <v>0.4</v>
      </c>
      <c r="BE322" s="198">
        <v>0.5</v>
      </c>
      <c r="BF322" s="198">
        <v>0.34</v>
      </c>
      <c r="BG322" s="207" t="str">
        <f t="shared" ref="BG322:BG369" si="10">IF(BC322=$BJ$1,IF(BB322=$BI$1,IF(AND($BH$1&gt;BD322,$BH$1&lt;BE322),BF322,""),""),"")</f>
        <v/>
      </c>
      <c r="BL322" s="207" t="s">
        <v>44</v>
      </c>
      <c r="BM322" s="198">
        <v>1</v>
      </c>
      <c r="BN322" s="198">
        <v>0.3</v>
      </c>
      <c r="BO322" s="198">
        <v>0.4</v>
      </c>
      <c r="BP322" s="198">
        <v>0.22</v>
      </c>
      <c r="BQ322" s="207" t="str">
        <f t="shared" ref="BQ322:BQ369" si="11">IF(BM322=$BJ$1,IF(BL322=$BI$1,IF(AND($BH$1&gt;BN322,$BH$1&lt;BO322),BP322,""),""),"")</f>
        <v/>
      </c>
    </row>
    <row r="323" spans="28:69" x14ac:dyDescent="0.25">
      <c r="AB323" s="207" t="s">
        <v>233</v>
      </c>
      <c r="AC323" s="207" t="s">
        <v>531</v>
      </c>
      <c r="AD323" s="213">
        <v>3</v>
      </c>
      <c r="BB323" s="207" t="s">
        <v>44</v>
      </c>
      <c r="BC323" s="198">
        <v>2</v>
      </c>
      <c r="BD323" s="198">
        <v>0.4</v>
      </c>
      <c r="BE323" s="198">
        <v>0.5</v>
      </c>
      <c r="BF323" s="198">
        <v>0.33</v>
      </c>
      <c r="BG323" s="207" t="str">
        <f t="shared" si="10"/>
        <v/>
      </c>
      <c r="BL323" s="207" t="s">
        <v>44</v>
      </c>
      <c r="BM323" s="198">
        <v>2</v>
      </c>
      <c r="BN323" s="198">
        <v>0.3</v>
      </c>
      <c r="BO323" s="198">
        <v>0.4</v>
      </c>
      <c r="BP323" s="198">
        <v>0.22</v>
      </c>
      <c r="BQ323" s="207" t="str">
        <f t="shared" si="11"/>
        <v/>
      </c>
    </row>
    <row r="324" spans="28:69" x14ac:dyDescent="0.25">
      <c r="AB324" s="207" t="s">
        <v>233</v>
      </c>
      <c r="AC324" s="207" t="s">
        <v>532</v>
      </c>
      <c r="AD324" s="213">
        <v>1</v>
      </c>
      <c r="BB324" s="207" t="s">
        <v>44</v>
      </c>
      <c r="BC324" s="198">
        <v>3</v>
      </c>
      <c r="BD324" s="198">
        <v>0.4</v>
      </c>
      <c r="BE324" s="198">
        <v>0.5</v>
      </c>
      <c r="BF324" s="198">
        <v>0.25</v>
      </c>
      <c r="BG324" s="207" t="str">
        <f t="shared" si="10"/>
        <v/>
      </c>
      <c r="BL324" s="207" t="s">
        <v>44</v>
      </c>
      <c r="BM324" s="198">
        <v>3</v>
      </c>
      <c r="BN324" s="198">
        <v>0.3</v>
      </c>
      <c r="BO324" s="198">
        <v>0.4</v>
      </c>
      <c r="BP324" s="198">
        <v>0.22</v>
      </c>
      <c r="BQ324" s="207" t="str">
        <f t="shared" si="11"/>
        <v/>
      </c>
    </row>
    <row r="325" spans="28:69" x14ac:dyDescent="0.25">
      <c r="AB325" s="207" t="s">
        <v>233</v>
      </c>
      <c r="AC325" s="207" t="s">
        <v>533</v>
      </c>
      <c r="AD325" s="213">
        <v>3</v>
      </c>
      <c r="BB325" s="207" t="s">
        <v>44</v>
      </c>
      <c r="BC325" s="198">
        <v>4</v>
      </c>
      <c r="BD325" s="198">
        <v>0.4</v>
      </c>
      <c r="BE325" s="198">
        <v>0.5</v>
      </c>
      <c r="BF325" s="198">
        <v>0.19</v>
      </c>
      <c r="BG325" s="207" t="str">
        <f t="shared" si="10"/>
        <v/>
      </c>
      <c r="BL325" s="207" t="s">
        <v>44</v>
      </c>
      <c r="BM325" s="198">
        <v>4</v>
      </c>
      <c r="BN325" s="198">
        <v>0.3</v>
      </c>
      <c r="BO325" s="198">
        <v>0.4</v>
      </c>
      <c r="BP325" s="198">
        <v>0.22</v>
      </c>
      <c r="BQ325" s="207" t="str">
        <f t="shared" si="11"/>
        <v/>
      </c>
    </row>
    <row r="326" spans="28:69" x14ac:dyDescent="0.25">
      <c r="AB326" s="207" t="s">
        <v>233</v>
      </c>
      <c r="AC326" s="207" t="s">
        <v>534</v>
      </c>
      <c r="AD326" s="213">
        <v>3</v>
      </c>
      <c r="BB326" s="207" t="s">
        <v>44</v>
      </c>
      <c r="BC326" s="198">
        <v>5</v>
      </c>
      <c r="BD326" s="198">
        <v>0.4</v>
      </c>
      <c r="BE326" s="198">
        <v>0.5</v>
      </c>
      <c r="BF326" s="198">
        <v>0.23</v>
      </c>
      <c r="BG326" s="207" t="str">
        <f t="shared" si="10"/>
        <v/>
      </c>
      <c r="BL326" s="207" t="s">
        <v>44</v>
      </c>
      <c r="BM326" s="198">
        <v>5</v>
      </c>
      <c r="BN326" s="198">
        <v>0.3</v>
      </c>
      <c r="BO326" s="198">
        <v>0.4</v>
      </c>
      <c r="BP326" s="198">
        <v>0.22</v>
      </c>
      <c r="BQ326" s="207" t="str">
        <f t="shared" si="11"/>
        <v/>
      </c>
    </row>
    <row r="327" spans="28:69" x14ac:dyDescent="0.25">
      <c r="AB327" s="207" t="s">
        <v>233</v>
      </c>
      <c r="AC327" s="207" t="s">
        <v>535</v>
      </c>
      <c r="AD327" s="213">
        <v>3</v>
      </c>
      <c r="BB327" s="207" t="s">
        <v>44</v>
      </c>
      <c r="BC327" s="198">
        <v>6</v>
      </c>
      <c r="BD327" s="198">
        <v>0.4</v>
      </c>
      <c r="BE327" s="198">
        <v>0.5</v>
      </c>
      <c r="BF327" s="198">
        <v>0.17</v>
      </c>
      <c r="BG327" s="207" t="str">
        <f t="shared" si="10"/>
        <v/>
      </c>
      <c r="BL327" s="207" t="s">
        <v>44</v>
      </c>
      <c r="BM327" s="198">
        <v>6</v>
      </c>
      <c r="BN327" s="198">
        <v>0.3</v>
      </c>
      <c r="BO327" s="198">
        <v>0.4</v>
      </c>
      <c r="BP327" s="198">
        <v>0.23</v>
      </c>
      <c r="BQ327" s="207" t="str">
        <f t="shared" si="11"/>
        <v/>
      </c>
    </row>
    <row r="328" spans="28:69" x14ac:dyDescent="0.25">
      <c r="AB328" s="207" t="s">
        <v>233</v>
      </c>
      <c r="AC328" s="207" t="s">
        <v>536</v>
      </c>
      <c r="AD328" s="213">
        <v>2</v>
      </c>
      <c r="BB328" s="207" t="s">
        <v>44</v>
      </c>
      <c r="BC328" s="198">
        <v>7</v>
      </c>
      <c r="BD328" s="198">
        <v>0.4</v>
      </c>
      <c r="BE328" s="198">
        <v>0.5</v>
      </c>
      <c r="BF328" s="198">
        <v>0.11</v>
      </c>
      <c r="BG328" s="207" t="str">
        <f t="shared" si="10"/>
        <v/>
      </c>
      <c r="BL328" s="207" t="s">
        <v>44</v>
      </c>
      <c r="BM328" s="198">
        <v>7</v>
      </c>
      <c r="BN328" s="198">
        <v>0.3</v>
      </c>
      <c r="BO328" s="198">
        <v>0.4</v>
      </c>
      <c r="BP328" s="198">
        <v>0.22</v>
      </c>
      <c r="BQ328" s="207" t="str">
        <f t="shared" si="11"/>
        <v/>
      </c>
    </row>
    <row r="329" spans="28:69" x14ac:dyDescent="0.25">
      <c r="AB329" s="207" t="s">
        <v>233</v>
      </c>
      <c r="AC329" s="207" t="s">
        <v>537</v>
      </c>
      <c r="AD329" s="213">
        <v>2</v>
      </c>
      <c r="BB329" s="207" t="s">
        <v>44</v>
      </c>
      <c r="BC329" s="198">
        <v>8</v>
      </c>
      <c r="BD329" s="198">
        <v>0.4</v>
      </c>
      <c r="BE329" s="198">
        <v>0.5</v>
      </c>
      <c r="BF329" s="198">
        <v>0.13</v>
      </c>
      <c r="BG329" s="207" t="str">
        <f t="shared" si="10"/>
        <v/>
      </c>
      <c r="BL329" s="207" t="s">
        <v>44</v>
      </c>
      <c r="BM329" s="198">
        <v>8</v>
      </c>
      <c r="BN329" s="198">
        <v>0.3</v>
      </c>
      <c r="BO329" s="198">
        <v>0.4</v>
      </c>
      <c r="BP329" s="198">
        <v>0.22</v>
      </c>
      <c r="BQ329" s="207" t="str">
        <f t="shared" si="11"/>
        <v/>
      </c>
    </row>
    <row r="330" spans="28:69" x14ac:dyDescent="0.25">
      <c r="AB330" s="207" t="s">
        <v>233</v>
      </c>
      <c r="AC330" s="207" t="s">
        <v>538</v>
      </c>
      <c r="AD330" s="213">
        <v>3</v>
      </c>
      <c r="BB330" s="207" t="s">
        <v>44</v>
      </c>
      <c r="BC330" s="198">
        <v>1</v>
      </c>
      <c r="BD330" s="198">
        <v>0.5</v>
      </c>
      <c r="BE330" s="198">
        <v>100</v>
      </c>
      <c r="BF330" s="198">
        <v>0.36</v>
      </c>
      <c r="BG330" s="207" t="str">
        <f t="shared" si="10"/>
        <v/>
      </c>
      <c r="BL330" s="207" t="s">
        <v>44</v>
      </c>
      <c r="BM330" s="198">
        <v>1</v>
      </c>
      <c r="BN330" s="198">
        <v>0.4</v>
      </c>
      <c r="BO330" s="198">
        <v>0.5</v>
      </c>
      <c r="BP330" s="198">
        <v>0.22</v>
      </c>
      <c r="BQ330" s="207" t="str">
        <f t="shared" si="11"/>
        <v/>
      </c>
    </row>
    <row r="331" spans="28:69" x14ac:dyDescent="0.25">
      <c r="AB331" s="207" t="s">
        <v>233</v>
      </c>
      <c r="AC331" s="207" t="s">
        <v>539</v>
      </c>
      <c r="AD331" s="213">
        <v>3</v>
      </c>
      <c r="BB331" s="207" t="s">
        <v>44</v>
      </c>
      <c r="BC331" s="198">
        <v>2</v>
      </c>
      <c r="BD331" s="198">
        <v>0.5</v>
      </c>
      <c r="BE331" s="198">
        <v>100</v>
      </c>
      <c r="BF331" s="198">
        <v>0.34</v>
      </c>
      <c r="BG331" s="207" t="str">
        <f t="shared" si="10"/>
        <v/>
      </c>
      <c r="BL331" s="207" t="s">
        <v>44</v>
      </c>
      <c r="BM331" s="198">
        <v>2</v>
      </c>
      <c r="BN331" s="198">
        <v>0.4</v>
      </c>
      <c r="BO331" s="198">
        <v>0.5</v>
      </c>
      <c r="BP331" s="198">
        <v>0.21</v>
      </c>
      <c r="BQ331" s="207" t="str">
        <f t="shared" si="11"/>
        <v/>
      </c>
    </row>
    <row r="332" spans="28:69" x14ac:dyDescent="0.25">
      <c r="AB332" s="207" t="s">
        <v>233</v>
      </c>
      <c r="AC332" s="207" t="s">
        <v>540</v>
      </c>
      <c r="AD332" s="213">
        <v>4</v>
      </c>
      <c r="BB332" s="207" t="s">
        <v>44</v>
      </c>
      <c r="BC332" s="198">
        <v>3</v>
      </c>
      <c r="BD332" s="198">
        <v>0.5</v>
      </c>
      <c r="BE332" s="198">
        <v>100</v>
      </c>
      <c r="BF332" s="198">
        <v>0.26</v>
      </c>
      <c r="BG332" s="207" t="str">
        <f t="shared" si="10"/>
        <v/>
      </c>
      <c r="BL332" s="207" t="s">
        <v>44</v>
      </c>
      <c r="BM332" s="198">
        <v>3</v>
      </c>
      <c r="BN332" s="198">
        <v>0.4</v>
      </c>
      <c r="BO332" s="198">
        <v>0.5</v>
      </c>
      <c r="BP332" s="198">
        <v>0.22</v>
      </c>
      <c r="BQ332" s="207" t="str">
        <f t="shared" si="11"/>
        <v/>
      </c>
    </row>
    <row r="333" spans="28:69" x14ac:dyDescent="0.25">
      <c r="AB333" s="207" t="s">
        <v>233</v>
      </c>
      <c r="AC333" s="207" t="s">
        <v>541</v>
      </c>
      <c r="AD333" s="213">
        <v>3</v>
      </c>
      <c r="BB333" s="207" t="s">
        <v>44</v>
      </c>
      <c r="BC333" s="198">
        <v>4</v>
      </c>
      <c r="BD333" s="198">
        <v>0.5</v>
      </c>
      <c r="BE333" s="198">
        <v>100</v>
      </c>
      <c r="BF333" s="198">
        <v>0.19</v>
      </c>
      <c r="BG333" s="207" t="str">
        <f t="shared" si="10"/>
        <v/>
      </c>
      <c r="BL333" s="207" t="s">
        <v>44</v>
      </c>
      <c r="BM333" s="198">
        <v>4</v>
      </c>
      <c r="BN333" s="198">
        <v>0.4</v>
      </c>
      <c r="BO333" s="198">
        <v>0.5</v>
      </c>
      <c r="BP333" s="198">
        <v>0.22</v>
      </c>
      <c r="BQ333" s="207" t="str">
        <f t="shared" si="11"/>
        <v/>
      </c>
    </row>
    <row r="334" spans="28:69" x14ac:dyDescent="0.25">
      <c r="AB334" s="207" t="s">
        <v>207</v>
      </c>
      <c r="AC334" s="207" t="s">
        <v>542</v>
      </c>
      <c r="AD334" s="213">
        <v>2</v>
      </c>
      <c r="BB334" s="207" t="s">
        <v>44</v>
      </c>
      <c r="BC334" s="198">
        <v>5</v>
      </c>
      <c r="BD334" s="198">
        <v>0.5</v>
      </c>
      <c r="BE334" s="198">
        <v>100</v>
      </c>
      <c r="BF334" s="198">
        <v>0.23</v>
      </c>
      <c r="BG334" s="207" t="str">
        <f t="shared" si="10"/>
        <v/>
      </c>
      <c r="BL334" s="207" t="s">
        <v>44</v>
      </c>
      <c r="BM334" s="198">
        <v>5</v>
      </c>
      <c r="BN334" s="198">
        <v>0.4</v>
      </c>
      <c r="BO334" s="198">
        <v>0.5</v>
      </c>
      <c r="BP334" s="198">
        <v>0.22</v>
      </c>
      <c r="BQ334" s="207" t="str">
        <f t="shared" si="11"/>
        <v/>
      </c>
    </row>
    <row r="335" spans="28:69" x14ac:dyDescent="0.25">
      <c r="AB335" s="207" t="s">
        <v>207</v>
      </c>
      <c r="AC335" s="207" t="s">
        <v>543</v>
      </c>
      <c r="AD335" s="213">
        <v>2</v>
      </c>
      <c r="BB335" s="207" t="s">
        <v>44</v>
      </c>
      <c r="BC335" s="198">
        <v>6</v>
      </c>
      <c r="BD335" s="198">
        <v>0.5</v>
      </c>
      <c r="BE335" s="198">
        <v>100</v>
      </c>
      <c r="BF335" s="198">
        <v>0.17</v>
      </c>
      <c r="BG335" s="207" t="str">
        <f t="shared" si="10"/>
        <v/>
      </c>
      <c r="BL335" s="207" t="s">
        <v>44</v>
      </c>
      <c r="BM335" s="198">
        <v>6</v>
      </c>
      <c r="BN335" s="198">
        <v>0.4</v>
      </c>
      <c r="BO335" s="198">
        <v>0.5</v>
      </c>
      <c r="BP335" s="198">
        <v>0.22</v>
      </c>
      <c r="BQ335" s="207" t="str">
        <f t="shared" si="11"/>
        <v/>
      </c>
    </row>
    <row r="336" spans="28:69" x14ac:dyDescent="0.25">
      <c r="AB336" s="207" t="s">
        <v>214</v>
      </c>
      <c r="AC336" s="207" t="s">
        <v>544</v>
      </c>
      <c r="AD336" s="213">
        <v>1</v>
      </c>
      <c r="BB336" s="207" t="s">
        <v>44</v>
      </c>
      <c r="BC336" s="198">
        <v>7</v>
      </c>
      <c r="BD336" s="198">
        <v>0.5</v>
      </c>
      <c r="BE336" s="198">
        <v>100</v>
      </c>
      <c r="BF336" s="198">
        <v>0.11</v>
      </c>
      <c r="BG336" s="207" t="str">
        <f t="shared" si="10"/>
        <v/>
      </c>
      <c r="BL336" s="207" t="s">
        <v>44</v>
      </c>
      <c r="BM336" s="198">
        <v>7</v>
      </c>
      <c r="BN336" s="198">
        <v>0.4</v>
      </c>
      <c r="BO336" s="198">
        <v>0.5</v>
      </c>
      <c r="BP336" s="198">
        <v>0.22</v>
      </c>
      <c r="BQ336" s="207" t="str">
        <f t="shared" si="11"/>
        <v/>
      </c>
    </row>
    <row r="337" spans="28:69" x14ac:dyDescent="0.25">
      <c r="AB337" s="207" t="s">
        <v>207</v>
      </c>
      <c r="AC337" s="207" t="s">
        <v>545</v>
      </c>
      <c r="AD337" s="213">
        <v>2</v>
      </c>
      <c r="BB337" s="207" t="s">
        <v>44</v>
      </c>
      <c r="BC337" s="198">
        <v>8</v>
      </c>
      <c r="BD337" s="198">
        <v>0.5</v>
      </c>
      <c r="BE337" s="198">
        <v>100</v>
      </c>
      <c r="BF337" s="198">
        <v>0.13</v>
      </c>
      <c r="BG337" s="207" t="str">
        <f t="shared" si="10"/>
        <v/>
      </c>
      <c r="BL337" s="207" t="s">
        <v>44</v>
      </c>
      <c r="BM337" s="198">
        <v>8</v>
      </c>
      <c r="BN337" s="198">
        <v>0.4</v>
      </c>
      <c r="BO337" s="198">
        <v>0.5</v>
      </c>
      <c r="BP337" s="198">
        <v>0.22</v>
      </c>
      <c r="BQ337" s="207" t="str">
        <f t="shared" si="11"/>
        <v/>
      </c>
    </row>
    <row r="338" spans="28:69" x14ac:dyDescent="0.25">
      <c r="AB338" s="207" t="s">
        <v>27</v>
      </c>
      <c r="AC338" s="207" t="s">
        <v>546</v>
      </c>
      <c r="AD338" s="213">
        <v>2</v>
      </c>
      <c r="BB338" s="207" t="s">
        <v>45</v>
      </c>
      <c r="BC338" s="198">
        <v>1</v>
      </c>
      <c r="BD338" s="198">
        <v>0</v>
      </c>
      <c r="BE338" s="198">
        <v>0.2</v>
      </c>
      <c r="BF338" s="198">
        <v>0.39</v>
      </c>
      <c r="BG338" s="207" t="str">
        <f t="shared" si="10"/>
        <v/>
      </c>
      <c r="BL338" s="207" t="s">
        <v>44</v>
      </c>
      <c r="BM338" s="198">
        <v>1</v>
      </c>
      <c r="BN338" s="198">
        <v>0.5</v>
      </c>
      <c r="BO338" s="198">
        <v>100</v>
      </c>
      <c r="BP338" s="198">
        <v>0.23</v>
      </c>
      <c r="BQ338" s="207" t="str">
        <f t="shared" si="11"/>
        <v/>
      </c>
    </row>
    <row r="339" spans="28:69" x14ac:dyDescent="0.25">
      <c r="AB339" s="207" t="s">
        <v>214</v>
      </c>
      <c r="AC339" s="207" t="s">
        <v>547</v>
      </c>
      <c r="AD339" s="213">
        <v>2</v>
      </c>
      <c r="BB339" s="207" t="s">
        <v>45</v>
      </c>
      <c r="BC339" s="198">
        <v>2</v>
      </c>
      <c r="BD339" s="198">
        <v>0</v>
      </c>
      <c r="BE339" s="198">
        <v>0.2</v>
      </c>
      <c r="BF339" s="198">
        <v>0.35</v>
      </c>
      <c r="BG339" s="207" t="str">
        <f t="shared" si="10"/>
        <v/>
      </c>
      <c r="BL339" s="207" t="s">
        <v>44</v>
      </c>
      <c r="BM339" s="198">
        <v>2</v>
      </c>
      <c r="BN339" s="198">
        <v>0.5</v>
      </c>
      <c r="BO339" s="198">
        <v>100</v>
      </c>
      <c r="BP339" s="198">
        <v>0.23</v>
      </c>
      <c r="BQ339" s="207" t="str">
        <f t="shared" si="11"/>
        <v/>
      </c>
    </row>
    <row r="340" spans="28:69" x14ac:dyDescent="0.25">
      <c r="AB340" s="207" t="s">
        <v>214</v>
      </c>
      <c r="AC340" s="207" t="s">
        <v>548</v>
      </c>
      <c r="AD340" s="213">
        <v>1</v>
      </c>
      <c r="BB340" s="207" t="s">
        <v>45</v>
      </c>
      <c r="BC340" s="198">
        <v>3</v>
      </c>
      <c r="BD340" s="198">
        <v>0</v>
      </c>
      <c r="BE340" s="198">
        <v>0.2</v>
      </c>
      <c r="BF340" s="198">
        <v>0.31</v>
      </c>
      <c r="BG340" s="207" t="str">
        <f t="shared" si="10"/>
        <v/>
      </c>
      <c r="BL340" s="207" t="s">
        <v>44</v>
      </c>
      <c r="BM340" s="198">
        <v>3</v>
      </c>
      <c r="BN340" s="198">
        <v>0.5</v>
      </c>
      <c r="BO340" s="198">
        <v>100</v>
      </c>
      <c r="BP340" s="198">
        <v>0.23</v>
      </c>
      <c r="BQ340" s="207" t="str">
        <f t="shared" si="11"/>
        <v/>
      </c>
    </row>
    <row r="341" spans="28:69" x14ac:dyDescent="0.25">
      <c r="AB341" s="207" t="s">
        <v>214</v>
      </c>
      <c r="AC341" s="207" t="s">
        <v>549</v>
      </c>
      <c r="AD341" s="213">
        <v>3</v>
      </c>
      <c r="BB341" s="207" t="s">
        <v>45</v>
      </c>
      <c r="BC341" s="198">
        <v>4</v>
      </c>
      <c r="BD341" s="198">
        <v>0</v>
      </c>
      <c r="BE341" s="198">
        <v>0.2</v>
      </c>
      <c r="BF341" s="198">
        <v>0.26</v>
      </c>
      <c r="BG341" s="207" t="str">
        <f t="shared" si="10"/>
        <v/>
      </c>
      <c r="BL341" s="207" t="s">
        <v>44</v>
      </c>
      <c r="BM341" s="198">
        <v>4</v>
      </c>
      <c r="BN341" s="198">
        <v>0.5</v>
      </c>
      <c r="BO341" s="198">
        <v>100</v>
      </c>
      <c r="BP341" s="198">
        <v>0.23</v>
      </c>
      <c r="BQ341" s="207" t="str">
        <f t="shared" si="11"/>
        <v/>
      </c>
    </row>
    <row r="342" spans="28:69" x14ac:dyDescent="0.25">
      <c r="AB342" s="207" t="s">
        <v>214</v>
      </c>
      <c r="AC342" s="207" t="s">
        <v>550</v>
      </c>
      <c r="AD342" s="213">
        <v>2</v>
      </c>
      <c r="BB342" s="207" t="s">
        <v>45</v>
      </c>
      <c r="BC342" s="198">
        <v>5</v>
      </c>
      <c r="BD342" s="198">
        <v>0</v>
      </c>
      <c r="BE342" s="198">
        <v>0.2</v>
      </c>
      <c r="BF342" s="198">
        <v>0.31</v>
      </c>
      <c r="BG342" s="207" t="str">
        <f t="shared" si="10"/>
        <v/>
      </c>
      <c r="BL342" s="207" t="s">
        <v>44</v>
      </c>
      <c r="BM342" s="198">
        <v>5</v>
      </c>
      <c r="BN342" s="198">
        <v>0.5</v>
      </c>
      <c r="BO342" s="198">
        <v>100</v>
      </c>
      <c r="BP342" s="198">
        <v>0.23</v>
      </c>
      <c r="BQ342" s="207" t="str">
        <f t="shared" si="11"/>
        <v/>
      </c>
    </row>
    <row r="343" spans="28:69" x14ac:dyDescent="0.25">
      <c r="AB343" s="207" t="s">
        <v>214</v>
      </c>
      <c r="AC343" s="207" t="s">
        <v>551</v>
      </c>
      <c r="AD343" s="213">
        <v>2</v>
      </c>
      <c r="BB343" s="207" t="s">
        <v>45</v>
      </c>
      <c r="BC343" s="198">
        <v>6</v>
      </c>
      <c r="BD343" s="198">
        <v>0</v>
      </c>
      <c r="BE343" s="198">
        <v>0.2</v>
      </c>
      <c r="BF343" s="198">
        <v>0.26</v>
      </c>
      <c r="BG343" s="207" t="str">
        <f t="shared" si="10"/>
        <v/>
      </c>
      <c r="BL343" s="207" t="s">
        <v>44</v>
      </c>
      <c r="BM343" s="198">
        <v>6</v>
      </c>
      <c r="BN343" s="198">
        <v>0.5</v>
      </c>
      <c r="BO343" s="198">
        <v>100</v>
      </c>
      <c r="BP343" s="198">
        <v>0.23</v>
      </c>
      <c r="BQ343" s="207" t="str">
        <f t="shared" si="11"/>
        <v/>
      </c>
    </row>
    <row r="344" spans="28:69" x14ac:dyDescent="0.25">
      <c r="AB344" s="207" t="s">
        <v>214</v>
      </c>
      <c r="AC344" s="207" t="s">
        <v>552</v>
      </c>
      <c r="AD344" s="213">
        <v>1</v>
      </c>
      <c r="BB344" s="207" t="s">
        <v>45</v>
      </c>
      <c r="BC344" s="198">
        <v>7</v>
      </c>
      <c r="BD344" s="198">
        <v>0</v>
      </c>
      <c r="BE344" s="198">
        <v>0.2</v>
      </c>
      <c r="BF344" s="198">
        <v>0.18</v>
      </c>
      <c r="BG344" s="207" t="str">
        <f t="shared" si="10"/>
        <v/>
      </c>
      <c r="BL344" s="207" t="s">
        <v>44</v>
      </c>
      <c r="BM344" s="198">
        <v>7</v>
      </c>
      <c r="BN344" s="198">
        <v>0.5</v>
      </c>
      <c r="BO344" s="198">
        <v>100</v>
      </c>
      <c r="BP344" s="198">
        <v>0.23</v>
      </c>
      <c r="BQ344" s="207" t="str">
        <f t="shared" si="11"/>
        <v/>
      </c>
    </row>
    <row r="345" spans="28:69" x14ac:dyDescent="0.25">
      <c r="AB345" s="207" t="s">
        <v>214</v>
      </c>
      <c r="AC345" s="207" t="s">
        <v>553</v>
      </c>
      <c r="AD345" s="213">
        <v>2</v>
      </c>
      <c r="BB345" s="207" t="s">
        <v>45</v>
      </c>
      <c r="BC345" s="198">
        <v>8</v>
      </c>
      <c r="BD345" s="198">
        <v>0</v>
      </c>
      <c r="BE345" s="198">
        <v>0.2</v>
      </c>
      <c r="BF345" s="198">
        <v>0.21</v>
      </c>
      <c r="BG345" s="207" t="str">
        <f t="shared" si="10"/>
        <v/>
      </c>
      <c r="BL345" s="207" t="s">
        <v>44</v>
      </c>
      <c r="BM345" s="198">
        <v>8</v>
      </c>
      <c r="BN345" s="198">
        <v>0.5</v>
      </c>
      <c r="BO345" s="198">
        <v>100</v>
      </c>
      <c r="BP345" s="198">
        <v>0.23</v>
      </c>
      <c r="BQ345" s="207" t="str">
        <f t="shared" si="11"/>
        <v/>
      </c>
    </row>
    <row r="346" spans="28:69" x14ac:dyDescent="0.25">
      <c r="AB346" s="207" t="s">
        <v>214</v>
      </c>
      <c r="AC346" s="207" t="s">
        <v>554</v>
      </c>
      <c r="AD346" s="213">
        <v>2</v>
      </c>
      <c r="BB346" s="207" t="s">
        <v>45</v>
      </c>
      <c r="BC346" s="198">
        <v>1</v>
      </c>
      <c r="BD346" s="198">
        <v>0.2</v>
      </c>
      <c r="BE346" s="198">
        <v>0.3</v>
      </c>
      <c r="BF346" s="198">
        <v>0.41</v>
      </c>
      <c r="BG346" s="207" t="str">
        <f t="shared" si="10"/>
        <v/>
      </c>
      <c r="BL346" s="207" t="s">
        <v>45</v>
      </c>
      <c r="BM346" s="198">
        <v>1</v>
      </c>
      <c r="BN346" s="198">
        <v>0</v>
      </c>
      <c r="BO346" s="198">
        <v>0.2</v>
      </c>
      <c r="BP346" s="198">
        <v>0.21</v>
      </c>
      <c r="BQ346" s="207" t="str">
        <f t="shared" si="11"/>
        <v/>
      </c>
    </row>
    <row r="347" spans="28:69" x14ac:dyDescent="0.25">
      <c r="AB347" s="207" t="s">
        <v>214</v>
      </c>
      <c r="AC347" s="207" t="s">
        <v>555</v>
      </c>
      <c r="AD347" s="213">
        <v>2</v>
      </c>
      <c r="BB347" s="207" t="s">
        <v>45</v>
      </c>
      <c r="BC347" s="198">
        <v>2</v>
      </c>
      <c r="BD347" s="198">
        <v>0.2</v>
      </c>
      <c r="BE347" s="198">
        <v>0.3</v>
      </c>
      <c r="BF347" s="198">
        <v>0.37</v>
      </c>
      <c r="BG347" s="207" t="str">
        <f t="shared" si="10"/>
        <v/>
      </c>
      <c r="BL347" s="207" t="s">
        <v>45</v>
      </c>
      <c r="BM347" s="198">
        <v>2</v>
      </c>
      <c r="BN347" s="198">
        <v>0</v>
      </c>
      <c r="BO347" s="198">
        <v>0.2</v>
      </c>
      <c r="BP347" s="198">
        <v>0.2</v>
      </c>
      <c r="BQ347" s="207" t="str">
        <f t="shared" si="11"/>
        <v/>
      </c>
    </row>
    <row r="348" spans="28:69" x14ac:dyDescent="0.25">
      <c r="AB348" s="207" t="s">
        <v>214</v>
      </c>
      <c r="AC348" s="207" t="s">
        <v>556</v>
      </c>
      <c r="AD348" s="213">
        <v>2</v>
      </c>
      <c r="BB348" s="207" t="s">
        <v>45</v>
      </c>
      <c r="BC348" s="198">
        <v>3</v>
      </c>
      <c r="BD348" s="198">
        <v>0.2</v>
      </c>
      <c r="BE348" s="198">
        <v>0.3</v>
      </c>
      <c r="BF348" s="198">
        <v>0.33</v>
      </c>
      <c r="BG348" s="207" t="str">
        <f t="shared" si="10"/>
        <v/>
      </c>
      <c r="BL348" s="207" t="s">
        <v>45</v>
      </c>
      <c r="BM348" s="198">
        <v>3</v>
      </c>
      <c r="BN348" s="198">
        <v>0</v>
      </c>
      <c r="BO348" s="198">
        <v>0.2</v>
      </c>
      <c r="BP348" s="198">
        <v>0.21</v>
      </c>
      <c r="BQ348" s="207" t="str">
        <f t="shared" si="11"/>
        <v/>
      </c>
    </row>
    <row r="349" spans="28:69" x14ac:dyDescent="0.25">
      <c r="AB349" s="207" t="s">
        <v>214</v>
      </c>
      <c r="AC349" s="207" t="s">
        <v>557</v>
      </c>
      <c r="AD349" s="213">
        <v>2</v>
      </c>
      <c r="BB349" s="207" t="s">
        <v>45</v>
      </c>
      <c r="BC349" s="198">
        <v>4</v>
      </c>
      <c r="BD349" s="198">
        <v>0.2</v>
      </c>
      <c r="BE349" s="198">
        <v>0.3</v>
      </c>
      <c r="BF349" s="198">
        <v>0.28000000000000003</v>
      </c>
      <c r="BG349" s="207" t="str">
        <f t="shared" si="10"/>
        <v/>
      </c>
      <c r="BL349" s="207" t="s">
        <v>45</v>
      </c>
      <c r="BM349" s="198">
        <v>4</v>
      </c>
      <c r="BN349" s="198">
        <v>0</v>
      </c>
      <c r="BO349" s="198">
        <v>0.2</v>
      </c>
      <c r="BP349" s="198">
        <v>0.22</v>
      </c>
      <c r="BQ349" s="207" t="str">
        <f t="shared" si="11"/>
        <v/>
      </c>
    </row>
    <row r="350" spans="28:69" x14ac:dyDescent="0.25">
      <c r="AB350" s="207" t="s">
        <v>214</v>
      </c>
      <c r="AC350" s="207" t="s">
        <v>558</v>
      </c>
      <c r="AD350" s="213">
        <v>3</v>
      </c>
      <c r="BB350" s="207" t="s">
        <v>45</v>
      </c>
      <c r="BC350" s="198">
        <v>5</v>
      </c>
      <c r="BD350" s="198">
        <v>0.2</v>
      </c>
      <c r="BE350" s="198">
        <v>0.3</v>
      </c>
      <c r="BF350" s="198">
        <v>0.33</v>
      </c>
      <c r="BG350" s="207" t="str">
        <f t="shared" si="10"/>
        <v/>
      </c>
      <c r="BL350" s="207" t="s">
        <v>45</v>
      </c>
      <c r="BM350" s="198">
        <v>5</v>
      </c>
      <c r="BN350" s="198">
        <v>0</v>
      </c>
      <c r="BO350" s="198">
        <v>0.2</v>
      </c>
      <c r="BP350" s="198">
        <v>0.22</v>
      </c>
      <c r="BQ350" s="207" t="str">
        <f t="shared" si="11"/>
        <v/>
      </c>
    </row>
    <row r="351" spans="28:69" x14ac:dyDescent="0.25">
      <c r="AB351" s="207" t="s">
        <v>214</v>
      </c>
      <c r="AC351" s="207" t="s">
        <v>559</v>
      </c>
      <c r="AD351" s="213">
        <v>2</v>
      </c>
      <c r="BB351" s="207" t="s">
        <v>45</v>
      </c>
      <c r="BC351" s="198">
        <v>6</v>
      </c>
      <c r="BD351" s="198">
        <v>0.2</v>
      </c>
      <c r="BE351" s="198">
        <v>0.3</v>
      </c>
      <c r="BF351" s="198">
        <v>0.28999999999999998</v>
      </c>
      <c r="BG351" s="207" t="str">
        <f t="shared" si="10"/>
        <v/>
      </c>
      <c r="BL351" s="207" t="s">
        <v>45</v>
      </c>
      <c r="BM351" s="198">
        <v>6</v>
      </c>
      <c r="BN351" s="198">
        <v>0</v>
      </c>
      <c r="BO351" s="198">
        <v>0.2</v>
      </c>
      <c r="BP351" s="198">
        <v>0.22</v>
      </c>
      <c r="BQ351" s="207" t="str">
        <f t="shared" si="11"/>
        <v/>
      </c>
    </row>
    <row r="352" spans="28:69" x14ac:dyDescent="0.25">
      <c r="AB352" s="207" t="s">
        <v>214</v>
      </c>
      <c r="AC352" s="207" t="s">
        <v>560</v>
      </c>
      <c r="AD352" s="213">
        <v>2</v>
      </c>
      <c r="BB352" s="207" t="s">
        <v>45</v>
      </c>
      <c r="BC352" s="198">
        <v>7</v>
      </c>
      <c r="BD352" s="198">
        <v>0.2</v>
      </c>
      <c r="BE352" s="198">
        <v>0.3</v>
      </c>
      <c r="BF352" s="198">
        <v>0.2</v>
      </c>
      <c r="BG352" s="207" t="str">
        <f t="shared" si="10"/>
        <v/>
      </c>
      <c r="BL352" s="207" t="s">
        <v>45</v>
      </c>
      <c r="BM352" s="198">
        <v>7</v>
      </c>
      <c r="BN352" s="198">
        <v>0</v>
      </c>
      <c r="BO352" s="198">
        <v>0.2</v>
      </c>
      <c r="BP352" s="198">
        <v>0.22</v>
      </c>
      <c r="BQ352" s="207" t="str">
        <f t="shared" si="11"/>
        <v/>
      </c>
    </row>
    <row r="353" spans="28:69" x14ac:dyDescent="0.25">
      <c r="AB353" s="207" t="s">
        <v>214</v>
      </c>
      <c r="AC353" s="207" t="s">
        <v>561</v>
      </c>
      <c r="AD353" s="213">
        <v>2</v>
      </c>
      <c r="BB353" s="207" t="s">
        <v>45</v>
      </c>
      <c r="BC353" s="198">
        <v>8</v>
      </c>
      <c r="BD353" s="198">
        <v>0.2</v>
      </c>
      <c r="BE353" s="198">
        <v>0.3</v>
      </c>
      <c r="BF353" s="198">
        <v>0.23</v>
      </c>
      <c r="BG353" s="207" t="str">
        <f t="shared" si="10"/>
        <v/>
      </c>
      <c r="BL353" s="207" t="s">
        <v>45</v>
      </c>
      <c r="BM353" s="198">
        <v>8</v>
      </c>
      <c r="BN353" s="198">
        <v>0</v>
      </c>
      <c r="BO353" s="198">
        <v>0.2</v>
      </c>
      <c r="BP353" s="198">
        <v>0.22</v>
      </c>
      <c r="BQ353" s="207" t="str">
        <f t="shared" si="11"/>
        <v/>
      </c>
    </row>
    <row r="354" spans="28:69" x14ac:dyDescent="0.25">
      <c r="AB354" s="207" t="s">
        <v>214</v>
      </c>
      <c r="AC354" s="207" t="s">
        <v>562</v>
      </c>
      <c r="AD354" s="213">
        <v>2</v>
      </c>
      <c r="BB354" s="207" t="s">
        <v>45</v>
      </c>
      <c r="BC354" s="198">
        <v>1</v>
      </c>
      <c r="BD354" s="198">
        <v>0.3</v>
      </c>
      <c r="BE354" s="198">
        <v>0.4</v>
      </c>
      <c r="BF354" s="198">
        <v>0.41</v>
      </c>
      <c r="BG354" s="207" t="str">
        <f t="shared" si="10"/>
        <v/>
      </c>
      <c r="BL354" s="207" t="s">
        <v>45</v>
      </c>
      <c r="BM354" s="198">
        <v>1</v>
      </c>
      <c r="BN354" s="198">
        <v>0.2</v>
      </c>
      <c r="BO354" s="198">
        <v>0.3</v>
      </c>
      <c r="BP354" s="198">
        <v>0.24</v>
      </c>
      <c r="BQ354" s="207" t="str">
        <f t="shared" si="11"/>
        <v/>
      </c>
    </row>
    <row r="355" spans="28:69" x14ac:dyDescent="0.25">
      <c r="AB355" s="207" t="s">
        <v>27</v>
      </c>
      <c r="AC355" s="207" t="s">
        <v>563</v>
      </c>
      <c r="AD355" s="213">
        <v>1</v>
      </c>
      <c r="BB355" s="207" t="s">
        <v>45</v>
      </c>
      <c r="BC355" s="198">
        <v>2</v>
      </c>
      <c r="BD355" s="198">
        <v>0.3</v>
      </c>
      <c r="BE355" s="198">
        <v>0.4</v>
      </c>
      <c r="BF355" s="198">
        <v>0.38</v>
      </c>
      <c r="BG355" s="207" t="str">
        <f t="shared" si="10"/>
        <v/>
      </c>
      <c r="BL355" s="207" t="s">
        <v>45</v>
      </c>
      <c r="BM355" s="198">
        <v>2</v>
      </c>
      <c r="BN355" s="198">
        <v>0.2</v>
      </c>
      <c r="BO355" s="198">
        <v>0.3</v>
      </c>
      <c r="BP355" s="198">
        <v>0.23</v>
      </c>
      <c r="BQ355" s="207" t="str">
        <f t="shared" si="11"/>
        <v/>
      </c>
    </row>
    <row r="356" spans="28:69" x14ac:dyDescent="0.25">
      <c r="AB356" s="207" t="s">
        <v>214</v>
      </c>
      <c r="AC356" s="207" t="s">
        <v>564</v>
      </c>
      <c r="AD356" s="213">
        <v>2</v>
      </c>
      <c r="BB356" s="207" t="s">
        <v>45</v>
      </c>
      <c r="BC356" s="198">
        <v>3</v>
      </c>
      <c r="BD356" s="198">
        <v>0.3</v>
      </c>
      <c r="BE356" s="198">
        <v>0.4</v>
      </c>
      <c r="BF356" s="198">
        <v>0.34</v>
      </c>
      <c r="BG356" s="207" t="str">
        <f t="shared" si="10"/>
        <v/>
      </c>
      <c r="BL356" s="207" t="s">
        <v>45</v>
      </c>
      <c r="BM356" s="198">
        <v>3</v>
      </c>
      <c r="BN356" s="198">
        <v>0.2</v>
      </c>
      <c r="BO356" s="198">
        <v>0.3</v>
      </c>
      <c r="BP356" s="198">
        <v>0.24</v>
      </c>
      <c r="BQ356" s="207" t="str">
        <f t="shared" si="11"/>
        <v/>
      </c>
    </row>
    <row r="357" spans="28:69" x14ac:dyDescent="0.25">
      <c r="AB357" s="207" t="s">
        <v>214</v>
      </c>
      <c r="AC357" s="207" t="s">
        <v>565</v>
      </c>
      <c r="AD357" s="213">
        <v>3</v>
      </c>
      <c r="BB357" s="207" t="s">
        <v>45</v>
      </c>
      <c r="BC357" s="198">
        <v>4</v>
      </c>
      <c r="BD357" s="198">
        <v>0.3</v>
      </c>
      <c r="BE357" s="198">
        <v>0.4</v>
      </c>
      <c r="BF357" s="198">
        <v>0.28999999999999998</v>
      </c>
      <c r="BG357" s="207" t="str">
        <f t="shared" si="10"/>
        <v/>
      </c>
      <c r="BL357" s="207" t="s">
        <v>45</v>
      </c>
      <c r="BM357" s="198">
        <v>4</v>
      </c>
      <c r="BN357" s="198">
        <v>0.2</v>
      </c>
      <c r="BO357" s="198">
        <v>0.3</v>
      </c>
      <c r="BP357" s="198">
        <v>0.25</v>
      </c>
      <c r="BQ357" s="207" t="str">
        <f t="shared" si="11"/>
        <v/>
      </c>
    </row>
    <row r="358" spans="28:69" x14ac:dyDescent="0.25">
      <c r="AB358" s="207" t="s">
        <v>214</v>
      </c>
      <c r="AC358" s="207" t="s">
        <v>566</v>
      </c>
      <c r="AD358" s="213">
        <v>1</v>
      </c>
      <c r="BB358" s="207" t="s">
        <v>45</v>
      </c>
      <c r="BC358" s="198">
        <v>5</v>
      </c>
      <c r="BD358" s="198">
        <v>0.3</v>
      </c>
      <c r="BE358" s="198">
        <v>0.4</v>
      </c>
      <c r="BF358" s="198">
        <v>0.34</v>
      </c>
      <c r="BG358" s="207" t="str">
        <f t="shared" si="10"/>
        <v/>
      </c>
      <c r="BL358" s="207" t="s">
        <v>45</v>
      </c>
      <c r="BM358" s="198">
        <v>5</v>
      </c>
      <c r="BN358" s="198">
        <v>0.2</v>
      </c>
      <c r="BO358" s="198">
        <v>0.3</v>
      </c>
      <c r="BP358" s="198">
        <v>0.25</v>
      </c>
      <c r="BQ358" s="207" t="str">
        <f t="shared" si="11"/>
        <v/>
      </c>
    </row>
    <row r="359" spans="28:69" x14ac:dyDescent="0.25">
      <c r="AB359" s="207" t="s">
        <v>214</v>
      </c>
      <c r="AC359" s="207" t="s">
        <v>567</v>
      </c>
      <c r="AD359" s="213">
        <v>2</v>
      </c>
      <c r="BB359" s="207" t="s">
        <v>45</v>
      </c>
      <c r="BC359" s="198">
        <v>6</v>
      </c>
      <c r="BD359" s="198">
        <v>0.3</v>
      </c>
      <c r="BE359" s="198">
        <v>0.4</v>
      </c>
      <c r="BF359" s="198">
        <v>0.3</v>
      </c>
      <c r="BG359" s="207" t="str">
        <f t="shared" si="10"/>
        <v/>
      </c>
      <c r="BL359" s="207" t="s">
        <v>45</v>
      </c>
      <c r="BM359" s="198">
        <v>6</v>
      </c>
      <c r="BN359" s="198">
        <v>0.2</v>
      </c>
      <c r="BO359" s="198">
        <v>0.3</v>
      </c>
      <c r="BP359" s="198">
        <v>0.25</v>
      </c>
      <c r="BQ359" s="207" t="str">
        <f t="shared" si="11"/>
        <v/>
      </c>
    </row>
    <row r="360" spans="28:69" x14ac:dyDescent="0.25">
      <c r="AB360" s="207" t="s">
        <v>27</v>
      </c>
      <c r="AC360" s="207" t="s">
        <v>568</v>
      </c>
      <c r="AD360" s="213">
        <v>2</v>
      </c>
      <c r="BB360" s="207" t="s">
        <v>45</v>
      </c>
      <c r="BC360" s="198">
        <v>7</v>
      </c>
      <c r="BD360" s="198">
        <v>0.3</v>
      </c>
      <c r="BE360" s="198">
        <v>0.4</v>
      </c>
      <c r="BF360" s="198">
        <v>0.21</v>
      </c>
      <c r="BG360" s="207" t="str">
        <f t="shared" si="10"/>
        <v/>
      </c>
      <c r="BL360" s="207" t="s">
        <v>45</v>
      </c>
      <c r="BM360" s="198">
        <v>7</v>
      </c>
      <c r="BN360" s="198">
        <v>0.2</v>
      </c>
      <c r="BO360" s="198">
        <v>0.3</v>
      </c>
      <c r="BP360" s="198">
        <v>0.25</v>
      </c>
      <c r="BQ360" s="207" t="str">
        <f t="shared" si="11"/>
        <v/>
      </c>
    </row>
    <row r="361" spans="28:69" x14ac:dyDescent="0.25">
      <c r="AB361" s="207" t="s">
        <v>214</v>
      </c>
      <c r="AC361" s="207" t="s">
        <v>569</v>
      </c>
      <c r="AD361" s="213">
        <v>2</v>
      </c>
      <c r="BB361" s="207" t="s">
        <v>45</v>
      </c>
      <c r="BC361" s="198">
        <v>8</v>
      </c>
      <c r="BD361" s="198">
        <v>0.3</v>
      </c>
      <c r="BE361" s="198">
        <v>0.4</v>
      </c>
      <c r="BF361" s="198">
        <v>0.24</v>
      </c>
      <c r="BG361" s="207" t="str">
        <f t="shared" si="10"/>
        <v/>
      </c>
      <c r="BL361" s="207" t="s">
        <v>45</v>
      </c>
      <c r="BM361" s="198">
        <v>8</v>
      </c>
      <c r="BN361" s="198">
        <v>0.2</v>
      </c>
      <c r="BO361" s="198">
        <v>0.3</v>
      </c>
      <c r="BP361" s="198">
        <v>0.25</v>
      </c>
      <c r="BQ361" s="207" t="str">
        <f t="shared" si="11"/>
        <v/>
      </c>
    </row>
    <row r="362" spans="28:69" x14ac:dyDescent="0.25">
      <c r="AB362" s="207" t="s">
        <v>27</v>
      </c>
      <c r="AC362" s="207" t="s">
        <v>570</v>
      </c>
      <c r="AD362" s="213">
        <v>2</v>
      </c>
      <c r="BB362" s="207" t="s">
        <v>45</v>
      </c>
      <c r="BC362" s="198">
        <v>1</v>
      </c>
      <c r="BD362" s="198">
        <v>0.4</v>
      </c>
      <c r="BE362" s="198">
        <v>100</v>
      </c>
      <c r="BF362" s="198">
        <v>0.43</v>
      </c>
      <c r="BG362" s="207" t="str">
        <f t="shared" si="10"/>
        <v/>
      </c>
      <c r="BL362" s="207" t="s">
        <v>45</v>
      </c>
      <c r="BM362" s="198">
        <v>1</v>
      </c>
      <c r="BN362" s="198">
        <v>0.3</v>
      </c>
      <c r="BO362" s="198">
        <v>0.4</v>
      </c>
      <c r="BP362" s="198">
        <v>0.25</v>
      </c>
      <c r="BQ362" s="207" t="str">
        <f t="shared" si="11"/>
        <v/>
      </c>
    </row>
    <row r="363" spans="28:69" x14ac:dyDescent="0.25">
      <c r="AB363" s="207" t="s">
        <v>214</v>
      </c>
      <c r="AC363" s="207" t="s">
        <v>571</v>
      </c>
      <c r="AD363" s="213">
        <v>2</v>
      </c>
      <c r="BB363" s="207" t="s">
        <v>45</v>
      </c>
      <c r="BC363" s="198">
        <v>2</v>
      </c>
      <c r="BD363" s="198">
        <v>0.4</v>
      </c>
      <c r="BE363" s="198">
        <v>100</v>
      </c>
      <c r="BF363" s="198">
        <v>0.39</v>
      </c>
      <c r="BG363" s="207" t="str">
        <f t="shared" si="10"/>
        <v/>
      </c>
      <c r="BL363" s="207" t="s">
        <v>45</v>
      </c>
      <c r="BM363" s="198">
        <v>2</v>
      </c>
      <c r="BN363" s="198">
        <v>0.3</v>
      </c>
      <c r="BO363" s="198">
        <v>0.4</v>
      </c>
      <c r="BP363" s="198">
        <v>0.24</v>
      </c>
      <c r="BQ363" s="207" t="str">
        <f t="shared" si="11"/>
        <v/>
      </c>
    </row>
    <row r="364" spans="28:69" x14ac:dyDescent="0.25">
      <c r="AB364" s="207" t="s">
        <v>214</v>
      </c>
      <c r="AC364" s="207" t="s">
        <v>572</v>
      </c>
      <c r="AD364" s="213">
        <v>2</v>
      </c>
      <c r="BB364" s="207" t="s">
        <v>45</v>
      </c>
      <c r="BC364" s="198">
        <v>3</v>
      </c>
      <c r="BD364" s="198">
        <v>0.4</v>
      </c>
      <c r="BE364" s="198">
        <v>100</v>
      </c>
      <c r="BF364" s="198">
        <v>0.35</v>
      </c>
      <c r="BG364" s="207" t="str">
        <f t="shared" si="10"/>
        <v/>
      </c>
      <c r="BL364" s="207" t="s">
        <v>45</v>
      </c>
      <c r="BM364" s="198">
        <v>3</v>
      </c>
      <c r="BN364" s="198">
        <v>0.3</v>
      </c>
      <c r="BO364" s="198">
        <v>0.4</v>
      </c>
      <c r="BP364" s="198">
        <v>0.25</v>
      </c>
      <c r="BQ364" s="207" t="str">
        <f t="shared" si="11"/>
        <v/>
      </c>
    </row>
    <row r="365" spans="28:69" x14ac:dyDescent="0.25">
      <c r="AB365" s="207" t="s">
        <v>214</v>
      </c>
      <c r="AC365" s="207" t="s">
        <v>573</v>
      </c>
      <c r="AD365" s="213">
        <v>2</v>
      </c>
      <c r="BB365" s="207" t="s">
        <v>45</v>
      </c>
      <c r="BC365" s="198">
        <v>4</v>
      </c>
      <c r="BD365" s="198">
        <v>0.4</v>
      </c>
      <c r="BE365" s="198">
        <v>100</v>
      </c>
      <c r="BF365" s="198">
        <v>0.3</v>
      </c>
      <c r="BG365" s="207" t="str">
        <f t="shared" si="10"/>
        <v/>
      </c>
      <c r="BL365" s="207" t="s">
        <v>45</v>
      </c>
      <c r="BM365" s="198">
        <v>4</v>
      </c>
      <c r="BN365" s="198">
        <v>0.3</v>
      </c>
      <c r="BO365" s="198">
        <v>0.4</v>
      </c>
      <c r="BP365" s="198">
        <v>0.26</v>
      </c>
      <c r="BQ365" s="207" t="str">
        <f t="shared" si="11"/>
        <v/>
      </c>
    </row>
    <row r="366" spans="28:69" x14ac:dyDescent="0.25">
      <c r="AB366" s="207" t="s">
        <v>214</v>
      </c>
      <c r="AC366" s="207" t="s">
        <v>574</v>
      </c>
      <c r="AD366" s="213">
        <v>2</v>
      </c>
      <c r="BB366" s="207" t="s">
        <v>45</v>
      </c>
      <c r="BC366" s="198">
        <v>5</v>
      </c>
      <c r="BD366" s="198">
        <v>0.4</v>
      </c>
      <c r="BE366" s="198">
        <v>100</v>
      </c>
      <c r="BF366" s="198">
        <v>0.36</v>
      </c>
      <c r="BG366" s="207" t="str">
        <f t="shared" si="10"/>
        <v/>
      </c>
      <c r="BL366" s="207" t="s">
        <v>45</v>
      </c>
      <c r="BM366" s="198">
        <v>5</v>
      </c>
      <c r="BN366" s="198">
        <v>0.3</v>
      </c>
      <c r="BO366" s="198">
        <v>0.4</v>
      </c>
      <c r="BP366" s="198">
        <v>0.26</v>
      </c>
      <c r="BQ366" s="207" t="str">
        <f t="shared" si="11"/>
        <v/>
      </c>
    </row>
    <row r="367" spans="28:69" x14ac:dyDescent="0.25">
      <c r="AB367" s="207" t="s">
        <v>214</v>
      </c>
      <c r="AC367" s="207" t="s">
        <v>575</v>
      </c>
      <c r="AD367" s="213">
        <v>2</v>
      </c>
      <c r="BB367" s="207" t="s">
        <v>45</v>
      </c>
      <c r="BC367" s="198">
        <v>6</v>
      </c>
      <c r="BD367" s="198">
        <v>0.4</v>
      </c>
      <c r="BE367" s="198">
        <v>100</v>
      </c>
      <c r="BF367" s="198">
        <v>0.31</v>
      </c>
      <c r="BG367" s="207" t="str">
        <f t="shared" si="10"/>
        <v/>
      </c>
      <c r="BL367" s="207" t="s">
        <v>45</v>
      </c>
      <c r="BM367" s="198">
        <v>6</v>
      </c>
      <c r="BN367" s="198">
        <v>0.3</v>
      </c>
      <c r="BO367" s="198">
        <v>0.4</v>
      </c>
      <c r="BP367" s="198">
        <v>0.27</v>
      </c>
      <c r="BQ367" s="207" t="str">
        <f t="shared" si="11"/>
        <v/>
      </c>
    </row>
    <row r="368" spans="28:69" x14ac:dyDescent="0.25">
      <c r="AB368" s="207" t="s">
        <v>214</v>
      </c>
      <c r="AC368" s="207" t="s">
        <v>576</v>
      </c>
      <c r="AD368" s="213">
        <v>3</v>
      </c>
      <c r="BB368" s="207" t="s">
        <v>45</v>
      </c>
      <c r="BC368" s="198">
        <v>7</v>
      </c>
      <c r="BD368" s="198">
        <v>0.4</v>
      </c>
      <c r="BE368" s="198">
        <v>100</v>
      </c>
      <c r="BF368" s="198">
        <v>0.22</v>
      </c>
      <c r="BG368" s="207" t="str">
        <f t="shared" si="10"/>
        <v/>
      </c>
      <c r="BL368" s="207" t="s">
        <v>45</v>
      </c>
      <c r="BM368" s="198">
        <v>7</v>
      </c>
      <c r="BN368" s="198">
        <v>0.3</v>
      </c>
      <c r="BO368" s="198">
        <v>0.4</v>
      </c>
      <c r="BP368" s="198">
        <v>0.26</v>
      </c>
      <c r="BQ368" s="207" t="str">
        <f t="shared" si="11"/>
        <v/>
      </c>
    </row>
    <row r="369" spans="28:69" x14ac:dyDescent="0.25">
      <c r="AB369" s="207" t="s">
        <v>214</v>
      </c>
      <c r="AC369" s="207" t="s">
        <v>577</v>
      </c>
      <c r="AD369" s="213">
        <v>2</v>
      </c>
      <c r="BB369" s="207" t="s">
        <v>45</v>
      </c>
      <c r="BC369" s="198">
        <v>8</v>
      </c>
      <c r="BD369" s="198">
        <v>0.4</v>
      </c>
      <c r="BE369" s="198">
        <v>100</v>
      </c>
      <c r="BF369" s="198">
        <v>0.25</v>
      </c>
      <c r="BG369" s="207" t="str">
        <f t="shared" si="10"/>
        <v/>
      </c>
      <c r="BL369" s="207" t="s">
        <v>45</v>
      </c>
      <c r="BM369" s="198">
        <v>8</v>
      </c>
      <c r="BN369" s="198">
        <v>0.3</v>
      </c>
      <c r="BO369" s="198">
        <v>0.4</v>
      </c>
      <c r="BP369" s="198">
        <v>0.27</v>
      </c>
      <c r="BQ369" s="207" t="str">
        <f t="shared" si="11"/>
        <v/>
      </c>
    </row>
    <row r="370" spans="28:69" x14ac:dyDescent="0.25">
      <c r="AB370" s="207" t="s">
        <v>214</v>
      </c>
      <c r="AC370" s="207" t="s">
        <v>578</v>
      </c>
      <c r="AD370" s="213">
        <v>2</v>
      </c>
      <c r="BL370" s="207" t="s">
        <v>45</v>
      </c>
      <c r="BM370" s="198">
        <v>1</v>
      </c>
      <c r="BN370" s="198">
        <v>0.4</v>
      </c>
      <c r="BO370" s="198">
        <v>100</v>
      </c>
      <c r="BP370" s="198">
        <v>0.26</v>
      </c>
      <c r="BQ370" s="207" t="str">
        <f t="shared" ref="BQ370:BQ377" si="12">IF(BM370=$BJ$1,IF(BL370=$BI$1,IF(AND($BH$1&gt;BN370,$BH$1&lt;BO370),BP370,""),""),"")</f>
        <v/>
      </c>
    </row>
    <row r="371" spans="28:69" x14ac:dyDescent="0.25">
      <c r="AB371" s="207" t="s">
        <v>214</v>
      </c>
      <c r="AC371" s="207" t="s">
        <v>579</v>
      </c>
      <c r="AD371" s="213">
        <v>2</v>
      </c>
      <c r="BL371" s="207" t="s">
        <v>45</v>
      </c>
      <c r="BM371" s="198">
        <v>2</v>
      </c>
      <c r="BN371" s="198">
        <v>0.4</v>
      </c>
      <c r="BO371" s="198">
        <v>100</v>
      </c>
      <c r="BP371" s="198">
        <v>0.26</v>
      </c>
      <c r="BQ371" s="207" t="str">
        <f t="shared" si="12"/>
        <v/>
      </c>
    </row>
    <row r="372" spans="28:69" x14ac:dyDescent="0.25">
      <c r="AB372" s="207" t="s">
        <v>214</v>
      </c>
      <c r="AC372" s="207" t="s">
        <v>580</v>
      </c>
      <c r="AD372" s="213">
        <v>2</v>
      </c>
      <c r="BL372" s="207" t="s">
        <v>45</v>
      </c>
      <c r="BM372" s="198">
        <v>3</v>
      </c>
      <c r="BN372" s="198">
        <v>0.4</v>
      </c>
      <c r="BO372" s="198">
        <v>100</v>
      </c>
      <c r="BP372" s="198">
        <v>0.27</v>
      </c>
      <c r="BQ372" s="207" t="str">
        <f t="shared" si="12"/>
        <v/>
      </c>
    </row>
    <row r="373" spans="28:69" x14ac:dyDescent="0.25">
      <c r="AB373" s="207" t="s">
        <v>214</v>
      </c>
      <c r="AC373" s="207" t="s">
        <v>581</v>
      </c>
      <c r="AD373" s="213">
        <v>2</v>
      </c>
      <c r="BL373" s="207" t="s">
        <v>45</v>
      </c>
      <c r="BM373" s="198">
        <v>4</v>
      </c>
      <c r="BN373" s="198">
        <v>0.4</v>
      </c>
      <c r="BO373" s="198">
        <v>100</v>
      </c>
      <c r="BP373" s="198">
        <v>0.28000000000000003</v>
      </c>
      <c r="BQ373" s="207" t="str">
        <f t="shared" si="12"/>
        <v/>
      </c>
    </row>
    <row r="374" spans="28:69" x14ac:dyDescent="0.25">
      <c r="AB374" s="207" t="s">
        <v>214</v>
      </c>
      <c r="AC374" s="207" t="s">
        <v>582</v>
      </c>
      <c r="AD374" s="213">
        <v>2</v>
      </c>
      <c r="BL374" s="207" t="s">
        <v>45</v>
      </c>
      <c r="BM374" s="198">
        <v>5</v>
      </c>
      <c r="BN374" s="198">
        <v>0.4</v>
      </c>
      <c r="BO374" s="198">
        <v>100</v>
      </c>
      <c r="BP374" s="198">
        <v>0.28000000000000003</v>
      </c>
      <c r="BQ374" s="207" t="str">
        <f t="shared" si="12"/>
        <v/>
      </c>
    </row>
    <row r="375" spans="28:69" x14ac:dyDescent="0.25">
      <c r="AB375" s="207" t="s">
        <v>214</v>
      </c>
      <c r="AC375" s="207" t="s">
        <v>583</v>
      </c>
      <c r="AD375" s="213">
        <v>2</v>
      </c>
      <c r="BL375" s="207" t="s">
        <v>45</v>
      </c>
      <c r="BM375" s="198">
        <v>6</v>
      </c>
      <c r="BN375" s="198">
        <v>0.4</v>
      </c>
      <c r="BO375" s="198">
        <v>100</v>
      </c>
      <c r="BP375" s="198">
        <v>0.28999999999999998</v>
      </c>
      <c r="BQ375" s="207" t="str">
        <f t="shared" si="12"/>
        <v/>
      </c>
    </row>
    <row r="376" spans="28:69" x14ac:dyDescent="0.25">
      <c r="AB376" s="207" t="s">
        <v>214</v>
      </c>
      <c r="AC376" s="207" t="s">
        <v>584</v>
      </c>
      <c r="AD376" s="213">
        <v>2</v>
      </c>
      <c r="BL376" s="207" t="s">
        <v>45</v>
      </c>
      <c r="BM376" s="198">
        <v>7</v>
      </c>
      <c r="BN376" s="198">
        <v>0.4</v>
      </c>
      <c r="BO376" s="198">
        <v>100</v>
      </c>
      <c r="BP376" s="198">
        <v>0.28000000000000003</v>
      </c>
      <c r="BQ376" s="207" t="str">
        <f t="shared" si="12"/>
        <v/>
      </c>
    </row>
    <row r="377" spans="28:69" x14ac:dyDescent="0.25">
      <c r="AB377" s="207" t="s">
        <v>27</v>
      </c>
      <c r="AC377" s="207" t="s">
        <v>585</v>
      </c>
      <c r="AD377" s="213">
        <v>2</v>
      </c>
      <c r="BL377" s="207" t="s">
        <v>45</v>
      </c>
      <c r="BM377" s="198">
        <v>8</v>
      </c>
      <c r="BN377" s="198">
        <v>0.4</v>
      </c>
      <c r="BO377" s="198">
        <v>100</v>
      </c>
      <c r="BP377" s="198">
        <v>0.28000000000000003</v>
      </c>
      <c r="BQ377" s="207" t="str">
        <f t="shared" si="12"/>
        <v/>
      </c>
    </row>
    <row r="378" spans="28:69" x14ac:dyDescent="0.25">
      <c r="AB378" s="207" t="s">
        <v>214</v>
      </c>
      <c r="AC378" s="207" t="s">
        <v>586</v>
      </c>
      <c r="AD378" s="213">
        <v>2</v>
      </c>
    </row>
    <row r="379" spans="28:69" x14ac:dyDescent="0.25">
      <c r="AB379" s="207" t="s">
        <v>214</v>
      </c>
      <c r="AC379" s="207" t="s">
        <v>587</v>
      </c>
      <c r="AD379" s="213">
        <v>2</v>
      </c>
    </row>
    <row r="380" spans="28:69" x14ac:dyDescent="0.25">
      <c r="AB380" s="207" t="s">
        <v>214</v>
      </c>
      <c r="AC380" s="207" t="s">
        <v>588</v>
      </c>
      <c r="AD380" s="213">
        <v>2</v>
      </c>
    </row>
    <row r="381" spans="28:69" x14ac:dyDescent="0.25">
      <c r="AB381" s="207" t="s">
        <v>214</v>
      </c>
      <c r="AC381" s="207" t="s">
        <v>589</v>
      </c>
      <c r="AD381" s="213">
        <v>2</v>
      </c>
    </row>
    <row r="382" spans="28:69" x14ac:dyDescent="0.25">
      <c r="AB382" s="207" t="s">
        <v>214</v>
      </c>
      <c r="AC382" s="207" t="s">
        <v>590</v>
      </c>
      <c r="AD382" s="213">
        <v>2</v>
      </c>
    </row>
    <row r="383" spans="28:69" x14ac:dyDescent="0.25">
      <c r="AB383" s="207" t="s">
        <v>214</v>
      </c>
      <c r="AC383" s="207" t="s">
        <v>591</v>
      </c>
      <c r="AD383" s="213">
        <v>2</v>
      </c>
    </row>
    <row r="384" spans="28:69" x14ac:dyDescent="0.25">
      <c r="AB384" s="207" t="s">
        <v>27</v>
      </c>
      <c r="AC384" s="207" t="s">
        <v>592</v>
      </c>
      <c r="AD384" s="213">
        <v>2</v>
      </c>
    </row>
    <row r="385" spans="28:30" x14ac:dyDescent="0.25">
      <c r="AB385" s="207" t="s">
        <v>214</v>
      </c>
      <c r="AC385" s="207" t="s">
        <v>593</v>
      </c>
      <c r="AD385" s="213">
        <v>2</v>
      </c>
    </row>
    <row r="386" spans="28:30" x14ac:dyDescent="0.25">
      <c r="AB386" s="207" t="s">
        <v>214</v>
      </c>
      <c r="AC386" s="207" t="s">
        <v>594</v>
      </c>
      <c r="AD386" s="213">
        <v>2</v>
      </c>
    </row>
    <row r="387" spans="28:30" x14ac:dyDescent="0.25">
      <c r="AB387" s="207" t="s">
        <v>214</v>
      </c>
      <c r="AC387" s="207" t="s">
        <v>595</v>
      </c>
      <c r="AD387" s="213">
        <v>2</v>
      </c>
    </row>
    <row r="388" spans="28:30" x14ac:dyDescent="0.25">
      <c r="AB388" s="207" t="s">
        <v>214</v>
      </c>
      <c r="AC388" s="207" t="s">
        <v>596</v>
      </c>
      <c r="AD388" s="213">
        <v>2</v>
      </c>
    </row>
    <row r="389" spans="28:30" x14ac:dyDescent="0.25">
      <c r="AB389" s="207" t="s">
        <v>214</v>
      </c>
      <c r="AC389" s="207" t="s">
        <v>597</v>
      </c>
      <c r="AD389" s="213">
        <v>2</v>
      </c>
    </row>
    <row r="390" spans="28:30" x14ac:dyDescent="0.25">
      <c r="AB390" s="207" t="s">
        <v>214</v>
      </c>
      <c r="AC390" s="207" t="s">
        <v>598</v>
      </c>
      <c r="AD390" s="213">
        <v>3</v>
      </c>
    </row>
    <row r="391" spans="28:30" x14ac:dyDescent="0.25">
      <c r="AB391" s="207" t="s">
        <v>214</v>
      </c>
      <c r="AC391" s="207" t="s">
        <v>599</v>
      </c>
      <c r="AD391" s="213">
        <v>2</v>
      </c>
    </row>
    <row r="392" spans="28:30" x14ac:dyDescent="0.25">
      <c r="AB392" s="207" t="s">
        <v>214</v>
      </c>
      <c r="AC392" s="207" t="s">
        <v>600</v>
      </c>
      <c r="AD392" s="213">
        <v>2</v>
      </c>
    </row>
    <row r="393" spans="28:30" x14ac:dyDescent="0.25">
      <c r="AB393" s="207" t="s">
        <v>214</v>
      </c>
      <c r="AC393" s="207" t="s">
        <v>601</v>
      </c>
      <c r="AD393" s="213">
        <v>1</v>
      </c>
    </row>
    <row r="394" spans="28:30" x14ac:dyDescent="0.25">
      <c r="AB394" s="207" t="s">
        <v>214</v>
      </c>
      <c r="AC394" s="207" t="s">
        <v>602</v>
      </c>
      <c r="AD394" s="213">
        <v>2</v>
      </c>
    </row>
    <row r="395" spans="28:30" x14ac:dyDescent="0.25">
      <c r="AB395" s="207" t="s">
        <v>214</v>
      </c>
      <c r="AC395" s="207" t="s">
        <v>603</v>
      </c>
      <c r="AD395" s="213">
        <v>2</v>
      </c>
    </row>
    <row r="396" spans="28:30" x14ac:dyDescent="0.25">
      <c r="AB396" s="207" t="s">
        <v>214</v>
      </c>
      <c r="AC396" s="207" t="s">
        <v>604</v>
      </c>
      <c r="AD396" s="213">
        <v>2</v>
      </c>
    </row>
    <row r="397" spans="28:30" x14ac:dyDescent="0.25">
      <c r="AB397" s="207" t="s">
        <v>214</v>
      </c>
      <c r="AC397" s="207" t="s">
        <v>605</v>
      </c>
      <c r="AD397" s="213">
        <v>2</v>
      </c>
    </row>
    <row r="398" spans="28:30" x14ac:dyDescent="0.25">
      <c r="AB398" s="207" t="s">
        <v>214</v>
      </c>
      <c r="AC398" s="207" t="s">
        <v>606</v>
      </c>
      <c r="AD398" s="213">
        <v>3</v>
      </c>
    </row>
    <row r="399" spans="28:30" x14ac:dyDescent="0.25">
      <c r="AB399" s="207" t="s">
        <v>214</v>
      </c>
      <c r="AC399" s="207" t="s">
        <v>607</v>
      </c>
      <c r="AD399" s="213">
        <v>3</v>
      </c>
    </row>
    <row r="400" spans="28:30" x14ac:dyDescent="0.25">
      <c r="AB400" s="207" t="s">
        <v>214</v>
      </c>
      <c r="AC400" s="207" t="s">
        <v>608</v>
      </c>
      <c r="AD400" s="213">
        <v>2</v>
      </c>
    </row>
    <row r="401" spans="28:30" x14ac:dyDescent="0.25">
      <c r="AB401" s="207" t="s">
        <v>233</v>
      </c>
      <c r="AC401" s="207" t="s">
        <v>609</v>
      </c>
      <c r="AD401" s="213">
        <v>3</v>
      </c>
    </row>
    <row r="402" spans="28:30" x14ac:dyDescent="0.25">
      <c r="AB402" s="207" t="s">
        <v>233</v>
      </c>
      <c r="AC402" s="207" t="s">
        <v>610</v>
      </c>
      <c r="AD402" s="213">
        <v>3</v>
      </c>
    </row>
    <row r="403" spans="28:30" x14ac:dyDescent="0.25">
      <c r="AB403" s="207" t="s">
        <v>214</v>
      </c>
      <c r="AC403" s="207" t="s">
        <v>611</v>
      </c>
      <c r="AD403" s="213">
        <v>2</v>
      </c>
    </row>
    <row r="404" spans="28:30" x14ac:dyDescent="0.25">
      <c r="AB404" s="207" t="s">
        <v>214</v>
      </c>
      <c r="AC404" s="207" t="s">
        <v>612</v>
      </c>
      <c r="AD404" s="213">
        <v>1</v>
      </c>
    </row>
    <row r="405" spans="28:30" x14ac:dyDescent="0.25">
      <c r="AB405" s="207" t="s">
        <v>214</v>
      </c>
      <c r="AC405" s="207" t="s">
        <v>613</v>
      </c>
      <c r="AD405" s="213">
        <v>2</v>
      </c>
    </row>
    <row r="406" spans="28:30" x14ac:dyDescent="0.25">
      <c r="AB406" s="207" t="s">
        <v>214</v>
      </c>
      <c r="AC406" s="207" t="s">
        <v>614</v>
      </c>
      <c r="AD406" s="213">
        <v>2</v>
      </c>
    </row>
    <row r="407" spans="28:30" x14ac:dyDescent="0.25">
      <c r="AB407" s="207" t="s">
        <v>214</v>
      </c>
      <c r="AC407" s="207" t="s">
        <v>615</v>
      </c>
      <c r="AD407" s="213">
        <v>3</v>
      </c>
    </row>
    <row r="408" spans="28:30" x14ac:dyDescent="0.25">
      <c r="AB408" s="207" t="s">
        <v>233</v>
      </c>
      <c r="AC408" s="207" t="s">
        <v>616</v>
      </c>
      <c r="AD408" s="213">
        <v>3</v>
      </c>
    </row>
    <row r="409" spans="28:30" x14ac:dyDescent="0.25">
      <c r="AB409" s="207" t="s">
        <v>214</v>
      </c>
      <c r="AC409" s="207" t="s">
        <v>617</v>
      </c>
      <c r="AD409" s="213">
        <v>2</v>
      </c>
    </row>
    <row r="410" spans="28:30" x14ac:dyDescent="0.25">
      <c r="AB410" s="207" t="s">
        <v>233</v>
      </c>
      <c r="AC410" s="207" t="s">
        <v>618</v>
      </c>
      <c r="AD410" s="213">
        <v>2</v>
      </c>
    </row>
    <row r="411" spans="28:30" x14ac:dyDescent="0.25">
      <c r="AB411" s="207" t="s">
        <v>233</v>
      </c>
      <c r="AC411" s="207" t="s">
        <v>619</v>
      </c>
      <c r="AD411" s="213">
        <v>2</v>
      </c>
    </row>
    <row r="412" spans="28:30" x14ac:dyDescent="0.25">
      <c r="AB412" s="207" t="s">
        <v>214</v>
      </c>
      <c r="AC412" s="207" t="s">
        <v>620</v>
      </c>
      <c r="AD412" s="213">
        <v>2</v>
      </c>
    </row>
    <row r="413" spans="28:30" x14ac:dyDescent="0.25">
      <c r="AB413" s="207" t="s">
        <v>214</v>
      </c>
      <c r="AC413" s="207" t="s">
        <v>621</v>
      </c>
      <c r="AD413" s="213">
        <v>2</v>
      </c>
    </row>
    <row r="414" spans="28:30" x14ac:dyDescent="0.25">
      <c r="AB414" s="207" t="s">
        <v>27</v>
      </c>
      <c r="AC414" s="207" t="s">
        <v>622</v>
      </c>
      <c r="AD414" s="213">
        <v>2</v>
      </c>
    </row>
    <row r="415" spans="28:30" x14ac:dyDescent="0.25">
      <c r="AB415" s="207" t="s">
        <v>214</v>
      </c>
      <c r="AC415" s="207" t="s">
        <v>623</v>
      </c>
      <c r="AD415" s="213">
        <v>2</v>
      </c>
    </row>
    <row r="416" spans="28:30" x14ac:dyDescent="0.25">
      <c r="AB416" s="207" t="s">
        <v>373</v>
      </c>
      <c r="AC416" s="207" t="s">
        <v>624</v>
      </c>
      <c r="AD416" s="213">
        <v>6</v>
      </c>
    </row>
    <row r="417" spans="28:30" x14ac:dyDescent="0.25">
      <c r="AB417" s="207" t="s">
        <v>373</v>
      </c>
      <c r="AC417" s="207" t="s">
        <v>625</v>
      </c>
      <c r="AD417" s="213">
        <v>6</v>
      </c>
    </row>
    <row r="418" spans="28:30" x14ac:dyDescent="0.25">
      <c r="AB418" s="207" t="s">
        <v>233</v>
      </c>
      <c r="AC418" s="207" t="s">
        <v>626</v>
      </c>
      <c r="AD418" s="213">
        <v>3</v>
      </c>
    </row>
    <row r="419" spans="28:30" x14ac:dyDescent="0.25">
      <c r="AB419" s="207" t="s">
        <v>214</v>
      </c>
      <c r="AC419" s="207" t="s">
        <v>627</v>
      </c>
      <c r="AD419" s="213">
        <v>2</v>
      </c>
    </row>
    <row r="420" spans="28:30" x14ac:dyDescent="0.25">
      <c r="AB420" s="207" t="s">
        <v>214</v>
      </c>
      <c r="AC420" s="207" t="s">
        <v>628</v>
      </c>
      <c r="AD420" s="213">
        <v>1</v>
      </c>
    </row>
    <row r="421" spans="28:30" x14ac:dyDescent="0.25">
      <c r="AB421" s="207" t="s">
        <v>227</v>
      </c>
      <c r="AC421" s="207" t="s">
        <v>629</v>
      </c>
      <c r="AD421" s="213">
        <v>3</v>
      </c>
    </row>
    <row r="422" spans="28:30" x14ac:dyDescent="0.25">
      <c r="AB422" s="207" t="s">
        <v>214</v>
      </c>
      <c r="AC422" s="207" t="s">
        <v>630</v>
      </c>
      <c r="AD422" s="213">
        <v>3</v>
      </c>
    </row>
    <row r="423" spans="28:30" x14ac:dyDescent="0.25">
      <c r="AB423" s="207" t="s">
        <v>214</v>
      </c>
      <c r="AC423" s="207" t="s">
        <v>631</v>
      </c>
      <c r="AD423" s="213">
        <v>2</v>
      </c>
    </row>
    <row r="424" spans="28:30" x14ac:dyDescent="0.25">
      <c r="AB424" s="207" t="s">
        <v>233</v>
      </c>
      <c r="AC424" s="207" t="s">
        <v>632</v>
      </c>
      <c r="AD424" s="213">
        <v>3</v>
      </c>
    </row>
    <row r="425" spans="28:30" x14ac:dyDescent="0.25">
      <c r="AB425" s="207" t="s">
        <v>249</v>
      </c>
      <c r="AC425" s="207" t="s">
        <v>633</v>
      </c>
      <c r="AD425" s="213">
        <v>3</v>
      </c>
    </row>
    <row r="426" spans="28:30" x14ac:dyDescent="0.25">
      <c r="AB426" s="207" t="s">
        <v>214</v>
      </c>
      <c r="AC426" s="207" t="s">
        <v>634</v>
      </c>
      <c r="AD426" s="213">
        <v>2</v>
      </c>
    </row>
    <row r="427" spans="28:30" x14ac:dyDescent="0.25">
      <c r="AB427" s="207" t="s">
        <v>233</v>
      </c>
      <c r="AC427" s="207" t="s">
        <v>635</v>
      </c>
      <c r="AD427" s="213">
        <v>3</v>
      </c>
    </row>
    <row r="428" spans="28:30" x14ac:dyDescent="0.25">
      <c r="AB428" s="207" t="s">
        <v>249</v>
      </c>
      <c r="AC428" s="207" t="s">
        <v>636</v>
      </c>
      <c r="AD428" s="213">
        <v>4</v>
      </c>
    </row>
    <row r="429" spans="28:30" x14ac:dyDescent="0.25">
      <c r="AB429" s="207" t="s">
        <v>249</v>
      </c>
      <c r="AC429" s="207" t="s">
        <v>637</v>
      </c>
      <c r="AD429" s="213">
        <v>3</v>
      </c>
    </row>
    <row r="430" spans="28:30" x14ac:dyDescent="0.25">
      <c r="AB430" s="207" t="s">
        <v>249</v>
      </c>
      <c r="AC430" s="207" t="s">
        <v>638</v>
      </c>
      <c r="AD430" s="213">
        <v>6</v>
      </c>
    </row>
    <row r="431" spans="28:30" x14ac:dyDescent="0.25">
      <c r="AB431" s="207" t="s">
        <v>214</v>
      </c>
      <c r="AC431" s="207" t="s">
        <v>639</v>
      </c>
      <c r="AD431" s="213">
        <v>2</v>
      </c>
    </row>
    <row r="432" spans="28:30" x14ac:dyDescent="0.25">
      <c r="AB432" s="207" t="s">
        <v>249</v>
      </c>
      <c r="AC432" s="207" t="s">
        <v>640</v>
      </c>
      <c r="AD432" s="213">
        <v>2</v>
      </c>
    </row>
    <row r="433" spans="28:30" x14ac:dyDescent="0.25">
      <c r="AB433" s="207" t="s">
        <v>249</v>
      </c>
      <c r="AC433" s="207" t="s">
        <v>641</v>
      </c>
      <c r="AD433" s="213">
        <v>3</v>
      </c>
    </row>
    <row r="434" spans="28:30" x14ac:dyDescent="0.25">
      <c r="AB434" s="207" t="s">
        <v>214</v>
      </c>
      <c r="AC434" s="207" t="s">
        <v>642</v>
      </c>
      <c r="AD434" s="213">
        <v>2</v>
      </c>
    </row>
    <row r="435" spans="28:30" x14ac:dyDescent="0.25">
      <c r="AB435" s="207" t="s">
        <v>233</v>
      </c>
      <c r="AC435" s="207" t="s">
        <v>643</v>
      </c>
      <c r="AD435" s="213">
        <v>3</v>
      </c>
    </row>
    <row r="436" spans="28:30" x14ac:dyDescent="0.25">
      <c r="AB436" s="207" t="s">
        <v>249</v>
      </c>
      <c r="AC436" s="207" t="s">
        <v>568</v>
      </c>
      <c r="AD436" s="213">
        <v>3</v>
      </c>
    </row>
    <row r="437" spans="28:30" x14ac:dyDescent="0.25">
      <c r="AB437" s="207" t="s">
        <v>214</v>
      </c>
      <c r="AC437" s="207" t="s">
        <v>644</v>
      </c>
      <c r="AD437" s="213">
        <v>2</v>
      </c>
    </row>
    <row r="438" spans="28:30" x14ac:dyDescent="0.25">
      <c r="AB438" s="207" t="s">
        <v>233</v>
      </c>
      <c r="AC438" s="207" t="s">
        <v>645</v>
      </c>
      <c r="AD438" s="213">
        <v>3</v>
      </c>
    </row>
    <row r="439" spans="28:30" x14ac:dyDescent="0.25">
      <c r="AB439" s="207" t="s">
        <v>227</v>
      </c>
      <c r="AC439" s="207" t="s">
        <v>646</v>
      </c>
      <c r="AD439" s="213">
        <v>3</v>
      </c>
    </row>
    <row r="440" spans="28:30" x14ac:dyDescent="0.25">
      <c r="AB440" s="207" t="s">
        <v>249</v>
      </c>
      <c r="AC440" s="207" t="s">
        <v>647</v>
      </c>
      <c r="AD440" s="213">
        <v>3</v>
      </c>
    </row>
    <row r="441" spans="28:30" x14ac:dyDescent="0.25">
      <c r="AB441" s="207" t="s">
        <v>249</v>
      </c>
      <c r="AC441" s="207" t="s">
        <v>648</v>
      </c>
      <c r="AD441" s="213">
        <v>3</v>
      </c>
    </row>
    <row r="442" spans="28:30" x14ac:dyDescent="0.25">
      <c r="AB442" s="207" t="s">
        <v>249</v>
      </c>
      <c r="AC442" s="207" t="s">
        <v>649</v>
      </c>
      <c r="AD442" s="213">
        <v>3</v>
      </c>
    </row>
    <row r="443" spans="28:30" x14ac:dyDescent="0.25">
      <c r="AB443" s="207" t="s">
        <v>214</v>
      </c>
      <c r="AC443" s="207" t="s">
        <v>650</v>
      </c>
      <c r="AD443" s="213">
        <v>2</v>
      </c>
    </row>
    <row r="444" spans="28:30" x14ac:dyDescent="0.25">
      <c r="AB444" s="207" t="s">
        <v>214</v>
      </c>
      <c r="AC444" s="207" t="s">
        <v>651</v>
      </c>
      <c r="AD444" s="213">
        <v>2</v>
      </c>
    </row>
    <row r="445" spans="28:30" x14ac:dyDescent="0.25">
      <c r="AB445" s="207" t="s">
        <v>249</v>
      </c>
      <c r="AC445" s="207" t="s">
        <v>652</v>
      </c>
      <c r="AD445" s="213">
        <v>2</v>
      </c>
    </row>
    <row r="446" spans="28:30" x14ac:dyDescent="0.25">
      <c r="AB446" s="207" t="s">
        <v>249</v>
      </c>
      <c r="AC446" s="207" t="s">
        <v>653</v>
      </c>
      <c r="AD446" s="213">
        <v>3</v>
      </c>
    </row>
    <row r="447" spans="28:30" x14ac:dyDescent="0.25">
      <c r="AB447" s="207" t="s">
        <v>249</v>
      </c>
      <c r="AC447" s="207" t="s">
        <v>654</v>
      </c>
      <c r="AD447" s="213">
        <v>4</v>
      </c>
    </row>
    <row r="448" spans="28:30" x14ac:dyDescent="0.25">
      <c r="AB448" s="207" t="s">
        <v>233</v>
      </c>
      <c r="AC448" s="207" t="s">
        <v>655</v>
      </c>
      <c r="AD448" s="213">
        <v>3</v>
      </c>
    </row>
    <row r="449" spans="28:30" x14ac:dyDescent="0.25">
      <c r="AB449" s="207" t="s">
        <v>233</v>
      </c>
      <c r="AC449" s="207" t="s">
        <v>656</v>
      </c>
      <c r="AD449" s="213">
        <v>3</v>
      </c>
    </row>
    <row r="450" spans="28:30" x14ac:dyDescent="0.25">
      <c r="AB450" s="207" t="s">
        <v>214</v>
      </c>
      <c r="AC450" s="207" t="s">
        <v>657</v>
      </c>
      <c r="AD450" s="213">
        <v>2</v>
      </c>
    </row>
    <row r="451" spans="28:30" x14ac:dyDescent="0.25">
      <c r="AB451" s="207" t="s">
        <v>249</v>
      </c>
      <c r="AC451" s="207" t="s">
        <v>658</v>
      </c>
      <c r="AD451" s="213">
        <v>2</v>
      </c>
    </row>
    <row r="452" spans="28:30" x14ac:dyDescent="0.25">
      <c r="AB452" s="207" t="s">
        <v>214</v>
      </c>
      <c r="AC452" s="207" t="s">
        <v>659</v>
      </c>
      <c r="AD452" s="213">
        <v>3</v>
      </c>
    </row>
    <row r="453" spans="28:30" x14ac:dyDescent="0.25">
      <c r="AB453" s="207" t="s">
        <v>214</v>
      </c>
      <c r="AC453" s="207" t="s">
        <v>660</v>
      </c>
      <c r="AD453" s="213">
        <v>2</v>
      </c>
    </row>
    <row r="454" spans="28:30" x14ac:dyDescent="0.25">
      <c r="AB454" s="207" t="s">
        <v>249</v>
      </c>
      <c r="AC454" s="207" t="s">
        <v>661</v>
      </c>
      <c r="AD454" s="213">
        <v>3</v>
      </c>
    </row>
    <row r="455" spans="28:30" x14ac:dyDescent="0.25">
      <c r="AB455" s="207" t="s">
        <v>233</v>
      </c>
      <c r="AC455" s="207" t="s">
        <v>662</v>
      </c>
      <c r="AD455" s="213">
        <v>2</v>
      </c>
    </row>
    <row r="456" spans="28:30" x14ac:dyDescent="0.25">
      <c r="AB456" s="207" t="s">
        <v>233</v>
      </c>
      <c r="AC456" s="207" t="s">
        <v>663</v>
      </c>
      <c r="AD456" s="213">
        <v>3</v>
      </c>
    </row>
    <row r="457" spans="28:30" x14ac:dyDescent="0.25">
      <c r="AB457" s="207" t="s">
        <v>249</v>
      </c>
      <c r="AC457" s="207" t="s">
        <v>664</v>
      </c>
      <c r="AD457" s="213">
        <v>2</v>
      </c>
    </row>
    <row r="458" spans="28:30" x14ac:dyDescent="0.25">
      <c r="AB458" s="207" t="s">
        <v>214</v>
      </c>
      <c r="AC458" s="207" t="s">
        <v>665</v>
      </c>
      <c r="AD458" s="213">
        <v>2</v>
      </c>
    </row>
    <row r="459" spans="28:30" x14ac:dyDescent="0.25">
      <c r="AB459" s="207" t="s">
        <v>233</v>
      </c>
      <c r="AC459" s="207" t="s">
        <v>666</v>
      </c>
      <c r="AD459" s="213">
        <v>3</v>
      </c>
    </row>
    <row r="460" spans="28:30" x14ac:dyDescent="0.25">
      <c r="AB460" s="207" t="s">
        <v>233</v>
      </c>
      <c r="AC460" s="207" t="s">
        <v>667</v>
      </c>
      <c r="AD460" s="213">
        <v>3</v>
      </c>
    </row>
    <row r="461" spans="28:30" x14ac:dyDescent="0.25">
      <c r="AB461" s="207" t="s">
        <v>214</v>
      </c>
      <c r="AC461" s="207" t="s">
        <v>668</v>
      </c>
      <c r="AD461" s="213">
        <v>2</v>
      </c>
    </row>
    <row r="462" spans="28:30" x14ac:dyDescent="0.25">
      <c r="AB462" s="207" t="s">
        <v>249</v>
      </c>
      <c r="AC462" s="207" t="s">
        <v>669</v>
      </c>
      <c r="AD462" s="213">
        <v>2</v>
      </c>
    </row>
    <row r="463" spans="28:30" x14ac:dyDescent="0.25">
      <c r="AB463" s="207" t="s">
        <v>233</v>
      </c>
      <c r="AC463" s="207" t="s">
        <v>670</v>
      </c>
      <c r="AD463" s="213">
        <v>3</v>
      </c>
    </row>
    <row r="464" spans="28:30" x14ac:dyDescent="0.25">
      <c r="AB464" s="207" t="s">
        <v>233</v>
      </c>
      <c r="AC464" s="207" t="s">
        <v>671</v>
      </c>
      <c r="AD464" s="213">
        <v>3</v>
      </c>
    </row>
    <row r="465" spans="28:30" x14ac:dyDescent="0.25">
      <c r="AB465" s="207" t="s">
        <v>249</v>
      </c>
      <c r="AC465" s="207" t="s">
        <v>672</v>
      </c>
      <c r="AD465" s="213">
        <v>2</v>
      </c>
    </row>
    <row r="466" spans="28:30" x14ac:dyDescent="0.25">
      <c r="AB466" s="207" t="s">
        <v>233</v>
      </c>
      <c r="AC466" s="207" t="s">
        <v>673</v>
      </c>
      <c r="AD466" s="213">
        <v>3</v>
      </c>
    </row>
    <row r="467" spans="28:30" x14ac:dyDescent="0.25">
      <c r="AB467" s="207" t="s">
        <v>233</v>
      </c>
      <c r="AC467" s="207" t="s">
        <v>674</v>
      </c>
      <c r="AD467" s="213">
        <v>3</v>
      </c>
    </row>
    <row r="468" spans="28:30" x14ac:dyDescent="0.25">
      <c r="AB468" s="207" t="s">
        <v>233</v>
      </c>
      <c r="AC468" s="207" t="s">
        <v>675</v>
      </c>
      <c r="AD468" s="213">
        <v>3</v>
      </c>
    </row>
    <row r="469" spans="28:30" x14ac:dyDescent="0.25">
      <c r="AB469" s="207" t="s">
        <v>233</v>
      </c>
      <c r="AC469" s="207" t="s">
        <v>676</v>
      </c>
      <c r="AD469" s="213">
        <v>3</v>
      </c>
    </row>
    <row r="470" spans="28:30" x14ac:dyDescent="0.25">
      <c r="AB470" s="207" t="s">
        <v>249</v>
      </c>
      <c r="AC470" s="207" t="s">
        <v>677</v>
      </c>
      <c r="AD470" s="213">
        <v>2</v>
      </c>
    </row>
    <row r="471" spans="28:30" x14ac:dyDescent="0.25">
      <c r="AB471" s="207" t="s">
        <v>249</v>
      </c>
      <c r="AC471" s="207" t="s">
        <v>678</v>
      </c>
      <c r="AD471" s="213">
        <v>2</v>
      </c>
    </row>
    <row r="472" spans="28:30" x14ac:dyDescent="0.25">
      <c r="AB472" s="207" t="s">
        <v>233</v>
      </c>
      <c r="AC472" s="207" t="s">
        <v>679</v>
      </c>
      <c r="AD472" s="213">
        <v>3</v>
      </c>
    </row>
    <row r="473" spans="28:30" x14ac:dyDescent="0.25">
      <c r="AB473" s="207" t="s">
        <v>249</v>
      </c>
      <c r="AC473" s="207" t="s">
        <v>680</v>
      </c>
      <c r="AD473" s="213">
        <v>3</v>
      </c>
    </row>
    <row r="474" spans="28:30" x14ac:dyDescent="0.25">
      <c r="AB474" s="207" t="s">
        <v>249</v>
      </c>
      <c r="AC474" s="207" t="s">
        <v>681</v>
      </c>
      <c r="AD474" s="213">
        <v>4</v>
      </c>
    </row>
    <row r="475" spans="28:30" x14ac:dyDescent="0.25">
      <c r="AB475" s="207" t="s">
        <v>249</v>
      </c>
      <c r="AC475" s="207" t="s">
        <v>682</v>
      </c>
      <c r="AD475" s="213">
        <v>2</v>
      </c>
    </row>
    <row r="476" spans="28:30" x14ac:dyDescent="0.25">
      <c r="AB476" s="207" t="s">
        <v>249</v>
      </c>
      <c r="AC476" s="207" t="s">
        <v>683</v>
      </c>
      <c r="AD476" s="213">
        <v>4</v>
      </c>
    </row>
    <row r="477" spans="28:30" x14ac:dyDescent="0.25">
      <c r="AB477" s="207" t="s">
        <v>233</v>
      </c>
      <c r="AC477" s="207" t="s">
        <v>684</v>
      </c>
      <c r="AD477" s="213">
        <v>3</v>
      </c>
    </row>
    <row r="478" spans="28:30" x14ac:dyDescent="0.25">
      <c r="AB478" s="207" t="s">
        <v>249</v>
      </c>
      <c r="AC478" s="207" t="s">
        <v>685</v>
      </c>
      <c r="AD478" s="213">
        <v>1</v>
      </c>
    </row>
    <row r="479" spans="28:30" x14ac:dyDescent="0.25">
      <c r="AB479" s="207" t="s">
        <v>249</v>
      </c>
      <c r="AC479" s="207" t="s">
        <v>686</v>
      </c>
      <c r="AD479" s="213">
        <v>2</v>
      </c>
    </row>
    <row r="480" spans="28:30" x14ac:dyDescent="0.25">
      <c r="AB480" s="207" t="s">
        <v>249</v>
      </c>
      <c r="AC480" s="207" t="s">
        <v>687</v>
      </c>
      <c r="AD480" s="213">
        <v>4</v>
      </c>
    </row>
    <row r="481" spans="28:30" x14ac:dyDescent="0.25">
      <c r="AB481" s="207" t="s">
        <v>249</v>
      </c>
      <c r="AC481" s="207" t="s">
        <v>688</v>
      </c>
      <c r="AD481" s="213">
        <v>2</v>
      </c>
    </row>
    <row r="482" spans="28:30" x14ac:dyDescent="0.25">
      <c r="AB482" s="207" t="s">
        <v>249</v>
      </c>
      <c r="AC482" s="207" t="s">
        <v>689</v>
      </c>
      <c r="AD482" s="213">
        <v>3</v>
      </c>
    </row>
    <row r="483" spans="28:30" x14ac:dyDescent="0.25">
      <c r="AB483" s="207" t="s">
        <v>214</v>
      </c>
      <c r="AC483" s="207" t="s">
        <v>677</v>
      </c>
      <c r="AD483" s="213">
        <v>2</v>
      </c>
    </row>
    <row r="484" spans="28:30" x14ac:dyDescent="0.25">
      <c r="AB484" s="207" t="s">
        <v>249</v>
      </c>
      <c r="AC484" s="207" t="s">
        <v>690</v>
      </c>
      <c r="AD484" s="213">
        <v>2</v>
      </c>
    </row>
    <row r="485" spans="28:30" x14ac:dyDescent="0.25">
      <c r="AB485" s="207" t="s">
        <v>214</v>
      </c>
      <c r="AC485" s="207" t="s">
        <v>691</v>
      </c>
      <c r="AD485" s="213">
        <v>3</v>
      </c>
    </row>
    <row r="486" spans="28:30" x14ac:dyDescent="0.25">
      <c r="AB486" s="207" t="s">
        <v>249</v>
      </c>
      <c r="AC486" s="207" t="s">
        <v>692</v>
      </c>
      <c r="AD486" s="213">
        <v>3</v>
      </c>
    </row>
    <row r="487" spans="28:30" x14ac:dyDescent="0.25">
      <c r="AB487" s="207" t="s">
        <v>249</v>
      </c>
      <c r="AC487" s="207" t="s">
        <v>693</v>
      </c>
      <c r="AD487" s="213">
        <v>1</v>
      </c>
    </row>
    <row r="488" spans="28:30" x14ac:dyDescent="0.25">
      <c r="AB488" s="207" t="s">
        <v>249</v>
      </c>
      <c r="AC488" s="207" t="s">
        <v>694</v>
      </c>
      <c r="AD488" s="213">
        <v>3</v>
      </c>
    </row>
    <row r="489" spans="28:30" x14ac:dyDescent="0.25">
      <c r="AB489" s="207" t="s">
        <v>249</v>
      </c>
      <c r="AC489" s="207" t="s">
        <v>695</v>
      </c>
      <c r="AD489" s="213">
        <v>2</v>
      </c>
    </row>
    <row r="490" spans="28:30" x14ac:dyDescent="0.25">
      <c r="AB490" s="207" t="s">
        <v>219</v>
      </c>
      <c r="AC490" s="207" t="s">
        <v>696</v>
      </c>
      <c r="AD490" s="213">
        <v>5</v>
      </c>
    </row>
    <row r="491" spans="28:30" x14ac:dyDescent="0.25">
      <c r="AB491" s="207" t="s">
        <v>249</v>
      </c>
      <c r="AC491" s="207" t="s">
        <v>697</v>
      </c>
      <c r="AD491" s="213">
        <v>2</v>
      </c>
    </row>
    <row r="492" spans="28:30" x14ac:dyDescent="0.25">
      <c r="AB492" s="207" t="s">
        <v>233</v>
      </c>
      <c r="AC492" s="207" t="s">
        <v>698</v>
      </c>
      <c r="AD492" s="213">
        <v>3</v>
      </c>
    </row>
    <row r="493" spans="28:30" x14ac:dyDescent="0.25">
      <c r="AB493" s="207" t="s">
        <v>233</v>
      </c>
      <c r="AC493" s="207" t="s">
        <v>699</v>
      </c>
      <c r="AD493" s="213">
        <v>3</v>
      </c>
    </row>
    <row r="494" spans="28:30" x14ac:dyDescent="0.25">
      <c r="AB494" s="207" t="s">
        <v>233</v>
      </c>
      <c r="AC494" s="207" t="s">
        <v>700</v>
      </c>
      <c r="AD494" s="213">
        <v>3</v>
      </c>
    </row>
    <row r="495" spans="28:30" x14ac:dyDescent="0.25">
      <c r="AB495" s="207" t="s">
        <v>249</v>
      </c>
      <c r="AC495" s="207" t="s">
        <v>701</v>
      </c>
      <c r="AD495" s="213">
        <v>2</v>
      </c>
    </row>
    <row r="496" spans="28:30" x14ac:dyDescent="0.25">
      <c r="AB496" s="207" t="s">
        <v>249</v>
      </c>
      <c r="AC496" s="207" t="s">
        <v>702</v>
      </c>
      <c r="AD496" s="213">
        <v>2</v>
      </c>
    </row>
    <row r="497" spans="28:30" x14ac:dyDescent="0.25">
      <c r="AB497" s="207" t="s">
        <v>233</v>
      </c>
      <c r="AC497" s="207" t="s">
        <v>703</v>
      </c>
      <c r="AD497" s="213">
        <v>3</v>
      </c>
    </row>
    <row r="498" spans="28:30" x14ac:dyDescent="0.25">
      <c r="AB498" s="207" t="s">
        <v>249</v>
      </c>
      <c r="AC498" s="207" t="s">
        <v>704</v>
      </c>
      <c r="AD498" s="213">
        <v>2</v>
      </c>
    </row>
    <row r="499" spans="28:30" x14ac:dyDescent="0.25">
      <c r="AB499" s="207" t="s">
        <v>249</v>
      </c>
      <c r="AC499" s="207" t="s">
        <v>705</v>
      </c>
      <c r="AD499" s="213">
        <v>2</v>
      </c>
    </row>
    <row r="500" spans="28:30" x14ac:dyDescent="0.25">
      <c r="AB500" s="207" t="s">
        <v>249</v>
      </c>
      <c r="AC500" s="207" t="s">
        <v>706</v>
      </c>
      <c r="AD500" s="213">
        <v>3</v>
      </c>
    </row>
    <row r="501" spans="28:30" x14ac:dyDescent="0.25">
      <c r="AB501" s="207" t="s">
        <v>249</v>
      </c>
      <c r="AC501" s="207" t="s">
        <v>707</v>
      </c>
      <c r="AD501" s="213">
        <v>2</v>
      </c>
    </row>
    <row r="502" spans="28:30" x14ac:dyDescent="0.25">
      <c r="AB502" s="207" t="s">
        <v>249</v>
      </c>
      <c r="AC502" s="207" t="s">
        <v>536</v>
      </c>
      <c r="AD502" s="213">
        <v>3</v>
      </c>
    </row>
    <row r="503" spans="28:30" x14ac:dyDescent="0.25">
      <c r="AB503" s="207" t="s">
        <v>249</v>
      </c>
      <c r="AC503" s="207" t="s">
        <v>708</v>
      </c>
      <c r="AD503" s="213">
        <v>2</v>
      </c>
    </row>
    <row r="504" spans="28:30" x14ac:dyDescent="0.25">
      <c r="AB504" s="207" t="s">
        <v>249</v>
      </c>
      <c r="AC504" s="207" t="s">
        <v>709</v>
      </c>
      <c r="AD504" s="213">
        <v>3</v>
      </c>
    </row>
    <row r="505" spans="28:30" x14ac:dyDescent="0.25">
      <c r="AB505" s="207" t="s">
        <v>233</v>
      </c>
      <c r="AC505" s="207" t="s">
        <v>710</v>
      </c>
      <c r="AD505" s="213">
        <v>3</v>
      </c>
    </row>
    <row r="506" spans="28:30" x14ac:dyDescent="0.25">
      <c r="AB506" s="207" t="s">
        <v>214</v>
      </c>
      <c r="AC506" s="207" t="s">
        <v>711</v>
      </c>
      <c r="AD506" s="213">
        <v>2</v>
      </c>
    </row>
    <row r="507" spans="28:30" x14ac:dyDescent="0.25">
      <c r="AB507" s="207" t="s">
        <v>233</v>
      </c>
      <c r="AC507" s="207" t="s">
        <v>712</v>
      </c>
      <c r="AD507" s="213">
        <v>3</v>
      </c>
    </row>
    <row r="508" spans="28:30" x14ac:dyDescent="0.25">
      <c r="AB508" s="207" t="s">
        <v>233</v>
      </c>
      <c r="AC508" s="207" t="s">
        <v>713</v>
      </c>
      <c r="AD508" s="213">
        <v>2</v>
      </c>
    </row>
    <row r="509" spans="28:30" x14ac:dyDescent="0.25">
      <c r="AB509" s="207" t="s">
        <v>249</v>
      </c>
      <c r="AC509" s="207" t="s">
        <v>714</v>
      </c>
      <c r="AD509" s="213">
        <v>4</v>
      </c>
    </row>
    <row r="510" spans="28:30" x14ac:dyDescent="0.25">
      <c r="AB510" s="207" t="s">
        <v>249</v>
      </c>
      <c r="AC510" s="207" t="s">
        <v>715</v>
      </c>
      <c r="AD510" s="213">
        <v>2</v>
      </c>
    </row>
    <row r="511" spans="28:30" x14ac:dyDescent="0.25">
      <c r="AB511" s="207" t="s">
        <v>249</v>
      </c>
      <c r="AC511" s="207" t="s">
        <v>716</v>
      </c>
      <c r="AD511" s="213">
        <v>4</v>
      </c>
    </row>
    <row r="512" spans="28:30" x14ac:dyDescent="0.25">
      <c r="AB512" s="207" t="s">
        <v>233</v>
      </c>
      <c r="AC512" s="207" t="s">
        <v>717</v>
      </c>
      <c r="AD512" s="213">
        <v>3</v>
      </c>
    </row>
    <row r="513" spans="28:30" x14ac:dyDescent="0.25">
      <c r="AB513" s="207" t="s">
        <v>249</v>
      </c>
      <c r="AC513" s="207" t="s">
        <v>718</v>
      </c>
      <c r="AD513" s="213">
        <v>2</v>
      </c>
    </row>
    <row r="514" spans="28:30" x14ac:dyDescent="0.25">
      <c r="AB514" s="207" t="s">
        <v>233</v>
      </c>
      <c r="AC514" s="207" t="s">
        <v>719</v>
      </c>
      <c r="AD514" s="213">
        <v>3</v>
      </c>
    </row>
    <row r="515" spans="28:30" x14ac:dyDescent="0.25">
      <c r="AB515" s="207" t="s">
        <v>249</v>
      </c>
      <c r="AC515" s="207" t="s">
        <v>720</v>
      </c>
      <c r="AD515" s="213">
        <v>2</v>
      </c>
    </row>
    <row r="516" spans="28:30" x14ac:dyDescent="0.25">
      <c r="AB516" s="207" t="s">
        <v>233</v>
      </c>
      <c r="AC516" s="207" t="s">
        <v>721</v>
      </c>
      <c r="AD516" s="213">
        <v>3</v>
      </c>
    </row>
    <row r="517" spans="28:30" x14ac:dyDescent="0.25">
      <c r="AB517" s="207" t="s">
        <v>233</v>
      </c>
      <c r="AC517" s="207" t="s">
        <v>722</v>
      </c>
      <c r="AD517" s="213">
        <v>3</v>
      </c>
    </row>
    <row r="518" spans="28:30" x14ac:dyDescent="0.25">
      <c r="AB518" s="207" t="s">
        <v>249</v>
      </c>
      <c r="AC518" s="207" t="s">
        <v>723</v>
      </c>
      <c r="AD518" s="213">
        <v>3</v>
      </c>
    </row>
    <row r="519" spans="28:30" x14ac:dyDescent="0.25">
      <c r="AB519" s="207" t="s">
        <v>249</v>
      </c>
      <c r="AC519" s="207" t="s">
        <v>724</v>
      </c>
      <c r="AD519" s="213">
        <v>2</v>
      </c>
    </row>
    <row r="520" spans="28:30" x14ac:dyDescent="0.25">
      <c r="AB520" s="207" t="s">
        <v>233</v>
      </c>
      <c r="AC520" s="207" t="s">
        <v>725</v>
      </c>
      <c r="AD520" s="213">
        <v>3</v>
      </c>
    </row>
    <row r="521" spans="28:30" x14ac:dyDescent="0.25">
      <c r="AB521" s="207" t="s">
        <v>233</v>
      </c>
      <c r="AC521" s="207" t="s">
        <v>726</v>
      </c>
      <c r="AD521" s="213">
        <v>3</v>
      </c>
    </row>
    <row r="522" spans="28:30" x14ac:dyDescent="0.25">
      <c r="AB522" s="207" t="s">
        <v>233</v>
      </c>
      <c r="AC522" s="207" t="s">
        <v>727</v>
      </c>
      <c r="AD522" s="213">
        <v>3</v>
      </c>
    </row>
    <row r="523" spans="28:30" x14ac:dyDescent="0.25">
      <c r="AB523" s="207" t="s">
        <v>214</v>
      </c>
      <c r="AC523" s="207" t="s">
        <v>728</v>
      </c>
      <c r="AD523" s="213">
        <v>3</v>
      </c>
    </row>
    <row r="524" spans="28:30" x14ac:dyDescent="0.25">
      <c r="AB524" s="207" t="s">
        <v>249</v>
      </c>
      <c r="AC524" s="207" t="s">
        <v>729</v>
      </c>
      <c r="AD524" s="213">
        <v>2</v>
      </c>
    </row>
    <row r="525" spans="28:30" x14ac:dyDescent="0.25">
      <c r="AB525" s="207" t="s">
        <v>249</v>
      </c>
      <c r="AC525" s="207" t="s">
        <v>730</v>
      </c>
      <c r="AD525" s="213">
        <v>2</v>
      </c>
    </row>
    <row r="526" spans="28:30" x14ac:dyDescent="0.25">
      <c r="AB526" s="207" t="s">
        <v>249</v>
      </c>
      <c r="AC526" s="207" t="s">
        <v>731</v>
      </c>
      <c r="AD526" s="213">
        <v>2</v>
      </c>
    </row>
    <row r="527" spans="28:30" x14ac:dyDescent="0.25">
      <c r="AB527" s="207" t="s">
        <v>233</v>
      </c>
      <c r="AC527" s="207" t="s">
        <v>732</v>
      </c>
      <c r="AD527" s="213">
        <v>3</v>
      </c>
    </row>
    <row r="528" spans="28:30" x14ac:dyDescent="0.25">
      <c r="AB528" s="207" t="s">
        <v>233</v>
      </c>
      <c r="AC528" s="207" t="s">
        <v>733</v>
      </c>
      <c r="AD528" s="213">
        <v>3</v>
      </c>
    </row>
    <row r="529" spans="28:30" x14ac:dyDescent="0.25">
      <c r="AB529" s="207" t="s">
        <v>249</v>
      </c>
      <c r="AC529" s="207" t="s">
        <v>734</v>
      </c>
      <c r="AD529" s="213">
        <v>2</v>
      </c>
    </row>
    <row r="530" spans="28:30" x14ac:dyDescent="0.25">
      <c r="AB530" s="207" t="s">
        <v>233</v>
      </c>
      <c r="AC530" s="207" t="s">
        <v>735</v>
      </c>
      <c r="AD530" s="213">
        <v>3</v>
      </c>
    </row>
    <row r="531" spans="28:30" x14ac:dyDescent="0.25">
      <c r="AB531" s="207" t="s">
        <v>249</v>
      </c>
      <c r="AC531" s="207" t="s">
        <v>736</v>
      </c>
      <c r="AD531" s="213">
        <v>4</v>
      </c>
    </row>
    <row r="532" spans="28:30" x14ac:dyDescent="0.25">
      <c r="AB532" s="207" t="s">
        <v>249</v>
      </c>
      <c r="AC532" s="207" t="s">
        <v>737</v>
      </c>
      <c r="AD532" s="213">
        <v>3</v>
      </c>
    </row>
    <row r="533" spans="28:30" x14ac:dyDescent="0.25">
      <c r="AB533" s="207" t="s">
        <v>249</v>
      </c>
      <c r="AC533" s="207" t="s">
        <v>738</v>
      </c>
      <c r="AD533" s="213">
        <v>4</v>
      </c>
    </row>
    <row r="534" spans="28:30" x14ac:dyDescent="0.25">
      <c r="AB534" s="207" t="s">
        <v>233</v>
      </c>
      <c r="AC534" s="207" t="s">
        <v>739</v>
      </c>
      <c r="AD534" s="213">
        <v>3</v>
      </c>
    </row>
    <row r="535" spans="28:30" x14ac:dyDescent="0.25">
      <c r="AB535" s="207" t="s">
        <v>233</v>
      </c>
      <c r="AC535" s="207" t="s">
        <v>740</v>
      </c>
      <c r="AD535" s="213">
        <v>3</v>
      </c>
    </row>
    <row r="536" spans="28:30" x14ac:dyDescent="0.25">
      <c r="AB536" s="207" t="s">
        <v>249</v>
      </c>
      <c r="AC536" s="207" t="s">
        <v>741</v>
      </c>
      <c r="AD536" s="213">
        <v>2</v>
      </c>
    </row>
    <row r="537" spans="28:30" x14ac:dyDescent="0.25">
      <c r="AB537" s="207" t="s">
        <v>249</v>
      </c>
      <c r="AC537" s="207" t="s">
        <v>742</v>
      </c>
      <c r="AD537" s="213">
        <v>2</v>
      </c>
    </row>
    <row r="538" spans="28:30" x14ac:dyDescent="0.25">
      <c r="AB538" s="207" t="s">
        <v>233</v>
      </c>
      <c r="AC538" s="207" t="s">
        <v>743</v>
      </c>
      <c r="AD538" s="213">
        <v>2</v>
      </c>
    </row>
    <row r="539" spans="28:30" x14ac:dyDescent="0.25">
      <c r="AB539" s="207" t="s">
        <v>214</v>
      </c>
      <c r="AC539" s="207" t="s">
        <v>744</v>
      </c>
      <c r="AD539" s="213">
        <v>2</v>
      </c>
    </row>
    <row r="540" spans="28:30" x14ac:dyDescent="0.25">
      <c r="AB540" s="207" t="s">
        <v>233</v>
      </c>
      <c r="AC540" s="207" t="s">
        <v>745</v>
      </c>
      <c r="AD540" s="213">
        <v>3</v>
      </c>
    </row>
    <row r="541" spans="28:30" x14ac:dyDescent="0.25">
      <c r="AB541" s="207" t="s">
        <v>249</v>
      </c>
      <c r="AC541" s="207" t="s">
        <v>746</v>
      </c>
      <c r="AD541" s="213">
        <v>2</v>
      </c>
    </row>
    <row r="542" spans="28:30" x14ac:dyDescent="0.25">
      <c r="AB542" s="207" t="s">
        <v>233</v>
      </c>
      <c r="AC542" s="207" t="s">
        <v>747</v>
      </c>
      <c r="AD542" s="213">
        <v>3</v>
      </c>
    </row>
    <row r="543" spans="28:30" x14ac:dyDescent="0.25">
      <c r="AB543" s="207" t="s">
        <v>249</v>
      </c>
      <c r="AC543" s="207" t="s">
        <v>748</v>
      </c>
      <c r="AD543" s="213">
        <v>1</v>
      </c>
    </row>
    <row r="544" spans="28:30" x14ac:dyDescent="0.25">
      <c r="AB544" s="207" t="s">
        <v>249</v>
      </c>
      <c r="AC544" s="207" t="s">
        <v>749</v>
      </c>
      <c r="AD544" s="213">
        <v>2</v>
      </c>
    </row>
    <row r="545" spans="28:30" x14ac:dyDescent="0.25">
      <c r="AB545" s="207" t="s">
        <v>249</v>
      </c>
      <c r="AC545" s="207" t="s">
        <v>750</v>
      </c>
      <c r="AD545" s="213">
        <v>2</v>
      </c>
    </row>
    <row r="546" spans="28:30" x14ac:dyDescent="0.25">
      <c r="AB546" s="207" t="s">
        <v>233</v>
      </c>
      <c r="AC546" s="207" t="s">
        <v>751</v>
      </c>
      <c r="AD546" s="213">
        <v>3</v>
      </c>
    </row>
    <row r="547" spans="28:30" x14ac:dyDescent="0.25">
      <c r="AB547" s="207" t="s">
        <v>249</v>
      </c>
      <c r="AC547" s="207" t="s">
        <v>752</v>
      </c>
      <c r="AD547" s="213">
        <v>2</v>
      </c>
    </row>
    <row r="548" spans="28:30" x14ac:dyDescent="0.25">
      <c r="AB548" s="207" t="s">
        <v>233</v>
      </c>
      <c r="AC548" s="207" t="s">
        <v>753</v>
      </c>
      <c r="AD548" s="213">
        <v>3</v>
      </c>
    </row>
    <row r="549" spans="28:30" x14ac:dyDescent="0.25">
      <c r="AB549" s="207" t="s">
        <v>233</v>
      </c>
      <c r="AC549" s="207" t="s">
        <v>754</v>
      </c>
      <c r="AD549" s="213">
        <v>3</v>
      </c>
    </row>
    <row r="550" spans="28:30" x14ac:dyDescent="0.25">
      <c r="AB550" s="207" t="s">
        <v>249</v>
      </c>
      <c r="AC550" s="207" t="s">
        <v>755</v>
      </c>
      <c r="AD550" s="213">
        <v>2</v>
      </c>
    </row>
    <row r="551" spans="28:30" x14ac:dyDescent="0.25">
      <c r="AB551" s="207" t="s">
        <v>233</v>
      </c>
      <c r="AC551" s="207" t="s">
        <v>756</v>
      </c>
      <c r="AD551" s="213">
        <v>3</v>
      </c>
    </row>
    <row r="552" spans="28:30" x14ac:dyDescent="0.25">
      <c r="AB552" s="207" t="s">
        <v>214</v>
      </c>
      <c r="AC552" s="207" t="s">
        <v>757</v>
      </c>
      <c r="AD552" s="213">
        <v>3</v>
      </c>
    </row>
    <row r="553" spans="28:30" x14ac:dyDescent="0.25">
      <c r="AB553" s="207" t="s">
        <v>233</v>
      </c>
      <c r="AC553" s="207" t="s">
        <v>758</v>
      </c>
      <c r="AD553" s="213">
        <v>3</v>
      </c>
    </row>
    <row r="554" spans="28:30" x14ac:dyDescent="0.25">
      <c r="AB554" s="207" t="s">
        <v>249</v>
      </c>
      <c r="AC554" s="207" t="s">
        <v>759</v>
      </c>
      <c r="AD554" s="213">
        <v>2</v>
      </c>
    </row>
    <row r="555" spans="28:30" x14ac:dyDescent="0.25">
      <c r="AB555" s="207" t="s">
        <v>249</v>
      </c>
      <c r="AC555" s="207" t="s">
        <v>760</v>
      </c>
      <c r="AD555" s="213">
        <v>3</v>
      </c>
    </row>
    <row r="556" spans="28:30" x14ac:dyDescent="0.25">
      <c r="AB556" s="207" t="s">
        <v>233</v>
      </c>
      <c r="AC556" s="207" t="s">
        <v>761</v>
      </c>
      <c r="AD556" s="213">
        <v>4</v>
      </c>
    </row>
    <row r="557" spans="28:30" x14ac:dyDescent="0.25">
      <c r="AB557" s="207" t="s">
        <v>233</v>
      </c>
      <c r="AC557" s="207" t="s">
        <v>762</v>
      </c>
      <c r="AD557" s="213">
        <v>3</v>
      </c>
    </row>
    <row r="558" spans="28:30" x14ac:dyDescent="0.25">
      <c r="AB558" s="207" t="s">
        <v>233</v>
      </c>
      <c r="AC558" s="207" t="s">
        <v>763</v>
      </c>
      <c r="AD558" s="213">
        <v>3</v>
      </c>
    </row>
    <row r="559" spans="28:30" x14ac:dyDescent="0.25">
      <c r="AB559" s="207" t="s">
        <v>249</v>
      </c>
      <c r="AC559" s="207" t="s">
        <v>764</v>
      </c>
      <c r="AD559" s="213">
        <v>2</v>
      </c>
    </row>
    <row r="560" spans="28:30" x14ac:dyDescent="0.25">
      <c r="AB560" s="207" t="s">
        <v>249</v>
      </c>
      <c r="AC560" s="207" t="s">
        <v>765</v>
      </c>
      <c r="AD560" s="213">
        <v>2</v>
      </c>
    </row>
    <row r="561" spans="28:30" x14ac:dyDescent="0.25">
      <c r="AB561" s="207" t="s">
        <v>249</v>
      </c>
      <c r="AC561" s="207" t="s">
        <v>766</v>
      </c>
      <c r="AD561" s="213">
        <v>2</v>
      </c>
    </row>
    <row r="562" spans="28:30" x14ac:dyDescent="0.25">
      <c r="AB562" s="207" t="s">
        <v>249</v>
      </c>
      <c r="AC562" s="207" t="s">
        <v>767</v>
      </c>
      <c r="AD562" s="213">
        <v>2</v>
      </c>
    </row>
    <row r="563" spans="28:30" x14ac:dyDescent="0.25">
      <c r="AB563" s="207" t="s">
        <v>249</v>
      </c>
      <c r="AC563" s="207" t="s">
        <v>768</v>
      </c>
      <c r="AD563" s="213">
        <v>2</v>
      </c>
    </row>
    <row r="564" spans="28:30" x14ac:dyDescent="0.25">
      <c r="AB564" s="207" t="s">
        <v>249</v>
      </c>
      <c r="AC564" s="207" t="s">
        <v>769</v>
      </c>
      <c r="AD564" s="213">
        <v>2</v>
      </c>
    </row>
    <row r="565" spans="28:30" x14ac:dyDescent="0.25">
      <c r="AB565" s="207" t="s">
        <v>249</v>
      </c>
      <c r="AC565" s="207" t="s">
        <v>770</v>
      </c>
      <c r="AD565" s="213">
        <v>2</v>
      </c>
    </row>
    <row r="566" spans="28:30" x14ac:dyDescent="0.25">
      <c r="AB566" s="207" t="s">
        <v>249</v>
      </c>
      <c r="AC566" s="207" t="s">
        <v>771</v>
      </c>
      <c r="AD566" s="213">
        <v>2</v>
      </c>
    </row>
    <row r="567" spans="28:30" x14ac:dyDescent="0.25">
      <c r="AB567" s="207" t="s">
        <v>249</v>
      </c>
      <c r="AC567" s="207" t="s">
        <v>772</v>
      </c>
      <c r="AD567" s="213">
        <v>2</v>
      </c>
    </row>
    <row r="568" spans="28:30" x14ac:dyDescent="0.25">
      <c r="AB568" s="207" t="s">
        <v>249</v>
      </c>
      <c r="AC568" s="207" t="s">
        <v>773</v>
      </c>
      <c r="AD568" s="213">
        <v>2</v>
      </c>
    </row>
    <row r="569" spans="28:30" x14ac:dyDescent="0.25">
      <c r="AB569" s="207" t="s">
        <v>249</v>
      </c>
      <c r="AC569" s="207" t="s">
        <v>774</v>
      </c>
      <c r="AD569" s="213">
        <v>2</v>
      </c>
    </row>
    <row r="570" spans="28:30" x14ac:dyDescent="0.25">
      <c r="AB570" s="207" t="s">
        <v>233</v>
      </c>
      <c r="AC570" s="207" t="s">
        <v>775</v>
      </c>
      <c r="AD570" s="213">
        <v>3</v>
      </c>
    </row>
    <row r="571" spans="28:30" x14ac:dyDescent="0.25">
      <c r="AB571" s="207" t="s">
        <v>233</v>
      </c>
      <c r="AC571" s="207" t="s">
        <v>776</v>
      </c>
      <c r="AD571" s="213">
        <v>3</v>
      </c>
    </row>
    <row r="572" spans="28:30" x14ac:dyDescent="0.25">
      <c r="AB572" s="207" t="s">
        <v>249</v>
      </c>
      <c r="AC572" s="207" t="s">
        <v>777</v>
      </c>
      <c r="AD572" s="213">
        <v>1</v>
      </c>
    </row>
    <row r="573" spans="28:30" x14ac:dyDescent="0.25">
      <c r="AB573" s="207" t="s">
        <v>233</v>
      </c>
      <c r="AC573" s="207" t="s">
        <v>778</v>
      </c>
      <c r="AD573" s="213">
        <v>3</v>
      </c>
    </row>
    <row r="574" spans="28:30" x14ac:dyDescent="0.25">
      <c r="AB574" s="207" t="s">
        <v>233</v>
      </c>
      <c r="AC574" s="207" t="s">
        <v>779</v>
      </c>
      <c r="AD574" s="213">
        <v>3</v>
      </c>
    </row>
    <row r="575" spans="28:30" x14ac:dyDescent="0.25">
      <c r="AB575" s="207" t="s">
        <v>249</v>
      </c>
      <c r="AC575" s="207" t="s">
        <v>780</v>
      </c>
      <c r="AD575" s="213">
        <v>2</v>
      </c>
    </row>
    <row r="576" spans="28:30" x14ac:dyDescent="0.25">
      <c r="AB576" s="207" t="s">
        <v>249</v>
      </c>
      <c r="AC576" s="207" t="s">
        <v>781</v>
      </c>
      <c r="AD576" s="213">
        <v>2</v>
      </c>
    </row>
    <row r="577" spans="28:30" x14ac:dyDescent="0.25">
      <c r="AB577" s="207" t="s">
        <v>249</v>
      </c>
      <c r="AC577" s="207" t="s">
        <v>782</v>
      </c>
      <c r="AD577" s="213">
        <v>2</v>
      </c>
    </row>
    <row r="578" spans="28:30" x14ac:dyDescent="0.25">
      <c r="AB578" s="207" t="s">
        <v>249</v>
      </c>
      <c r="AC578" s="207" t="s">
        <v>783</v>
      </c>
      <c r="AD578" s="213">
        <v>2</v>
      </c>
    </row>
    <row r="579" spans="28:30" x14ac:dyDescent="0.25">
      <c r="AB579" s="207" t="s">
        <v>249</v>
      </c>
      <c r="AC579" s="207" t="s">
        <v>784</v>
      </c>
      <c r="AD579" s="213">
        <v>2</v>
      </c>
    </row>
    <row r="580" spans="28:30" x14ac:dyDescent="0.25">
      <c r="AB580" s="207" t="s">
        <v>233</v>
      </c>
      <c r="AC580" s="207" t="s">
        <v>785</v>
      </c>
      <c r="AD580" s="213">
        <v>3</v>
      </c>
    </row>
    <row r="581" spans="28:30" x14ac:dyDescent="0.25">
      <c r="AB581" s="207" t="s">
        <v>233</v>
      </c>
      <c r="AC581" s="207" t="s">
        <v>786</v>
      </c>
      <c r="AD581" s="213">
        <v>4</v>
      </c>
    </row>
    <row r="582" spans="28:30" x14ac:dyDescent="0.25">
      <c r="AB582" s="207" t="s">
        <v>249</v>
      </c>
      <c r="AC582" s="207" t="s">
        <v>787</v>
      </c>
      <c r="AD582" s="213">
        <v>2</v>
      </c>
    </row>
    <row r="583" spans="28:30" x14ac:dyDescent="0.25">
      <c r="AB583" s="207" t="s">
        <v>249</v>
      </c>
      <c r="AC583" s="207" t="s">
        <v>788</v>
      </c>
      <c r="AD583" s="213">
        <v>2</v>
      </c>
    </row>
    <row r="584" spans="28:30" x14ac:dyDescent="0.25">
      <c r="AB584" s="207" t="s">
        <v>249</v>
      </c>
      <c r="AC584" s="207" t="s">
        <v>789</v>
      </c>
      <c r="AD584" s="213">
        <v>2</v>
      </c>
    </row>
    <row r="585" spans="28:30" x14ac:dyDescent="0.25">
      <c r="AB585" s="207" t="s">
        <v>233</v>
      </c>
      <c r="AC585" s="207" t="s">
        <v>790</v>
      </c>
      <c r="AD585" s="213">
        <v>3</v>
      </c>
    </row>
    <row r="586" spans="28:30" x14ac:dyDescent="0.25">
      <c r="AB586" s="207" t="s">
        <v>249</v>
      </c>
      <c r="AC586" s="207" t="s">
        <v>791</v>
      </c>
      <c r="AD586" s="213">
        <v>2</v>
      </c>
    </row>
    <row r="587" spans="28:30" x14ac:dyDescent="0.25">
      <c r="AB587" s="207" t="s">
        <v>249</v>
      </c>
      <c r="AC587" s="207" t="s">
        <v>792</v>
      </c>
      <c r="AD587" s="213">
        <v>2</v>
      </c>
    </row>
    <row r="588" spans="28:30" x14ac:dyDescent="0.25">
      <c r="AB588" s="207" t="s">
        <v>233</v>
      </c>
      <c r="AC588" s="207" t="s">
        <v>793</v>
      </c>
      <c r="AD588" s="213">
        <v>2</v>
      </c>
    </row>
    <row r="589" spans="28:30" x14ac:dyDescent="0.25">
      <c r="AB589" s="207" t="s">
        <v>233</v>
      </c>
      <c r="AC589" s="207" t="s">
        <v>794</v>
      </c>
      <c r="AD589" s="213">
        <v>3</v>
      </c>
    </row>
    <row r="590" spans="28:30" x14ac:dyDescent="0.25">
      <c r="AB590" s="207" t="s">
        <v>249</v>
      </c>
      <c r="AC590" s="207" t="s">
        <v>795</v>
      </c>
      <c r="AD590" s="213">
        <v>4</v>
      </c>
    </row>
    <row r="591" spans="28:30" x14ac:dyDescent="0.25">
      <c r="AB591" s="207" t="s">
        <v>233</v>
      </c>
      <c r="AC591" s="207" t="s">
        <v>796</v>
      </c>
      <c r="AD591" s="213">
        <v>3</v>
      </c>
    </row>
    <row r="592" spans="28:30" x14ac:dyDescent="0.25">
      <c r="AB592" s="207" t="s">
        <v>214</v>
      </c>
      <c r="AC592" s="207" t="s">
        <v>797</v>
      </c>
      <c r="AD592" s="213">
        <v>3</v>
      </c>
    </row>
    <row r="593" spans="28:30" x14ac:dyDescent="0.25">
      <c r="AB593" s="207" t="s">
        <v>233</v>
      </c>
      <c r="AC593" s="207" t="s">
        <v>798</v>
      </c>
      <c r="AD593" s="213">
        <v>3</v>
      </c>
    </row>
    <row r="594" spans="28:30" x14ac:dyDescent="0.25">
      <c r="AB594" s="207" t="s">
        <v>249</v>
      </c>
      <c r="AC594" s="207" t="s">
        <v>799</v>
      </c>
      <c r="AD594" s="213">
        <v>2</v>
      </c>
    </row>
    <row r="595" spans="28:30" x14ac:dyDescent="0.25">
      <c r="AB595" s="207" t="s">
        <v>233</v>
      </c>
      <c r="AC595" s="207" t="s">
        <v>800</v>
      </c>
      <c r="AD595" s="213">
        <v>4</v>
      </c>
    </row>
    <row r="596" spans="28:30" x14ac:dyDescent="0.25">
      <c r="AB596" s="207" t="s">
        <v>249</v>
      </c>
      <c r="AC596" s="207" t="s">
        <v>801</v>
      </c>
      <c r="AD596" s="213">
        <v>2</v>
      </c>
    </row>
    <row r="597" spans="28:30" x14ac:dyDescent="0.25">
      <c r="AB597" s="207" t="s">
        <v>214</v>
      </c>
      <c r="AC597" s="207" t="s">
        <v>802</v>
      </c>
      <c r="AD597" s="213">
        <v>3</v>
      </c>
    </row>
    <row r="598" spans="28:30" x14ac:dyDescent="0.25">
      <c r="AB598" s="207" t="s">
        <v>249</v>
      </c>
      <c r="AC598" s="207" t="s">
        <v>803</v>
      </c>
      <c r="AD598" s="213">
        <v>3</v>
      </c>
    </row>
    <row r="599" spans="28:30" x14ac:dyDescent="0.25">
      <c r="AB599" s="207" t="s">
        <v>233</v>
      </c>
      <c r="AC599" s="207" t="s">
        <v>804</v>
      </c>
      <c r="AD599" s="213">
        <v>3</v>
      </c>
    </row>
    <row r="600" spans="28:30" x14ac:dyDescent="0.25">
      <c r="AB600" s="207" t="s">
        <v>249</v>
      </c>
      <c r="AC600" s="207" t="s">
        <v>805</v>
      </c>
      <c r="AD600" s="213">
        <v>2</v>
      </c>
    </row>
    <row r="601" spans="28:30" x14ac:dyDescent="0.25">
      <c r="AB601" s="207" t="s">
        <v>233</v>
      </c>
      <c r="AC601" s="207" t="s">
        <v>806</v>
      </c>
      <c r="AD601" s="213">
        <v>3</v>
      </c>
    </row>
    <row r="602" spans="28:30" x14ac:dyDescent="0.25">
      <c r="AB602" s="207" t="s">
        <v>233</v>
      </c>
      <c r="AC602" s="207" t="s">
        <v>807</v>
      </c>
      <c r="AD602" s="213">
        <v>3</v>
      </c>
    </row>
    <row r="603" spans="28:30" x14ac:dyDescent="0.25">
      <c r="AB603" s="207" t="s">
        <v>249</v>
      </c>
      <c r="AC603" s="207" t="s">
        <v>808</v>
      </c>
      <c r="AD603" s="213">
        <v>2</v>
      </c>
    </row>
    <row r="604" spans="28:30" x14ac:dyDescent="0.25">
      <c r="AB604" s="207" t="s">
        <v>249</v>
      </c>
      <c r="AC604" s="207" t="s">
        <v>809</v>
      </c>
      <c r="AD604" s="213">
        <v>2</v>
      </c>
    </row>
    <row r="605" spans="28:30" x14ac:dyDescent="0.25">
      <c r="AB605" s="207" t="s">
        <v>249</v>
      </c>
      <c r="AC605" s="207" t="s">
        <v>810</v>
      </c>
      <c r="AD605" s="213">
        <v>2</v>
      </c>
    </row>
    <row r="606" spans="28:30" x14ac:dyDescent="0.25">
      <c r="AB606" s="207" t="s">
        <v>249</v>
      </c>
      <c r="AC606" s="207" t="s">
        <v>811</v>
      </c>
      <c r="AD606" s="213">
        <v>2</v>
      </c>
    </row>
    <row r="607" spans="28:30" x14ac:dyDescent="0.25">
      <c r="AB607" s="207" t="s">
        <v>249</v>
      </c>
      <c r="AC607" s="207" t="s">
        <v>812</v>
      </c>
      <c r="AD607" s="213">
        <v>3</v>
      </c>
    </row>
    <row r="608" spans="28:30" x14ac:dyDescent="0.25">
      <c r="AB608" s="207" t="s">
        <v>249</v>
      </c>
      <c r="AC608" s="207" t="s">
        <v>813</v>
      </c>
      <c r="AD608" s="213">
        <v>2</v>
      </c>
    </row>
    <row r="609" spans="28:30" x14ac:dyDescent="0.25">
      <c r="AB609" s="207" t="s">
        <v>233</v>
      </c>
      <c r="AC609" s="207" t="s">
        <v>814</v>
      </c>
      <c r="AD609" s="213">
        <v>3</v>
      </c>
    </row>
    <row r="610" spans="28:30" x14ac:dyDescent="0.25">
      <c r="AB610" s="207" t="s">
        <v>249</v>
      </c>
      <c r="AC610" s="207" t="s">
        <v>815</v>
      </c>
      <c r="AD610" s="213">
        <v>2</v>
      </c>
    </row>
    <row r="611" spans="28:30" x14ac:dyDescent="0.25">
      <c r="AB611" s="207" t="s">
        <v>249</v>
      </c>
      <c r="AC611" s="207" t="s">
        <v>816</v>
      </c>
      <c r="AD611" s="213">
        <v>2</v>
      </c>
    </row>
    <row r="612" spans="28:30" x14ac:dyDescent="0.25">
      <c r="AB612" s="207" t="s">
        <v>233</v>
      </c>
      <c r="AC612" s="207" t="s">
        <v>817</v>
      </c>
      <c r="AD612" s="213">
        <v>3</v>
      </c>
    </row>
    <row r="613" spans="28:30" x14ac:dyDescent="0.25">
      <c r="AB613" s="207" t="s">
        <v>249</v>
      </c>
      <c r="AC613" s="207" t="s">
        <v>818</v>
      </c>
      <c r="AD613" s="213">
        <v>3</v>
      </c>
    </row>
    <row r="614" spans="28:30" x14ac:dyDescent="0.25">
      <c r="AB614" s="207" t="s">
        <v>249</v>
      </c>
      <c r="AC614" s="207" t="s">
        <v>819</v>
      </c>
      <c r="AD614" s="213">
        <v>2</v>
      </c>
    </row>
    <row r="615" spans="28:30" x14ac:dyDescent="0.25">
      <c r="AB615" s="207" t="s">
        <v>233</v>
      </c>
      <c r="AC615" s="207" t="s">
        <v>820</v>
      </c>
      <c r="AD615" s="213">
        <v>3</v>
      </c>
    </row>
    <row r="616" spans="28:30" x14ac:dyDescent="0.25">
      <c r="AB616" s="207" t="s">
        <v>249</v>
      </c>
      <c r="AC616" s="207" t="s">
        <v>821</v>
      </c>
      <c r="AD616" s="213">
        <v>2</v>
      </c>
    </row>
    <row r="617" spans="28:30" x14ac:dyDescent="0.25">
      <c r="AB617" s="207" t="s">
        <v>233</v>
      </c>
      <c r="AC617" s="207" t="s">
        <v>822</v>
      </c>
      <c r="AD617" s="213">
        <v>3</v>
      </c>
    </row>
    <row r="618" spans="28:30" x14ac:dyDescent="0.25">
      <c r="AB618" s="207" t="s">
        <v>233</v>
      </c>
      <c r="AC618" s="207" t="s">
        <v>823</v>
      </c>
      <c r="AD618" s="213">
        <v>3</v>
      </c>
    </row>
    <row r="619" spans="28:30" x14ac:dyDescent="0.25">
      <c r="AB619" s="207" t="s">
        <v>233</v>
      </c>
      <c r="AC619" s="207" t="s">
        <v>824</v>
      </c>
      <c r="AD619" s="213">
        <v>3</v>
      </c>
    </row>
    <row r="620" spans="28:30" x14ac:dyDescent="0.25">
      <c r="AB620" s="207" t="s">
        <v>233</v>
      </c>
      <c r="AC620" s="207" t="s">
        <v>825</v>
      </c>
      <c r="AD620" s="213">
        <v>3</v>
      </c>
    </row>
    <row r="621" spans="28:30" x14ac:dyDescent="0.25">
      <c r="AB621" s="207" t="s">
        <v>249</v>
      </c>
      <c r="AC621" s="207" t="s">
        <v>826</v>
      </c>
      <c r="AD621" s="213">
        <v>2</v>
      </c>
    </row>
    <row r="622" spans="28:30" x14ac:dyDescent="0.25">
      <c r="AB622" s="207" t="s">
        <v>249</v>
      </c>
      <c r="AC622" s="207" t="s">
        <v>827</v>
      </c>
      <c r="AD622" s="213">
        <v>2</v>
      </c>
    </row>
    <row r="623" spans="28:30" x14ac:dyDescent="0.25">
      <c r="AB623" s="207" t="s">
        <v>249</v>
      </c>
      <c r="AC623" s="207" t="s">
        <v>828</v>
      </c>
      <c r="AD623" s="213">
        <v>4</v>
      </c>
    </row>
    <row r="624" spans="28:30" x14ac:dyDescent="0.25">
      <c r="AB624" s="207" t="s">
        <v>233</v>
      </c>
      <c r="AC624" s="207" t="s">
        <v>829</v>
      </c>
      <c r="AD624" s="213">
        <v>3</v>
      </c>
    </row>
    <row r="625" spans="28:30" x14ac:dyDescent="0.25">
      <c r="AB625" s="207" t="s">
        <v>233</v>
      </c>
      <c r="AC625" s="207" t="s">
        <v>830</v>
      </c>
      <c r="AD625" s="213">
        <v>3</v>
      </c>
    </row>
    <row r="626" spans="28:30" x14ac:dyDescent="0.25">
      <c r="AB626" s="207" t="s">
        <v>233</v>
      </c>
      <c r="AC626" s="207" t="s">
        <v>831</v>
      </c>
      <c r="AD626" s="213">
        <v>3</v>
      </c>
    </row>
    <row r="627" spans="28:30" x14ac:dyDescent="0.25">
      <c r="AB627" s="207" t="s">
        <v>233</v>
      </c>
      <c r="AC627" s="207" t="s">
        <v>832</v>
      </c>
      <c r="AD627" s="213">
        <v>3</v>
      </c>
    </row>
    <row r="628" spans="28:30" x14ac:dyDescent="0.25">
      <c r="AB628" s="207" t="s">
        <v>233</v>
      </c>
      <c r="AC628" s="207" t="s">
        <v>833</v>
      </c>
      <c r="AD628" s="213">
        <v>3</v>
      </c>
    </row>
    <row r="629" spans="28:30" x14ac:dyDescent="0.25">
      <c r="AB629" s="207" t="s">
        <v>249</v>
      </c>
      <c r="AC629" s="207" t="s">
        <v>834</v>
      </c>
      <c r="AD629" s="213">
        <v>3</v>
      </c>
    </row>
    <row r="630" spans="28:30" x14ac:dyDescent="0.25">
      <c r="AB630" s="207" t="s">
        <v>233</v>
      </c>
      <c r="AC630" s="207" t="s">
        <v>835</v>
      </c>
      <c r="AD630" s="213">
        <v>3</v>
      </c>
    </row>
    <row r="631" spans="28:30" x14ac:dyDescent="0.25">
      <c r="AB631" s="207" t="s">
        <v>233</v>
      </c>
      <c r="AC631" s="207" t="s">
        <v>836</v>
      </c>
      <c r="AD631" s="213">
        <v>3</v>
      </c>
    </row>
    <row r="632" spans="28:30" x14ac:dyDescent="0.25">
      <c r="AB632" s="207" t="s">
        <v>233</v>
      </c>
      <c r="AC632" s="207" t="s">
        <v>837</v>
      </c>
      <c r="AD632" s="213">
        <v>3</v>
      </c>
    </row>
    <row r="633" spans="28:30" x14ac:dyDescent="0.25">
      <c r="AB633" s="207" t="s">
        <v>249</v>
      </c>
      <c r="AC633" s="207" t="s">
        <v>838</v>
      </c>
      <c r="AD633" s="213">
        <v>3</v>
      </c>
    </row>
    <row r="634" spans="28:30" x14ac:dyDescent="0.25">
      <c r="AB634" s="207" t="s">
        <v>233</v>
      </c>
      <c r="AC634" s="207" t="s">
        <v>839</v>
      </c>
      <c r="AD634" s="213">
        <v>3</v>
      </c>
    </row>
    <row r="635" spans="28:30" x14ac:dyDescent="0.25">
      <c r="AB635" s="207" t="s">
        <v>249</v>
      </c>
      <c r="AC635" s="207" t="s">
        <v>840</v>
      </c>
      <c r="AD635" s="213">
        <v>2</v>
      </c>
    </row>
    <row r="636" spans="28:30" x14ac:dyDescent="0.25">
      <c r="AB636" s="207" t="s">
        <v>233</v>
      </c>
      <c r="AC636" s="207" t="s">
        <v>841</v>
      </c>
      <c r="AD636" s="213">
        <v>4</v>
      </c>
    </row>
    <row r="637" spans="28:30" x14ac:dyDescent="0.25">
      <c r="AB637" s="207" t="s">
        <v>233</v>
      </c>
      <c r="AC637" s="207" t="s">
        <v>842</v>
      </c>
      <c r="AD637" s="213">
        <v>4</v>
      </c>
    </row>
    <row r="638" spans="28:30" x14ac:dyDescent="0.25">
      <c r="AB638" s="207" t="s">
        <v>233</v>
      </c>
      <c r="AC638" s="207" t="s">
        <v>843</v>
      </c>
      <c r="AD638" s="213">
        <v>3</v>
      </c>
    </row>
    <row r="639" spans="28:30" x14ac:dyDescent="0.25">
      <c r="AB639" s="207" t="s">
        <v>233</v>
      </c>
      <c r="AC639" s="207" t="s">
        <v>844</v>
      </c>
      <c r="AD639" s="213">
        <v>3</v>
      </c>
    </row>
    <row r="640" spans="28:30" x14ac:dyDescent="0.25">
      <c r="AB640" s="207" t="s">
        <v>233</v>
      </c>
      <c r="AC640" s="207" t="s">
        <v>845</v>
      </c>
      <c r="AD640" s="213">
        <v>3</v>
      </c>
    </row>
    <row r="641" spans="28:30" x14ac:dyDescent="0.25">
      <c r="AB641" s="207" t="s">
        <v>233</v>
      </c>
      <c r="AC641" s="207" t="s">
        <v>846</v>
      </c>
      <c r="AD641" s="213">
        <v>3</v>
      </c>
    </row>
    <row r="642" spans="28:30" x14ac:dyDescent="0.25">
      <c r="AB642" s="207" t="s">
        <v>233</v>
      </c>
      <c r="AC642" s="207" t="s">
        <v>847</v>
      </c>
      <c r="AD642" s="213">
        <v>3</v>
      </c>
    </row>
    <row r="643" spans="28:30" x14ac:dyDescent="0.25">
      <c r="AB643" s="207" t="s">
        <v>249</v>
      </c>
      <c r="AC643" s="207" t="s">
        <v>848</v>
      </c>
      <c r="AD643" s="213">
        <v>3</v>
      </c>
    </row>
    <row r="644" spans="28:30" x14ac:dyDescent="0.25">
      <c r="AB644" s="207" t="s">
        <v>233</v>
      </c>
      <c r="AC644" s="207" t="s">
        <v>849</v>
      </c>
      <c r="AD644" s="213">
        <v>3</v>
      </c>
    </row>
    <row r="645" spans="28:30" x14ac:dyDescent="0.25">
      <c r="AB645" s="207" t="s">
        <v>249</v>
      </c>
      <c r="AC645" s="207" t="s">
        <v>850</v>
      </c>
      <c r="AD645" s="213">
        <v>3</v>
      </c>
    </row>
    <row r="646" spans="28:30" x14ac:dyDescent="0.25">
      <c r="AB646" s="207" t="s">
        <v>233</v>
      </c>
      <c r="AC646" s="207" t="s">
        <v>851</v>
      </c>
      <c r="AD646" s="213">
        <v>2</v>
      </c>
    </row>
    <row r="647" spans="28:30" x14ac:dyDescent="0.25">
      <c r="AB647" s="207" t="s">
        <v>233</v>
      </c>
      <c r="AC647" s="207" t="s">
        <v>852</v>
      </c>
      <c r="AD647" s="213">
        <v>4</v>
      </c>
    </row>
    <row r="648" spans="28:30" x14ac:dyDescent="0.25">
      <c r="AB648" s="207" t="s">
        <v>233</v>
      </c>
      <c r="AC648" s="207" t="s">
        <v>853</v>
      </c>
      <c r="AD648" s="213">
        <v>3</v>
      </c>
    </row>
    <row r="649" spans="28:30" x14ac:dyDescent="0.25">
      <c r="AB649" s="207" t="s">
        <v>233</v>
      </c>
      <c r="AC649" s="207" t="s">
        <v>854</v>
      </c>
      <c r="AD649" s="213">
        <v>3</v>
      </c>
    </row>
    <row r="650" spans="28:30" x14ac:dyDescent="0.25">
      <c r="AB650" s="207" t="s">
        <v>233</v>
      </c>
      <c r="AC650" s="207" t="s">
        <v>855</v>
      </c>
      <c r="AD650" s="213">
        <v>3</v>
      </c>
    </row>
    <row r="651" spans="28:30" x14ac:dyDescent="0.25">
      <c r="AB651" s="207" t="s">
        <v>233</v>
      </c>
      <c r="AC651" s="207" t="s">
        <v>856</v>
      </c>
      <c r="AD651" s="213">
        <v>3</v>
      </c>
    </row>
    <row r="652" spans="28:30" x14ac:dyDescent="0.25">
      <c r="AB652" s="207" t="s">
        <v>233</v>
      </c>
      <c r="AC652" s="207" t="s">
        <v>857</v>
      </c>
      <c r="AD652" s="213">
        <v>3</v>
      </c>
    </row>
    <row r="653" spans="28:30" x14ac:dyDescent="0.25">
      <c r="AB653" s="207" t="s">
        <v>233</v>
      </c>
      <c r="AC653" s="207" t="s">
        <v>858</v>
      </c>
      <c r="AD653" s="213">
        <v>3</v>
      </c>
    </row>
    <row r="654" spans="28:30" x14ac:dyDescent="0.25">
      <c r="AB654" s="207" t="s">
        <v>249</v>
      </c>
      <c r="AC654" s="207" t="s">
        <v>859</v>
      </c>
      <c r="AD654" s="213">
        <v>4</v>
      </c>
    </row>
    <row r="655" spans="28:30" x14ac:dyDescent="0.25">
      <c r="AB655" s="207" t="s">
        <v>233</v>
      </c>
      <c r="AC655" s="207" t="s">
        <v>860</v>
      </c>
      <c r="AD655" s="213">
        <v>3</v>
      </c>
    </row>
    <row r="656" spans="28:30" x14ac:dyDescent="0.25">
      <c r="AB656" s="207" t="s">
        <v>233</v>
      </c>
      <c r="AC656" s="207" t="s">
        <v>861</v>
      </c>
      <c r="AD656" s="213">
        <v>3</v>
      </c>
    </row>
    <row r="657" spans="28:30" x14ac:dyDescent="0.25">
      <c r="AB657" s="207" t="s">
        <v>233</v>
      </c>
      <c r="AC657" s="207" t="s">
        <v>862</v>
      </c>
      <c r="AD657" s="213">
        <v>3</v>
      </c>
    </row>
    <row r="658" spans="28:30" x14ac:dyDescent="0.25">
      <c r="AB658" s="207" t="s">
        <v>233</v>
      </c>
      <c r="AC658" s="207" t="s">
        <v>863</v>
      </c>
      <c r="AD658" s="213">
        <v>3</v>
      </c>
    </row>
    <row r="659" spans="28:30" x14ac:dyDescent="0.25">
      <c r="AB659" s="207" t="s">
        <v>233</v>
      </c>
      <c r="AC659" s="207" t="s">
        <v>864</v>
      </c>
      <c r="AD659" s="213">
        <v>3</v>
      </c>
    </row>
    <row r="660" spans="28:30" x14ac:dyDescent="0.25">
      <c r="AB660" s="207" t="s">
        <v>233</v>
      </c>
      <c r="AC660" s="207" t="s">
        <v>865</v>
      </c>
      <c r="AD660" s="213">
        <v>3</v>
      </c>
    </row>
    <row r="661" spans="28:30" x14ac:dyDescent="0.25">
      <c r="AB661" s="207" t="s">
        <v>233</v>
      </c>
      <c r="AC661" s="207" t="s">
        <v>866</v>
      </c>
      <c r="AD661" s="213">
        <v>3</v>
      </c>
    </row>
    <row r="662" spans="28:30" x14ac:dyDescent="0.25">
      <c r="AB662" s="207" t="s">
        <v>249</v>
      </c>
      <c r="AC662" s="207" t="s">
        <v>867</v>
      </c>
      <c r="AD662" s="213">
        <v>4</v>
      </c>
    </row>
    <row r="663" spans="28:30" x14ac:dyDescent="0.25">
      <c r="AB663" s="207" t="s">
        <v>233</v>
      </c>
      <c r="AC663" s="207" t="s">
        <v>868</v>
      </c>
      <c r="AD663" s="213">
        <v>3</v>
      </c>
    </row>
    <row r="664" spans="28:30" x14ac:dyDescent="0.25">
      <c r="AB664" s="207" t="s">
        <v>233</v>
      </c>
      <c r="AC664" s="207" t="s">
        <v>869</v>
      </c>
      <c r="AD664" s="213">
        <v>3</v>
      </c>
    </row>
    <row r="665" spans="28:30" x14ac:dyDescent="0.25">
      <c r="AB665" s="207" t="s">
        <v>233</v>
      </c>
      <c r="AC665" s="207" t="s">
        <v>870</v>
      </c>
      <c r="AD665" s="213">
        <v>3</v>
      </c>
    </row>
    <row r="666" spans="28:30" x14ac:dyDescent="0.25">
      <c r="AB666" s="207" t="s">
        <v>233</v>
      </c>
      <c r="AC666" s="207" t="s">
        <v>871</v>
      </c>
      <c r="AD666" s="213">
        <v>3</v>
      </c>
    </row>
    <row r="667" spans="28:30" x14ac:dyDescent="0.25">
      <c r="AB667" s="207" t="s">
        <v>233</v>
      </c>
      <c r="AC667" s="207" t="s">
        <v>872</v>
      </c>
      <c r="AD667" s="213">
        <v>3</v>
      </c>
    </row>
    <row r="668" spans="28:30" x14ac:dyDescent="0.25">
      <c r="AB668" s="207" t="s">
        <v>233</v>
      </c>
      <c r="AC668" s="207" t="s">
        <v>873</v>
      </c>
      <c r="AD668" s="213">
        <v>3</v>
      </c>
    </row>
    <row r="669" spans="28:30" x14ac:dyDescent="0.25">
      <c r="AB669" s="207" t="s">
        <v>233</v>
      </c>
      <c r="AC669" s="207" t="s">
        <v>874</v>
      </c>
      <c r="AD669" s="213">
        <v>3</v>
      </c>
    </row>
    <row r="670" spans="28:30" x14ac:dyDescent="0.25">
      <c r="AB670" s="207" t="s">
        <v>233</v>
      </c>
      <c r="AC670" s="207" t="s">
        <v>875</v>
      </c>
      <c r="AD670" s="213">
        <v>3</v>
      </c>
    </row>
    <row r="671" spans="28:30" x14ac:dyDescent="0.25">
      <c r="AB671" s="207" t="s">
        <v>233</v>
      </c>
      <c r="AC671" s="207" t="s">
        <v>876</v>
      </c>
      <c r="AD671" s="213">
        <v>3</v>
      </c>
    </row>
    <row r="672" spans="28:30" x14ac:dyDescent="0.25">
      <c r="AB672" s="207" t="s">
        <v>233</v>
      </c>
      <c r="AC672" s="207" t="s">
        <v>877</v>
      </c>
      <c r="AD672" s="213">
        <v>3</v>
      </c>
    </row>
    <row r="673" spans="28:30" x14ac:dyDescent="0.25">
      <c r="AB673" s="207" t="s">
        <v>233</v>
      </c>
      <c r="AC673" s="207" t="s">
        <v>878</v>
      </c>
      <c r="AD673" s="213">
        <v>3</v>
      </c>
    </row>
    <row r="674" spans="28:30" x14ac:dyDescent="0.25">
      <c r="AB674" s="207" t="s">
        <v>233</v>
      </c>
      <c r="AC674" s="207" t="s">
        <v>879</v>
      </c>
      <c r="AD674" s="213">
        <v>3</v>
      </c>
    </row>
    <row r="675" spans="28:30" x14ac:dyDescent="0.25">
      <c r="AB675" s="207" t="s">
        <v>233</v>
      </c>
      <c r="AC675" s="207" t="s">
        <v>880</v>
      </c>
      <c r="AD675" s="213">
        <v>2</v>
      </c>
    </row>
    <row r="676" spans="28:30" x14ac:dyDescent="0.25">
      <c r="AB676" s="207" t="s">
        <v>233</v>
      </c>
      <c r="AC676" s="207" t="s">
        <v>881</v>
      </c>
      <c r="AD676" s="213">
        <v>3</v>
      </c>
    </row>
    <row r="677" spans="28:30" x14ac:dyDescent="0.25">
      <c r="AB677" s="207" t="s">
        <v>233</v>
      </c>
      <c r="AC677" s="207" t="s">
        <v>882</v>
      </c>
      <c r="AD677" s="213">
        <v>3</v>
      </c>
    </row>
    <row r="678" spans="28:30" x14ac:dyDescent="0.25">
      <c r="AB678" s="207" t="s">
        <v>233</v>
      </c>
      <c r="AC678" s="207" t="s">
        <v>883</v>
      </c>
      <c r="AD678" s="213">
        <v>3</v>
      </c>
    </row>
    <row r="679" spans="28:30" x14ac:dyDescent="0.25">
      <c r="AB679" s="207" t="s">
        <v>249</v>
      </c>
      <c r="AC679" s="207" t="s">
        <v>884</v>
      </c>
      <c r="AD679" s="213">
        <v>3</v>
      </c>
    </row>
    <row r="680" spans="28:30" x14ac:dyDescent="0.25">
      <c r="AB680" s="207" t="s">
        <v>233</v>
      </c>
      <c r="AC680" s="207" t="s">
        <v>885</v>
      </c>
      <c r="AD680" s="213">
        <v>4</v>
      </c>
    </row>
    <row r="681" spans="28:30" x14ac:dyDescent="0.25">
      <c r="AB681" s="207" t="s">
        <v>233</v>
      </c>
      <c r="AC681" s="207" t="s">
        <v>886</v>
      </c>
      <c r="AD681" s="213">
        <v>3</v>
      </c>
    </row>
    <row r="682" spans="28:30" x14ac:dyDescent="0.25">
      <c r="AB682" s="207" t="s">
        <v>233</v>
      </c>
      <c r="AC682" s="207" t="s">
        <v>887</v>
      </c>
      <c r="AD682" s="213">
        <v>3</v>
      </c>
    </row>
    <row r="683" spans="28:30" x14ac:dyDescent="0.25">
      <c r="AB683" s="207" t="s">
        <v>233</v>
      </c>
      <c r="AC683" s="207" t="s">
        <v>888</v>
      </c>
      <c r="AD683" s="213">
        <v>3</v>
      </c>
    </row>
    <row r="684" spans="28:30" x14ac:dyDescent="0.25">
      <c r="AB684" s="207" t="s">
        <v>233</v>
      </c>
      <c r="AC684" s="207" t="s">
        <v>889</v>
      </c>
      <c r="AD684" s="213">
        <v>3</v>
      </c>
    </row>
    <row r="685" spans="28:30" x14ac:dyDescent="0.25">
      <c r="AB685" s="207" t="s">
        <v>233</v>
      </c>
      <c r="AC685" s="207" t="s">
        <v>890</v>
      </c>
      <c r="AD685" s="213">
        <v>4</v>
      </c>
    </row>
    <row r="686" spans="28:30" x14ac:dyDescent="0.25">
      <c r="AB686" s="207" t="s">
        <v>233</v>
      </c>
      <c r="AC686" s="207" t="s">
        <v>891</v>
      </c>
      <c r="AD686" s="213">
        <v>4</v>
      </c>
    </row>
    <row r="687" spans="28:30" x14ac:dyDescent="0.25">
      <c r="AB687" s="207" t="s">
        <v>27</v>
      </c>
      <c r="AC687" s="207" t="s">
        <v>892</v>
      </c>
      <c r="AD687" s="213">
        <v>2</v>
      </c>
    </row>
    <row r="688" spans="28:30" x14ac:dyDescent="0.25">
      <c r="AB688" s="207" t="s">
        <v>207</v>
      </c>
      <c r="AC688" s="207" t="s">
        <v>893</v>
      </c>
      <c r="AD688" s="213">
        <v>3</v>
      </c>
    </row>
    <row r="689" spans="28:30" x14ac:dyDescent="0.25">
      <c r="AB689" s="207" t="s">
        <v>207</v>
      </c>
      <c r="AC689" s="207" t="s">
        <v>894</v>
      </c>
      <c r="AD689" s="213">
        <v>3</v>
      </c>
    </row>
    <row r="690" spans="28:30" x14ac:dyDescent="0.25">
      <c r="AB690" s="207" t="s">
        <v>27</v>
      </c>
      <c r="AC690" s="207" t="s">
        <v>895</v>
      </c>
      <c r="AD690" s="213">
        <v>2</v>
      </c>
    </row>
    <row r="691" spans="28:30" x14ac:dyDescent="0.25">
      <c r="AB691" s="207" t="s">
        <v>27</v>
      </c>
      <c r="AC691" s="207" t="s">
        <v>896</v>
      </c>
      <c r="AD691" s="213">
        <v>2</v>
      </c>
    </row>
    <row r="692" spans="28:30" x14ac:dyDescent="0.25">
      <c r="AB692" s="207" t="s">
        <v>27</v>
      </c>
      <c r="AC692" s="207" t="s">
        <v>897</v>
      </c>
      <c r="AD692" s="213">
        <v>2</v>
      </c>
    </row>
    <row r="693" spans="28:30" x14ac:dyDescent="0.25">
      <c r="AB693" s="207" t="s">
        <v>207</v>
      </c>
      <c r="AC693" s="207" t="s">
        <v>898</v>
      </c>
      <c r="AD693" s="213">
        <v>1</v>
      </c>
    </row>
    <row r="694" spans="28:30" x14ac:dyDescent="0.25">
      <c r="AB694" s="207" t="s">
        <v>27</v>
      </c>
      <c r="AC694" s="207" t="s">
        <v>899</v>
      </c>
      <c r="AD694" s="213">
        <v>2</v>
      </c>
    </row>
    <row r="695" spans="28:30" x14ac:dyDescent="0.25">
      <c r="AB695" s="207" t="s">
        <v>207</v>
      </c>
      <c r="AC695" s="207" t="s">
        <v>5854</v>
      </c>
      <c r="AD695" s="213">
        <v>1</v>
      </c>
    </row>
    <row r="696" spans="28:30" x14ac:dyDescent="0.25">
      <c r="AB696" s="207" t="s">
        <v>27</v>
      </c>
      <c r="AC696" s="207" t="s">
        <v>900</v>
      </c>
      <c r="AD696" s="213">
        <v>2</v>
      </c>
    </row>
    <row r="697" spans="28:30" x14ac:dyDescent="0.25">
      <c r="AB697" s="207" t="s">
        <v>27</v>
      </c>
      <c r="AC697" s="207" t="s">
        <v>901</v>
      </c>
      <c r="AD697" s="213">
        <v>2</v>
      </c>
    </row>
    <row r="698" spans="28:30" x14ac:dyDescent="0.25">
      <c r="AB698" s="207" t="s">
        <v>27</v>
      </c>
      <c r="AC698" s="207" t="s">
        <v>902</v>
      </c>
      <c r="AD698" s="213">
        <v>2</v>
      </c>
    </row>
    <row r="699" spans="28:30" x14ac:dyDescent="0.25">
      <c r="AB699" s="207" t="s">
        <v>27</v>
      </c>
      <c r="AC699" s="207" t="s">
        <v>903</v>
      </c>
      <c r="AD699" s="213">
        <v>2</v>
      </c>
    </row>
    <row r="700" spans="28:30" x14ac:dyDescent="0.25">
      <c r="AB700" s="207" t="s">
        <v>27</v>
      </c>
      <c r="AC700" s="207" t="s">
        <v>904</v>
      </c>
      <c r="AD700" s="213">
        <v>2</v>
      </c>
    </row>
    <row r="701" spans="28:30" x14ac:dyDescent="0.25">
      <c r="AB701" s="207" t="s">
        <v>207</v>
      </c>
      <c r="AC701" s="207" t="s">
        <v>905</v>
      </c>
      <c r="AD701" s="213">
        <v>1</v>
      </c>
    </row>
    <row r="702" spans="28:30" x14ac:dyDescent="0.25">
      <c r="AB702" s="207" t="s">
        <v>27</v>
      </c>
      <c r="AC702" s="207" t="s">
        <v>906</v>
      </c>
      <c r="AD702" s="213">
        <v>2</v>
      </c>
    </row>
    <row r="703" spans="28:30" x14ac:dyDescent="0.25">
      <c r="AB703" s="207" t="s">
        <v>27</v>
      </c>
      <c r="AC703" s="207" t="s">
        <v>907</v>
      </c>
      <c r="AD703" s="213">
        <v>2</v>
      </c>
    </row>
    <row r="704" spans="28:30" x14ac:dyDescent="0.25">
      <c r="AB704" s="207" t="s">
        <v>207</v>
      </c>
      <c r="AC704" s="207" t="s">
        <v>908</v>
      </c>
      <c r="AD704" s="213">
        <v>1</v>
      </c>
    </row>
    <row r="705" spans="28:30" x14ac:dyDescent="0.25">
      <c r="AB705" s="207" t="s">
        <v>207</v>
      </c>
      <c r="AC705" s="207" t="s">
        <v>909</v>
      </c>
      <c r="AD705" s="213">
        <v>2</v>
      </c>
    </row>
    <row r="706" spans="28:30" x14ac:dyDescent="0.25">
      <c r="AB706" s="207" t="s">
        <v>27</v>
      </c>
      <c r="AC706" s="207" t="s">
        <v>910</v>
      </c>
      <c r="AD706" s="213">
        <v>2</v>
      </c>
    </row>
    <row r="707" spans="28:30" x14ac:dyDescent="0.25">
      <c r="AB707" s="207" t="s">
        <v>27</v>
      </c>
      <c r="AC707" s="207" t="s">
        <v>911</v>
      </c>
      <c r="AD707" s="213">
        <v>2</v>
      </c>
    </row>
    <row r="708" spans="28:30" x14ac:dyDescent="0.25">
      <c r="AB708" s="207" t="s">
        <v>207</v>
      </c>
      <c r="AC708" s="207" t="s">
        <v>912</v>
      </c>
      <c r="AD708" s="213">
        <v>2</v>
      </c>
    </row>
    <row r="709" spans="28:30" x14ac:dyDescent="0.25">
      <c r="AB709" s="207" t="s">
        <v>207</v>
      </c>
      <c r="AC709" s="207" t="s">
        <v>913</v>
      </c>
      <c r="AD709" s="213">
        <v>3</v>
      </c>
    </row>
    <row r="710" spans="28:30" x14ac:dyDescent="0.25">
      <c r="AB710" s="207" t="s">
        <v>27</v>
      </c>
      <c r="AC710" s="207" t="s">
        <v>914</v>
      </c>
      <c r="AD710" s="213">
        <v>2</v>
      </c>
    </row>
    <row r="711" spans="28:30" x14ac:dyDescent="0.25">
      <c r="AB711" s="207" t="s">
        <v>207</v>
      </c>
      <c r="AC711" s="207" t="s">
        <v>915</v>
      </c>
      <c r="AD711" s="213">
        <v>2</v>
      </c>
    </row>
    <row r="712" spans="28:30" x14ac:dyDescent="0.25">
      <c r="AB712" s="207" t="s">
        <v>27</v>
      </c>
      <c r="AC712" s="207" t="s">
        <v>916</v>
      </c>
      <c r="AD712" s="213">
        <v>2</v>
      </c>
    </row>
    <row r="713" spans="28:30" x14ac:dyDescent="0.25">
      <c r="AB713" s="207" t="s">
        <v>27</v>
      </c>
      <c r="AC713" s="207" t="s">
        <v>917</v>
      </c>
      <c r="AD713" s="213">
        <v>2</v>
      </c>
    </row>
    <row r="714" spans="28:30" x14ac:dyDescent="0.25">
      <c r="AB714" s="207" t="s">
        <v>27</v>
      </c>
      <c r="AC714" s="207" t="s">
        <v>918</v>
      </c>
      <c r="AD714" s="213">
        <v>2</v>
      </c>
    </row>
    <row r="715" spans="28:30" x14ac:dyDescent="0.25">
      <c r="AB715" s="207" t="s">
        <v>27</v>
      </c>
      <c r="AC715" s="207" t="s">
        <v>919</v>
      </c>
      <c r="AD715" s="213">
        <v>2</v>
      </c>
    </row>
    <row r="716" spans="28:30" x14ac:dyDescent="0.25">
      <c r="AB716" s="207" t="s">
        <v>27</v>
      </c>
      <c r="AC716" s="207" t="s">
        <v>920</v>
      </c>
      <c r="AD716" s="213">
        <v>2</v>
      </c>
    </row>
    <row r="717" spans="28:30" x14ac:dyDescent="0.25">
      <c r="AB717" s="207" t="s">
        <v>27</v>
      </c>
      <c r="AC717" s="207" t="s">
        <v>921</v>
      </c>
      <c r="AD717" s="213">
        <v>2</v>
      </c>
    </row>
    <row r="718" spans="28:30" x14ac:dyDescent="0.25">
      <c r="AB718" s="207" t="s">
        <v>27</v>
      </c>
      <c r="AC718" s="207" t="s">
        <v>922</v>
      </c>
      <c r="AD718" s="213">
        <v>2</v>
      </c>
    </row>
    <row r="719" spans="28:30" x14ac:dyDescent="0.25">
      <c r="AB719" s="207" t="s">
        <v>207</v>
      </c>
      <c r="AC719" s="207" t="s">
        <v>923</v>
      </c>
      <c r="AD719" s="213">
        <v>2</v>
      </c>
    </row>
    <row r="720" spans="28:30" x14ac:dyDescent="0.25">
      <c r="AB720" s="207" t="s">
        <v>207</v>
      </c>
      <c r="AC720" s="207" t="s">
        <v>924</v>
      </c>
      <c r="AD720" s="213">
        <v>2</v>
      </c>
    </row>
    <row r="721" spans="28:30" x14ac:dyDescent="0.25">
      <c r="AB721" s="207" t="s">
        <v>207</v>
      </c>
      <c r="AC721" s="207" t="s">
        <v>925</v>
      </c>
      <c r="AD721" s="213">
        <v>2</v>
      </c>
    </row>
    <row r="722" spans="28:30" x14ac:dyDescent="0.25">
      <c r="AB722" s="207" t="s">
        <v>27</v>
      </c>
      <c r="AC722" s="207" t="s">
        <v>926</v>
      </c>
      <c r="AD722" s="213">
        <v>1</v>
      </c>
    </row>
    <row r="723" spans="28:30" x14ac:dyDescent="0.25">
      <c r="AB723" s="207" t="s">
        <v>27</v>
      </c>
      <c r="AC723" s="207" t="s">
        <v>927</v>
      </c>
      <c r="AD723" s="213">
        <v>2</v>
      </c>
    </row>
    <row r="724" spans="28:30" x14ac:dyDescent="0.25">
      <c r="AB724" s="207" t="s">
        <v>27</v>
      </c>
      <c r="AC724" s="207" t="s">
        <v>928</v>
      </c>
      <c r="AD724" s="213">
        <v>3</v>
      </c>
    </row>
    <row r="725" spans="28:30" x14ac:dyDescent="0.25">
      <c r="AB725" s="207" t="s">
        <v>207</v>
      </c>
      <c r="AC725" s="207" t="s">
        <v>929</v>
      </c>
      <c r="AD725" s="213">
        <v>3</v>
      </c>
    </row>
    <row r="726" spans="28:30" x14ac:dyDescent="0.25">
      <c r="AB726" s="207" t="s">
        <v>27</v>
      </c>
      <c r="AC726" s="207" t="s">
        <v>930</v>
      </c>
      <c r="AD726" s="213">
        <v>2</v>
      </c>
    </row>
    <row r="727" spans="28:30" x14ac:dyDescent="0.25">
      <c r="AB727" s="207" t="s">
        <v>27</v>
      </c>
      <c r="AC727" s="207" t="s">
        <v>931</v>
      </c>
      <c r="AD727" s="213">
        <v>3</v>
      </c>
    </row>
    <row r="728" spans="28:30" x14ac:dyDescent="0.25">
      <c r="AB728" s="207" t="s">
        <v>207</v>
      </c>
      <c r="AC728" s="207" t="s">
        <v>932</v>
      </c>
      <c r="AD728" s="213">
        <v>2</v>
      </c>
    </row>
    <row r="729" spans="28:30" x14ac:dyDescent="0.25">
      <c r="AB729" s="207" t="s">
        <v>207</v>
      </c>
      <c r="AC729" s="207" t="s">
        <v>933</v>
      </c>
      <c r="AD729" s="213">
        <v>2</v>
      </c>
    </row>
    <row r="730" spans="28:30" x14ac:dyDescent="0.25">
      <c r="AB730" s="207" t="s">
        <v>207</v>
      </c>
      <c r="AC730" s="207" t="s">
        <v>934</v>
      </c>
      <c r="AD730" s="213">
        <v>2</v>
      </c>
    </row>
    <row r="731" spans="28:30" x14ac:dyDescent="0.25">
      <c r="AB731" s="207" t="s">
        <v>27</v>
      </c>
      <c r="AC731" s="207" t="s">
        <v>935</v>
      </c>
      <c r="AD731" s="213">
        <v>2</v>
      </c>
    </row>
    <row r="732" spans="28:30" x14ac:dyDescent="0.25">
      <c r="AB732" s="207" t="s">
        <v>27</v>
      </c>
      <c r="AC732" s="207" t="s">
        <v>936</v>
      </c>
      <c r="AD732" s="213">
        <v>2</v>
      </c>
    </row>
    <row r="733" spans="28:30" x14ac:dyDescent="0.25">
      <c r="AB733" s="207" t="s">
        <v>207</v>
      </c>
      <c r="AC733" s="207" t="s">
        <v>937</v>
      </c>
      <c r="AD733" s="213">
        <v>1</v>
      </c>
    </row>
    <row r="734" spans="28:30" x14ac:dyDescent="0.25">
      <c r="AB734" s="207" t="s">
        <v>214</v>
      </c>
      <c r="AC734" s="207" t="s">
        <v>938</v>
      </c>
      <c r="AD734" s="213">
        <v>2</v>
      </c>
    </row>
    <row r="735" spans="28:30" x14ac:dyDescent="0.25">
      <c r="AB735" s="207" t="s">
        <v>207</v>
      </c>
      <c r="AC735" s="207" t="s">
        <v>939</v>
      </c>
      <c r="AD735" s="213">
        <v>2</v>
      </c>
    </row>
    <row r="736" spans="28:30" x14ac:dyDescent="0.25">
      <c r="AB736" s="207" t="s">
        <v>207</v>
      </c>
      <c r="AC736" s="207" t="s">
        <v>940</v>
      </c>
      <c r="AD736" s="213">
        <v>2</v>
      </c>
    </row>
    <row r="737" spans="28:30" x14ac:dyDescent="0.25">
      <c r="AB737" s="207" t="s">
        <v>207</v>
      </c>
      <c r="AC737" s="207" t="s">
        <v>941</v>
      </c>
      <c r="AD737" s="213">
        <v>2</v>
      </c>
    </row>
    <row r="738" spans="28:30" x14ac:dyDescent="0.25">
      <c r="AB738" s="207" t="s">
        <v>207</v>
      </c>
      <c r="AC738" s="207" t="s">
        <v>942</v>
      </c>
      <c r="AD738" s="213">
        <v>1</v>
      </c>
    </row>
    <row r="739" spans="28:30" x14ac:dyDescent="0.25">
      <c r="AB739" s="207" t="s">
        <v>207</v>
      </c>
      <c r="AC739" s="207" t="s">
        <v>943</v>
      </c>
      <c r="AD739" s="213">
        <v>2</v>
      </c>
    </row>
    <row r="740" spans="28:30" x14ac:dyDescent="0.25">
      <c r="AB740" s="207" t="s">
        <v>27</v>
      </c>
      <c r="AC740" s="207" t="s">
        <v>944</v>
      </c>
      <c r="AD740" s="213">
        <v>2</v>
      </c>
    </row>
    <row r="741" spans="28:30" x14ac:dyDescent="0.25">
      <c r="AB741" s="207" t="s">
        <v>207</v>
      </c>
      <c r="AC741" s="207" t="s">
        <v>945</v>
      </c>
      <c r="AD741" s="213">
        <v>1</v>
      </c>
    </row>
    <row r="742" spans="28:30" x14ac:dyDescent="0.25">
      <c r="AB742" s="207" t="s">
        <v>27</v>
      </c>
      <c r="AC742" s="207" t="s">
        <v>946</v>
      </c>
      <c r="AD742" s="213">
        <v>2</v>
      </c>
    </row>
    <row r="743" spans="28:30" x14ac:dyDescent="0.25">
      <c r="AB743" s="207" t="s">
        <v>207</v>
      </c>
      <c r="AC743" s="207" t="s">
        <v>493</v>
      </c>
      <c r="AD743" s="213">
        <v>1</v>
      </c>
    </row>
    <row r="744" spans="28:30" x14ac:dyDescent="0.25">
      <c r="AB744" s="207" t="s">
        <v>27</v>
      </c>
      <c r="AC744" s="207" t="s">
        <v>947</v>
      </c>
      <c r="AD744" s="213">
        <v>2</v>
      </c>
    </row>
    <row r="745" spans="28:30" x14ac:dyDescent="0.25">
      <c r="AB745" s="207" t="s">
        <v>27</v>
      </c>
      <c r="AC745" s="207" t="s">
        <v>948</v>
      </c>
      <c r="AD745" s="213">
        <v>2</v>
      </c>
    </row>
    <row r="746" spans="28:30" x14ac:dyDescent="0.25">
      <c r="AB746" s="207" t="s">
        <v>27</v>
      </c>
      <c r="AC746" s="207" t="s">
        <v>949</v>
      </c>
      <c r="AD746" s="213">
        <v>1</v>
      </c>
    </row>
    <row r="747" spans="28:30" x14ac:dyDescent="0.25">
      <c r="AB747" s="207" t="s">
        <v>207</v>
      </c>
      <c r="AC747" s="207" t="s">
        <v>950</v>
      </c>
      <c r="AD747" s="213">
        <v>2</v>
      </c>
    </row>
    <row r="748" spans="28:30" x14ac:dyDescent="0.25">
      <c r="AB748" s="207" t="s">
        <v>207</v>
      </c>
      <c r="AC748" s="207" t="s">
        <v>951</v>
      </c>
      <c r="AD748" s="213">
        <v>1</v>
      </c>
    </row>
    <row r="749" spans="28:30" x14ac:dyDescent="0.25">
      <c r="AB749" s="207" t="s">
        <v>207</v>
      </c>
      <c r="AC749" s="207" t="s">
        <v>952</v>
      </c>
      <c r="AD749" s="213">
        <v>1</v>
      </c>
    </row>
    <row r="750" spans="28:30" x14ac:dyDescent="0.25">
      <c r="AB750" s="207" t="s">
        <v>207</v>
      </c>
      <c r="AC750" s="207" t="s">
        <v>953</v>
      </c>
      <c r="AD750" s="213">
        <v>1</v>
      </c>
    </row>
    <row r="751" spans="28:30" x14ac:dyDescent="0.25">
      <c r="AB751" s="207" t="s">
        <v>27</v>
      </c>
      <c r="AC751" s="207" t="s">
        <v>954</v>
      </c>
      <c r="AD751" s="213">
        <v>1</v>
      </c>
    </row>
    <row r="752" spans="28:30" x14ac:dyDescent="0.25">
      <c r="AB752" s="207" t="s">
        <v>207</v>
      </c>
      <c r="AC752" s="207" t="s">
        <v>955</v>
      </c>
      <c r="AD752" s="213">
        <v>1</v>
      </c>
    </row>
    <row r="753" spans="28:30" x14ac:dyDescent="0.25">
      <c r="AB753" s="207" t="s">
        <v>27</v>
      </c>
      <c r="AC753" s="207" t="s">
        <v>956</v>
      </c>
      <c r="AD753" s="213">
        <v>3</v>
      </c>
    </row>
    <row r="754" spans="28:30" x14ac:dyDescent="0.25">
      <c r="AB754" s="207" t="s">
        <v>27</v>
      </c>
      <c r="AC754" s="207" t="s">
        <v>957</v>
      </c>
      <c r="AD754" s="213">
        <v>2</v>
      </c>
    </row>
    <row r="755" spans="28:30" x14ac:dyDescent="0.25">
      <c r="AB755" s="207" t="s">
        <v>27</v>
      </c>
      <c r="AC755" s="207" t="s">
        <v>596</v>
      </c>
      <c r="AD755" s="213">
        <v>1</v>
      </c>
    </row>
    <row r="756" spans="28:30" x14ac:dyDescent="0.25">
      <c r="AB756" s="207" t="s">
        <v>27</v>
      </c>
      <c r="AC756" s="207" t="s">
        <v>958</v>
      </c>
      <c r="AD756" s="213">
        <v>3</v>
      </c>
    </row>
    <row r="757" spans="28:30" x14ac:dyDescent="0.25">
      <c r="AB757" s="207" t="s">
        <v>27</v>
      </c>
      <c r="AC757" s="207" t="s">
        <v>959</v>
      </c>
      <c r="AD757" s="213">
        <v>2</v>
      </c>
    </row>
    <row r="758" spans="28:30" x14ac:dyDescent="0.25">
      <c r="AB758" s="207" t="s">
        <v>27</v>
      </c>
      <c r="AC758" s="207" t="s">
        <v>960</v>
      </c>
      <c r="AD758" s="213">
        <v>1</v>
      </c>
    </row>
    <row r="759" spans="28:30" x14ac:dyDescent="0.25">
      <c r="AB759" s="207" t="s">
        <v>207</v>
      </c>
      <c r="AC759" s="207" t="s">
        <v>961</v>
      </c>
      <c r="AD759" s="213">
        <v>1</v>
      </c>
    </row>
    <row r="760" spans="28:30" x14ac:dyDescent="0.25">
      <c r="AB760" s="207" t="s">
        <v>27</v>
      </c>
      <c r="AC760" s="207" t="s">
        <v>962</v>
      </c>
      <c r="AD760" s="213">
        <v>2</v>
      </c>
    </row>
    <row r="761" spans="28:30" x14ac:dyDescent="0.25">
      <c r="AB761" s="207" t="s">
        <v>27</v>
      </c>
      <c r="AC761" s="207" t="s">
        <v>862</v>
      </c>
      <c r="AD761" s="213">
        <v>2</v>
      </c>
    </row>
    <row r="762" spans="28:30" x14ac:dyDescent="0.25">
      <c r="AB762" s="207" t="s">
        <v>27</v>
      </c>
      <c r="AC762" s="207" t="s">
        <v>963</v>
      </c>
      <c r="AD762" s="213">
        <v>1</v>
      </c>
    </row>
    <row r="763" spans="28:30" x14ac:dyDescent="0.25">
      <c r="AB763" s="207" t="s">
        <v>207</v>
      </c>
      <c r="AC763" s="207" t="s">
        <v>964</v>
      </c>
      <c r="AD763" s="213">
        <v>1</v>
      </c>
    </row>
    <row r="764" spans="28:30" x14ac:dyDescent="0.25">
      <c r="AB764" s="207" t="s">
        <v>207</v>
      </c>
      <c r="AC764" s="207" t="s">
        <v>965</v>
      </c>
      <c r="AD764" s="213">
        <v>2</v>
      </c>
    </row>
    <row r="765" spans="28:30" x14ac:dyDescent="0.25">
      <c r="AB765" s="207" t="s">
        <v>27</v>
      </c>
      <c r="AC765" s="207" t="s">
        <v>966</v>
      </c>
      <c r="AD765" s="213">
        <v>1</v>
      </c>
    </row>
    <row r="766" spans="28:30" x14ac:dyDescent="0.25">
      <c r="AB766" s="207" t="s">
        <v>207</v>
      </c>
      <c r="AC766" s="207" t="s">
        <v>967</v>
      </c>
      <c r="AD766" s="213">
        <v>1</v>
      </c>
    </row>
    <row r="767" spans="28:30" x14ac:dyDescent="0.25">
      <c r="AB767" s="207" t="s">
        <v>27</v>
      </c>
      <c r="AC767" s="207" t="s">
        <v>968</v>
      </c>
      <c r="AD767" s="213">
        <v>3</v>
      </c>
    </row>
    <row r="768" spans="28:30" x14ac:dyDescent="0.25">
      <c r="AB768" s="207" t="s">
        <v>207</v>
      </c>
      <c r="AC768" s="207" t="s">
        <v>969</v>
      </c>
      <c r="AD768" s="213">
        <v>3</v>
      </c>
    </row>
    <row r="769" spans="28:30" x14ac:dyDescent="0.25">
      <c r="AB769" s="207" t="s">
        <v>27</v>
      </c>
      <c r="AC769" s="207" t="s">
        <v>970</v>
      </c>
      <c r="AD769" s="213">
        <v>3</v>
      </c>
    </row>
    <row r="770" spans="28:30" x14ac:dyDescent="0.25">
      <c r="AB770" s="207" t="s">
        <v>207</v>
      </c>
      <c r="AC770" s="207" t="s">
        <v>971</v>
      </c>
      <c r="AD770" s="213">
        <v>1</v>
      </c>
    </row>
    <row r="771" spans="28:30" x14ac:dyDescent="0.25">
      <c r="AB771" s="207" t="s">
        <v>207</v>
      </c>
      <c r="AC771" s="207" t="s">
        <v>972</v>
      </c>
      <c r="AD771" s="213">
        <v>1</v>
      </c>
    </row>
    <row r="772" spans="28:30" x14ac:dyDescent="0.25">
      <c r="AB772" s="207" t="s">
        <v>27</v>
      </c>
      <c r="AC772" s="207" t="s">
        <v>973</v>
      </c>
      <c r="AD772" s="213">
        <v>3</v>
      </c>
    </row>
    <row r="773" spans="28:30" x14ac:dyDescent="0.25">
      <c r="AB773" s="207" t="s">
        <v>207</v>
      </c>
      <c r="AC773" s="207" t="s">
        <v>974</v>
      </c>
      <c r="AD773" s="213">
        <v>1</v>
      </c>
    </row>
    <row r="774" spans="28:30" x14ac:dyDescent="0.25">
      <c r="AB774" s="207" t="s">
        <v>207</v>
      </c>
      <c r="AC774" s="207" t="s">
        <v>975</v>
      </c>
      <c r="AD774" s="213">
        <v>1</v>
      </c>
    </row>
    <row r="775" spans="28:30" x14ac:dyDescent="0.25">
      <c r="AB775" s="207" t="s">
        <v>27</v>
      </c>
      <c r="AC775" s="207" t="s">
        <v>976</v>
      </c>
      <c r="AD775" s="213">
        <v>2</v>
      </c>
    </row>
    <row r="776" spans="28:30" x14ac:dyDescent="0.25">
      <c r="AB776" s="207" t="s">
        <v>207</v>
      </c>
      <c r="AC776" s="207" t="s">
        <v>977</v>
      </c>
      <c r="AD776" s="213">
        <v>1</v>
      </c>
    </row>
    <row r="777" spans="28:30" x14ac:dyDescent="0.25">
      <c r="AB777" s="207" t="s">
        <v>207</v>
      </c>
      <c r="AC777" s="207" t="s">
        <v>978</v>
      </c>
      <c r="AD777" s="213">
        <v>1</v>
      </c>
    </row>
    <row r="778" spans="28:30" x14ac:dyDescent="0.25">
      <c r="AB778" s="207" t="s">
        <v>27</v>
      </c>
      <c r="AC778" s="207" t="s">
        <v>979</v>
      </c>
      <c r="AD778" s="213">
        <v>1</v>
      </c>
    </row>
    <row r="779" spans="28:30" x14ac:dyDescent="0.25">
      <c r="AB779" s="207" t="s">
        <v>27</v>
      </c>
      <c r="AC779" s="207" t="s">
        <v>980</v>
      </c>
      <c r="AD779" s="213">
        <v>2</v>
      </c>
    </row>
    <row r="780" spans="28:30" x14ac:dyDescent="0.25">
      <c r="AB780" s="207" t="s">
        <v>27</v>
      </c>
      <c r="AC780" s="207" t="s">
        <v>981</v>
      </c>
      <c r="AD780" s="213">
        <v>2</v>
      </c>
    </row>
    <row r="781" spans="28:30" x14ac:dyDescent="0.25">
      <c r="AB781" s="207" t="s">
        <v>27</v>
      </c>
      <c r="AC781" s="207" t="s">
        <v>982</v>
      </c>
      <c r="AD781" s="213">
        <v>2</v>
      </c>
    </row>
    <row r="782" spans="28:30" x14ac:dyDescent="0.25">
      <c r="AB782" s="207" t="s">
        <v>207</v>
      </c>
      <c r="AC782" s="207" t="s">
        <v>983</v>
      </c>
      <c r="AD782" s="213">
        <v>2</v>
      </c>
    </row>
    <row r="783" spans="28:30" x14ac:dyDescent="0.25">
      <c r="AB783" s="207" t="s">
        <v>207</v>
      </c>
      <c r="AC783" s="207" t="s">
        <v>984</v>
      </c>
      <c r="AD783" s="213">
        <v>2</v>
      </c>
    </row>
    <row r="784" spans="28:30" x14ac:dyDescent="0.25">
      <c r="AB784" s="207" t="s">
        <v>207</v>
      </c>
      <c r="AC784" s="207" t="s">
        <v>985</v>
      </c>
      <c r="AD784" s="213">
        <v>2</v>
      </c>
    </row>
    <row r="785" spans="28:30" x14ac:dyDescent="0.25">
      <c r="AB785" s="207" t="s">
        <v>27</v>
      </c>
      <c r="AC785" s="207" t="s">
        <v>986</v>
      </c>
      <c r="AD785" s="213">
        <v>3</v>
      </c>
    </row>
    <row r="786" spans="28:30" x14ac:dyDescent="0.25">
      <c r="AB786" s="207" t="s">
        <v>207</v>
      </c>
      <c r="AC786" s="207" t="s">
        <v>987</v>
      </c>
      <c r="AD786" s="213">
        <v>2</v>
      </c>
    </row>
    <row r="787" spans="28:30" x14ac:dyDescent="0.25">
      <c r="AB787" s="207" t="s">
        <v>207</v>
      </c>
      <c r="AC787" s="207" t="s">
        <v>988</v>
      </c>
      <c r="AD787" s="213">
        <v>1</v>
      </c>
    </row>
    <row r="788" spans="28:30" x14ac:dyDescent="0.25">
      <c r="AB788" s="207" t="s">
        <v>27</v>
      </c>
      <c r="AC788" s="207" t="s">
        <v>989</v>
      </c>
      <c r="AD788" s="213">
        <v>3</v>
      </c>
    </row>
    <row r="789" spans="28:30" x14ac:dyDescent="0.25">
      <c r="AB789" s="207" t="s">
        <v>27</v>
      </c>
      <c r="AC789" s="207" t="s">
        <v>990</v>
      </c>
      <c r="AD789" s="213">
        <v>3</v>
      </c>
    </row>
    <row r="790" spans="28:30" x14ac:dyDescent="0.25">
      <c r="AB790" s="207" t="s">
        <v>207</v>
      </c>
      <c r="AC790" s="207" t="s">
        <v>991</v>
      </c>
      <c r="AD790" s="213">
        <v>1</v>
      </c>
    </row>
    <row r="791" spans="28:30" x14ac:dyDescent="0.25">
      <c r="AB791" s="207" t="s">
        <v>207</v>
      </c>
      <c r="AC791" s="207" t="s">
        <v>992</v>
      </c>
      <c r="AD791" s="213">
        <v>2</v>
      </c>
    </row>
    <row r="792" spans="28:30" x14ac:dyDescent="0.25">
      <c r="AB792" s="207" t="s">
        <v>207</v>
      </c>
      <c r="AC792" s="207" t="s">
        <v>993</v>
      </c>
      <c r="AD792" s="213">
        <v>2</v>
      </c>
    </row>
    <row r="793" spans="28:30" x14ac:dyDescent="0.25">
      <c r="AB793" s="207" t="s">
        <v>207</v>
      </c>
      <c r="AC793" s="207" t="s">
        <v>994</v>
      </c>
      <c r="AD793" s="213">
        <v>2</v>
      </c>
    </row>
    <row r="794" spans="28:30" x14ac:dyDescent="0.25">
      <c r="AB794" s="207" t="s">
        <v>207</v>
      </c>
      <c r="AC794" s="207" t="s">
        <v>995</v>
      </c>
      <c r="AD794" s="213">
        <v>2</v>
      </c>
    </row>
    <row r="795" spans="28:30" x14ac:dyDescent="0.25">
      <c r="AB795" s="207" t="s">
        <v>207</v>
      </c>
      <c r="AC795" s="207" t="s">
        <v>996</v>
      </c>
      <c r="AD795" s="213">
        <v>1</v>
      </c>
    </row>
    <row r="796" spans="28:30" x14ac:dyDescent="0.25">
      <c r="AB796" s="207" t="s">
        <v>207</v>
      </c>
      <c r="AC796" s="207" t="s">
        <v>997</v>
      </c>
      <c r="AD796" s="213">
        <v>2</v>
      </c>
    </row>
    <row r="797" spans="28:30" x14ac:dyDescent="0.25">
      <c r="AB797" s="207" t="s">
        <v>207</v>
      </c>
      <c r="AC797" s="207" t="s">
        <v>998</v>
      </c>
      <c r="AD797" s="213">
        <v>2</v>
      </c>
    </row>
    <row r="798" spans="28:30" x14ac:dyDescent="0.25">
      <c r="AB798" s="207" t="s">
        <v>27</v>
      </c>
      <c r="AC798" s="207" t="s">
        <v>999</v>
      </c>
      <c r="AD798" s="213">
        <v>2</v>
      </c>
    </row>
    <row r="799" spans="28:30" x14ac:dyDescent="0.25">
      <c r="AB799" s="207" t="s">
        <v>207</v>
      </c>
      <c r="AC799" s="207" t="s">
        <v>1000</v>
      </c>
      <c r="AD799" s="213">
        <v>2</v>
      </c>
    </row>
    <row r="800" spans="28:30" x14ac:dyDescent="0.25">
      <c r="AB800" s="207" t="s">
        <v>27</v>
      </c>
      <c r="AC800" s="207" t="s">
        <v>1001</v>
      </c>
      <c r="AD800" s="213">
        <v>3</v>
      </c>
    </row>
    <row r="801" spans="28:30" x14ac:dyDescent="0.25">
      <c r="AB801" s="207" t="s">
        <v>27</v>
      </c>
      <c r="AC801" s="207" t="s">
        <v>1002</v>
      </c>
      <c r="AD801" s="213">
        <v>3</v>
      </c>
    </row>
    <row r="802" spans="28:30" x14ac:dyDescent="0.25">
      <c r="AB802" s="207" t="s">
        <v>207</v>
      </c>
      <c r="AC802" s="207" t="s">
        <v>1003</v>
      </c>
      <c r="AD802" s="213">
        <v>2</v>
      </c>
    </row>
    <row r="803" spans="28:30" x14ac:dyDescent="0.25">
      <c r="AB803" s="207" t="s">
        <v>27</v>
      </c>
      <c r="AC803" s="207" t="s">
        <v>1004</v>
      </c>
      <c r="AD803" s="213">
        <v>1</v>
      </c>
    </row>
    <row r="804" spans="28:30" x14ac:dyDescent="0.25">
      <c r="AB804" s="207" t="s">
        <v>207</v>
      </c>
      <c r="AC804" s="207" t="s">
        <v>1005</v>
      </c>
      <c r="AD804" s="213">
        <v>3</v>
      </c>
    </row>
    <row r="805" spans="28:30" x14ac:dyDescent="0.25">
      <c r="AB805" s="207" t="s">
        <v>207</v>
      </c>
      <c r="AC805" s="207" t="s">
        <v>1006</v>
      </c>
      <c r="AD805" s="213">
        <v>2</v>
      </c>
    </row>
    <row r="806" spans="28:30" x14ac:dyDescent="0.25">
      <c r="AB806" s="207" t="s">
        <v>27</v>
      </c>
      <c r="AC806" s="207" t="s">
        <v>1007</v>
      </c>
      <c r="AD806" s="213">
        <v>3</v>
      </c>
    </row>
    <row r="807" spans="28:30" x14ac:dyDescent="0.25">
      <c r="AB807" s="207" t="s">
        <v>207</v>
      </c>
      <c r="AC807" s="207" t="s">
        <v>1008</v>
      </c>
      <c r="AD807" s="213">
        <v>2</v>
      </c>
    </row>
    <row r="808" spans="28:30" x14ac:dyDescent="0.25">
      <c r="AB808" s="207" t="s">
        <v>207</v>
      </c>
      <c r="AC808" s="207" t="s">
        <v>1009</v>
      </c>
      <c r="AD808" s="213">
        <v>2</v>
      </c>
    </row>
    <row r="809" spans="28:30" x14ac:dyDescent="0.25">
      <c r="AB809" s="207" t="s">
        <v>27</v>
      </c>
      <c r="AC809" s="207" t="s">
        <v>1010</v>
      </c>
      <c r="AD809" s="213">
        <v>3</v>
      </c>
    </row>
    <row r="810" spans="28:30" x14ac:dyDescent="0.25">
      <c r="AB810" s="207" t="s">
        <v>207</v>
      </c>
      <c r="AC810" s="207" t="s">
        <v>1011</v>
      </c>
      <c r="AD810" s="213">
        <v>2</v>
      </c>
    </row>
    <row r="811" spans="28:30" x14ac:dyDescent="0.25">
      <c r="AB811" s="207" t="s">
        <v>207</v>
      </c>
      <c r="AC811" s="207" t="s">
        <v>1012</v>
      </c>
      <c r="AD811" s="213">
        <v>2</v>
      </c>
    </row>
    <row r="812" spans="28:30" x14ac:dyDescent="0.25">
      <c r="AB812" s="207" t="s">
        <v>27</v>
      </c>
      <c r="AC812" s="207" t="s">
        <v>1013</v>
      </c>
      <c r="AD812" s="213">
        <v>5</v>
      </c>
    </row>
    <row r="813" spans="28:30" x14ac:dyDescent="0.25">
      <c r="AB813" s="207" t="s">
        <v>207</v>
      </c>
      <c r="AC813" s="207" t="s">
        <v>1014</v>
      </c>
      <c r="AD813" s="213">
        <v>2</v>
      </c>
    </row>
    <row r="814" spans="28:30" x14ac:dyDescent="0.25">
      <c r="AB814" s="207" t="s">
        <v>27</v>
      </c>
      <c r="AC814" s="207" t="s">
        <v>1015</v>
      </c>
      <c r="AD814" s="213">
        <v>2</v>
      </c>
    </row>
    <row r="815" spans="28:30" x14ac:dyDescent="0.25">
      <c r="AB815" s="207" t="s">
        <v>207</v>
      </c>
      <c r="AC815" s="207" t="s">
        <v>1016</v>
      </c>
      <c r="AD815" s="213">
        <v>1</v>
      </c>
    </row>
    <row r="816" spans="28:30" x14ac:dyDescent="0.25">
      <c r="AB816" s="207" t="s">
        <v>207</v>
      </c>
      <c r="AC816" s="207" t="s">
        <v>1017</v>
      </c>
      <c r="AD816" s="213">
        <v>2</v>
      </c>
    </row>
    <row r="817" spans="28:30" x14ac:dyDescent="0.25">
      <c r="AB817" s="207" t="s">
        <v>27</v>
      </c>
      <c r="AC817" s="207" t="s">
        <v>1018</v>
      </c>
      <c r="AD817" s="213">
        <v>3</v>
      </c>
    </row>
    <row r="818" spans="28:30" x14ac:dyDescent="0.25">
      <c r="AB818" s="207" t="s">
        <v>27</v>
      </c>
      <c r="AC818" s="207" t="s">
        <v>1019</v>
      </c>
      <c r="AD818" s="213">
        <v>3</v>
      </c>
    </row>
    <row r="819" spans="28:30" x14ac:dyDescent="0.25">
      <c r="AB819" s="207" t="s">
        <v>207</v>
      </c>
      <c r="AC819" s="207" t="s">
        <v>1020</v>
      </c>
      <c r="AD819" s="213">
        <v>2</v>
      </c>
    </row>
    <row r="820" spans="28:30" x14ac:dyDescent="0.25">
      <c r="AB820" s="207" t="s">
        <v>207</v>
      </c>
      <c r="AC820" s="207" t="s">
        <v>1021</v>
      </c>
      <c r="AD820" s="213">
        <v>2</v>
      </c>
    </row>
    <row r="821" spans="28:30" x14ac:dyDescent="0.25">
      <c r="AB821" s="207" t="s">
        <v>207</v>
      </c>
      <c r="AC821" s="207" t="s">
        <v>1022</v>
      </c>
      <c r="AD821" s="213">
        <v>2</v>
      </c>
    </row>
    <row r="822" spans="28:30" x14ac:dyDescent="0.25">
      <c r="AB822" s="207" t="s">
        <v>27</v>
      </c>
      <c r="AC822" s="207" t="s">
        <v>1023</v>
      </c>
      <c r="AD822" s="213">
        <v>3</v>
      </c>
    </row>
    <row r="823" spans="28:30" x14ac:dyDescent="0.25">
      <c r="AB823" s="207" t="s">
        <v>27</v>
      </c>
      <c r="AC823" s="207" t="s">
        <v>1024</v>
      </c>
      <c r="AD823" s="213">
        <v>3</v>
      </c>
    </row>
    <row r="824" spans="28:30" x14ac:dyDescent="0.25">
      <c r="AB824" s="207" t="s">
        <v>207</v>
      </c>
      <c r="AC824" s="207" t="s">
        <v>1025</v>
      </c>
      <c r="AD824" s="213">
        <v>2</v>
      </c>
    </row>
    <row r="825" spans="28:30" x14ac:dyDescent="0.25">
      <c r="AB825" s="207" t="s">
        <v>27</v>
      </c>
      <c r="AC825" s="207" t="s">
        <v>1026</v>
      </c>
      <c r="AD825" s="213">
        <v>3</v>
      </c>
    </row>
    <row r="826" spans="28:30" x14ac:dyDescent="0.25">
      <c r="AB826" s="207" t="s">
        <v>207</v>
      </c>
      <c r="AC826" s="207" t="s">
        <v>1027</v>
      </c>
      <c r="AD826" s="213">
        <v>2</v>
      </c>
    </row>
    <row r="827" spans="28:30" x14ac:dyDescent="0.25">
      <c r="AB827" s="207" t="s">
        <v>207</v>
      </c>
      <c r="AC827" s="207" t="s">
        <v>1028</v>
      </c>
      <c r="AD827" s="213">
        <v>2</v>
      </c>
    </row>
    <row r="828" spans="28:30" x14ac:dyDescent="0.25">
      <c r="AB828" s="207" t="s">
        <v>207</v>
      </c>
      <c r="AC828" s="207" t="s">
        <v>1029</v>
      </c>
      <c r="AD828" s="213">
        <v>2</v>
      </c>
    </row>
    <row r="829" spans="28:30" x14ac:dyDescent="0.25">
      <c r="AB829" s="207" t="s">
        <v>207</v>
      </c>
      <c r="AC829" s="207" t="s">
        <v>1030</v>
      </c>
      <c r="AD829" s="213">
        <v>1</v>
      </c>
    </row>
    <row r="830" spans="28:30" x14ac:dyDescent="0.25">
      <c r="AB830" s="207" t="s">
        <v>207</v>
      </c>
      <c r="AC830" s="207" t="s">
        <v>1031</v>
      </c>
      <c r="AD830" s="213">
        <v>2</v>
      </c>
    </row>
    <row r="831" spans="28:30" x14ac:dyDescent="0.25">
      <c r="AB831" s="207" t="s">
        <v>27</v>
      </c>
      <c r="AC831" s="207" t="s">
        <v>1032</v>
      </c>
      <c r="AD831" s="213">
        <v>3</v>
      </c>
    </row>
    <row r="832" spans="28:30" x14ac:dyDescent="0.25">
      <c r="AB832" s="207" t="s">
        <v>207</v>
      </c>
      <c r="AC832" s="207" t="s">
        <v>1033</v>
      </c>
      <c r="AD832" s="213">
        <v>2</v>
      </c>
    </row>
    <row r="833" spans="28:30" x14ac:dyDescent="0.25">
      <c r="AB833" s="207" t="s">
        <v>207</v>
      </c>
      <c r="AC833" s="207" t="s">
        <v>1034</v>
      </c>
      <c r="AD833" s="213">
        <v>2</v>
      </c>
    </row>
    <row r="834" spans="28:30" x14ac:dyDescent="0.25">
      <c r="AB834" s="207" t="s">
        <v>27</v>
      </c>
      <c r="AC834" s="207" t="s">
        <v>1035</v>
      </c>
      <c r="AD834" s="213">
        <v>2</v>
      </c>
    </row>
    <row r="835" spans="28:30" x14ac:dyDescent="0.25">
      <c r="AB835" s="207" t="s">
        <v>207</v>
      </c>
      <c r="AC835" s="207" t="s">
        <v>1036</v>
      </c>
      <c r="AD835" s="213">
        <v>1</v>
      </c>
    </row>
    <row r="836" spans="28:30" x14ac:dyDescent="0.25">
      <c r="AB836" s="207" t="s">
        <v>207</v>
      </c>
      <c r="AC836" s="207" t="s">
        <v>1037</v>
      </c>
      <c r="AD836" s="213">
        <v>2</v>
      </c>
    </row>
    <row r="837" spans="28:30" x14ac:dyDescent="0.25">
      <c r="AB837" s="207" t="s">
        <v>214</v>
      </c>
      <c r="AC837" s="207" t="s">
        <v>1038</v>
      </c>
      <c r="AD837" s="213">
        <v>2</v>
      </c>
    </row>
    <row r="838" spans="28:30" x14ac:dyDescent="0.25">
      <c r="AB838" s="207" t="s">
        <v>207</v>
      </c>
      <c r="AC838" s="207" t="s">
        <v>1039</v>
      </c>
      <c r="AD838" s="213">
        <v>2</v>
      </c>
    </row>
    <row r="839" spans="28:30" x14ac:dyDescent="0.25">
      <c r="AB839" s="207" t="s">
        <v>207</v>
      </c>
      <c r="AC839" s="207" t="s">
        <v>1040</v>
      </c>
      <c r="AD839" s="213">
        <v>2</v>
      </c>
    </row>
    <row r="840" spans="28:30" x14ac:dyDescent="0.25">
      <c r="AB840" s="207" t="s">
        <v>27</v>
      </c>
      <c r="AC840" s="207" t="s">
        <v>1041</v>
      </c>
      <c r="AD840" s="213">
        <v>2</v>
      </c>
    </row>
    <row r="841" spans="28:30" x14ac:dyDescent="0.25">
      <c r="AB841" s="207" t="s">
        <v>207</v>
      </c>
      <c r="AC841" s="207" t="s">
        <v>1042</v>
      </c>
      <c r="AD841" s="213">
        <v>1</v>
      </c>
    </row>
    <row r="842" spans="28:30" x14ac:dyDescent="0.25">
      <c r="AB842" s="207" t="s">
        <v>207</v>
      </c>
      <c r="AC842" s="207" t="s">
        <v>1043</v>
      </c>
      <c r="AD842" s="213">
        <v>1</v>
      </c>
    </row>
    <row r="843" spans="28:30" x14ac:dyDescent="0.25">
      <c r="AB843" s="207" t="s">
        <v>207</v>
      </c>
      <c r="AC843" s="207" t="s">
        <v>1044</v>
      </c>
      <c r="AD843" s="213">
        <v>2</v>
      </c>
    </row>
    <row r="844" spans="28:30" x14ac:dyDescent="0.25">
      <c r="AB844" s="207" t="s">
        <v>207</v>
      </c>
      <c r="AC844" s="207" t="s">
        <v>1045</v>
      </c>
      <c r="AD844" s="213">
        <v>2</v>
      </c>
    </row>
    <row r="845" spans="28:30" x14ac:dyDescent="0.25">
      <c r="AB845" s="207" t="s">
        <v>207</v>
      </c>
      <c r="AC845" s="207" t="s">
        <v>1046</v>
      </c>
      <c r="AD845" s="213">
        <v>1</v>
      </c>
    </row>
    <row r="846" spans="28:30" x14ac:dyDescent="0.25">
      <c r="AB846" s="207" t="s">
        <v>27</v>
      </c>
      <c r="AC846" s="207" t="s">
        <v>1047</v>
      </c>
      <c r="AD846" s="213">
        <v>2</v>
      </c>
    </row>
    <row r="847" spans="28:30" x14ac:dyDescent="0.25">
      <c r="AB847" s="207" t="s">
        <v>27</v>
      </c>
      <c r="AC847" s="207" t="s">
        <v>1048</v>
      </c>
      <c r="AD847" s="213">
        <v>3</v>
      </c>
    </row>
    <row r="848" spans="28:30" x14ac:dyDescent="0.25">
      <c r="AB848" s="207" t="s">
        <v>207</v>
      </c>
      <c r="AC848" s="207" t="s">
        <v>1049</v>
      </c>
      <c r="AD848" s="213">
        <v>1</v>
      </c>
    </row>
    <row r="849" spans="28:30" x14ac:dyDescent="0.25">
      <c r="AB849" s="207" t="s">
        <v>207</v>
      </c>
      <c r="AC849" s="207" t="s">
        <v>1050</v>
      </c>
      <c r="AD849" s="213">
        <v>2</v>
      </c>
    </row>
    <row r="850" spans="28:30" x14ac:dyDescent="0.25">
      <c r="AB850" s="207" t="s">
        <v>207</v>
      </c>
      <c r="AC850" s="207" t="s">
        <v>1051</v>
      </c>
      <c r="AD850" s="213">
        <v>2</v>
      </c>
    </row>
    <row r="851" spans="28:30" x14ac:dyDescent="0.25">
      <c r="AB851" s="207" t="s">
        <v>207</v>
      </c>
      <c r="AC851" s="207" t="s">
        <v>1052</v>
      </c>
      <c r="AD851" s="213">
        <v>1</v>
      </c>
    </row>
    <row r="852" spans="28:30" x14ac:dyDescent="0.25">
      <c r="AB852" s="207" t="s">
        <v>27</v>
      </c>
      <c r="AC852" s="207" t="s">
        <v>1053</v>
      </c>
      <c r="AD852" s="213">
        <v>3</v>
      </c>
    </row>
    <row r="853" spans="28:30" x14ac:dyDescent="0.25">
      <c r="AB853" s="207" t="s">
        <v>27</v>
      </c>
      <c r="AC853" s="207" t="s">
        <v>1054</v>
      </c>
      <c r="AD853" s="213">
        <v>2</v>
      </c>
    </row>
    <row r="854" spans="28:30" x14ac:dyDescent="0.25">
      <c r="AB854" s="207" t="s">
        <v>27</v>
      </c>
      <c r="AC854" s="207" t="s">
        <v>1055</v>
      </c>
      <c r="AD854" s="213">
        <v>3</v>
      </c>
    </row>
    <row r="855" spans="28:30" x14ac:dyDescent="0.25">
      <c r="AB855" s="207" t="s">
        <v>207</v>
      </c>
      <c r="AC855" s="207" t="s">
        <v>1056</v>
      </c>
      <c r="AD855" s="213">
        <v>1</v>
      </c>
    </row>
    <row r="856" spans="28:30" x14ac:dyDescent="0.25">
      <c r="AB856" s="207" t="s">
        <v>27</v>
      </c>
      <c r="AC856" s="207" t="s">
        <v>1057</v>
      </c>
      <c r="AD856" s="213">
        <v>2</v>
      </c>
    </row>
    <row r="857" spans="28:30" x14ac:dyDescent="0.25">
      <c r="AB857" s="207" t="s">
        <v>207</v>
      </c>
      <c r="AC857" s="207" t="s">
        <v>1058</v>
      </c>
      <c r="AD857" s="213">
        <v>1</v>
      </c>
    </row>
    <row r="858" spans="28:30" x14ac:dyDescent="0.25">
      <c r="AB858" s="207" t="s">
        <v>207</v>
      </c>
      <c r="AC858" s="207" t="s">
        <v>1059</v>
      </c>
      <c r="AD858" s="213">
        <v>2</v>
      </c>
    </row>
    <row r="859" spans="28:30" x14ac:dyDescent="0.25">
      <c r="AB859" s="207" t="s">
        <v>27</v>
      </c>
      <c r="AC859" s="207" t="s">
        <v>386</v>
      </c>
      <c r="AD859" s="213">
        <v>3</v>
      </c>
    </row>
    <row r="860" spans="28:30" x14ac:dyDescent="0.25">
      <c r="AB860" s="207" t="s">
        <v>27</v>
      </c>
      <c r="AC860" s="207" t="s">
        <v>1060</v>
      </c>
      <c r="AD860" s="213">
        <v>2</v>
      </c>
    </row>
    <row r="861" spans="28:30" x14ac:dyDescent="0.25">
      <c r="AB861" s="207" t="s">
        <v>207</v>
      </c>
      <c r="AC861" s="207" t="s">
        <v>1061</v>
      </c>
      <c r="AD861" s="213">
        <v>2</v>
      </c>
    </row>
    <row r="862" spans="28:30" x14ac:dyDescent="0.25">
      <c r="AB862" s="207" t="s">
        <v>27</v>
      </c>
      <c r="AC862" s="207" t="s">
        <v>1062</v>
      </c>
      <c r="AD862" s="213">
        <v>2</v>
      </c>
    </row>
    <row r="863" spans="28:30" x14ac:dyDescent="0.25">
      <c r="AB863" s="207" t="s">
        <v>207</v>
      </c>
      <c r="AC863" s="207" t="s">
        <v>1063</v>
      </c>
      <c r="AD863" s="213">
        <v>1</v>
      </c>
    </row>
    <row r="864" spans="28:30" x14ac:dyDescent="0.25">
      <c r="AB864" s="207" t="s">
        <v>207</v>
      </c>
      <c r="AC864" s="207" t="s">
        <v>1064</v>
      </c>
      <c r="AD864" s="213">
        <v>1</v>
      </c>
    </row>
    <row r="865" spans="28:30" x14ac:dyDescent="0.25">
      <c r="AB865" s="207" t="s">
        <v>207</v>
      </c>
      <c r="AC865" s="207" t="s">
        <v>1065</v>
      </c>
      <c r="AD865" s="213">
        <v>2</v>
      </c>
    </row>
    <row r="866" spans="28:30" x14ac:dyDescent="0.25">
      <c r="AB866" s="207" t="s">
        <v>207</v>
      </c>
      <c r="AC866" s="207" t="s">
        <v>1066</v>
      </c>
      <c r="AD866" s="213">
        <v>2</v>
      </c>
    </row>
    <row r="867" spans="28:30" x14ac:dyDescent="0.25">
      <c r="AB867" s="207" t="s">
        <v>207</v>
      </c>
      <c r="AC867" s="207" t="s">
        <v>1067</v>
      </c>
      <c r="AD867" s="213">
        <v>2</v>
      </c>
    </row>
    <row r="868" spans="28:30" x14ac:dyDescent="0.25">
      <c r="AB868" s="207" t="s">
        <v>207</v>
      </c>
      <c r="AC868" s="207" t="s">
        <v>1068</v>
      </c>
      <c r="AD868" s="213">
        <v>2</v>
      </c>
    </row>
    <row r="869" spans="28:30" x14ac:dyDescent="0.25">
      <c r="AB869" s="207" t="s">
        <v>207</v>
      </c>
      <c r="AC869" s="207" t="s">
        <v>1069</v>
      </c>
      <c r="AD869" s="213">
        <v>1</v>
      </c>
    </row>
    <row r="870" spans="28:30" x14ac:dyDescent="0.25">
      <c r="AB870" s="207" t="s">
        <v>207</v>
      </c>
      <c r="AC870" s="207" t="s">
        <v>1070</v>
      </c>
      <c r="AD870" s="213">
        <v>2</v>
      </c>
    </row>
    <row r="871" spans="28:30" x14ac:dyDescent="0.25">
      <c r="AB871" s="207" t="s">
        <v>207</v>
      </c>
      <c r="AC871" s="207" t="s">
        <v>1071</v>
      </c>
      <c r="AD871" s="213">
        <v>2</v>
      </c>
    </row>
    <row r="872" spans="28:30" x14ac:dyDescent="0.25">
      <c r="AB872" s="207" t="s">
        <v>27</v>
      </c>
      <c r="AC872" s="207" t="s">
        <v>1072</v>
      </c>
      <c r="AD872" s="213">
        <v>3</v>
      </c>
    </row>
    <row r="873" spans="28:30" x14ac:dyDescent="0.25">
      <c r="AB873" s="207" t="s">
        <v>27</v>
      </c>
      <c r="AC873" s="207" t="s">
        <v>1073</v>
      </c>
      <c r="AD873" s="213">
        <v>3</v>
      </c>
    </row>
    <row r="874" spans="28:30" x14ac:dyDescent="0.25">
      <c r="AB874" s="207" t="s">
        <v>207</v>
      </c>
      <c r="AC874" s="207" t="s">
        <v>1074</v>
      </c>
      <c r="AD874" s="213">
        <v>2</v>
      </c>
    </row>
    <row r="875" spans="28:30" x14ac:dyDescent="0.25">
      <c r="AB875" s="207" t="s">
        <v>27</v>
      </c>
      <c r="AC875" s="207" t="s">
        <v>1075</v>
      </c>
      <c r="AD875" s="213">
        <v>2</v>
      </c>
    </row>
    <row r="876" spans="28:30" x14ac:dyDescent="0.25">
      <c r="AB876" s="207" t="s">
        <v>207</v>
      </c>
      <c r="AC876" s="207" t="s">
        <v>1076</v>
      </c>
      <c r="AD876" s="213">
        <v>2</v>
      </c>
    </row>
    <row r="877" spans="28:30" x14ac:dyDescent="0.25">
      <c r="AB877" s="207" t="s">
        <v>207</v>
      </c>
      <c r="AC877" s="207" t="s">
        <v>1077</v>
      </c>
      <c r="AD877" s="213">
        <v>1</v>
      </c>
    </row>
    <row r="878" spans="28:30" x14ac:dyDescent="0.25">
      <c r="AB878" s="207" t="s">
        <v>207</v>
      </c>
      <c r="AC878" s="207" t="s">
        <v>1078</v>
      </c>
      <c r="AD878" s="213">
        <v>2</v>
      </c>
    </row>
    <row r="879" spans="28:30" x14ac:dyDescent="0.25">
      <c r="AB879" s="207" t="s">
        <v>207</v>
      </c>
      <c r="AC879" s="207" t="s">
        <v>1079</v>
      </c>
      <c r="AD879" s="213">
        <v>2</v>
      </c>
    </row>
    <row r="880" spans="28:30" x14ac:dyDescent="0.25">
      <c r="AB880" s="207" t="s">
        <v>207</v>
      </c>
      <c r="AC880" s="207" t="s">
        <v>1080</v>
      </c>
      <c r="AD880" s="213">
        <v>2</v>
      </c>
    </row>
    <row r="881" spans="28:30" x14ac:dyDescent="0.25">
      <c r="AB881" s="207" t="s">
        <v>27</v>
      </c>
      <c r="AC881" s="207" t="s">
        <v>1081</v>
      </c>
      <c r="AD881" s="213">
        <v>3</v>
      </c>
    </row>
    <row r="882" spans="28:30" x14ac:dyDescent="0.25">
      <c r="AB882" s="207" t="s">
        <v>207</v>
      </c>
      <c r="AC882" s="207" t="s">
        <v>1082</v>
      </c>
      <c r="AD882" s="213">
        <v>2</v>
      </c>
    </row>
    <row r="883" spans="28:30" x14ac:dyDescent="0.25">
      <c r="AB883" s="207" t="s">
        <v>27</v>
      </c>
      <c r="AC883" s="207" t="s">
        <v>1083</v>
      </c>
      <c r="AD883" s="213">
        <v>3</v>
      </c>
    </row>
    <row r="884" spans="28:30" x14ac:dyDescent="0.25">
      <c r="AB884" s="207" t="s">
        <v>27</v>
      </c>
      <c r="AC884" s="207" t="s">
        <v>1084</v>
      </c>
      <c r="AD884" s="213">
        <v>2</v>
      </c>
    </row>
    <row r="885" spans="28:30" x14ac:dyDescent="0.25">
      <c r="AB885" s="207" t="s">
        <v>27</v>
      </c>
      <c r="AC885" s="207" t="s">
        <v>1085</v>
      </c>
      <c r="AD885" s="213">
        <v>3</v>
      </c>
    </row>
    <row r="886" spans="28:30" x14ac:dyDescent="0.25">
      <c r="AB886" s="207" t="s">
        <v>207</v>
      </c>
      <c r="AC886" s="207" t="s">
        <v>1086</v>
      </c>
      <c r="AD886" s="213">
        <v>2</v>
      </c>
    </row>
    <row r="887" spans="28:30" x14ac:dyDescent="0.25">
      <c r="AB887" s="207" t="s">
        <v>27</v>
      </c>
      <c r="AC887" s="207" t="s">
        <v>1087</v>
      </c>
      <c r="AD887" s="213">
        <v>2</v>
      </c>
    </row>
    <row r="888" spans="28:30" x14ac:dyDescent="0.25">
      <c r="AB888" s="207" t="s">
        <v>27</v>
      </c>
      <c r="AC888" s="207" t="s">
        <v>1088</v>
      </c>
      <c r="AD888" s="213">
        <v>2</v>
      </c>
    </row>
    <row r="889" spans="28:30" x14ac:dyDescent="0.25">
      <c r="AB889" s="207" t="s">
        <v>207</v>
      </c>
      <c r="AC889" s="207" t="s">
        <v>1089</v>
      </c>
      <c r="AD889" s="213">
        <v>2</v>
      </c>
    </row>
    <row r="890" spans="28:30" x14ac:dyDescent="0.25">
      <c r="AB890" s="207" t="s">
        <v>207</v>
      </c>
      <c r="AC890" s="207" t="s">
        <v>1090</v>
      </c>
      <c r="AD890" s="213">
        <v>3</v>
      </c>
    </row>
    <row r="891" spans="28:30" x14ac:dyDescent="0.25">
      <c r="AB891" s="207" t="s">
        <v>27</v>
      </c>
      <c r="AC891" s="207" t="s">
        <v>1091</v>
      </c>
      <c r="AD891" s="213">
        <v>2</v>
      </c>
    </row>
    <row r="892" spans="28:30" x14ac:dyDescent="0.25">
      <c r="AB892" s="207" t="s">
        <v>27</v>
      </c>
      <c r="AC892" s="207" t="s">
        <v>1092</v>
      </c>
      <c r="AD892" s="213">
        <v>2</v>
      </c>
    </row>
    <row r="893" spans="28:30" x14ac:dyDescent="0.25">
      <c r="AB893" s="207" t="s">
        <v>207</v>
      </c>
      <c r="AC893" s="207" t="s">
        <v>1093</v>
      </c>
      <c r="AD893" s="213">
        <v>2</v>
      </c>
    </row>
    <row r="894" spans="28:30" x14ac:dyDescent="0.25">
      <c r="AB894" s="207" t="s">
        <v>27</v>
      </c>
      <c r="AC894" s="207" t="s">
        <v>1094</v>
      </c>
      <c r="AD894" s="213">
        <v>2</v>
      </c>
    </row>
    <row r="895" spans="28:30" x14ac:dyDescent="0.25">
      <c r="AB895" s="207" t="s">
        <v>207</v>
      </c>
      <c r="AC895" s="207" t="s">
        <v>1095</v>
      </c>
      <c r="AD895" s="213">
        <v>1</v>
      </c>
    </row>
    <row r="896" spans="28:30" x14ac:dyDescent="0.25">
      <c r="AB896" s="207" t="s">
        <v>207</v>
      </c>
      <c r="AC896" s="207" t="s">
        <v>1096</v>
      </c>
      <c r="AD896" s="213">
        <v>1</v>
      </c>
    </row>
    <row r="897" spans="28:30" x14ac:dyDescent="0.25">
      <c r="AB897" s="207" t="s">
        <v>27</v>
      </c>
      <c r="AC897" s="207" t="s">
        <v>1097</v>
      </c>
      <c r="AD897" s="213">
        <v>3</v>
      </c>
    </row>
    <row r="898" spans="28:30" x14ac:dyDescent="0.25">
      <c r="AB898" s="207" t="s">
        <v>207</v>
      </c>
      <c r="AC898" s="207" t="s">
        <v>1098</v>
      </c>
      <c r="AD898" s="213">
        <v>2</v>
      </c>
    </row>
    <row r="899" spans="28:30" x14ac:dyDescent="0.25">
      <c r="AB899" s="207" t="s">
        <v>27</v>
      </c>
      <c r="AC899" s="207" t="s">
        <v>1099</v>
      </c>
      <c r="AD899" s="213">
        <v>2</v>
      </c>
    </row>
    <row r="900" spans="28:30" x14ac:dyDescent="0.25">
      <c r="AB900" s="207" t="s">
        <v>27</v>
      </c>
      <c r="AC900" s="207" t="s">
        <v>1100</v>
      </c>
      <c r="AD900" s="213">
        <v>3</v>
      </c>
    </row>
    <row r="901" spans="28:30" x14ac:dyDescent="0.25">
      <c r="AB901" s="207" t="s">
        <v>207</v>
      </c>
      <c r="AC901" s="207" t="s">
        <v>1101</v>
      </c>
      <c r="AD901" s="213">
        <v>2</v>
      </c>
    </row>
    <row r="902" spans="28:30" x14ac:dyDescent="0.25">
      <c r="AB902" s="207" t="s">
        <v>207</v>
      </c>
      <c r="AC902" s="207" t="s">
        <v>1102</v>
      </c>
      <c r="AD902" s="213">
        <v>1</v>
      </c>
    </row>
    <row r="903" spans="28:30" x14ac:dyDescent="0.25">
      <c r="AB903" s="207" t="s">
        <v>207</v>
      </c>
      <c r="AC903" s="207" t="s">
        <v>1103</v>
      </c>
      <c r="AD903" s="213">
        <v>2</v>
      </c>
    </row>
    <row r="904" spans="28:30" x14ac:dyDescent="0.25">
      <c r="AB904" s="207" t="s">
        <v>207</v>
      </c>
      <c r="AC904" s="207" t="s">
        <v>1104</v>
      </c>
      <c r="AD904" s="213">
        <v>1</v>
      </c>
    </row>
    <row r="905" spans="28:30" x14ac:dyDescent="0.25">
      <c r="AB905" s="207" t="s">
        <v>207</v>
      </c>
      <c r="AC905" s="207" t="s">
        <v>1105</v>
      </c>
      <c r="AD905" s="213">
        <v>1</v>
      </c>
    </row>
    <row r="906" spans="28:30" x14ac:dyDescent="0.25">
      <c r="AB906" s="207" t="s">
        <v>207</v>
      </c>
      <c r="AC906" s="207" t="s">
        <v>1106</v>
      </c>
      <c r="AD906" s="213">
        <v>2</v>
      </c>
    </row>
    <row r="907" spans="28:30" x14ac:dyDescent="0.25">
      <c r="AB907" s="207" t="s">
        <v>27</v>
      </c>
      <c r="AC907" s="207" t="s">
        <v>1107</v>
      </c>
      <c r="AD907" s="213">
        <v>2</v>
      </c>
    </row>
    <row r="908" spans="28:30" x14ac:dyDescent="0.25">
      <c r="AB908" s="207" t="s">
        <v>207</v>
      </c>
      <c r="AC908" s="207" t="s">
        <v>1108</v>
      </c>
      <c r="AD908" s="213">
        <v>2</v>
      </c>
    </row>
    <row r="909" spans="28:30" x14ac:dyDescent="0.25">
      <c r="AB909" s="207" t="s">
        <v>27</v>
      </c>
      <c r="AC909" s="207" t="s">
        <v>1109</v>
      </c>
      <c r="AD909" s="213">
        <v>3</v>
      </c>
    </row>
    <row r="910" spans="28:30" x14ac:dyDescent="0.25">
      <c r="AB910" s="207" t="s">
        <v>207</v>
      </c>
      <c r="AC910" s="207" t="s">
        <v>1110</v>
      </c>
      <c r="AD910" s="213">
        <v>2</v>
      </c>
    </row>
    <row r="911" spans="28:30" x14ac:dyDescent="0.25">
      <c r="AB911" s="207" t="s">
        <v>207</v>
      </c>
      <c r="AC911" s="207" t="s">
        <v>1111</v>
      </c>
      <c r="AD911" s="213">
        <v>2</v>
      </c>
    </row>
    <row r="912" spans="28:30" x14ac:dyDescent="0.25">
      <c r="AB912" s="207" t="s">
        <v>27</v>
      </c>
      <c r="AC912" s="207" t="s">
        <v>1112</v>
      </c>
      <c r="AD912" s="213">
        <v>2</v>
      </c>
    </row>
    <row r="913" spans="28:30" x14ac:dyDescent="0.25">
      <c r="AB913" s="207" t="s">
        <v>207</v>
      </c>
      <c r="AC913" s="207" t="s">
        <v>1113</v>
      </c>
      <c r="AD913" s="213">
        <v>2</v>
      </c>
    </row>
    <row r="914" spans="28:30" x14ac:dyDescent="0.25">
      <c r="AB914" s="207" t="s">
        <v>27</v>
      </c>
      <c r="AC914" s="207" t="s">
        <v>1114</v>
      </c>
      <c r="AD914" s="213">
        <v>2</v>
      </c>
    </row>
    <row r="915" spans="28:30" x14ac:dyDescent="0.25">
      <c r="AB915" s="207" t="s">
        <v>27</v>
      </c>
      <c r="AC915" s="207" t="s">
        <v>1115</v>
      </c>
      <c r="AD915" s="213">
        <v>2</v>
      </c>
    </row>
    <row r="916" spans="28:30" x14ac:dyDescent="0.25">
      <c r="AB916" s="207" t="s">
        <v>27</v>
      </c>
      <c r="AC916" s="207" t="s">
        <v>1116</v>
      </c>
      <c r="AD916" s="213">
        <v>2</v>
      </c>
    </row>
    <row r="917" spans="28:30" x14ac:dyDescent="0.25">
      <c r="AB917" s="207" t="s">
        <v>27</v>
      </c>
      <c r="AC917" s="207" t="s">
        <v>1117</v>
      </c>
      <c r="AD917" s="213">
        <v>2</v>
      </c>
    </row>
    <row r="918" spans="28:30" x14ac:dyDescent="0.25">
      <c r="AB918" s="207" t="s">
        <v>207</v>
      </c>
      <c r="AC918" s="207" t="s">
        <v>1118</v>
      </c>
      <c r="AD918" s="213">
        <v>2</v>
      </c>
    </row>
    <row r="919" spans="28:30" x14ac:dyDescent="0.25">
      <c r="AB919" s="207" t="s">
        <v>27</v>
      </c>
      <c r="AC919" s="207" t="s">
        <v>1119</v>
      </c>
      <c r="AD919" s="213">
        <v>2</v>
      </c>
    </row>
    <row r="920" spans="28:30" x14ac:dyDescent="0.25">
      <c r="AB920" s="207" t="s">
        <v>27</v>
      </c>
      <c r="AC920" s="207" t="s">
        <v>1120</v>
      </c>
      <c r="AD920" s="213">
        <v>3</v>
      </c>
    </row>
    <row r="921" spans="28:30" x14ac:dyDescent="0.25">
      <c r="AB921" s="207" t="s">
        <v>207</v>
      </c>
      <c r="AC921" s="207" t="s">
        <v>1121</v>
      </c>
      <c r="AD921" s="213">
        <v>1</v>
      </c>
    </row>
    <row r="922" spans="28:30" x14ac:dyDescent="0.25">
      <c r="AB922" s="207" t="s">
        <v>207</v>
      </c>
      <c r="AC922" s="207" t="s">
        <v>1122</v>
      </c>
      <c r="AD922" s="213">
        <v>1</v>
      </c>
    </row>
    <row r="923" spans="28:30" x14ac:dyDescent="0.25">
      <c r="AB923" s="207" t="s">
        <v>207</v>
      </c>
      <c r="AC923" s="207" t="s">
        <v>1123</v>
      </c>
      <c r="AD923" s="213">
        <v>3</v>
      </c>
    </row>
    <row r="924" spans="28:30" x14ac:dyDescent="0.25">
      <c r="AB924" s="207" t="s">
        <v>27</v>
      </c>
      <c r="AC924" s="207" t="s">
        <v>1124</v>
      </c>
      <c r="AD924" s="213">
        <v>2</v>
      </c>
    </row>
    <row r="925" spans="28:30" x14ac:dyDescent="0.25">
      <c r="AB925" s="207" t="s">
        <v>207</v>
      </c>
      <c r="AC925" s="207" t="s">
        <v>1125</v>
      </c>
      <c r="AD925" s="213">
        <v>1</v>
      </c>
    </row>
    <row r="926" spans="28:30" x14ac:dyDescent="0.25">
      <c r="AB926" s="207" t="s">
        <v>207</v>
      </c>
      <c r="AC926" s="207" t="s">
        <v>1126</v>
      </c>
      <c r="AD926" s="213">
        <v>2</v>
      </c>
    </row>
    <row r="927" spans="28:30" x14ac:dyDescent="0.25">
      <c r="AB927" s="207" t="s">
        <v>207</v>
      </c>
      <c r="AC927" s="207" t="s">
        <v>1127</v>
      </c>
      <c r="AD927" s="213">
        <v>2</v>
      </c>
    </row>
    <row r="928" spans="28:30" x14ac:dyDescent="0.25">
      <c r="AB928" s="207" t="s">
        <v>207</v>
      </c>
      <c r="AC928" s="207" t="s">
        <v>1128</v>
      </c>
      <c r="AD928" s="213">
        <v>2</v>
      </c>
    </row>
    <row r="929" spans="28:30" x14ac:dyDescent="0.25">
      <c r="AB929" s="207" t="s">
        <v>27</v>
      </c>
      <c r="AC929" s="207" t="s">
        <v>1129</v>
      </c>
      <c r="AD929" s="213">
        <v>2</v>
      </c>
    </row>
    <row r="930" spans="28:30" x14ac:dyDescent="0.25">
      <c r="AB930" s="207" t="s">
        <v>27</v>
      </c>
      <c r="AC930" s="207" t="s">
        <v>1130</v>
      </c>
      <c r="AD930" s="213">
        <v>2</v>
      </c>
    </row>
    <row r="931" spans="28:30" x14ac:dyDescent="0.25">
      <c r="AB931" s="207" t="s">
        <v>27</v>
      </c>
      <c r="AC931" s="207" t="s">
        <v>1131</v>
      </c>
      <c r="AD931" s="213">
        <v>3</v>
      </c>
    </row>
    <row r="932" spans="28:30" x14ac:dyDescent="0.25">
      <c r="AB932" s="207" t="s">
        <v>27</v>
      </c>
      <c r="AC932" s="207" t="s">
        <v>1132</v>
      </c>
      <c r="AD932" s="213">
        <v>2</v>
      </c>
    </row>
    <row r="933" spans="28:30" x14ac:dyDescent="0.25">
      <c r="AB933" s="207" t="s">
        <v>207</v>
      </c>
      <c r="AC933" s="207" t="s">
        <v>1133</v>
      </c>
      <c r="AD933" s="213">
        <v>2</v>
      </c>
    </row>
    <row r="934" spans="28:30" x14ac:dyDescent="0.25">
      <c r="AB934" s="207" t="s">
        <v>27</v>
      </c>
      <c r="AC934" s="207" t="s">
        <v>1134</v>
      </c>
      <c r="AD934" s="213">
        <v>2</v>
      </c>
    </row>
    <row r="935" spans="28:30" x14ac:dyDescent="0.25">
      <c r="AB935" s="207" t="s">
        <v>207</v>
      </c>
      <c r="AC935" s="207" t="s">
        <v>1135</v>
      </c>
      <c r="AD935" s="213">
        <v>2</v>
      </c>
    </row>
    <row r="936" spans="28:30" x14ac:dyDescent="0.25">
      <c r="AB936" s="207" t="s">
        <v>27</v>
      </c>
      <c r="AC936" s="207" t="s">
        <v>1136</v>
      </c>
      <c r="AD936" s="213">
        <v>2</v>
      </c>
    </row>
    <row r="937" spans="28:30" x14ac:dyDescent="0.25">
      <c r="AB937" s="207" t="s">
        <v>207</v>
      </c>
      <c r="AC937" s="207" t="s">
        <v>1137</v>
      </c>
      <c r="AD937" s="213">
        <v>2</v>
      </c>
    </row>
    <row r="938" spans="28:30" x14ac:dyDescent="0.25">
      <c r="AB938" s="207" t="s">
        <v>27</v>
      </c>
      <c r="AC938" s="207" t="s">
        <v>1138</v>
      </c>
      <c r="AD938" s="213">
        <v>2</v>
      </c>
    </row>
    <row r="939" spans="28:30" x14ac:dyDescent="0.25">
      <c r="AB939" s="207" t="s">
        <v>207</v>
      </c>
      <c r="AC939" s="207" t="s">
        <v>1139</v>
      </c>
      <c r="AD939" s="213">
        <v>2</v>
      </c>
    </row>
    <row r="940" spans="28:30" x14ac:dyDescent="0.25">
      <c r="AB940" s="207" t="s">
        <v>207</v>
      </c>
      <c r="AC940" s="207" t="s">
        <v>1140</v>
      </c>
      <c r="AD940" s="213">
        <v>2</v>
      </c>
    </row>
    <row r="941" spans="28:30" x14ac:dyDescent="0.25">
      <c r="AB941" s="207" t="s">
        <v>207</v>
      </c>
      <c r="AC941" s="207" t="s">
        <v>1141</v>
      </c>
      <c r="AD941" s="213">
        <v>2</v>
      </c>
    </row>
    <row r="942" spans="28:30" x14ac:dyDescent="0.25">
      <c r="AB942" s="207" t="s">
        <v>207</v>
      </c>
      <c r="AC942" s="207" t="s">
        <v>1142</v>
      </c>
      <c r="AD942" s="213">
        <v>2</v>
      </c>
    </row>
    <row r="943" spans="28:30" x14ac:dyDescent="0.25">
      <c r="AB943" s="207" t="s">
        <v>207</v>
      </c>
      <c r="AC943" s="207" t="s">
        <v>1143</v>
      </c>
      <c r="AD943" s="213">
        <v>2</v>
      </c>
    </row>
    <row r="944" spans="28:30" x14ac:dyDescent="0.25">
      <c r="AB944" s="207" t="s">
        <v>27</v>
      </c>
      <c r="AC944" s="207" t="s">
        <v>1144</v>
      </c>
      <c r="AD944" s="213">
        <v>2</v>
      </c>
    </row>
    <row r="945" spans="28:30" x14ac:dyDescent="0.25">
      <c r="AB945" s="207" t="s">
        <v>207</v>
      </c>
      <c r="AC945" s="207" t="s">
        <v>1145</v>
      </c>
      <c r="AD945" s="213">
        <v>2</v>
      </c>
    </row>
    <row r="946" spans="28:30" x14ac:dyDescent="0.25">
      <c r="AB946" s="207" t="s">
        <v>207</v>
      </c>
      <c r="AC946" s="207" t="s">
        <v>1146</v>
      </c>
      <c r="AD946" s="213">
        <v>2</v>
      </c>
    </row>
    <row r="947" spans="28:30" x14ac:dyDescent="0.25">
      <c r="AB947" s="207" t="s">
        <v>207</v>
      </c>
      <c r="AC947" s="207" t="s">
        <v>1147</v>
      </c>
      <c r="AD947" s="213">
        <v>2</v>
      </c>
    </row>
    <row r="948" spans="28:30" x14ac:dyDescent="0.25">
      <c r="AB948" s="207" t="s">
        <v>27</v>
      </c>
      <c r="AC948" s="207" t="s">
        <v>1148</v>
      </c>
      <c r="AD948" s="213">
        <v>2</v>
      </c>
    </row>
    <row r="949" spans="28:30" x14ac:dyDescent="0.25">
      <c r="AB949" s="207" t="s">
        <v>207</v>
      </c>
      <c r="AC949" s="207" t="s">
        <v>1149</v>
      </c>
      <c r="AD949" s="213">
        <v>2</v>
      </c>
    </row>
    <row r="950" spans="28:30" x14ac:dyDescent="0.25">
      <c r="AB950" s="207" t="s">
        <v>207</v>
      </c>
      <c r="AC950" s="207" t="s">
        <v>1150</v>
      </c>
      <c r="AD950" s="213">
        <v>2</v>
      </c>
    </row>
    <row r="951" spans="28:30" x14ac:dyDescent="0.25">
      <c r="AB951" s="207" t="s">
        <v>27</v>
      </c>
      <c r="AC951" s="207" t="s">
        <v>1151</v>
      </c>
      <c r="AD951" s="213">
        <v>3</v>
      </c>
    </row>
    <row r="952" spans="28:30" x14ac:dyDescent="0.25">
      <c r="AB952" s="207" t="s">
        <v>27</v>
      </c>
      <c r="AC952" s="207" t="s">
        <v>362</v>
      </c>
      <c r="AD952" s="213">
        <v>2</v>
      </c>
    </row>
    <row r="953" spans="28:30" x14ac:dyDescent="0.25">
      <c r="AB953" s="207" t="s">
        <v>207</v>
      </c>
      <c r="AC953" s="207" t="s">
        <v>1152</v>
      </c>
      <c r="AD953" s="213">
        <v>2</v>
      </c>
    </row>
    <row r="954" spans="28:30" x14ac:dyDescent="0.25">
      <c r="AB954" s="207" t="s">
        <v>207</v>
      </c>
      <c r="AC954" s="207" t="s">
        <v>1153</v>
      </c>
      <c r="AD954" s="213">
        <v>2</v>
      </c>
    </row>
    <row r="955" spans="28:30" x14ac:dyDescent="0.25">
      <c r="AB955" s="207" t="s">
        <v>207</v>
      </c>
      <c r="AC955" s="207" t="s">
        <v>1154</v>
      </c>
      <c r="AD955" s="213">
        <v>2</v>
      </c>
    </row>
    <row r="956" spans="28:30" x14ac:dyDescent="0.25">
      <c r="AB956" s="207" t="s">
        <v>207</v>
      </c>
      <c r="AC956" s="207" t="s">
        <v>1155</v>
      </c>
      <c r="AD956" s="213">
        <v>2</v>
      </c>
    </row>
    <row r="957" spans="28:30" x14ac:dyDescent="0.25">
      <c r="AB957" s="207" t="s">
        <v>27</v>
      </c>
      <c r="AC957" s="207" t="s">
        <v>1156</v>
      </c>
      <c r="AD957" s="213">
        <v>2</v>
      </c>
    </row>
    <row r="958" spans="28:30" x14ac:dyDescent="0.25">
      <c r="AB958" s="207" t="s">
        <v>207</v>
      </c>
      <c r="AC958" s="207" t="s">
        <v>1157</v>
      </c>
      <c r="AD958" s="213">
        <v>2</v>
      </c>
    </row>
    <row r="959" spans="28:30" x14ac:dyDescent="0.25">
      <c r="AB959" s="207" t="s">
        <v>27</v>
      </c>
      <c r="AC959" s="207" t="s">
        <v>1158</v>
      </c>
      <c r="AD959" s="213">
        <v>3</v>
      </c>
    </row>
    <row r="960" spans="28:30" x14ac:dyDescent="0.25">
      <c r="AB960" s="207" t="s">
        <v>207</v>
      </c>
      <c r="AC960" s="207" t="s">
        <v>1159</v>
      </c>
      <c r="AD960" s="213">
        <v>2</v>
      </c>
    </row>
    <row r="961" spans="28:30" x14ac:dyDescent="0.25">
      <c r="AB961" s="207" t="s">
        <v>207</v>
      </c>
      <c r="AC961" s="207" t="s">
        <v>1160</v>
      </c>
      <c r="AD961" s="213">
        <v>2</v>
      </c>
    </row>
    <row r="962" spans="28:30" x14ac:dyDescent="0.25">
      <c r="AB962" s="207" t="s">
        <v>207</v>
      </c>
      <c r="AC962" s="207" t="s">
        <v>1161</v>
      </c>
      <c r="AD962" s="213">
        <v>2</v>
      </c>
    </row>
    <row r="963" spans="28:30" x14ac:dyDescent="0.25">
      <c r="AB963" s="207" t="s">
        <v>207</v>
      </c>
      <c r="AC963" s="207" t="s">
        <v>1162</v>
      </c>
      <c r="AD963" s="213">
        <v>2</v>
      </c>
    </row>
    <row r="964" spans="28:30" x14ac:dyDescent="0.25">
      <c r="AB964" s="207" t="s">
        <v>207</v>
      </c>
      <c r="AC964" s="207" t="s">
        <v>1163</v>
      </c>
      <c r="AD964" s="213">
        <v>2</v>
      </c>
    </row>
    <row r="965" spans="28:30" x14ac:dyDescent="0.25">
      <c r="AB965" s="207" t="s">
        <v>207</v>
      </c>
      <c r="AC965" s="207" t="s">
        <v>1164</v>
      </c>
      <c r="AD965" s="213">
        <v>2</v>
      </c>
    </row>
    <row r="966" spans="28:30" x14ac:dyDescent="0.25">
      <c r="AB966" s="207" t="s">
        <v>207</v>
      </c>
      <c r="AC966" s="207" t="s">
        <v>1165</v>
      </c>
      <c r="AD966" s="213">
        <v>3</v>
      </c>
    </row>
    <row r="967" spans="28:30" x14ac:dyDescent="0.25">
      <c r="AB967" s="207" t="s">
        <v>207</v>
      </c>
      <c r="AC967" s="207" t="s">
        <v>1166</v>
      </c>
      <c r="AD967" s="213">
        <v>2</v>
      </c>
    </row>
    <row r="968" spans="28:30" x14ac:dyDescent="0.25">
      <c r="AB968" s="207" t="s">
        <v>27</v>
      </c>
      <c r="AC968" s="207" t="s">
        <v>1167</v>
      </c>
      <c r="AD968" s="213">
        <v>3</v>
      </c>
    </row>
    <row r="969" spans="28:30" x14ac:dyDescent="0.25">
      <c r="AB969" s="207" t="s">
        <v>207</v>
      </c>
      <c r="AC969" s="207" t="s">
        <v>1168</v>
      </c>
      <c r="AD969" s="213">
        <v>2</v>
      </c>
    </row>
    <row r="970" spans="28:30" x14ac:dyDescent="0.25">
      <c r="AB970" s="207" t="s">
        <v>27</v>
      </c>
      <c r="AC970" s="207" t="s">
        <v>1169</v>
      </c>
      <c r="AD970" s="213">
        <v>2</v>
      </c>
    </row>
    <row r="971" spans="28:30" x14ac:dyDescent="0.25">
      <c r="AB971" s="207" t="s">
        <v>214</v>
      </c>
      <c r="AC971" s="207" t="s">
        <v>1170</v>
      </c>
      <c r="AD971" s="213">
        <v>2</v>
      </c>
    </row>
    <row r="972" spans="28:30" x14ac:dyDescent="0.25">
      <c r="AB972" s="207" t="s">
        <v>27</v>
      </c>
      <c r="AC972" s="207" t="s">
        <v>1171</v>
      </c>
      <c r="AD972" s="213">
        <v>3</v>
      </c>
    </row>
    <row r="973" spans="28:30" x14ac:dyDescent="0.25">
      <c r="AB973" s="207" t="s">
        <v>207</v>
      </c>
      <c r="AC973" s="207" t="s">
        <v>1172</v>
      </c>
      <c r="AD973" s="213">
        <v>3</v>
      </c>
    </row>
    <row r="974" spans="28:30" x14ac:dyDescent="0.25">
      <c r="AB974" s="207" t="s">
        <v>27</v>
      </c>
      <c r="AC974" s="207" t="s">
        <v>1173</v>
      </c>
      <c r="AD974" s="213">
        <v>3</v>
      </c>
    </row>
    <row r="975" spans="28:30" x14ac:dyDescent="0.25">
      <c r="AB975" s="207" t="s">
        <v>27</v>
      </c>
      <c r="AC975" s="207" t="s">
        <v>1174</v>
      </c>
      <c r="AD975" s="213">
        <v>3</v>
      </c>
    </row>
    <row r="976" spans="28:30" x14ac:dyDescent="0.25">
      <c r="AB976" s="207" t="s">
        <v>27</v>
      </c>
      <c r="AC976" s="207" t="s">
        <v>1175</v>
      </c>
      <c r="AD976" s="213">
        <v>2</v>
      </c>
    </row>
    <row r="977" spans="28:30" x14ac:dyDescent="0.25">
      <c r="AB977" s="207" t="s">
        <v>27</v>
      </c>
      <c r="AC977" s="207" t="s">
        <v>1176</v>
      </c>
      <c r="AD977" s="213">
        <v>3</v>
      </c>
    </row>
    <row r="978" spans="28:30" x14ac:dyDescent="0.25">
      <c r="AB978" s="207" t="s">
        <v>27</v>
      </c>
      <c r="AC978" s="207" t="s">
        <v>1177</v>
      </c>
      <c r="AD978" s="213">
        <v>2</v>
      </c>
    </row>
    <row r="979" spans="28:30" x14ac:dyDescent="0.25">
      <c r="AB979" s="207" t="s">
        <v>27</v>
      </c>
      <c r="AC979" s="207" t="s">
        <v>1178</v>
      </c>
      <c r="AD979" s="213">
        <v>3</v>
      </c>
    </row>
    <row r="980" spans="28:30" x14ac:dyDescent="0.25">
      <c r="AB980" s="207" t="s">
        <v>207</v>
      </c>
      <c r="AC980" s="207" t="s">
        <v>1179</v>
      </c>
      <c r="AD980" s="213">
        <v>2</v>
      </c>
    </row>
    <row r="981" spans="28:30" x14ac:dyDescent="0.25">
      <c r="AB981" s="207" t="s">
        <v>27</v>
      </c>
      <c r="AC981" s="207" t="s">
        <v>1180</v>
      </c>
      <c r="AD981" s="213">
        <v>2</v>
      </c>
    </row>
    <row r="982" spans="28:30" x14ac:dyDescent="0.25">
      <c r="AB982" s="207" t="s">
        <v>207</v>
      </c>
      <c r="AC982" s="207" t="s">
        <v>5855</v>
      </c>
      <c r="AD982" s="213">
        <v>2</v>
      </c>
    </row>
    <row r="983" spans="28:30" x14ac:dyDescent="0.25">
      <c r="AB983" s="207" t="s">
        <v>207</v>
      </c>
      <c r="AC983" s="207" t="s">
        <v>1181</v>
      </c>
      <c r="AD983" s="213">
        <v>2</v>
      </c>
    </row>
    <row r="984" spans="28:30" x14ac:dyDescent="0.25">
      <c r="AB984" s="207" t="s">
        <v>207</v>
      </c>
      <c r="AC984" s="207" t="s">
        <v>1182</v>
      </c>
      <c r="AD984" s="213">
        <v>2</v>
      </c>
    </row>
    <row r="985" spans="28:30" x14ac:dyDescent="0.25">
      <c r="AB985" s="207" t="s">
        <v>27</v>
      </c>
      <c r="AC985" s="207" t="s">
        <v>1183</v>
      </c>
      <c r="AD985" s="213">
        <v>2</v>
      </c>
    </row>
    <row r="986" spans="28:30" x14ac:dyDescent="0.25">
      <c r="AB986" s="207" t="s">
        <v>27</v>
      </c>
      <c r="AC986" s="207" t="s">
        <v>1184</v>
      </c>
      <c r="AD986" s="213">
        <v>3</v>
      </c>
    </row>
    <row r="987" spans="28:30" x14ac:dyDescent="0.25">
      <c r="AB987" s="207" t="s">
        <v>207</v>
      </c>
      <c r="AC987" s="207" t="s">
        <v>1185</v>
      </c>
      <c r="AD987" s="213">
        <v>2</v>
      </c>
    </row>
    <row r="988" spans="28:30" x14ac:dyDescent="0.25">
      <c r="AB988" s="207" t="s">
        <v>27</v>
      </c>
      <c r="AC988" s="207" t="s">
        <v>1186</v>
      </c>
      <c r="AD988" s="213">
        <v>3</v>
      </c>
    </row>
    <row r="989" spans="28:30" x14ac:dyDescent="0.25">
      <c r="AB989" s="207" t="s">
        <v>207</v>
      </c>
      <c r="AC989" s="207" t="s">
        <v>1187</v>
      </c>
      <c r="AD989" s="213">
        <v>2</v>
      </c>
    </row>
    <row r="990" spans="28:30" x14ac:dyDescent="0.25">
      <c r="AB990" s="207" t="s">
        <v>27</v>
      </c>
      <c r="AC990" s="207" t="s">
        <v>1188</v>
      </c>
      <c r="AD990" s="213">
        <v>3</v>
      </c>
    </row>
    <row r="991" spans="28:30" x14ac:dyDescent="0.25">
      <c r="AB991" s="207" t="s">
        <v>207</v>
      </c>
      <c r="AC991" s="207" t="s">
        <v>1189</v>
      </c>
      <c r="AD991" s="213">
        <v>2</v>
      </c>
    </row>
    <row r="992" spans="28:30" x14ac:dyDescent="0.25">
      <c r="AB992" s="207" t="s">
        <v>27</v>
      </c>
      <c r="AC992" s="207" t="s">
        <v>1190</v>
      </c>
      <c r="AD992" s="213">
        <v>2</v>
      </c>
    </row>
    <row r="993" spans="28:30" x14ac:dyDescent="0.25">
      <c r="AB993" s="207" t="s">
        <v>27</v>
      </c>
      <c r="AC993" s="207" t="s">
        <v>1191</v>
      </c>
      <c r="AD993" s="213">
        <v>2</v>
      </c>
    </row>
    <row r="994" spans="28:30" x14ac:dyDescent="0.25">
      <c r="AB994" s="207" t="s">
        <v>27</v>
      </c>
      <c r="AC994" s="207" t="s">
        <v>1192</v>
      </c>
      <c r="AD994" s="213">
        <v>2</v>
      </c>
    </row>
    <row r="995" spans="28:30" x14ac:dyDescent="0.25">
      <c r="AB995" s="207" t="s">
        <v>207</v>
      </c>
      <c r="AC995" s="207" t="s">
        <v>1193</v>
      </c>
      <c r="AD995" s="213">
        <v>2</v>
      </c>
    </row>
    <row r="996" spans="28:30" x14ac:dyDescent="0.25">
      <c r="AB996" s="207" t="s">
        <v>207</v>
      </c>
      <c r="AC996" s="207" t="s">
        <v>1194</v>
      </c>
      <c r="AD996" s="213">
        <v>2</v>
      </c>
    </row>
    <row r="997" spans="28:30" x14ac:dyDescent="0.25">
      <c r="AB997" s="207" t="s">
        <v>27</v>
      </c>
      <c r="AC997" s="207" t="s">
        <v>5856</v>
      </c>
      <c r="AD997" s="213">
        <v>2</v>
      </c>
    </row>
    <row r="998" spans="28:30" x14ac:dyDescent="0.25">
      <c r="AB998" s="207" t="s">
        <v>27</v>
      </c>
      <c r="AC998" s="207" t="s">
        <v>1195</v>
      </c>
      <c r="AD998" s="213">
        <v>3</v>
      </c>
    </row>
    <row r="999" spans="28:30" x14ac:dyDescent="0.25">
      <c r="AB999" s="207" t="s">
        <v>27</v>
      </c>
      <c r="AC999" s="207" t="s">
        <v>1196</v>
      </c>
      <c r="AD999" s="213">
        <v>3</v>
      </c>
    </row>
    <row r="1000" spans="28:30" x14ac:dyDescent="0.25">
      <c r="AB1000" s="207" t="s">
        <v>207</v>
      </c>
      <c r="AC1000" s="207" t="s">
        <v>1197</v>
      </c>
      <c r="AD1000" s="213">
        <v>2</v>
      </c>
    </row>
    <row r="1001" spans="28:30" x14ac:dyDescent="0.25">
      <c r="AB1001" s="207" t="s">
        <v>27</v>
      </c>
      <c r="AC1001" s="207" t="s">
        <v>1198</v>
      </c>
      <c r="AD1001" s="213">
        <v>2</v>
      </c>
    </row>
    <row r="1002" spans="28:30" x14ac:dyDescent="0.25">
      <c r="AB1002" s="207" t="s">
        <v>207</v>
      </c>
      <c r="AC1002" s="207" t="s">
        <v>1199</v>
      </c>
      <c r="AD1002" s="213">
        <v>2</v>
      </c>
    </row>
    <row r="1003" spans="28:30" x14ac:dyDescent="0.25">
      <c r="AB1003" s="207" t="s">
        <v>27</v>
      </c>
      <c r="AC1003" s="207" t="s">
        <v>1200</v>
      </c>
      <c r="AD1003" s="213">
        <v>2</v>
      </c>
    </row>
    <row r="1004" spans="28:30" x14ac:dyDescent="0.25">
      <c r="AB1004" s="207" t="s">
        <v>214</v>
      </c>
      <c r="AC1004" s="207" t="s">
        <v>1201</v>
      </c>
      <c r="AD1004" s="213">
        <v>2</v>
      </c>
    </row>
    <row r="1005" spans="28:30" x14ac:dyDescent="0.25">
      <c r="AB1005" s="207" t="s">
        <v>27</v>
      </c>
      <c r="AC1005" s="207" t="s">
        <v>1202</v>
      </c>
      <c r="AD1005" s="213">
        <v>2</v>
      </c>
    </row>
    <row r="1006" spans="28:30" x14ac:dyDescent="0.25">
      <c r="AB1006" s="207" t="s">
        <v>207</v>
      </c>
      <c r="AC1006" s="207" t="s">
        <v>1203</v>
      </c>
      <c r="AD1006" s="213">
        <v>2</v>
      </c>
    </row>
    <row r="1007" spans="28:30" x14ac:dyDescent="0.25">
      <c r="AB1007" s="207" t="s">
        <v>27</v>
      </c>
      <c r="AC1007" s="207" t="s">
        <v>1204</v>
      </c>
      <c r="AD1007" s="213">
        <v>3</v>
      </c>
    </row>
    <row r="1008" spans="28:30" x14ac:dyDescent="0.25">
      <c r="AB1008" s="207" t="s">
        <v>27</v>
      </c>
      <c r="AC1008" s="207" t="s">
        <v>1205</v>
      </c>
      <c r="AD1008" s="213">
        <v>2</v>
      </c>
    </row>
    <row r="1009" spans="28:30" x14ac:dyDescent="0.25">
      <c r="AB1009" s="207" t="s">
        <v>207</v>
      </c>
      <c r="AC1009" s="207" t="s">
        <v>1206</v>
      </c>
      <c r="AD1009" s="213">
        <v>2</v>
      </c>
    </row>
    <row r="1010" spans="28:30" x14ac:dyDescent="0.25">
      <c r="AB1010" s="207" t="s">
        <v>207</v>
      </c>
      <c r="AC1010" s="207" t="s">
        <v>1207</v>
      </c>
      <c r="AD1010" s="213">
        <v>3</v>
      </c>
    </row>
    <row r="1011" spans="28:30" x14ac:dyDescent="0.25">
      <c r="AB1011" s="207" t="s">
        <v>27</v>
      </c>
      <c r="AC1011" s="207" t="s">
        <v>1208</v>
      </c>
      <c r="AD1011" s="213">
        <v>3</v>
      </c>
    </row>
    <row r="1012" spans="28:30" x14ac:dyDescent="0.25">
      <c r="AB1012" s="207" t="s">
        <v>207</v>
      </c>
      <c r="AC1012" s="207" t="s">
        <v>1209</v>
      </c>
      <c r="AD1012" s="213">
        <v>2</v>
      </c>
    </row>
    <row r="1013" spans="28:30" x14ac:dyDescent="0.25">
      <c r="AB1013" s="207" t="s">
        <v>27</v>
      </c>
      <c r="AC1013" s="207" t="s">
        <v>1210</v>
      </c>
      <c r="AD1013" s="213">
        <v>2</v>
      </c>
    </row>
    <row r="1014" spans="28:30" x14ac:dyDescent="0.25">
      <c r="AB1014" s="207" t="s">
        <v>207</v>
      </c>
      <c r="AC1014" s="207" t="s">
        <v>1211</v>
      </c>
      <c r="AD1014" s="213">
        <v>2</v>
      </c>
    </row>
    <row r="1015" spans="28:30" x14ac:dyDescent="0.25">
      <c r="AB1015" s="207" t="s">
        <v>207</v>
      </c>
      <c r="AC1015" s="207" t="s">
        <v>1212</v>
      </c>
      <c r="AD1015" s="213">
        <v>2</v>
      </c>
    </row>
    <row r="1016" spans="28:30" x14ac:dyDescent="0.25">
      <c r="AB1016" s="207" t="s">
        <v>207</v>
      </c>
      <c r="AC1016" s="207" t="s">
        <v>1213</v>
      </c>
      <c r="AD1016" s="213">
        <v>2</v>
      </c>
    </row>
    <row r="1017" spans="28:30" x14ac:dyDescent="0.25">
      <c r="AB1017" s="207" t="s">
        <v>27</v>
      </c>
      <c r="AC1017" s="207" t="s">
        <v>1214</v>
      </c>
      <c r="AD1017" s="213">
        <v>2</v>
      </c>
    </row>
    <row r="1018" spans="28:30" x14ac:dyDescent="0.25">
      <c r="AB1018" s="207" t="s">
        <v>27</v>
      </c>
      <c r="AC1018" s="207" t="s">
        <v>544</v>
      </c>
      <c r="AD1018" s="213">
        <v>2</v>
      </c>
    </row>
    <row r="1019" spans="28:30" x14ac:dyDescent="0.25">
      <c r="AB1019" s="207" t="s">
        <v>27</v>
      </c>
      <c r="AC1019" s="207" t="s">
        <v>1215</v>
      </c>
      <c r="AD1019" s="213">
        <v>2</v>
      </c>
    </row>
    <row r="1020" spans="28:30" x14ac:dyDescent="0.25">
      <c r="AB1020" s="207" t="s">
        <v>207</v>
      </c>
      <c r="AC1020" s="207" t="s">
        <v>1216</v>
      </c>
      <c r="AD1020" s="213">
        <v>2</v>
      </c>
    </row>
    <row r="1021" spans="28:30" x14ac:dyDescent="0.25">
      <c r="AB1021" s="207" t="s">
        <v>207</v>
      </c>
      <c r="AC1021" s="207" t="s">
        <v>1217</v>
      </c>
      <c r="AD1021" s="213">
        <v>2</v>
      </c>
    </row>
    <row r="1022" spans="28:30" x14ac:dyDescent="0.25">
      <c r="AB1022" s="207" t="s">
        <v>27</v>
      </c>
      <c r="AC1022" s="207" t="s">
        <v>1218</v>
      </c>
      <c r="AD1022" s="213">
        <v>2</v>
      </c>
    </row>
    <row r="1023" spans="28:30" x14ac:dyDescent="0.25">
      <c r="AB1023" s="207" t="s">
        <v>27</v>
      </c>
      <c r="AC1023" s="207" t="s">
        <v>1219</v>
      </c>
      <c r="AD1023" s="213">
        <v>3</v>
      </c>
    </row>
    <row r="1024" spans="28:30" x14ac:dyDescent="0.25">
      <c r="AB1024" s="207" t="s">
        <v>207</v>
      </c>
      <c r="AC1024" s="207" t="s">
        <v>1220</v>
      </c>
      <c r="AD1024" s="213">
        <v>2</v>
      </c>
    </row>
    <row r="1025" spans="28:30" x14ac:dyDescent="0.25">
      <c r="AB1025" s="207" t="s">
        <v>207</v>
      </c>
      <c r="AC1025" s="207" t="s">
        <v>1221</v>
      </c>
      <c r="AD1025" s="213">
        <v>2</v>
      </c>
    </row>
    <row r="1026" spans="28:30" x14ac:dyDescent="0.25">
      <c r="AB1026" s="207" t="s">
        <v>27</v>
      </c>
      <c r="AC1026" s="207" t="s">
        <v>1222</v>
      </c>
      <c r="AD1026" s="213">
        <v>3</v>
      </c>
    </row>
    <row r="1027" spans="28:30" x14ac:dyDescent="0.25">
      <c r="AB1027" s="207" t="s">
        <v>207</v>
      </c>
      <c r="AC1027" s="207" t="s">
        <v>1223</v>
      </c>
      <c r="AD1027" s="213">
        <v>2</v>
      </c>
    </row>
    <row r="1028" spans="28:30" x14ac:dyDescent="0.25">
      <c r="AB1028" s="207" t="s">
        <v>27</v>
      </c>
      <c r="AC1028" s="207" t="s">
        <v>1224</v>
      </c>
      <c r="AD1028" s="213">
        <v>2</v>
      </c>
    </row>
    <row r="1029" spans="28:30" x14ac:dyDescent="0.25">
      <c r="AB1029" s="207" t="s">
        <v>27</v>
      </c>
      <c r="AC1029" s="207" t="s">
        <v>1225</v>
      </c>
      <c r="AD1029" s="213">
        <v>2</v>
      </c>
    </row>
    <row r="1030" spans="28:30" x14ac:dyDescent="0.25">
      <c r="AB1030" s="207" t="s">
        <v>207</v>
      </c>
      <c r="AC1030" s="207" t="s">
        <v>1226</v>
      </c>
      <c r="AD1030" s="213">
        <v>2</v>
      </c>
    </row>
    <row r="1031" spans="28:30" x14ac:dyDescent="0.25">
      <c r="AB1031" s="207" t="s">
        <v>207</v>
      </c>
      <c r="AC1031" s="207" t="s">
        <v>1227</v>
      </c>
      <c r="AD1031" s="213">
        <v>2</v>
      </c>
    </row>
    <row r="1032" spans="28:30" x14ac:dyDescent="0.25">
      <c r="AB1032" s="207" t="s">
        <v>207</v>
      </c>
      <c r="AC1032" s="207" t="s">
        <v>1228</v>
      </c>
      <c r="AD1032" s="213">
        <v>2</v>
      </c>
    </row>
    <row r="1033" spans="28:30" x14ac:dyDescent="0.25">
      <c r="AB1033" s="207" t="s">
        <v>207</v>
      </c>
      <c r="AC1033" s="207" t="s">
        <v>1229</v>
      </c>
      <c r="AD1033" s="213">
        <v>2</v>
      </c>
    </row>
    <row r="1034" spans="28:30" x14ac:dyDescent="0.25">
      <c r="AB1034" s="207" t="s">
        <v>207</v>
      </c>
      <c r="AC1034" s="207" t="s">
        <v>1230</v>
      </c>
      <c r="AD1034" s="213">
        <v>2</v>
      </c>
    </row>
    <row r="1035" spans="28:30" x14ac:dyDescent="0.25">
      <c r="AB1035" s="207" t="s">
        <v>207</v>
      </c>
      <c r="AC1035" s="207" t="s">
        <v>1231</v>
      </c>
      <c r="AD1035" s="213">
        <v>2</v>
      </c>
    </row>
    <row r="1036" spans="28:30" x14ac:dyDescent="0.25">
      <c r="AB1036" s="207" t="s">
        <v>207</v>
      </c>
      <c r="AC1036" s="207" t="s">
        <v>1232</v>
      </c>
      <c r="AD1036" s="213">
        <v>2</v>
      </c>
    </row>
    <row r="1037" spans="28:30" x14ac:dyDescent="0.25">
      <c r="AB1037" s="207" t="s">
        <v>207</v>
      </c>
      <c r="AC1037" s="207" t="s">
        <v>1233</v>
      </c>
      <c r="AD1037" s="213">
        <v>2</v>
      </c>
    </row>
    <row r="1038" spans="28:30" x14ac:dyDescent="0.25">
      <c r="AB1038" s="207" t="s">
        <v>207</v>
      </c>
      <c r="AC1038" s="207" t="s">
        <v>1234</v>
      </c>
      <c r="AD1038" s="213">
        <v>1</v>
      </c>
    </row>
    <row r="1039" spans="28:30" x14ac:dyDescent="0.25">
      <c r="AB1039" s="207" t="s">
        <v>207</v>
      </c>
      <c r="AC1039" s="207" t="s">
        <v>1235</v>
      </c>
      <c r="AD1039" s="213">
        <v>2</v>
      </c>
    </row>
    <row r="1040" spans="28:30" x14ac:dyDescent="0.25">
      <c r="AB1040" s="207" t="s">
        <v>207</v>
      </c>
      <c r="AC1040" s="207" t="s">
        <v>1236</v>
      </c>
      <c r="AD1040" s="213">
        <v>2</v>
      </c>
    </row>
    <row r="1041" spans="28:30" x14ac:dyDescent="0.25">
      <c r="AB1041" s="207" t="s">
        <v>207</v>
      </c>
      <c r="AC1041" s="207" t="s">
        <v>1237</v>
      </c>
      <c r="AD1041" s="213">
        <v>2</v>
      </c>
    </row>
    <row r="1042" spans="28:30" x14ac:dyDescent="0.25">
      <c r="AB1042" s="207" t="s">
        <v>207</v>
      </c>
      <c r="AC1042" s="207" t="s">
        <v>1238</v>
      </c>
      <c r="AD1042" s="213">
        <v>2</v>
      </c>
    </row>
    <row r="1043" spans="28:30" x14ac:dyDescent="0.25">
      <c r="AB1043" s="207" t="s">
        <v>207</v>
      </c>
      <c r="AC1043" s="207" t="s">
        <v>1239</v>
      </c>
      <c r="AD1043" s="213">
        <v>2</v>
      </c>
    </row>
    <row r="1044" spans="28:30" x14ac:dyDescent="0.25">
      <c r="AB1044" s="207" t="s">
        <v>207</v>
      </c>
      <c r="AC1044" s="207" t="s">
        <v>1240</v>
      </c>
      <c r="AD1044" s="213">
        <v>2</v>
      </c>
    </row>
    <row r="1045" spans="28:30" x14ac:dyDescent="0.25">
      <c r="AB1045" s="207" t="s">
        <v>207</v>
      </c>
      <c r="AC1045" s="207" t="s">
        <v>1241</v>
      </c>
      <c r="AD1045" s="213">
        <v>2</v>
      </c>
    </row>
    <row r="1046" spans="28:30" x14ac:dyDescent="0.25">
      <c r="AB1046" s="207" t="s">
        <v>207</v>
      </c>
      <c r="AC1046" s="207" t="s">
        <v>1242</v>
      </c>
      <c r="AD1046" s="213">
        <v>2</v>
      </c>
    </row>
    <row r="1047" spans="28:30" x14ac:dyDescent="0.25">
      <c r="AB1047" s="207" t="s">
        <v>207</v>
      </c>
      <c r="AC1047" s="207" t="s">
        <v>1243</v>
      </c>
      <c r="AD1047" s="213">
        <v>2</v>
      </c>
    </row>
    <row r="1048" spans="28:30" x14ac:dyDescent="0.25">
      <c r="AB1048" s="207" t="s">
        <v>207</v>
      </c>
      <c r="AC1048" s="207" t="s">
        <v>1244</v>
      </c>
      <c r="AD1048" s="213">
        <v>3</v>
      </c>
    </row>
    <row r="1049" spans="28:30" x14ac:dyDescent="0.25">
      <c r="AB1049" s="207" t="s">
        <v>207</v>
      </c>
      <c r="AC1049" s="207" t="s">
        <v>1245</v>
      </c>
      <c r="AD1049" s="213">
        <v>3</v>
      </c>
    </row>
    <row r="1050" spans="28:30" x14ac:dyDescent="0.25">
      <c r="AB1050" s="207" t="s">
        <v>207</v>
      </c>
      <c r="AC1050" s="207" t="s">
        <v>1246</v>
      </c>
      <c r="AD1050" s="213">
        <v>2</v>
      </c>
    </row>
    <row r="1051" spans="28:30" x14ac:dyDescent="0.25">
      <c r="AB1051" s="207" t="s">
        <v>207</v>
      </c>
      <c r="AC1051" s="207" t="s">
        <v>1247</v>
      </c>
      <c r="AD1051" s="213">
        <v>2</v>
      </c>
    </row>
    <row r="1052" spans="28:30" x14ac:dyDescent="0.25">
      <c r="AB1052" s="207" t="s">
        <v>207</v>
      </c>
      <c r="AC1052" s="207" t="s">
        <v>1248</v>
      </c>
      <c r="AD1052" s="213">
        <v>2</v>
      </c>
    </row>
    <row r="1053" spans="28:30" x14ac:dyDescent="0.25">
      <c r="AB1053" s="207" t="s">
        <v>207</v>
      </c>
      <c r="AC1053" s="207" t="s">
        <v>1249</v>
      </c>
      <c r="AD1053" s="213">
        <v>2</v>
      </c>
    </row>
    <row r="1054" spans="28:30" x14ac:dyDescent="0.25">
      <c r="AB1054" s="207" t="s">
        <v>207</v>
      </c>
      <c r="AC1054" s="207" t="s">
        <v>1250</v>
      </c>
      <c r="AD1054" s="213">
        <v>2</v>
      </c>
    </row>
    <row r="1055" spans="28:30" x14ac:dyDescent="0.25">
      <c r="AB1055" s="207" t="s">
        <v>207</v>
      </c>
      <c r="AC1055" s="207" t="s">
        <v>1251</v>
      </c>
      <c r="AD1055" s="213">
        <v>2</v>
      </c>
    </row>
    <row r="1056" spans="28:30" x14ac:dyDescent="0.25">
      <c r="AB1056" s="207" t="s">
        <v>207</v>
      </c>
      <c r="AC1056" s="207" t="s">
        <v>1252</v>
      </c>
      <c r="AD1056" s="213">
        <v>2</v>
      </c>
    </row>
    <row r="1057" spans="28:30" x14ac:dyDescent="0.25">
      <c r="AB1057" s="207" t="s">
        <v>207</v>
      </c>
      <c r="AC1057" s="207" t="s">
        <v>1253</v>
      </c>
      <c r="AD1057" s="213">
        <v>2</v>
      </c>
    </row>
    <row r="1058" spans="28:30" x14ac:dyDescent="0.25">
      <c r="AB1058" s="207" t="s">
        <v>27</v>
      </c>
      <c r="AC1058" s="207" t="s">
        <v>1254</v>
      </c>
      <c r="AD1058" s="213">
        <v>2</v>
      </c>
    </row>
    <row r="1059" spans="28:30" x14ac:dyDescent="0.25">
      <c r="AB1059" s="207" t="s">
        <v>207</v>
      </c>
      <c r="AC1059" s="207" t="s">
        <v>1255</v>
      </c>
      <c r="AD1059" s="213">
        <v>2</v>
      </c>
    </row>
    <row r="1060" spans="28:30" x14ac:dyDescent="0.25">
      <c r="AB1060" s="207" t="s">
        <v>27</v>
      </c>
      <c r="AC1060" s="207" t="s">
        <v>1256</v>
      </c>
      <c r="AD1060" s="213">
        <v>2</v>
      </c>
    </row>
    <row r="1061" spans="28:30" x14ac:dyDescent="0.25">
      <c r="AB1061" s="207" t="s">
        <v>207</v>
      </c>
      <c r="AC1061" s="207" t="s">
        <v>1257</v>
      </c>
      <c r="AD1061" s="213">
        <v>2</v>
      </c>
    </row>
    <row r="1062" spans="28:30" x14ac:dyDescent="0.25">
      <c r="AB1062" s="207" t="s">
        <v>207</v>
      </c>
      <c r="AC1062" s="207" t="s">
        <v>1258</v>
      </c>
      <c r="AD1062" s="213">
        <v>2</v>
      </c>
    </row>
    <row r="1063" spans="28:30" x14ac:dyDescent="0.25">
      <c r="AB1063" s="207" t="s">
        <v>27</v>
      </c>
      <c r="AC1063" s="207" t="s">
        <v>1259</v>
      </c>
      <c r="AD1063" s="213">
        <v>2</v>
      </c>
    </row>
    <row r="1064" spans="28:30" x14ac:dyDescent="0.25">
      <c r="AB1064" s="207" t="s">
        <v>207</v>
      </c>
      <c r="AC1064" s="207" t="s">
        <v>1260</v>
      </c>
      <c r="AD1064" s="213">
        <v>2</v>
      </c>
    </row>
    <row r="1065" spans="28:30" x14ac:dyDescent="0.25">
      <c r="AB1065" s="207" t="s">
        <v>27</v>
      </c>
      <c r="AC1065" s="207" t="s">
        <v>1261</v>
      </c>
      <c r="AD1065" s="213">
        <v>2</v>
      </c>
    </row>
    <row r="1066" spans="28:30" x14ac:dyDescent="0.25">
      <c r="AB1066" s="207" t="s">
        <v>207</v>
      </c>
      <c r="AC1066" s="207" t="s">
        <v>1262</v>
      </c>
      <c r="AD1066" s="213">
        <v>2</v>
      </c>
    </row>
    <row r="1067" spans="28:30" x14ac:dyDescent="0.25">
      <c r="AB1067" s="207" t="s">
        <v>207</v>
      </c>
      <c r="AC1067" s="207" t="s">
        <v>1263</v>
      </c>
      <c r="AD1067" s="213">
        <v>2</v>
      </c>
    </row>
    <row r="1068" spans="28:30" x14ac:dyDescent="0.25">
      <c r="AB1068" s="207" t="s">
        <v>207</v>
      </c>
      <c r="AC1068" s="207" t="s">
        <v>1264</v>
      </c>
      <c r="AD1068" s="213">
        <v>2</v>
      </c>
    </row>
    <row r="1069" spans="28:30" x14ac:dyDescent="0.25">
      <c r="AB1069" s="207" t="s">
        <v>207</v>
      </c>
      <c r="AC1069" s="207" t="s">
        <v>1265</v>
      </c>
      <c r="AD1069" s="213">
        <v>2</v>
      </c>
    </row>
    <row r="1070" spans="28:30" x14ac:dyDescent="0.25">
      <c r="AB1070" s="207" t="s">
        <v>207</v>
      </c>
      <c r="AC1070" s="207" t="s">
        <v>1266</v>
      </c>
      <c r="AD1070" s="213">
        <v>2</v>
      </c>
    </row>
    <row r="1071" spans="28:30" x14ac:dyDescent="0.25">
      <c r="AB1071" s="207" t="s">
        <v>207</v>
      </c>
      <c r="AC1071" s="207" t="s">
        <v>1267</v>
      </c>
      <c r="AD1071" s="213">
        <v>2</v>
      </c>
    </row>
    <row r="1072" spans="28:30" x14ac:dyDescent="0.25">
      <c r="AB1072" s="207" t="s">
        <v>27</v>
      </c>
      <c r="AC1072" s="207" t="s">
        <v>1268</v>
      </c>
      <c r="AD1072" s="213">
        <v>1</v>
      </c>
    </row>
    <row r="1073" spans="28:30" x14ac:dyDescent="0.25">
      <c r="AB1073" s="207" t="s">
        <v>207</v>
      </c>
      <c r="AC1073" s="207" t="s">
        <v>1269</v>
      </c>
      <c r="AD1073" s="213">
        <v>2</v>
      </c>
    </row>
    <row r="1074" spans="28:30" x14ac:dyDescent="0.25">
      <c r="AB1074" s="207" t="s">
        <v>27</v>
      </c>
      <c r="AC1074" s="207" t="s">
        <v>887</v>
      </c>
      <c r="AD1074" s="213">
        <v>2</v>
      </c>
    </row>
    <row r="1075" spans="28:30" x14ac:dyDescent="0.25">
      <c r="AB1075" s="207" t="s">
        <v>27</v>
      </c>
      <c r="AC1075" s="207" t="s">
        <v>1270</v>
      </c>
      <c r="AD1075" s="213">
        <v>2</v>
      </c>
    </row>
    <row r="1076" spans="28:30" x14ac:dyDescent="0.25">
      <c r="AB1076" s="207" t="s">
        <v>207</v>
      </c>
      <c r="AC1076" s="207" t="s">
        <v>1271</v>
      </c>
      <c r="AD1076" s="213">
        <v>2</v>
      </c>
    </row>
    <row r="1077" spans="28:30" x14ac:dyDescent="0.25">
      <c r="AB1077" s="207" t="s">
        <v>207</v>
      </c>
      <c r="AC1077" s="207" t="s">
        <v>1272</v>
      </c>
      <c r="AD1077" s="213">
        <v>2</v>
      </c>
    </row>
    <row r="1078" spans="28:30" x14ac:dyDescent="0.25">
      <c r="AB1078" s="207" t="s">
        <v>207</v>
      </c>
      <c r="AC1078" s="207" t="s">
        <v>1273</v>
      </c>
      <c r="AD1078" s="213">
        <v>2</v>
      </c>
    </row>
    <row r="1079" spans="28:30" x14ac:dyDescent="0.25">
      <c r="AB1079" s="207" t="s">
        <v>27</v>
      </c>
      <c r="AC1079" s="207" t="s">
        <v>1274</v>
      </c>
      <c r="AD1079" s="213">
        <v>2</v>
      </c>
    </row>
    <row r="1080" spans="28:30" x14ac:dyDescent="0.25">
      <c r="AB1080" s="207" t="s">
        <v>27</v>
      </c>
      <c r="AC1080" s="207" t="s">
        <v>1275</v>
      </c>
      <c r="AD1080" s="213">
        <v>1</v>
      </c>
    </row>
    <row r="1081" spans="28:30" x14ac:dyDescent="0.25">
      <c r="AB1081" s="207" t="s">
        <v>207</v>
      </c>
      <c r="AC1081" s="207" t="s">
        <v>1276</v>
      </c>
      <c r="AD1081" s="213">
        <v>2</v>
      </c>
    </row>
    <row r="1082" spans="28:30" x14ac:dyDescent="0.25">
      <c r="AB1082" s="207" t="s">
        <v>27</v>
      </c>
      <c r="AC1082" s="207" t="s">
        <v>1277</v>
      </c>
      <c r="AD1082" s="213">
        <v>2</v>
      </c>
    </row>
    <row r="1083" spans="28:30" x14ac:dyDescent="0.25">
      <c r="AB1083" s="207" t="s">
        <v>207</v>
      </c>
      <c r="AC1083" s="207" t="s">
        <v>1278</v>
      </c>
      <c r="AD1083" s="213">
        <v>3</v>
      </c>
    </row>
    <row r="1084" spans="28:30" x14ac:dyDescent="0.25">
      <c r="AB1084" s="207" t="s">
        <v>27</v>
      </c>
      <c r="AC1084" s="207" t="s">
        <v>1279</v>
      </c>
      <c r="AD1084" s="213">
        <v>2</v>
      </c>
    </row>
    <row r="1085" spans="28:30" x14ac:dyDescent="0.25">
      <c r="AB1085" s="207" t="s">
        <v>207</v>
      </c>
      <c r="AC1085" s="207" t="s">
        <v>1280</v>
      </c>
      <c r="AD1085" s="213">
        <v>2</v>
      </c>
    </row>
    <row r="1086" spans="28:30" x14ac:dyDescent="0.25">
      <c r="AB1086" s="207" t="s">
        <v>207</v>
      </c>
      <c r="AC1086" s="207" t="s">
        <v>1281</v>
      </c>
      <c r="AD1086" s="213">
        <v>2</v>
      </c>
    </row>
    <row r="1087" spans="28:30" x14ac:dyDescent="0.25">
      <c r="AB1087" s="207" t="s">
        <v>207</v>
      </c>
      <c r="AC1087" s="207" t="s">
        <v>1282</v>
      </c>
      <c r="AD1087" s="213">
        <v>2</v>
      </c>
    </row>
    <row r="1088" spans="28:30" x14ac:dyDescent="0.25">
      <c r="AB1088" s="207" t="s">
        <v>207</v>
      </c>
      <c r="AC1088" s="207" t="s">
        <v>1283</v>
      </c>
      <c r="AD1088" s="213">
        <v>2</v>
      </c>
    </row>
    <row r="1089" spans="28:30" x14ac:dyDescent="0.25">
      <c r="AB1089" s="207" t="s">
        <v>27</v>
      </c>
      <c r="AC1089" s="207" t="s">
        <v>1284</v>
      </c>
      <c r="AD1089" s="213">
        <v>2</v>
      </c>
    </row>
    <row r="1090" spans="28:30" x14ac:dyDescent="0.25">
      <c r="AB1090" s="207" t="s">
        <v>207</v>
      </c>
      <c r="AC1090" s="207" t="s">
        <v>1285</v>
      </c>
      <c r="AD1090" s="213">
        <v>2</v>
      </c>
    </row>
    <row r="1091" spans="28:30" x14ac:dyDescent="0.25">
      <c r="AB1091" s="207" t="s">
        <v>214</v>
      </c>
      <c r="AC1091" s="207" t="s">
        <v>1286</v>
      </c>
      <c r="AD1091" s="213">
        <v>2</v>
      </c>
    </row>
    <row r="1092" spans="28:30" x14ac:dyDescent="0.25">
      <c r="AB1092" s="207" t="s">
        <v>27</v>
      </c>
      <c r="AC1092" s="207" t="s">
        <v>1287</v>
      </c>
      <c r="AD1092" s="213">
        <v>2</v>
      </c>
    </row>
    <row r="1093" spans="28:30" x14ac:dyDescent="0.25">
      <c r="AB1093" s="207" t="s">
        <v>207</v>
      </c>
      <c r="AC1093" s="207" t="s">
        <v>1288</v>
      </c>
      <c r="AD1093" s="213">
        <v>2</v>
      </c>
    </row>
    <row r="1094" spans="28:30" x14ac:dyDescent="0.25">
      <c r="AB1094" s="207" t="s">
        <v>27</v>
      </c>
      <c r="AC1094" s="207" t="s">
        <v>1289</v>
      </c>
      <c r="AD1094" s="213">
        <v>2</v>
      </c>
    </row>
    <row r="1095" spans="28:30" x14ac:dyDescent="0.25">
      <c r="AB1095" s="207" t="s">
        <v>27</v>
      </c>
      <c r="AC1095" s="207" t="s">
        <v>1290</v>
      </c>
      <c r="AD1095" s="213">
        <v>2</v>
      </c>
    </row>
    <row r="1096" spans="28:30" x14ac:dyDescent="0.25">
      <c r="AB1096" s="207" t="s">
        <v>207</v>
      </c>
      <c r="AC1096" s="207" t="s">
        <v>1291</v>
      </c>
      <c r="AD1096" s="213">
        <v>2</v>
      </c>
    </row>
    <row r="1097" spans="28:30" x14ac:dyDescent="0.25">
      <c r="AB1097" s="207" t="s">
        <v>207</v>
      </c>
      <c r="AC1097" s="207" t="s">
        <v>1292</v>
      </c>
      <c r="AD1097" s="213">
        <v>1</v>
      </c>
    </row>
    <row r="1098" spans="28:30" x14ac:dyDescent="0.25">
      <c r="AB1098" s="207" t="s">
        <v>207</v>
      </c>
      <c r="AC1098" s="207" t="s">
        <v>1293</v>
      </c>
      <c r="AD1098" s="213">
        <v>1</v>
      </c>
    </row>
    <row r="1099" spans="28:30" x14ac:dyDescent="0.25">
      <c r="AB1099" s="207" t="s">
        <v>207</v>
      </c>
      <c r="AC1099" s="207" t="s">
        <v>1294</v>
      </c>
      <c r="AD1099" s="213">
        <v>1</v>
      </c>
    </row>
    <row r="1100" spans="28:30" x14ac:dyDescent="0.25">
      <c r="AB1100" s="207" t="s">
        <v>207</v>
      </c>
      <c r="AC1100" s="207" t="s">
        <v>1295</v>
      </c>
      <c r="AD1100" s="213">
        <v>2</v>
      </c>
    </row>
    <row r="1101" spans="28:30" x14ac:dyDescent="0.25">
      <c r="AB1101" s="207" t="s">
        <v>214</v>
      </c>
      <c r="AC1101" s="207" t="s">
        <v>1296</v>
      </c>
      <c r="AD1101" s="213">
        <v>2</v>
      </c>
    </row>
    <row r="1102" spans="28:30" x14ac:dyDescent="0.25">
      <c r="AB1102" s="207" t="s">
        <v>207</v>
      </c>
      <c r="AC1102" s="207" t="s">
        <v>1297</v>
      </c>
      <c r="AD1102" s="213">
        <v>2</v>
      </c>
    </row>
    <row r="1103" spans="28:30" x14ac:dyDescent="0.25">
      <c r="AB1103" s="207" t="s">
        <v>207</v>
      </c>
      <c r="AC1103" s="207" t="s">
        <v>1298</v>
      </c>
      <c r="AD1103" s="213">
        <v>2</v>
      </c>
    </row>
    <row r="1104" spans="28:30" x14ac:dyDescent="0.25">
      <c r="AB1104" s="207" t="s">
        <v>207</v>
      </c>
      <c r="AC1104" s="207" t="s">
        <v>1299</v>
      </c>
      <c r="AD1104" s="213">
        <v>2</v>
      </c>
    </row>
    <row r="1105" spans="28:30" x14ac:dyDescent="0.25">
      <c r="AB1105" s="207" t="s">
        <v>207</v>
      </c>
      <c r="AC1105" s="207" t="s">
        <v>1300</v>
      </c>
      <c r="AD1105" s="213">
        <v>2</v>
      </c>
    </row>
    <row r="1106" spans="28:30" x14ac:dyDescent="0.25">
      <c r="AB1106" s="207" t="s">
        <v>27</v>
      </c>
      <c r="AC1106" s="207" t="s">
        <v>1301</v>
      </c>
      <c r="AD1106" s="213">
        <v>2</v>
      </c>
    </row>
    <row r="1107" spans="28:30" x14ac:dyDescent="0.25">
      <c r="AB1107" s="207" t="s">
        <v>207</v>
      </c>
      <c r="AC1107" s="207" t="s">
        <v>1302</v>
      </c>
      <c r="AD1107" s="213">
        <v>2</v>
      </c>
    </row>
    <row r="1108" spans="28:30" x14ac:dyDescent="0.25">
      <c r="AB1108" s="207" t="s">
        <v>207</v>
      </c>
      <c r="AC1108" s="207" t="s">
        <v>1303</v>
      </c>
      <c r="AD1108" s="213">
        <v>1</v>
      </c>
    </row>
    <row r="1109" spans="28:30" x14ac:dyDescent="0.25">
      <c r="AB1109" s="207" t="s">
        <v>207</v>
      </c>
      <c r="AC1109" s="207" t="s">
        <v>1304</v>
      </c>
      <c r="AD1109" s="213">
        <v>2</v>
      </c>
    </row>
    <row r="1110" spans="28:30" x14ac:dyDescent="0.25">
      <c r="AB1110" s="207" t="s">
        <v>207</v>
      </c>
      <c r="AC1110" s="207" t="s">
        <v>1305</v>
      </c>
      <c r="AD1110" s="213">
        <v>2</v>
      </c>
    </row>
    <row r="1111" spans="28:30" x14ac:dyDescent="0.25">
      <c r="AB1111" s="207" t="s">
        <v>207</v>
      </c>
      <c r="AC1111" s="207" t="s">
        <v>1306</v>
      </c>
      <c r="AD1111" s="213">
        <v>2</v>
      </c>
    </row>
    <row r="1112" spans="28:30" x14ac:dyDescent="0.25">
      <c r="AB1112" s="207" t="s">
        <v>207</v>
      </c>
      <c r="AC1112" s="207" t="s">
        <v>1307</v>
      </c>
      <c r="AD1112" s="213">
        <v>1</v>
      </c>
    </row>
    <row r="1113" spans="28:30" x14ac:dyDescent="0.25">
      <c r="AB1113" s="207" t="s">
        <v>207</v>
      </c>
      <c r="AC1113" s="207" t="s">
        <v>1308</v>
      </c>
      <c r="AD1113" s="213">
        <v>2</v>
      </c>
    </row>
    <row r="1114" spans="28:30" x14ac:dyDescent="0.25">
      <c r="AB1114" s="207" t="s">
        <v>207</v>
      </c>
      <c r="AC1114" s="207" t="s">
        <v>1309</v>
      </c>
      <c r="AD1114" s="213">
        <v>2</v>
      </c>
    </row>
    <row r="1115" spans="28:30" x14ac:dyDescent="0.25">
      <c r="AB1115" s="207" t="s">
        <v>207</v>
      </c>
      <c r="AC1115" s="207" t="s">
        <v>1310</v>
      </c>
      <c r="AD1115" s="213">
        <v>2</v>
      </c>
    </row>
    <row r="1116" spans="28:30" x14ac:dyDescent="0.25">
      <c r="AB1116" s="207" t="s">
        <v>207</v>
      </c>
      <c r="AC1116" s="207" t="s">
        <v>1311</v>
      </c>
      <c r="AD1116" s="213">
        <v>2</v>
      </c>
    </row>
    <row r="1117" spans="28:30" x14ac:dyDescent="0.25">
      <c r="AB1117" s="207" t="s">
        <v>27</v>
      </c>
      <c r="AC1117" s="207" t="s">
        <v>1312</v>
      </c>
      <c r="AD1117" s="213">
        <v>2</v>
      </c>
    </row>
    <row r="1118" spans="28:30" x14ac:dyDescent="0.25">
      <c r="AB1118" s="207" t="s">
        <v>207</v>
      </c>
      <c r="AC1118" s="207" t="s">
        <v>1313</v>
      </c>
      <c r="AD1118" s="213">
        <v>2</v>
      </c>
    </row>
    <row r="1119" spans="28:30" x14ac:dyDescent="0.25">
      <c r="AB1119" s="207" t="s">
        <v>214</v>
      </c>
      <c r="AC1119" s="207" t="s">
        <v>1314</v>
      </c>
      <c r="AD1119" s="213">
        <v>2</v>
      </c>
    </row>
    <row r="1120" spans="28:30" x14ac:dyDescent="0.25">
      <c r="AB1120" s="207" t="s">
        <v>207</v>
      </c>
      <c r="AC1120" s="207" t="s">
        <v>1315</v>
      </c>
      <c r="AD1120" s="213">
        <v>1</v>
      </c>
    </row>
    <row r="1121" spans="28:30" x14ac:dyDescent="0.25">
      <c r="AB1121" s="207" t="s">
        <v>207</v>
      </c>
      <c r="AC1121" s="207" t="s">
        <v>1316</v>
      </c>
      <c r="AD1121" s="213">
        <v>2</v>
      </c>
    </row>
    <row r="1122" spans="28:30" x14ac:dyDescent="0.25">
      <c r="AB1122" s="207" t="s">
        <v>207</v>
      </c>
      <c r="AC1122" s="207" t="s">
        <v>1317</v>
      </c>
      <c r="AD1122" s="213">
        <v>2</v>
      </c>
    </row>
    <row r="1123" spans="28:30" x14ac:dyDescent="0.25">
      <c r="AB1123" s="207" t="s">
        <v>207</v>
      </c>
      <c r="AC1123" s="207" t="s">
        <v>1318</v>
      </c>
      <c r="AD1123" s="213">
        <v>1</v>
      </c>
    </row>
    <row r="1124" spans="28:30" x14ac:dyDescent="0.25">
      <c r="AB1124" s="207" t="s">
        <v>27</v>
      </c>
      <c r="AC1124" s="207" t="s">
        <v>1319</v>
      </c>
      <c r="AD1124" s="213">
        <v>2</v>
      </c>
    </row>
    <row r="1125" spans="28:30" x14ac:dyDescent="0.25">
      <c r="AB1125" s="207" t="s">
        <v>207</v>
      </c>
      <c r="AC1125" s="207" t="s">
        <v>1170</v>
      </c>
      <c r="AD1125" s="213">
        <v>2</v>
      </c>
    </row>
    <row r="1126" spans="28:30" x14ac:dyDescent="0.25">
      <c r="AB1126" s="207" t="s">
        <v>207</v>
      </c>
      <c r="AC1126" s="207" t="s">
        <v>1320</v>
      </c>
      <c r="AD1126" s="213">
        <v>2</v>
      </c>
    </row>
    <row r="1127" spans="28:30" x14ac:dyDescent="0.25">
      <c r="AB1127" s="207" t="s">
        <v>27</v>
      </c>
      <c r="AC1127" s="207" t="s">
        <v>1321</v>
      </c>
      <c r="AD1127" s="213">
        <v>2</v>
      </c>
    </row>
    <row r="1128" spans="28:30" x14ac:dyDescent="0.25">
      <c r="AB1128" s="207" t="s">
        <v>27</v>
      </c>
      <c r="AC1128" s="207" t="s">
        <v>1322</v>
      </c>
      <c r="AD1128" s="213">
        <v>2</v>
      </c>
    </row>
    <row r="1129" spans="28:30" x14ac:dyDescent="0.25">
      <c r="AB1129" s="207" t="s">
        <v>207</v>
      </c>
      <c r="AC1129" s="207" t="s">
        <v>1323</v>
      </c>
      <c r="AD1129" s="213">
        <v>2</v>
      </c>
    </row>
    <row r="1130" spans="28:30" x14ac:dyDescent="0.25">
      <c r="AB1130" s="207" t="s">
        <v>207</v>
      </c>
      <c r="AC1130" s="207" t="s">
        <v>1324</v>
      </c>
      <c r="AD1130" s="213">
        <v>2</v>
      </c>
    </row>
    <row r="1131" spans="28:30" x14ac:dyDescent="0.25">
      <c r="AB1131" s="207" t="s">
        <v>207</v>
      </c>
      <c r="AC1131" s="207" t="s">
        <v>1325</v>
      </c>
      <c r="AD1131" s="213">
        <v>2</v>
      </c>
    </row>
    <row r="1132" spans="28:30" x14ac:dyDescent="0.25">
      <c r="AB1132" s="207" t="s">
        <v>214</v>
      </c>
      <c r="AC1132" s="207" t="s">
        <v>1326</v>
      </c>
      <c r="AD1132" s="213">
        <v>2</v>
      </c>
    </row>
    <row r="1133" spans="28:30" x14ac:dyDescent="0.25">
      <c r="AB1133" s="207" t="s">
        <v>214</v>
      </c>
      <c r="AC1133" s="207" t="s">
        <v>1327</v>
      </c>
      <c r="AD1133" s="213">
        <v>2</v>
      </c>
    </row>
    <row r="1134" spans="28:30" x14ac:dyDescent="0.25">
      <c r="AB1134" s="207" t="s">
        <v>207</v>
      </c>
      <c r="AC1134" s="207" t="s">
        <v>1328</v>
      </c>
      <c r="AD1134" s="213">
        <v>1</v>
      </c>
    </row>
    <row r="1135" spans="28:30" x14ac:dyDescent="0.25">
      <c r="AB1135" s="207" t="s">
        <v>207</v>
      </c>
      <c r="AC1135" s="207" t="s">
        <v>1329</v>
      </c>
      <c r="AD1135" s="213">
        <v>1</v>
      </c>
    </row>
    <row r="1136" spans="28:30" x14ac:dyDescent="0.25">
      <c r="AB1136" s="207" t="s">
        <v>207</v>
      </c>
      <c r="AC1136" s="207" t="s">
        <v>1330</v>
      </c>
      <c r="AD1136" s="213">
        <v>2</v>
      </c>
    </row>
    <row r="1137" spans="28:30" x14ac:dyDescent="0.25">
      <c r="AB1137" s="207" t="s">
        <v>27</v>
      </c>
      <c r="AC1137" s="207" t="s">
        <v>1331</v>
      </c>
      <c r="AD1137" s="213">
        <v>2</v>
      </c>
    </row>
    <row r="1138" spans="28:30" x14ac:dyDescent="0.25">
      <c r="AB1138" s="207" t="s">
        <v>207</v>
      </c>
      <c r="AC1138" s="207" t="s">
        <v>1332</v>
      </c>
      <c r="AD1138" s="213">
        <v>2</v>
      </c>
    </row>
    <row r="1139" spans="28:30" x14ac:dyDescent="0.25">
      <c r="AB1139" s="207" t="s">
        <v>207</v>
      </c>
      <c r="AC1139" s="207" t="s">
        <v>1333</v>
      </c>
      <c r="AD1139" s="213">
        <v>2</v>
      </c>
    </row>
    <row r="1140" spans="28:30" x14ac:dyDescent="0.25">
      <c r="AB1140" s="207" t="s">
        <v>27</v>
      </c>
      <c r="AC1140" s="207" t="s">
        <v>1334</v>
      </c>
      <c r="AD1140" s="213">
        <v>2</v>
      </c>
    </row>
    <row r="1141" spans="28:30" x14ac:dyDescent="0.25">
      <c r="AB1141" s="207" t="s">
        <v>207</v>
      </c>
      <c r="AC1141" s="207" t="s">
        <v>1335</v>
      </c>
      <c r="AD1141" s="213">
        <v>2</v>
      </c>
    </row>
    <row r="1142" spans="28:30" x14ac:dyDescent="0.25">
      <c r="AB1142" s="207" t="s">
        <v>207</v>
      </c>
      <c r="AC1142" s="207" t="s">
        <v>1336</v>
      </c>
      <c r="AD1142" s="213">
        <v>2</v>
      </c>
    </row>
    <row r="1143" spans="28:30" x14ac:dyDescent="0.25">
      <c r="AB1143" s="207" t="s">
        <v>27</v>
      </c>
      <c r="AC1143" s="207" t="s">
        <v>1337</v>
      </c>
      <c r="AD1143" s="213">
        <v>2</v>
      </c>
    </row>
    <row r="1144" spans="28:30" x14ac:dyDescent="0.25">
      <c r="AB1144" s="207" t="s">
        <v>27</v>
      </c>
      <c r="AC1144" s="207" t="s">
        <v>1338</v>
      </c>
      <c r="AD1144" s="213">
        <v>2</v>
      </c>
    </row>
    <row r="1145" spans="28:30" x14ac:dyDescent="0.25">
      <c r="AB1145" s="207" t="s">
        <v>27</v>
      </c>
      <c r="AC1145" s="207" t="s">
        <v>1339</v>
      </c>
      <c r="AD1145" s="213">
        <v>2</v>
      </c>
    </row>
    <row r="1146" spans="28:30" x14ac:dyDescent="0.25">
      <c r="AB1146" s="207" t="s">
        <v>207</v>
      </c>
      <c r="AC1146" s="207" t="s">
        <v>1340</v>
      </c>
      <c r="AD1146" s="213">
        <v>2</v>
      </c>
    </row>
    <row r="1147" spans="28:30" x14ac:dyDescent="0.25">
      <c r="AB1147" s="207" t="s">
        <v>27</v>
      </c>
      <c r="AC1147" s="207" t="s">
        <v>1318</v>
      </c>
      <c r="AD1147" s="213">
        <v>2</v>
      </c>
    </row>
    <row r="1148" spans="28:30" x14ac:dyDescent="0.25">
      <c r="AB1148" s="207" t="s">
        <v>27</v>
      </c>
      <c r="AC1148" s="207" t="s">
        <v>1341</v>
      </c>
      <c r="AD1148" s="213">
        <v>2</v>
      </c>
    </row>
    <row r="1149" spans="28:30" x14ac:dyDescent="0.25">
      <c r="AB1149" s="207" t="s">
        <v>207</v>
      </c>
      <c r="AC1149" s="207" t="s">
        <v>1342</v>
      </c>
      <c r="AD1149" s="213">
        <v>2</v>
      </c>
    </row>
    <row r="1150" spans="28:30" x14ac:dyDescent="0.25">
      <c r="AB1150" s="207" t="s">
        <v>207</v>
      </c>
      <c r="AC1150" s="207" t="s">
        <v>1343</v>
      </c>
      <c r="AD1150" s="213">
        <v>2</v>
      </c>
    </row>
    <row r="1151" spans="28:30" x14ac:dyDescent="0.25">
      <c r="AB1151" s="207" t="s">
        <v>27</v>
      </c>
      <c r="AC1151" s="207" t="s">
        <v>1344</v>
      </c>
      <c r="AD1151" s="213">
        <v>2</v>
      </c>
    </row>
    <row r="1152" spans="28:30" x14ac:dyDescent="0.25">
      <c r="AB1152" s="207" t="s">
        <v>207</v>
      </c>
      <c r="AC1152" s="207" t="s">
        <v>1345</v>
      </c>
      <c r="AD1152" s="213">
        <v>2</v>
      </c>
    </row>
    <row r="1153" spans="28:30" x14ac:dyDescent="0.25">
      <c r="AB1153" s="207" t="s">
        <v>207</v>
      </c>
      <c r="AC1153" s="207" t="s">
        <v>1346</v>
      </c>
      <c r="AD1153" s="213">
        <v>2</v>
      </c>
    </row>
    <row r="1154" spans="28:30" x14ac:dyDescent="0.25">
      <c r="AB1154" s="207" t="s">
        <v>207</v>
      </c>
      <c r="AC1154" s="207" t="s">
        <v>1347</v>
      </c>
      <c r="AD1154" s="213">
        <v>2</v>
      </c>
    </row>
    <row r="1155" spans="28:30" x14ac:dyDescent="0.25">
      <c r="AB1155" s="207" t="s">
        <v>207</v>
      </c>
      <c r="AC1155" s="207" t="s">
        <v>1348</v>
      </c>
      <c r="AD1155" s="213">
        <v>2</v>
      </c>
    </row>
    <row r="1156" spans="28:30" x14ac:dyDescent="0.25">
      <c r="AB1156" s="207" t="s">
        <v>207</v>
      </c>
      <c r="AC1156" s="207" t="s">
        <v>1349</v>
      </c>
      <c r="AD1156" s="213">
        <v>2</v>
      </c>
    </row>
    <row r="1157" spans="28:30" x14ac:dyDescent="0.25">
      <c r="AB1157" s="207" t="s">
        <v>27</v>
      </c>
      <c r="AC1157" s="207" t="s">
        <v>1350</v>
      </c>
      <c r="AD1157" s="213">
        <v>2</v>
      </c>
    </row>
    <row r="1158" spans="28:30" x14ac:dyDescent="0.25">
      <c r="AB1158" s="207" t="s">
        <v>207</v>
      </c>
      <c r="AC1158" s="207" t="s">
        <v>1351</v>
      </c>
      <c r="AD1158" s="213">
        <v>2</v>
      </c>
    </row>
    <row r="1159" spans="28:30" x14ac:dyDescent="0.25">
      <c r="AB1159" s="207" t="s">
        <v>214</v>
      </c>
      <c r="AC1159" s="207" t="s">
        <v>1352</v>
      </c>
      <c r="AD1159" s="213">
        <v>1</v>
      </c>
    </row>
    <row r="1160" spans="28:30" x14ac:dyDescent="0.25">
      <c r="AB1160" s="207" t="s">
        <v>207</v>
      </c>
      <c r="AC1160" s="207" t="s">
        <v>1353</v>
      </c>
      <c r="AD1160" s="213">
        <v>2</v>
      </c>
    </row>
    <row r="1161" spans="28:30" x14ac:dyDescent="0.25">
      <c r="AB1161" s="207" t="s">
        <v>207</v>
      </c>
      <c r="AC1161" s="207" t="s">
        <v>1354</v>
      </c>
      <c r="AD1161" s="213">
        <v>2</v>
      </c>
    </row>
    <row r="1162" spans="28:30" x14ac:dyDescent="0.25">
      <c r="AB1162" s="207" t="s">
        <v>207</v>
      </c>
      <c r="AC1162" s="207" t="s">
        <v>1355</v>
      </c>
      <c r="AD1162" s="213">
        <v>2</v>
      </c>
    </row>
    <row r="1163" spans="28:30" x14ac:dyDescent="0.25">
      <c r="AB1163" s="207" t="s">
        <v>27</v>
      </c>
      <c r="AC1163" s="207" t="s">
        <v>1356</v>
      </c>
      <c r="AD1163" s="213">
        <v>2</v>
      </c>
    </row>
    <row r="1164" spans="28:30" x14ac:dyDescent="0.25">
      <c r="AB1164" s="207" t="s">
        <v>27</v>
      </c>
      <c r="AC1164" s="207" t="s">
        <v>1357</v>
      </c>
      <c r="AD1164" s="213">
        <v>2</v>
      </c>
    </row>
    <row r="1165" spans="28:30" x14ac:dyDescent="0.25">
      <c r="AB1165" s="207" t="s">
        <v>27</v>
      </c>
      <c r="AC1165" s="207" t="s">
        <v>540</v>
      </c>
      <c r="AD1165" s="213">
        <v>2</v>
      </c>
    </row>
    <row r="1166" spans="28:30" x14ac:dyDescent="0.25">
      <c r="AB1166" s="207" t="s">
        <v>207</v>
      </c>
      <c r="AC1166" s="207" t="s">
        <v>1358</v>
      </c>
      <c r="AD1166" s="213">
        <v>2</v>
      </c>
    </row>
    <row r="1167" spans="28:30" x14ac:dyDescent="0.25">
      <c r="AB1167" s="207" t="s">
        <v>207</v>
      </c>
      <c r="AC1167" s="207" t="s">
        <v>1359</v>
      </c>
      <c r="AD1167" s="213">
        <v>2</v>
      </c>
    </row>
    <row r="1168" spans="28:30" x14ac:dyDescent="0.25">
      <c r="AB1168" s="207" t="s">
        <v>207</v>
      </c>
      <c r="AC1168" s="207" t="s">
        <v>1360</v>
      </c>
      <c r="AD1168" s="213">
        <v>2</v>
      </c>
    </row>
    <row r="1169" spans="28:30" x14ac:dyDescent="0.25">
      <c r="AB1169" s="207" t="s">
        <v>207</v>
      </c>
      <c r="AC1169" s="207" t="s">
        <v>1361</v>
      </c>
      <c r="AD1169" s="213">
        <v>2</v>
      </c>
    </row>
    <row r="1170" spans="28:30" x14ac:dyDescent="0.25">
      <c r="AB1170" s="207" t="s">
        <v>214</v>
      </c>
      <c r="AC1170" s="207" t="s">
        <v>1362</v>
      </c>
      <c r="AD1170" s="213">
        <v>2</v>
      </c>
    </row>
    <row r="1171" spans="28:30" x14ac:dyDescent="0.25">
      <c r="AB1171" s="207" t="s">
        <v>207</v>
      </c>
      <c r="AC1171" s="207" t="s">
        <v>1363</v>
      </c>
      <c r="AD1171" s="213">
        <v>2</v>
      </c>
    </row>
    <row r="1172" spans="28:30" x14ac:dyDescent="0.25">
      <c r="AB1172" s="207" t="s">
        <v>27</v>
      </c>
      <c r="AC1172" s="207" t="s">
        <v>1364</v>
      </c>
      <c r="AD1172" s="213">
        <v>2</v>
      </c>
    </row>
    <row r="1173" spans="28:30" x14ac:dyDescent="0.25">
      <c r="AB1173" s="207" t="s">
        <v>27</v>
      </c>
      <c r="AC1173" s="207" t="s">
        <v>1365</v>
      </c>
      <c r="AD1173" s="213">
        <v>2</v>
      </c>
    </row>
    <row r="1174" spans="28:30" x14ac:dyDescent="0.25">
      <c r="AB1174" s="207" t="s">
        <v>27</v>
      </c>
      <c r="AC1174" s="207" t="s">
        <v>1366</v>
      </c>
      <c r="AD1174" s="213">
        <v>2</v>
      </c>
    </row>
    <row r="1175" spans="28:30" x14ac:dyDescent="0.25">
      <c r="AB1175" s="207" t="s">
        <v>27</v>
      </c>
      <c r="AC1175" s="207" t="s">
        <v>1367</v>
      </c>
      <c r="AD1175" s="213">
        <v>2</v>
      </c>
    </row>
    <row r="1176" spans="28:30" x14ac:dyDescent="0.25">
      <c r="AB1176" s="207" t="s">
        <v>27</v>
      </c>
      <c r="AC1176" s="207" t="s">
        <v>1368</v>
      </c>
      <c r="AD1176" s="213">
        <v>3</v>
      </c>
    </row>
    <row r="1177" spans="28:30" x14ac:dyDescent="0.25">
      <c r="AB1177" s="207" t="s">
        <v>207</v>
      </c>
      <c r="AC1177" s="207" t="s">
        <v>1369</v>
      </c>
      <c r="AD1177" s="213">
        <v>2</v>
      </c>
    </row>
    <row r="1178" spans="28:30" x14ac:dyDescent="0.25">
      <c r="AB1178" s="207" t="s">
        <v>207</v>
      </c>
      <c r="AC1178" s="207" t="s">
        <v>1370</v>
      </c>
      <c r="AD1178" s="213">
        <v>2</v>
      </c>
    </row>
    <row r="1179" spans="28:30" x14ac:dyDescent="0.25">
      <c r="AB1179" s="207" t="s">
        <v>27</v>
      </c>
      <c r="AC1179" s="207" t="s">
        <v>1371</v>
      </c>
      <c r="AD1179" s="213">
        <v>3</v>
      </c>
    </row>
    <row r="1180" spans="28:30" x14ac:dyDescent="0.25">
      <c r="AB1180" s="207" t="s">
        <v>214</v>
      </c>
      <c r="AC1180" s="207" t="s">
        <v>1372</v>
      </c>
      <c r="AD1180" s="213">
        <v>2</v>
      </c>
    </row>
    <row r="1181" spans="28:30" x14ac:dyDescent="0.25">
      <c r="AB1181" s="207" t="s">
        <v>207</v>
      </c>
      <c r="AC1181" s="207" t="s">
        <v>1373</v>
      </c>
      <c r="AD1181" s="213">
        <v>2</v>
      </c>
    </row>
    <row r="1182" spans="28:30" x14ac:dyDescent="0.25">
      <c r="AB1182" s="207" t="s">
        <v>214</v>
      </c>
      <c r="AC1182" s="207" t="s">
        <v>1374</v>
      </c>
      <c r="AD1182" s="213">
        <v>2</v>
      </c>
    </row>
    <row r="1183" spans="28:30" x14ac:dyDescent="0.25">
      <c r="AB1183" s="207" t="s">
        <v>214</v>
      </c>
      <c r="AC1183" s="207" t="s">
        <v>1375</v>
      </c>
      <c r="AD1183" s="213">
        <v>2</v>
      </c>
    </row>
    <row r="1184" spans="28:30" x14ac:dyDescent="0.25">
      <c r="AB1184" s="207" t="s">
        <v>27</v>
      </c>
      <c r="AC1184" s="207" t="s">
        <v>1376</v>
      </c>
      <c r="AD1184" s="213">
        <v>2</v>
      </c>
    </row>
    <row r="1185" spans="28:30" x14ac:dyDescent="0.25">
      <c r="AB1185" s="207" t="s">
        <v>207</v>
      </c>
      <c r="AC1185" s="207" t="s">
        <v>1377</v>
      </c>
      <c r="AD1185" s="213">
        <v>2</v>
      </c>
    </row>
    <row r="1186" spans="28:30" x14ac:dyDescent="0.25">
      <c r="AB1186" s="207" t="s">
        <v>207</v>
      </c>
      <c r="AC1186" s="207" t="s">
        <v>1378</v>
      </c>
      <c r="AD1186" s="213">
        <v>2</v>
      </c>
    </row>
    <row r="1187" spans="28:30" x14ac:dyDescent="0.25">
      <c r="AB1187" s="207" t="s">
        <v>207</v>
      </c>
      <c r="AC1187" s="207" t="s">
        <v>1379</v>
      </c>
      <c r="AD1187" s="213">
        <v>2</v>
      </c>
    </row>
    <row r="1188" spans="28:30" x14ac:dyDescent="0.25">
      <c r="AB1188" s="207" t="s">
        <v>207</v>
      </c>
      <c r="AC1188" s="207" t="s">
        <v>1380</v>
      </c>
      <c r="AD1188" s="213">
        <v>2</v>
      </c>
    </row>
    <row r="1189" spans="28:30" x14ac:dyDescent="0.25">
      <c r="AB1189" s="207" t="s">
        <v>207</v>
      </c>
      <c r="AC1189" s="207" t="s">
        <v>1381</v>
      </c>
      <c r="AD1189" s="213">
        <v>2</v>
      </c>
    </row>
    <row r="1190" spans="28:30" x14ac:dyDescent="0.25">
      <c r="AB1190" s="207" t="s">
        <v>207</v>
      </c>
      <c r="AC1190" s="207" t="s">
        <v>1382</v>
      </c>
      <c r="AD1190" s="213">
        <v>2</v>
      </c>
    </row>
    <row r="1191" spans="28:30" x14ac:dyDescent="0.25">
      <c r="AB1191" s="207" t="s">
        <v>27</v>
      </c>
      <c r="AC1191" s="207" t="s">
        <v>1383</v>
      </c>
      <c r="AD1191" s="213">
        <v>2</v>
      </c>
    </row>
    <row r="1192" spans="28:30" x14ac:dyDescent="0.25">
      <c r="AB1192" s="207" t="s">
        <v>27</v>
      </c>
      <c r="AC1192" s="207" t="s">
        <v>1384</v>
      </c>
      <c r="AD1192" s="213">
        <v>2</v>
      </c>
    </row>
    <row r="1193" spans="28:30" x14ac:dyDescent="0.25">
      <c r="AB1193" s="207" t="s">
        <v>207</v>
      </c>
      <c r="AC1193" s="207" t="s">
        <v>1385</v>
      </c>
      <c r="AD1193" s="213">
        <v>2</v>
      </c>
    </row>
    <row r="1194" spans="28:30" x14ac:dyDescent="0.25">
      <c r="AB1194" s="207" t="s">
        <v>214</v>
      </c>
      <c r="AC1194" s="207" t="s">
        <v>1386</v>
      </c>
      <c r="AD1194" s="213">
        <v>2</v>
      </c>
    </row>
    <row r="1195" spans="28:30" x14ac:dyDescent="0.25">
      <c r="AB1195" s="207" t="s">
        <v>207</v>
      </c>
      <c r="AC1195" s="207" t="s">
        <v>1387</v>
      </c>
      <c r="AD1195" s="213">
        <v>2</v>
      </c>
    </row>
    <row r="1196" spans="28:30" x14ac:dyDescent="0.25">
      <c r="AB1196" s="207" t="s">
        <v>207</v>
      </c>
      <c r="AC1196" s="207" t="s">
        <v>1388</v>
      </c>
      <c r="AD1196" s="213">
        <v>2</v>
      </c>
    </row>
    <row r="1197" spans="28:30" x14ac:dyDescent="0.25">
      <c r="AB1197" s="207" t="s">
        <v>27</v>
      </c>
      <c r="AC1197" s="207" t="s">
        <v>1389</v>
      </c>
      <c r="AD1197" s="213">
        <v>2</v>
      </c>
    </row>
    <row r="1198" spans="28:30" x14ac:dyDescent="0.25">
      <c r="AB1198" s="207" t="s">
        <v>207</v>
      </c>
      <c r="AC1198" s="207" t="s">
        <v>1390</v>
      </c>
      <c r="AD1198" s="213">
        <v>2</v>
      </c>
    </row>
    <row r="1199" spans="28:30" x14ac:dyDescent="0.25">
      <c r="AB1199" s="207" t="s">
        <v>27</v>
      </c>
      <c r="AC1199" s="207" t="s">
        <v>1391</v>
      </c>
      <c r="AD1199" s="213">
        <v>2</v>
      </c>
    </row>
    <row r="1200" spans="28:30" x14ac:dyDescent="0.25">
      <c r="AB1200" s="207" t="s">
        <v>207</v>
      </c>
      <c r="AC1200" s="207" t="s">
        <v>1392</v>
      </c>
      <c r="AD1200" s="213">
        <v>2</v>
      </c>
    </row>
    <row r="1201" spans="28:30" x14ac:dyDescent="0.25">
      <c r="AB1201" s="207" t="s">
        <v>207</v>
      </c>
      <c r="AC1201" s="207" t="s">
        <v>1393</v>
      </c>
      <c r="AD1201" s="213">
        <v>2</v>
      </c>
    </row>
    <row r="1202" spans="28:30" x14ac:dyDescent="0.25">
      <c r="AB1202" s="207" t="s">
        <v>207</v>
      </c>
      <c r="AC1202" s="207" t="s">
        <v>1394</v>
      </c>
      <c r="AD1202" s="213">
        <v>2</v>
      </c>
    </row>
    <row r="1203" spans="28:30" x14ac:dyDescent="0.25">
      <c r="AB1203" s="207" t="s">
        <v>207</v>
      </c>
      <c r="AC1203" s="207" t="s">
        <v>1395</v>
      </c>
      <c r="AD1203" s="213">
        <v>2</v>
      </c>
    </row>
    <row r="1204" spans="28:30" x14ac:dyDescent="0.25">
      <c r="AB1204" s="207" t="s">
        <v>207</v>
      </c>
      <c r="AC1204" s="207" t="s">
        <v>1396</v>
      </c>
      <c r="AD1204" s="213">
        <v>2</v>
      </c>
    </row>
    <row r="1205" spans="28:30" x14ac:dyDescent="0.25">
      <c r="AB1205" s="207" t="s">
        <v>27</v>
      </c>
      <c r="AC1205" s="207" t="s">
        <v>1397</v>
      </c>
      <c r="AD1205" s="213">
        <v>2</v>
      </c>
    </row>
    <row r="1206" spans="28:30" x14ac:dyDescent="0.25">
      <c r="AB1206" s="207" t="s">
        <v>207</v>
      </c>
      <c r="AC1206" s="207" t="s">
        <v>1398</v>
      </c>
      <c r="AD1206" s="213">
        <v>2</v>
      </c>
    </row>
    <row r="1207" spans="28:30" x14ac:dyDescent="0.25">
      <c r="AB1207" s="207" t="s">
        <v>207</v>
      </c>
      <c r="AC1207" s="207" t="s">
        <v>1399</v>
      </c>
      <c r="AD1207" s="213">
        <v>2</v>
      </c>
    </row>
    <row r="1208" spans="28:30" x14ac:dyDescent="0.25">
      <c r="AB1208" s="207" t="s">
        <v>207</v>
      </c>
      <c r="AC1208" s="207" t="s">
        <v>1400</v>
      </c>
      <c r="AD1208" s="213">
        <v>2</v>
      </c>
    </row>
    <row r="1209" spans="28:30" x14ac:dyDescent="0.25">
      <c r="AB1209" s="207" t="s">
        <v>207</v>
      </c>
      <c r="AC1209" s="207" t="s">
        <v>1401</v>
      </c>
      <c r="AD1209" s="213">
        <v>2</v>
      </c>
    </row>
    <row r="1210" spans="28:30" x14ac:dyDescent="0.25">
      <c r="AB1210" s="207" t="s">
        <v>207</v>
      </c>
      <c r="AC1210" s="207" t="s">
        <v>1402</v>
      </c>
      <c r="AD1210" s="213">
        <v>2</v>
      </c>
    </row>
    <row r="1211" spans="28:30" x14ac:dyDescent="0.25">
      <c r="AB1211" s="207" t="s">
        <v>27</v>
      </c>
      <c r="AC1211" s="207" t="s">
        <v>1403</v>
      </c>
      <c r="AD1211" s="213">
        <v>2</v>
      </c>
    </row>
    <row r="1212" spans="28:30" x14ac:dyDescent="0.25">
      <c r="AB1212" s="207" t="s">
        <v>207</v>
      </c>
      <c r="AC1212" s="207" t="s">
        <v>1404</v>
      </c>
      <c r="AD1212" s="213">
        <v>2</v>
      </c>
    </row>
    <row r="1213" spans="28:30" x14ac:dyDescent="0.25">
      <c r="AB1213" s="207" t="s">
        <v>214</v>
      </c>
      <c r="AC1213" s="207" t="s">
        <v>1405</v>
      </c>
      <c r="AD1213" s="213">
        <v>1</v>
      </c>
    </row>
    <row r="1214" spans="28:30" x14ac:dyDescent="0.25">
      <c r="AB1214" s="207" t="s">
        <v>214</v>
      </c>
      <c r="AC1214" s="207" t="s">
        <v>1406</v>
      </c>
      <c r="AD1214" s="213">
        <v>2</v>
      </c>
    </row>
    <row r="1215" spans="28:30" x14ac:dyDescent="0.25">
      <c r="AB1215" s="207" t="s">
        <v>207</v>
      </c>
      <c r="AC1215" s="207" t="s">
        <v>1407</v>
      </c>
      <c r="AD1215" s="213">
        <v>2</v>
      </c>
    </row>
    <row r="1216" spans="28:30" x14ac:dyDescent="0.25">
      <c r="AB1216" s="207" t="s">
        <v>27</v>
      </c>
      <c r="AC1216" s="207" t="s">
        <v>1408</v>
      </c>
      <c r="AD1216" s="213">
        <v>2</v>
      </c>
    </row>
    <row r="1217" spans="28:30" x14ac:dyDescent="0.25">
      <c r="AB1217" s="207" t="s">
        <v>207</v>
      </c>
      <c r="AC1217" s="207" t="s">
        <v>1409</v>
      </c>
      <c r="AD1217" s="213">
        <v>2</v>
      </c>
    </row>
    <row r="1218" spans="28:30" x14ac:dyDescent="0.25">
      <c r="AB1218" s="207" t="s">
        <v>27</v>
      </c>
      <c r="AC1218" s="207" t="s">
        <v>1410</v>
      </c>
      <c r="AD1218" s="213">
        <v>2</v>
      </c>
    </row>
    <row r="1219" spans="28:30" x14ac:dyDescent="0.25">
      <c r="AB1219" s="207" t="s">
        <v>207</v>
      </c>
      <c r="AC1219" s="207" t="s">
        <v>1411</v>
      </c>
      <c r="AD1219" s="213">
        <v>2</v>
      </c>
    </row>
    <row r="1220" spans="28:30" x14ac:dyDescent="0.25">
      <c r="AB1220" s="207" t="s">
        <v>207</v>
      </c>
      <c r="AC1220" s="207" t="s">
        <v>1412</v>
      </c>
      <c r="AD1220" s="213">
        <v>2</v>
      </c>
    </row>
    <row r="1221" spans="28:30" x14ac:dyDescent="0.25">
      <c r="AB1221" s="207" t="s">
        <v>207</v>
      </c>
      <c r="AC1221" s="207" t="s">
        <v>1413</v>
      </c>
      <c r="AD1221" s="213">
        <v>2</v>
      </c>
    </row>
    <row r="1222" spans="28:30" x14ac:dyDescent="0.25">
      <c r="AB1222" s="207" t="s">
        <v>207</v>
      </c>
      <c r="AC1222" s="207" t="s">
        <v>1414</v>
      </c>
      <c r="AD1222" s="213">
        <v>2</v>
      </c>
    </row>
    <row r="1223" spans="28:30" x14ac:dyDescent="0.25">
      <c r="AB1223" s="207" t="s">
        <v>207</v>
      </c>
      <c r="AC1223" s="207" t="s">
        <v>1415</v>
      </c>
      <c r="AD1223" s="213">
        <v>2</v>
      </c>
    </row>
    <row r="1224" spans="28:30" x14ac:dyDescent="0.25">
      <c r="AB1224" s="207" t="s">
        <v>207</v>
      </c>
      <c r="AC1224" s="207" t="s">
        <v>1416</v>
      </c>
      <c r="AD1224" s="213">
        <v>3</v>
      </c>
    </row>
    <row r="1225" spans="28:30" x14ac:dyDescent="0.25">
      <c r="AB1225" s="207" t="s">
        <v>214</v>
      </c>
      <c r="AC1225" s="207" t="s">
        <v>907</v>
      </c>
      <c r="AD1225" s="213">
        <v>2</v>
      </c>
    </row>
    <row r="1226" spans="28:30" x14ac:dyDescent="0.25">
      <c r="AB1226" s="207" t="s">
        <v>27</v>
      </c>
      <c r="AC1226" s="207" t="s">
        <v>1417</v>
      </c>
      <c r="AD1226" s="213">
        <v>2</v>
      </c>
    </row>
    <row r="1227" spans="28:30" x14ac:dyDescent="0.25">
      <c r="AB1227" s="207" t="s">
        <v>27</v>
      </c>
      <c r="AC1227" s="207" t="s">
        <v>1418</v>
      </c>
      <c r="AD1227" s="213">
        <v>2</v>
      </c>
    </row>
    <row r="1228" spans="28:30" x14ac:dyDescent="0.25">
      <c r="AB1228" s="207" t="s">
        <v>207</v>
      </c>
      <c r="AC1228" s="207" t="s">
        <v>1419</v>
      </c>
      <c r="AD1228" s="213">
        <v>2</v>
      </c>
    </row>
    <row r="1229" spans="28:30" x14ac:dyDescent="0.25">
      <c r="AB1229" s="207" t="s">
        <v>207</v>
      </c>
      <c r="AC1229" s="207" t="s">
        <v>1420</v>
      </c>
      <c r="AD1229" s="213">
        <v>2</v>
      </c>
    </row>
    <row r="1230" spans="28:30" x14ac:dyDescent="0.25">
      <c r="AB1230" s="207" t="s">
        <v>207</v>
      </c>
      <c r="AC1230" s="207" t="s">
        <v>1421</v>
      </c>
      <c r="AD1230" s="213">
        <v>2</v>
      </c>
    </row>
    <row r="1231" spans="28:30" x14ac:dyDescent="0.25">
      <c r="AB1231" s="207" t="s">
        <v>207</v>
      </c>
      <c r="AC1231" s="207" t="s">
        <v>1422</v>
      </c>
      <c r="AD1231" s="213">
        <v>2</v>
      </c>
    </row>
    <row r="1232" spans="28:30" x14ac:dyDescent="0.25">
      <c r="AB1232" s="207" t="s">
        <v>207</v>
      </c>
      <c r="AC1232" s="207" t="s">
        <v>1423</v>
      </c>
      <c r="AD1232" s="213">
        <v>2</v>
      </c>
    </row>
    <row r="1233" spans="28:30" x14ac:dyDescent="0.25">
      <c r="AB1233" s="207" t="s">
        <v>214</v>
      </c>
      <c r="AC1233" s="207" t="s">
        <v>1424</v>
      </c>
      <c r="AD1233" s="213">
        <v>2</v>
      </c>
    </row>
    <row r="1234" spans="28:30" x14ac:dyDescent="0.25">
      <c r="AB1234" s="207" t="s">
        <v>27</v>
      </c>
      <c r="AC1234" s="207" t="s">
        <v>1425</v>
      </c>
      <c r="AD1234" s="213">
        <v>2</v>
      </c>
    </row>
    <row r="1235" spans="28:30" x14ac:dyDescent="0.25">
      <c r="AB1235" s="207" t="s">
        <v>207</v>
      </c>
      <c r="AC1235" s="207" t="s">
        <v>1426</v>
      </c>
      <c r="AD1235" s="213">
        <v>2</v>
      </c>
    </row>
    <row r="1236" spans="28:30" x14ac:dyDescent="0.25">
      <c r="AB1236" s="207" t="s">
        <v>207</v>
      </c>
      <c r="AC1236" s="207" t="s">
        <v>1427</v>
      </c>
      <c r="AD1236" s="213">
        <v>2</v>
      </c>
    </row>
    <row r="1237" spans="28:30" x14ac:dyDescent="0.25">
      <c r="AB1237" s="207" t="s">
        <v>207</v>
      </c>
      <c r="AC1237" s="207" t="s">
        <v>1428</v>
      </c>
      <c r="AD1237" s="213">
        <v>2</v>
      </c>
    </row>
    <row r="1238" spans="28:30" x14ac:dyDescent="0.25">
      <c r="AB1238" s="207" t="s">
        <v>207</v>
      </c>
      <c r="AC1238" s="207" t="s">
        <v>1429</v>
      </c>
      <c r="AD1238" s="213">
        <v>2</v>
      </c>
    </row>
    <row r="1239" spans="28:30" x14ac:dyDescent="0.25">
      <c r="AB1239" s="207" t="s">
        <v>27</v>
      </c>
      <c r="AC1239" s="207" t="s">
        <v>1430</v>
      </c>
      <c r="AD1239" s="213">
        <v>2</v>
      </c>
    </row>
    <row r="1240" spans="28:30" x14ac:dyDescent="0.25">
      <c r="AB1240" s="207" t="s">
        <v>207</v>
      </c>
      <c r="AC1240" s="207" t="s">
        <v>1431</v>
      </c>
      <c r="AD1240" s="213">
        <v>2</v>
      </c>
    </row>
    <row r="1241" spans="28:30" x14ac:dyDescent="0.25">
      <c r="AB1241" s="207" t="s">
        <v>207</v>
      </c>
      <c r="AC1241" s="207" t="s">
        <v>1432</v>
      </c>
      <c r="AD1241" s="213">
        <v>2</v>
      </c>
    </row>
    <row r="1242" spans="28:30" x14ac:dyDescent="0.25">
      <c r="AB1242" s="207" t="s">
        <v>207</v>
      </c>
      <c r="AC1242" s="207" t="s">
        <v>1433</v>
      </c>
      <c r="AD1242" s="213">
        <v>2</v>
      </c>
    </row>
    <row r="1243" spans="28:30" x14ac:dyDescent="0.25">
      <c r="AB1243" s="207" t="s">
        <v>207</v>
      </c>
      <c r="AC1243" s="207" t="s">
        <v>1434</v>
      </c>
      <c r="AD1243" s="213">
        <v>2</v>
      </c>
    </row>
    <row r="1244" spans="28:30" x14ac:dyDescent="0.25">
      <c r="AB1244" s="207" t="s">
        <v>207</v>
      </c>
      <c r="AC1244" s="207" t="s">
        <v>1435</v>
      </c>
      <c r="AD1244" s="213">
        <v>2</v>
      </c>
    </row>
    <row r="1245" spans="28:30" x14ac:dyDescent="0.25">
      <c r="AB1245" s="207" t="s">
        <v>207</v>
      </c>
      <c r="AC1245" s="207" t="s">
        <v>1436</v>
      </c>
      <c r="AD1245" s="213">
        <v>2</v>
      </c>
    </row>
    <row r="1246" spans="28:30" x14ac:dyDescent="0.25">
      <c r="AB1246" s="207" t="s">
        <v>207</v>
      </c>
      <c r="AC1246" s="207" t="s">
        <v>1437</v>
      </c>
      <c r="AD1246" s="213">
        <v>2</v>
      </c>
    </row>
    <row r="1247" spans="28:30" x14ac:dyDescent="0.25">
      <c r="AB1247" s="207" t="s">
        <v>214</v>
      </c>
      <c r="AC1247" s="207" t="s">
        <v>1438</v>
      </c>
      <c r="AD1247" s="213">
        <v>1</v>
      </c>
    </row>
    <row r="1248" spans="28:30" x14ac:dyDescent="0.25">
      <c r="AB1248" s="207" t="s">
        <v>214</v>
      </c>
      <c r="AC1248" s="207" t="s">
        <v>1439</v>
      </c>
      <c r="AD1248" s="213">
        <v>2</v>
      </c>
    </row>
    <row r="1249" spans="28:30" x14ac:dyDescent="0.25">
      <c r="AB1249" s="207" t="s">
        <v>207</v>
      </c>
      <c r="AC1249" s="207" t="s">
        <v>1440</v>
      </c>
      <c r="AD1249" s="213">
        <v>2</v>
      </c>
    </row>
    <row r="1250" spans="28:30" x14ac:dyDescent="0.25">
      <c r="AB1250" s="207" t="s">
        <v>214</v>
      </c>
      <c r="AC1250" s="207" t="s">
        <v>1441</v>
      </c>
      <c r="AD1250" s="213">
        <v>2</v>
      </c>
    </row>
    <row r="1251" spans="28:30" x14ac:dyDescent="0.25">
      <c r="AB1251" s="207" t="s">
        <v>207</v>
      </c>
      <c r="AC1251" s="207" t="s">
        <v>1442</v>
      </c>
      <c r="AD1251" s="213">
        <v>2</v>
      </c>
    </row>
    <row r="1252" spans="28:30" x14ac:dyDescent="0.25">
      <c r="AB1252" s="207" t="s">
        <v>207</v>
      </c>
      <c r="AC1252" s="207" t="s">
        <v>1443</v>
      </c>
      <c r="AD1252" s="213">
        <v>2</v>
      </c>
    </row>
    <row r="1253" spans="28:30" x14ac:dyDescent="0.25">
      <c r="AB1253" s="207" t="s">
        <v>207</v>
      </c>
      <c r="AC1253" s="207" t="s">
        <v>1444</v>
      </c>
      <c r="AD1253" s="213">
        <v>2</v>
      </c>
    </row>
    <row r="1254" spans="28:30" x14ac:dyDescent="0.25">
      <c r="AB1254" s="207" t="s">
        <v>207</v>
      </c>
      <c r="AC1254" s="207" t="s">
        <v>1445</v>
      </c>
      <c r="AD1254" s="213">
        <v>2</v>
      </c>
    </row>
    <row r="1255" spans="28:30" x14ac:dyDescent="0.25">
      <c r="AB1255" s="207" t="s">
        <v>27</v>
      </c>
      <c r="AC1255" s="207" t="s">
        <v>1446</v>
      </c>
      <c r="AD1255" s="213">
        <v>2</v>
      </c>
    </row>
    <row r="1256" spans="28:30" x14ac:dyDescent="0.25">
      <c r="AB1256" s="207" t="s">
        <v>207</v>
      </c>
      <c r="AC1256" s="207" t="s">
        <v>1447</v>
      </c>
      <c r="AD1256" s="213">
        <v>2</v>
      </c>
    </row>
    <row r="1257" spans="28:30" x14ac:dyDescent="0.25">
      <c r="AB1257" s="207" t="s">
        <v>207</v>
      </c>
      <c r="AC1257" s="207" t="s">
        <v>1448</v>
      </c>
      <c r="AD1257" s="213">
        <v>2</v>
      </c>
    </row>
    <row r="1258" spans="28:30" x14ac:dyDescent="0.25">
      <c r="AB1258" s="207" t="s">
        <v>207</v>
      </c>
      <c r="AC1258" s="207" t="s">
        <v>1449</v>
      </c>
      <c r="AD1258" s="213">
        <v>2</v>
      </c>
    </row>
    <row r="1259" spans="28:30" x14ac:dyDescent="0.25">
      <c r="AB1259" s="207" t="s">
        <v>207</v>
      </c>
      <c r="AC1259" s="207" t="s">
        <v>1450</v>
      </c>
      <c r="AD1259" s="213">
        <v>2</v>
      </c>
    </row>
    <row r="1260" spans="28:30" x14ac:dyDescent="0.25">
      <c r="AB1260" s="207" t="s">
        <v>207</v>
      </c>
      <c r="AC1260" s="207" t="s">
        <v>1451</v>
      </c>
      <c r="AD1260" s="213">
        <v>2</v>
      </c>
    </row>
    <row r="1261" spans="28:30" x14ac:dyDescent="0.25">
      <c r="AB1261" s="207" t="s">
        <v>207</v>
      </c>
      <c r="AC1261" s="207" t="s">
        <v>1452</v>
      </c>
      <c r="AD1261" s="213">
        <v>2</v>
      </c>
    </row>
    <row r="1262" spans="28:30" x14ac:dyDescent="0.25">
      <c r="AB1262" s="207" t="s">
        <v>207</v>
      </c>
      <c r="AC1262" s="207" t="s">
        <v>1453</v>
      </c>
      <c r="AD1262" s="213">
        <v>2</v>
      </c>
    </row>
    <row r="1263" spans="28:30" x14ac:dyDescent="0.25">
      <c r="AB1263" s="207" t="s">
        <v>27</v>
      </c>
      <c r="AC1263" s="207" t="s">
        <v>1454</v>
      </c>
      <c r="AD1263" s="213">
        <v>2</v>
      </c>
    </row>
    <row r="1264" spans="28:30" x14ac:dyDescent="0.25">
      <c r="AB1264" s="207" t="s">
        <v>207</v>
      </c>
      <c r="AC1264" s="207" t="s">
        <v>1455</v>
      </c>
      <c r="AD1264" s="213">
        <v>2</v>
      </c>
    </row>
    <row r="1265" spans="28:30" x14ac:dyDescent="0.25">
      <c r="AB1265" s="207" t="s">
        <v>27</v>
      </c>
      <c r="AC1265" s="207" t="s">
        <v>1456</v>
      </c>
      <c r="AD1265" s="213">
        <v>2</v>
      </c>
    </row>
    <row r="1266" spans="28:30" x14ac:dyDescent="0.25">
      <c r="AB1266" s="207" t="s">
        <v>27</v>
      </c>
      <c r="AC1266" s="207" t="s">
        <v>1457</v>
      </c>
      <c r="AD1266" s="213">
        <v>2</v>
      </c>
    </row>
    <row r="1267" spans="28:30" x14ac:dyDescent="0.25">
      <c r="AB1267" s="207" t="s">
        <v>207</v>
      </c>
      <c r="AC1267" s="207" t="s">
        <v>1458</v>
      </c>
      <c r="AD1267" s="213">
        <v>1</v>
      </c>
    </row>
    <row r="1268" spans="28:30" x14ac:dyDescent="0.25">
      <c r="AB1268" s="207" t="s">
        <v>207</v>
      </c>
      <c r="AC1268" s="207" t="s">
        <v>1459</v>
      </c>
      <c r="AD1268" s="213">
        <v>2</v>
      </c>
    </row>
    <row r="1269" spans="28:30" x14ac:dyDescent="0.25">
      <c r="AB1269" s="207" t="s">
        <v>214</v>
      </c>
      <c r="AC1269" s="207" t="s">
        <v>1460</v>
      </c>
      <c r="AD1269" s="213">
        <v>2</v>
      </c>
    </row>
    <row r="1270" spans="28:30" x14ac:dyDescent="0.25">
      <c r="AB1270" s="207" t="s">
        <v>27</v>
      </c>
      <c r="AC1270" s="207" t="s">
        <v>1461</v>
      </c>
      <c r="AD1270" s="213">
        <v>2</v>
      </c>
    </row>
    <row r="1271" spans="28:30" x14ac:dyDescent="0.25">
      <c r="AB1271" s="207" t="s">
        <v>207</v>
      </c>
      <c r="AC1271" s="207" t="s">
        <v>1462</v>
      </c>
      <c r="AD1271" s="213">
        <v>2</v>
      </c>
    </row>
    <row r="1272" spans="28:30" x14ac:dyDescent="0.25">
      <c r="AB1272" s="207" t="s">
        <v>207</v>
      </c>
      <c r="AC1272" s="207" t="s">
        <v>1463</v>
      </c>
      <c r="AD1272" s="213">
        <v>2</v>
      </c>
    </row>
    <row r="1273" spans="28:30" x14ac:dyDescent="0.25">
      <c r="AB1273" s="207" t="s">
        <v>207</v>
      </c>
      <c r="AC1273" s="207" t="s">
        <v>1464</v>
      </c>
      <c r="AD1273" s="213">
        <v>2</v>
      </c>
    </row>
    <row r="1274" spans="28:30" x14ac:dyDescent="0.25">
      <c r="AB1274" s="207" t="s">
        <v>207</v>
      </c>
      <c r="AC1274" s="207" t="s">
        <v>1465</v>
      </c>
      <c r="AD1274" s="213">
        <v>2</v>
      </c>
    </row>
    <row r="1275" spans="28:30" x14ac:dyDescent="0.25">
      <c r="AB1275" s="207" t="s">
        <v>214</v>
      </c>
      <c r="AC1275" s="207" t="s">
        <v>1466</v>
      </c>
      <c r="AD1275" s="213">
        <v>2</v>
      </c>
    </row>
    <row r="1276" spans="28:30" x14ac:dyDescent="0.25">
      <c r="AB1276" s="207" t="s">
        <v>27</v>
      </c>
      <c r="AC1276" s="207" t="s">
        <v>1467</v>
      </c>
      <c r="AD1276" s="213">
        <v>2</v>
      </c>
    </row>
    <row r="1277" spans="28:30" x14ac:dyDescent="0.25">
      <c r="AB1277" s="207" t="s">
        <v>207</v>
      </c>
      <c r="AC1277" s="207" t="s">
        <v>1468</v>
      </c>
      <c r="AD1277" s="213">
        <v>2</v>
      </c>
    </row>
    <row r="1278" spans="28:30" x14ac:dyDescent="0.25">
      <c r="AB1278" s="207" t="s">
        <v>207</v>
      </c>
      <c r="AC1278" s="207" t="s">
        <v>1469</v>
      </c>
      <c r="AD1278" s="213">
        <v>2</v>
      </c>
    </row>
    <row r="1279" spans="28:30" x14ac:dyDescent="0.25">
      <c r="AB1279" s="207" t="s">
        <v>207</v>
      </c>
      <c r="AC1279" s="207" t="s">
        <v>1470</v>
      </c>
      <c r="AD1279" s="213">
        <v>2</v>
      </c>
    </row>
    <row r="1280" spans="28:30" x14ac:dyDescent="0.25">
      <c r="AB1280" s="207" t="s">
        <v>207</v>
      </c>
      <c r="AC1280" s="207" t="s">
        <v>1471</v>
      </c>
      <c r="AD1280" s="213">
        <v>3</v>
      </c>
    </row>
    <row r="1281" spans="28:30" x14ac:dyDescent="0.25">
      <c r="AB1281" s="207" t="s">
        <v>207</v>
      </c>
      <c r="AC1281" s="207" t="s">
        <v>1472</v>
      </c>
      <c r="AD1281" s="213">
        <v>2</v>
      </c>
    </row>
    <row r="1282" spans="28:30" x14ac:dyDescent="0.25">
      <c r="AB1282" s="207" t="s">
        <v>214</v>
      </c>
      <c r="AC1282" s="207" t="s">
        <v>1473</v>
      </c>
      <c r="AD1282" s="213">
        <v>2</v>
      </c>
    </row>
    <row r="1283" spans="28:30" x14ac:dyDescent="0.25">
      <c r="AB1283" s="207" t="s">
        <v>207</v>
      </c>
      <c r="AC1283" s="207" t="s">
        <v>1474</v>
      </c>
      <c r="AD1283" s="213">
        <v>2</v>
      </c>
    </row>
    <row r="1284" spans="28:30" x14ac:dyDescent="0.25">
      <c r="AB1284" s="207" t="s">
        <v>207</v>
      </c>
      <c r="AC1284" s="207" t="s">
        <v>1475</v>
      </c>
      <c r="AD1284" s="213">
        <v>2</v>
      </c>
    </row>
    <row r="1285" spans="28:30" x14ac:dyDescent="0.25">
      <c r="AB1285" s="207" t="s">
        <v>207</v>
      </c>
      <c r="AC1285" s="207" t="s">
        <v>1476</v>
      </c>
      <c r="AD1285" s="213">
        <v>3</v>
      </c>
    </row>
    <row r="1286" spans="28:30" x14ac:dyDescent="0.25">
      <c r="AB1286" s="207" t="s">
        <v>207</v>
      </c>
      <c r="AC1286" s="207" t="s">
        <v>1477</v>
      </c>
      <c r="AD1286" s="213">
        <v>2</v>
      </c>
    </row>
    <row r="1287" spans="28:30" x14ac:dyDescent="0.25">
      <c r="AB1287" s="207" t="s">
        <v>207</v>
      </c>
      <c r="AC1287" s="207" t="s">
        <v>1478</v>
      </c>
      <c r="AD1287" s="213">
        <v>2</v>
      </c>
    </row>
    <row r="1288" spans="28:30" x14ac:dyDescent="0.25">
      <c r="AB1288" s="207" t="s">
        <v>207</v>
      </c>
      <c r="AC1288" s="207" t="s">
        <v>1479</v>
      </c>
      <c r="AD1288" s="213">
        <v>2</v>
      </c>
    </row>
    <row r="1289" spans="28:30" x14ac:dyDescent="0.25">
      <c r="AB1289" s="207" t="s">
        <v>207</v>
      </c>
      <c r="AC1289" s="207" t="s">
        <v>1480</v>
      </c>
      <c r="AD1289" s="213">
        <v>2</v>
      </c>
    </row>
    <row r="1290" spans="28:30" x14ac:dyDescent="0.25">
      <c r="AB1290" s="207" t="s">
        <v>207</v>
      </c>
      <c r="AC1290" s="207" t="s">
        <v>1481</v>
      </c>
      <c r="AD1290" s="213">
        <v>2</v>
      </c>
    </row>
    <row r="1291" spans="28:30" x14ac:dyDescent="0.25">
      <c r="AB1291" s="207" t="s">
        <v>207</v>
      </c>
      <c r="AC1291" s="207" t="s">
        <v>1482</v>
      </c>
      <c r="AD1291" s="213">
        <v>2</v>
      </c>
    </row>
    <row r="1292" spans="28:30" x14ac:dyDescent="0.25">
      <c r="AB1292" s="207" t="s">
        <v>27</v>
      </c>
      <c r="AC1292" s="207" t="s">
        <v>1483</v>
      </c>
      <c r="AD1292" s="213">
        <v>2</v>
      </c>
    </row>
    <row r="1293" spans="28:30" x14ac:dyDescent="0.25">
      <c r="AB1293" s="207" t="s">
        <v>207</v>
      </c>
      <c r="AC1293" s="207" t="s">
        <v>1484</v>
      </c>
      <c r="AD1293" s="213">
        <v>2</v>
      </c>
    </row>
    <row r="1294" spans="28:30" x14ac:dyDescent="0.25">
      <c r="AB1294" s="207" t="s">
        <v>207</v>
      </c>
      <c r="AC1294" s="207" t="s">
        <v>1485</v>
      </c>
      <c r="AD1294" s="213">
        <v>3</v>
      </c>
    </row>
    <row r="1295" spans="28:30" x14ac:dyDescent="0.25">
      <c r="AB1295" s="207" t="s">
        <v>207</v>
      </c>
      <c r="AC1295" s="207" t="s">
        <v>1486</v>
      </c>
      <c r="AD1295" s="213">
        <v>2</v>
      </c>
    </row>
    <row r="1296" spans="28:30" x14ac:dyDescent="0.25">
      <c r="AB1296" s="207" t="s">
        <v>207</v>
      </c>
      <c r="AC1296" s="207" t="s">
        <v>1487</v>
      </c>
      <c r="AD1296" s="213">
        <v>2</v>
      </c>
    </row>
    <row r="1297" spans="28:30" x14ac:dyDescent="0.25">
      <c r="AB1297" s="207" t="s">
        <v>207</v>
      </c>
      <c r="AC1297" s="207" t="s">
        <v>1488</v>
      </c>
      <c r="AD1297" s="213">
        <v>2</v>
      </c>
    </row>
    <row r="1298" spans="28:30" x14ac:dyDescent="0.25">
      <c r="AB1298" s="207" t="s">
        <v>207</v>
      </c>
      <c r="AC1298" s="207" t="s">
        <v>1489</v>
      </c>
      <c r="AD1298" s="213">
        <v>2</v>
      </c>
    </row>
    <row r="1299" spans="28:30" x14ac:dyDescent="0.25">
      <c r="AB1299" s="207" t="s">
        <v>207</v>
      </c>
      <c r="AC1299" s="207" t="s">
        <v>1490</v>
      </c>
      <c r="AD1299" s="213">
        <v>2</v>
      </c>
    </row>
    <row r="1300" spans="28:30" x14ac:dyDescent="0.25">
      <c r="AB1300" s="207" t="s">
        <v>207</v>
      </c>
      <c r="AC1300" s="207" t="s">
        <v>1491</v>
      </c>
      <c r="AD1300" s="213">
        <v>2</v>
      </c>
    </row>
    <row r="1301" spans="28:30" x14ac:dyDescent="0.25">
      <c r="AB1301" s="207" t="s">
        <v>207</v>
      </c>
      <c r="AC1301" s="207" t="s">
        <v>1492</v>
      </c>
      <c r="AD1301" s="213">
        <v>2</v>
      </c>
    </row>
    <row r="1302" spans="28:30" x14ac:dyDescent="0.25">
      <c r="AB1302" s="207" t="s">
        <v>27</v>
      </c>
      <c r="AC1302" s="207" t="s">
        <v>1493</v>
      </c>
      <c r="AD1302" s="213">
        <v>2</v>
      </c>
    </row>
    <row r="1303" spans="28:30" x14ac:dyDescent="0.25">
      <c r="AB1303" s="207" t="s">
        <v>207</v>
      </c>
      <c r="AC1303" s="207" t="s">
        <v>1494</v>
      </c>
      <c r="AD1303" s="213">
        <v>2</v>
      </c>
    </row>
    <row r="1304" spans="28:30" x14ac:dyDescent="0.25">
      <c r="AB1304" s="207" t="s">
        <v>207</v>
      </c>
      <c r="AC1304" s="207" t="s">
        <v>1495</v>
      </c>
      <c r="AD1304" s="213">
        <v>2</v>
      </c>
    </row>
    <row r="1305" spans="28:30" x14ac:dyDescent="0.25">
      <c r="AB1305" s="207" t="s">
        <v>207</v>
      </c>
      <c r="AC1305" s="207" t="s">
        <v>1496</v>
      </c>
      <c r="AD1305" s="213">
        <v>2</v>
      </c>
    </row>
    <row r="1306" spans="28:30" x14ac:dyDescent="0.25">
      <c r="AB1306" s="207" t="s">
        <v>207</v>
      </c>
      <c r="AC1306" s="207" t="s">
        <v>1497</v>
      </c>
      <c r="AD1306" s="213">
        <v>2</v>
      </c>
    </row>
    <row r="1307" spans="28:30" x14ac:dyDescent="0.25">
      <c r="AB1307" s="207" t="s">
        <v>27</v>
      </c>
      <c r="AC1307" s="207" t="s">
        <v>1498</v>
      </c>
      <c r="AD1307" s="213">
        <v>2</v>
      </c>
    </row>
    <row r="1308" spans="28:30" x14ac:dyDescent="0.25">
      <c r="AB1308" s="207" t="s">
        <v>27</v>
      </c>
      <c r="AC1308" s="207" t="s">
        <v>1499</v>
      </c>
      <c r="AD1308" s="213">
        <v>2</v>
      </c>
    </row>
    <row r="1309" spans="28:30" x14ac:dyDescent="0.25">
      <c r="AB1309" s="207" t="s">
        <v>27</v>
      </c>
      <c r="AC1309" s="207" t="s">
        <v>1500</v>
      </c>
      <c r="AD1309" s="213">
        <v>2</v>
      </c>
    </row>
    <row r="1310" spans="28:30" x14ac:dyDescent="0.25">
      <c r="AB1310" s="207" t="s">
        <v>207</v>
      </c>
      <c r="AC1310" s="207" t="s">
        <v>1501</v>
      </c>
      <c r="AD1310" s="213">
        <v>2</v>
      </c>
    </row>
    <row r="1311" spans="28:30" x14ac:dyDescent="0.25">
      <c r="AB1311" s="207" t="s">
        <v>207</v>
      </c>
      <c r="AC1311" s="207" t="s">
        <v>1502</v>
      </c>
      <c r="AD1311" s="213">
        <v>2</v>
      </c>
    </row>
    <row r="1312" spans="28:30" x14ac:dyDescent="0.25">
      <c r="AB1312" s="207" t="s">
        <v>207</v>
      </c>
      <c r="AC1312" s="207" t="s">
        <v>1503</v>
      </c>
      <c r="AD1312" s="213">
        <v>2</v>
      </c>
    </row>
    <row r="1313" spans="28:30" x14ac:dyDescent="0.25">
      <c r="AB1313" s="207" t="s">
        <v>207</v>
      </c>
      <c r="AC1313" s="207" t="s">
        <v>1504</v>
      </c>
      <c r="AD1313" s="213">
        <v>2</v>
      </c>
    </row>
    <row r="1314" spans="28:30" x14ac:dyDescent="0.25">
      <c r="AB1314" s="207" t="s">
        <v>27</v>
      </c>
      <c r="AC1314" s="207" t="s">
        <v>1505</v>
      </c>
      <c r="AD1314" s="213">
        <v>2</v>
      </c>
    </row>
    <row r="1315" spans="28:30" x14ac:dyDescent="0.25">
      <c r="AB1315" s="207" t="s">
        <v>207</v>
      </c>
      <c r="AC1315" s="207" t="s">
        <v>1506</v>
      </c>
      <c r="AD1315" s="213">
        <v>2</v>
      </c>
    </row>
    <row r="1316" spans="28:30" x14ac:dyDescent="0.25">
      <c r="AB1316" s="207" t="s">
        <v>214</v>
      </c>
      <c r="AC1316" s="207" t="s">
        <v>1507</v>
      </c>
      <c r="AD1316" s="213">
        <v>2</v>
      </c>
    </row>
    <row r="1317" spans="28:30" x14ac:dyDescent="0.25">
      <c r="AB1317" s="207" t="s">
        <v>207</v>
      </c>
      <c r="AC1317" s="207" t="s">
        <v>812</v>
      </c>
      <c r="AD1317" s="213">
        <v>2</v>
      </c>
    </row>
    <row r="1318" spans="28:30" x14ac:dyDescent="0.25">
      <c r="AB1318" s="207" t="s">
        <v>207</v>
      </c>
      <c r="AC1318" s="207" t="s">
        <v>1508</v>
      </c>
      <c r="AD1318" s="213">
        <v>2</v>
      </c>
    </row>
    <row r="1319" spans="28:30" x14ac:dyDescent="0.25">
      <c r="AB1319" s="207" t="s">
        <v>207</v>
      </c>
      <c r="AC1319" s="207" t="s">
        <v>1509</v>
      </c>
      <c r="AD1319" s="213">
        <v>2</v>
      </c>
    </row>
    <row r="1320" spans="28:30" x14ac:dyDescent="0.25">
      <c r="AB1320" s="207" t="s">
        <v>207</v>
      </c>
      <c r="AC1320" s="207" t="s">
        <v>1510</v>
      </c>
      <c r="AD1320" s="213">
        <v>2</v>
      </c>
    </row>
    <row r="1321" spans="28:30" x14ac:dyDescent="0.25">
      <c r="AB1321" s="207" t="s">
        <v>207</v>
      </c>
      <c r="AC1321" s="207" t="s">
        <v>1511</v>
      </c>
      <c r="AD1321" s="213">
        <v>3</v>
      </c>
    </row>
    <row r="1322" spans="28:30" x14ac:dyDescent="0.25">
      <c r="AB1322" s="207" t="s">
        <v>207</v>
      </c>
      <c r="AC1322" s="207" t="s">
        <v>1512</v>
      </c>
      <c r="AD1322" s="213">
        <v>2</v>
      </c>
    </row>
    <row r="1323" spans="28:30" x14ac:dyDescent="0.25">
      <c r="AB1323" s="207" t="s">
        <v>207</v>
      </c>
      <c r="AC1323" s="207" t="s">
        <v>1513</v>
      </c>
      <c r="AD1323" s="213">
        <v>2</v>
      </c>
    </row>
    <row r="1324" spans="28:30" x14ac:dyDescent="0.25">
      <c r="AB1324" s="207" t="s">
        <v>214</v>
      </c>
      <c r="AC1324" s="207" t="s">
        <v>1514</v>
      </c>
      <c r="AD1324" s="213">
        <v>2</v>
      </c>
    </row>
    <row r="1325" spans="28:30" x14ac:dyDescent="0.25">
      <c r="AB1325" s="207" t="s">
        <v>207</v>
      </c>
      <c r="AC1325" s="207" t="s">
        <v>1515</v>
      </c>
      <c r="AD1325" s="213">
        <v>2</v>
      </c>
    </row>
    <row r="1326" spans="28:30" x14ac:dyDescent="0.25">
      <c r="AB1326" s="207" t="s">
        <v>207</v>
      </c>
      <c r="AC1326" s="207" t="s">
        <v>906</v>
      </c>
      <c r="AD1326" s="213">
        <v>2</v>
      </c>
    </row>
    <row r="1327" spans="28:30" x14ac:dyDescent="0.25">
      <c r="AB1327" s="207" t="s">
        <v>207</v>
      </c>
      <c r="AC1327" s="207" t="s">
        <v>1516</v>
      </c>
      <c r="AD1327" s="213">
        <v>2</v>
      </c>
    </row>
    <row r="1328" spans="28:30" x14ac:dyDescent="0.25">
      <c r="AB1328" s="207" t="s">
        <v>214</v>
      </c>
      <c r="AC1328" s="207" t="s">
        <v>1517</v>
      </c>
      <c r="AD1328" s="213">
        <v>2</v>
      </c>
    </row>
    <row r="1329" spans="28:30" x14ac:dyDescent="0.25">
      <c r="AB1329" s="207" t="s">
        <v>207</v>
      </c>
      <c r="AC1329" s="207" t="s">
        <v>1518</v>
      </c>
      <c r="AD1329" s="213">
        <v>2</v>
      </c>
    </row>
    <row r="1330" spans="28:30" x14ac:dyDescent="0.25">
      <c r="AB1330" s="207" t="s">
        <v>27</v>
      </c>
      <c r="AC1330" s="207" t="s">
        <v>1519</v>
      </c>
      <c r="AD1330" s="213">
        <v>2</v>
      </c>
    </row>
    <row r="1331" spans="28:30" x14ac:dyDescent="0.25">
      <c r="AB1331" s="207" t="s">
        <v>207</v>
      </c>
      <c r="AC1331" s="207" t="s">
        <v>1520</v>
      </c>
      <c r="AD1331" s="213">
        <v>2</v>
      </c>
    </row>
    <row r="1332" spans="28:30" x14ac:dyDescent="0.25">
      <c r="AB1332" s="207" t="s">
        <v>207</v>
      </c>
      <c r="AC1332" s="207" t="s">
        <v>1521</v>
      </c>
      <c r="AD1332" s="213">
        <v>2</v>
      </c>
    </row>
    <row r="1333" spans="28:30" x14ac:dyDescent="0.25">
      <c r="AB1333" s="207" t="s">
        <v>207</v>
      </c>
      <c r="AC1333" s="207" t="s">
        <v>1522</v>
      </c>
      <c r="AD1333" s="213">
        <v>2</v>
      </c>
    </row>
    <row r="1334" spans="28:30" x14ac:dyDescent="0.25">
      <c r="AB1334" s="207" t="s">
        <v>207</v>
      </c>
      <c r="AC1334" s="207" t="s">
        <v>1523</v>
      </c>
      <c r="AD1334" s="213">
        <v>2</v>
      </c>
    </row>
    <row r="1335" spans="28:30" x14ac:dyDescent="0.25">
      <c r="AB1335" s="207" t="s">
        <v>27</v>
      </c>
      <c r="AC1335" s="207" t="s">
        <v>1524</v>
      </c>
      <c r="AD1335" s="213">
        <v>2</v>
      </c>
    </row>
    <row r="1336" spans="28:30" x14ac:dyDescent="0.25">
      <c r="AB1336" s="207" t="s">
        <v>207</v>
      </c>
      <c r="AC1336" s="207" t="s">
        <v>1525</v>
      </c>
      <c r="AD1336" s="213">
        <v>2</v>
      </c>
    </row>
    <row r="1337" spans="28:30" x14ac:dyDescent="0.25">
      <c r="AB1337" s="207" t="s">
        <v>207</v>
      </c>
      <c r="AC1337" s="207" t="s">
        <v>1526</v>
      </c>
      <c r="AD1337" s="213">
        <v>2</v>
      </c>
    </row>
    <row r="1338" spans="28:30" x14ac:dyDescent="0.25">
      <c r="AB1338" s="207" t="s">
        <v>207</v>
      </c>
      <c r="AC1338" s="207" t="s">
        <v>1527</v>
      </c>
      <c r="AD1338" s="213">
        <v>2</v>
      </c>
    </row>
    <row r="1339" spans="28:30" x14ac:dyDescent="0.25">
      <c r="AB1339" s="207" t="s">
        <v>207</v>
      </c>
      <c r="AC1339" s="207" t="s">
        <v>1528</v>
      </c>
      <c r="AD1339" s="213">
        <v>2</v>
      </c>
    </row>
    <row r="1340" spans="28:30" x14ac:dyDescent="0.25">
      <c r="AB1340" s="207" t="s">
        <v>207</v>
      </c>
      <c r="AC1340" s="207" t="s">
        <v>1529</v>
      </c>
      <c r="AD1340" s="213">
        <v>2</v>
      </c>
    </row>
    <row r="1341" spans="28:30" x14ac:dyDescent="0.25">
      <c r="AB1341" s="207" t="s">
        <v>214</v>
      </c>
      <c r="AC1341" s="207" t="s">
        <v>1530</v>
      </c>
      <c r="AD1341" s="213">
        <v>2</v>
      </c>
    </row>
    <row r="1342" spans="28:30" x14ac:dyDescent="0.25">
      <c r="AB1342" s="207" t="s">
        <v>207</v>
      </c>
      <c r="AC1342" s="207" t="s">
        <v>1531</v>
      </c>
      <c r="AD1342" s="213">
        <v>2</v>
      </c>
    </row>
    <row r="1343" spans="28:30" x14ac:dyDescent="0.25">
      <c r="AB1343" s="207" t="s">
        <v>207</v>
      </c>
      <c r="AC1343" s="207" t="s">
        <v>1532</v>
      </c>
      <c r="AD1343" s="213">
        <v>2</v>
      </c>
    </row>
    <row r="1344" spans="28:30" x14ac:dyDescent="0.25">
      <c r="AB1344" s="207" t="s">
        <v>207</v>
      </c>
      <c r="AC1344" s="207" t="s">
        <v>1533</v>
      </c>
      <c r="AD1344" s="213">
        <v>2</v>
      </c>
    </row>
    <row r="1345" spans="28:30" x14ac:dyDescent="0.25">
      <c r="AB1345" s="207" t="s">
        <v>207</v>
      </c>
      <c r="AC1345" s="207" t="s">
        <v>1534</v>
      </c>
      <c r="AD1345" s="213">
        <v>2</v>
      </c>
    </row>
    <row r="1346" spans="28:30" x14ac:dyDescent="0.25">
      <c r="AB1346" s="207" t="s">
        <v>207</v>
      </c>
      <c r="AC1346" s="207" t="s">
        <v>1535</v>
      </c>
      <c r="AD1346" s="213">
        <v>2</v>
      </c>
    </row>
    <row r="1347" spans="28:30" x14ac:dyDescent="0.25">
      <c r="AB1347" s="207" t="s">
        <v>207</v>
      </c>
      <c r="AC1347" s="207" t="s">
        <v>1536</v>
      </c>
      <c r="AD1347" s="213">
        <v>2</v>
      </c>
    </row>
    <row r="1348" spans="28:30" x14ac:dyDescent="0.25">
      <c r="AB1348" s="207" t="s">
        <v>214</v>
      </c>
      <c r="AC1348" s="207" t="s">
        <v>1537</v>
      </c>
      <c r="AD1348" s="213">
        <v>2</v>
      </c>
    </row>
    <row r="1349" spans="28:30" x14ac:dyDescent="0.25">
      <c r="AB1349" s="207" t="s">
        <v>207</v>
      </c>
      <c r="AC1349" s="207" t="s">
        <v>1538</v>
      </c>
      <c r="AD1349" s="213">
        <v>2</v>
      </c>
    </row>
    <row r="1350" spans="28:30" x14ac:dyDescent="0.25">
      <c r="AB1350" s="207" t="s">
        <v>207</v>
      </c>
      <c r="AC1350" s="207" t="s">
        <v>1539</v>
      </c>
      <c r="AD1350" s="213">
        <v>2</v>
      </c>
    </row>
    <row r="1351" spans="28:30" x14ac:dyDescent="0.25">
      <c r="AB1351" s="207" t="s">
        <v>207</v>
      </c>
      <c r="AC1351" s="207" t="s">
        <v>1540</v>
      </c>
      <c r="AD1351" s="213">
        <v>2</v>
      </c>
    </row>
    <row r="1352" spans="28:30" x14ac:dyDescent="0.25">
      <c r="AB1352" s="207" t="s">
        <v>27</v>
      </c>
      <c r="AC1352" s="207" t="s">
        <v>1541</v>
      </c>
      <c r="AD1352" s="213">
        <v>2</v>
      </c>
    </row>
    <row r="1353" spans="28:30" x14ac:dyDescent="0.25">
      <c r="AB1353" s="207" t="s">
        <v>207</v>
      </c>
      <c r="AC1353" s="207" t="s">
        <v>1542</v>
      </c>
      <c r="AD1353" s="213">
        <v>2</v>
      </c>
    </row>
    <row r="1354" spans="28:30" x14ac:dyDescent="0.25">
      <c r="AB1354" s="207" t="s">
        <v>207</v>
      </c>
      <c r="AC1354" s="207" t="s">
        <v>1543</v>
      </c>
      <c r="AD1354" s="213">
        <v>2</v>
      </c>
    </row>
    <row r="1355" spans="28:30" x14ac:dyDescent="0.25">
      <c r="AB1355" s="207" t="s">
        <v>207</v>
      </c>
      <c r="AC1355" s="207" t="s">
        <v>1544</v>
      </c>
      <c r="AD1355" s="213">
        <v>2</v>
      </c>
    </row>
    <row r="1356" spans="28:30" x14ac:dyDescent="0.25">
      <c r="AB1356" s="207" t="s">
        <v>27</v>
      </c>
      <c r="AC1356" s="207" t="s">
        <v>1545</v>
      </c>
      <c r="AD1356" s="213">
        <v>2</v>
      </c>
    </row>
    <row r="1357" spans="28:30" x14ac:dyDescent="0.25">
      <c r="AB1357" s="207" t="s">
        <v>207</v>
      </c>
      <c r="AC1357" s="207" t="s">
        <v>1546</v>
      </c>
      <c r="AD1357" s="213">
        <v>2</v>
      </c>
    </row>
    <row r="1358" spans="28:30" x14ac:dyDescent="0.25">
      <c r="AB1358" s="207" t="s">
        <v>207</v>
      </c>
      <c r="AC1358" s="207" t="s">
        <v>1547</v>
      </c>
      <c r="AD1358" s="213">
        <v>2</v>
      </c>
    </row>
    <row r="1359" spans="28:30" x14ac:dyDescent="0.25">
      <c r="AB1359" s="207" t="s">
        <v>214</v>
      </c>
      <c r="AC1359" s="207" t="s">
        <v>1548</v>
      </c>
      <c r="AD1359" s="213">
        <v>2</v>
      </c>
    </row>
    <row r="1360" spans="28:30" x14ac:dyDescent="0.25">
      <c r="AB1360" s="207" t="s">
        <v>207</v>
      </c>
      <c r="AC1360" s="207" t="s">
        <v>1549</v>
      </c>
      <c r="AD1360" s="213">
        <v>2</v>
      </c>
    </row>
    <row r="1361" spans="28:30" x14ac:dyDescent="0.25">
      <c r="AB1361" s="207" t="s">
        <v>207</v>
      </c>
      <c r="AC1361" s="207" t="s">
        <v>1550</v>
      </c>
      <c r="AD1361" s="213">
        <v>2</v>
      </c>
    </row>
    <row r="1362" spans="28:30" x14ac:dyDescent="0.25">
      <c r="AB1362" s="207" t="s">
        <v>207</v>
      </c>
      <c r="AC1362" s="207" t="s">
        <v>1551</v>
      </c>
      <c r="AD1362" s="213">
        <v>2</v>
      </c>
    </row>
    <row r="1363" spans="28:30" x14ac:dyDescent="0.25">
      <c r="AB1363" s="207" t="s">
        <v>214</v>
      </c>
      <c r="AC1363" s="207" t="s">
        <v>1552</v>
      </c>
      <c r="AD1363" s="213">
        <v>2</v>
      </c>
    </row>
    <row r="1364" spans="28:30" x14ac:dyDescent="0.25">
      <c r="AB1364" s="207" t="s">
        <v>207</v>
      </c>
      <c r="AC1364" s="207" t="s">
        <v>1553</v>
      </c>
      <c r="AD1364" s="213">
        <v>2</v>
      </c>
    </row>
    <row r="1365" spans="28:30" x14ac:dyDescent="0.25">
      <c r="AB1365" s="207" t="s">
        <v>207</v>
      </c>
      <c r="AC1365" s="207" t="s">
        <v>1554</v>
      </c>
      <c r="AD1365" s="213">
        <v>2</v>
      </c>
    </row>
    <row r="1366" spans="28:30" x14ac:dyDescent="0.25">
      <c r="AB1366" s="207" t="s">
        <v>233</v>
      </c>
      <c r="AC1366" s="207" t="s">
        <v>1555</v>
      </c>
      <c r="AD1366" s="213">
        <v>3</v>
      </c>
    </row>
    <row r="1367" spans="28:30" x14ac:dyDescent="0.25">
      <c r="AB1367" s="207" t="s">
        <v>207</v>
      </c>
      <c r="AC1367" s="207" t="s">
        <v>1556</v>
      </c>
      <c r="AD1367" s="213">
        <v>2</v>
      </c>
    </row>
    <row r="1368" spans="28:30" x14ac:dyDescent="0.25">
      <c r="AB1368" s="207" t="s">
        <v>233</v>
      </c>
      <c r="AC1368" s="207" t="s">
        <v>1557</v>
      </c>
      <c r="AD1368" s="213">
        <v>3</v>
      </c>
    </row>
    <row r="1369" spans="28:30" x14ac:dyDescent="0.25">
      <c r="AB1369" s="207" t="s">
        <v>207</v>
      </c>
      <c r="AC1369" s="207" t="s">
        <v>1558</v>
      </c>
      <c r="AD1369" s="213">
        <v>2</v>
      </c>
    </row>
    <row r="1370" spans="28:30" x14ac:dyDescent="0.25">
      <c r="AB1370" s="207" t="s">
        <v>233</v>
      </c>
      <c r="AC1370" s="207" t="s">
        <v>1559</v>
      </c>
      <c r="AD1370" s="213">
        <v>3</v>
      </c>
    </row>
    <row r="1371" spans="28:30" x14ac:dyDescent="0.25">
      <c r="AB1371" s="207" t="s">
        <v>233</v>
      </c>
      <c r="AC1371" s="207" t="s">
        <v>1560</v>
      </c>
      <c r="AD1371" s="213">
        <v>3</v>
      </c>
    </row>
    <row r="1372" spans="28:30" x14ac:dyDescent="0.25">
      <c r="AB1372" s="207" t="s">
        <v>233</v>
      </c>
      <c r="AC1372" s="207" t="s">
        <v>1561</v>
      </c>
      <c r="AD1372" s="213">
        <v>2</v>
      </c>
    </row>
    <row r="1373" spans="28:30" x14ac:dyDescent="0.25">
      <c r="AB1373" s="207" t="s">
        <v>233</v>
      </c>
      <c r="AC1373" s="207" t="s">
        <v>1562</v>
      </c>
      <c r="AD1373" s="213">
        <v>3</v>
      </c>
    </row>
    <row r="1374" spans="28:30" x14ac:dyDescent="0.25">
      <c r="AB1374" s="207" t="s">
        <v>207</v>
      </c>
      <c r="AC1374" s="207" t="s">
        <v>1563</v>
      </c>
      <c r="AD1374" s="213">
        <v>2</v>
      </c>
    </row>
    <row r="1375" spans="28:30" x14ac:dyDescent="0.25">
      <c r="AB1375" s="207" t="s">
        <v>207</v>
      </c>
      <c r="AC1375" s="207" t="s">
        <v>5857</v>
      </c>
      <c r="AD1375" s="213">
        <v>2</v>
      </c>
    </row>
    <row r="1376" spans="28:30" x14ac:dyDescent="0.25">
      <c r="AB1376" s="207" t="s">
        <v>233</v>
      </c>
      <c r="AC1376" s="207" t="s">
        <v>1564</v>
      </c>
      <c r="AD1376" s="213">
        <v>3</v>
      </c>
    </row>
    <row r="1377" spans="28:30" x14ac:dyDescent="0.25">
      <c r="AB1377" s="207" t="s">
        <v>207</v>
      </c>
      <c r="AC1377" s="207" t="s">
        <v>1565</v>
      </c>
      <c r="AD1377" s="213">
        <v>2</v>
      </c>
    </row>
    <row r="1378" spans="28:30" x14ac:dyDescent="0.25">
      <c r="AB1378" s="207" t="s">
        <v>233</v>
      </c>
      <c r="AC1378" s="207" t="s">
        <v>1566</v>
      </c>
      <c r="AD1378" s="213">
        <v>3</v>
      </c>
    </row>
    <row r="1379" spans="28:30" x14ac:dyDescent="0.25">
      <c r="AB1379" s="207" t="s">
        <v>233</v>
      </c>
      <c r="AC1379" s="207" t="s">
        <v>1567</v>
      </c>
      <c r="AD1379" s="213">
        <v>3</v>
      </c>
    </row>
    <row r="1380" spans="28:30" x14ac:dyDescent="0.25">
      <c r="AB1380" s="207" t="s">
        <v>233</v>
      </c>
      <c r="AC1380" s="207" t="s">
        <v>1568</v>
      </c>
      <c r="AD1380" s="213">
        <v>3</v>
      </c>
    </row>
    <row r="1381" spans="28:30" x14ac:dyDescent="0.25">
      <c r="AB1381" s="207" t="s">
        <v>233</v>
      </c>
      <c r="AC1381" s="207" t="s">
        <v>1569</v>
      </c>
      <c r="AD1381" s="213">
        <v>3</v>
      </c>
    </row>
    <row r="1382" spans="28:30" x14ac:dyDescent="0.25">
      <c r="AB1382" s="207" t="s">
        <v>233</v>
      </c>
      <c r="AC1382" s="207" t="s">
        <v>1570</v>
      </c>
      <c r="AD1382" s="213">
        <v>3</v>
      </c>
    </row>
    <row r="1383" spans="28:30" x14ac:dyDescent="0.25">
      <c r="AB1383" s="207" t="s">
        <v>233</v>
      </c>
      <c r="AC1383" s="207" t="s">
        <v>1571</v>
      </c>
      <c r="AD1383" s="213">
        <v>3</v>
      </c>
    </row>
    <row r="1384" spans="28:30" x14ac:dyDescent="0.25">
      <c r="AB1384" s="207" t="s">
        <v>233</v>
      </c>
      <c r="AC1384" s="207" t="s">
        <v>1572</v>
      </c>
      <c r="AD1384" s="213">
        <v>3</v>
      </c>
    </row>
    <row r="1385" spans="28:30" x14ac:dyDescent="0.25">
      <c r="AB1385" s="207" t="s">
        <v>233</v>
      </c>
      <c r="AC1385" s="207" t="s">
        <v>1573</v>
      </c>
      <c r="AD1385" s="213">
        <v>2</v>
      </c>
    </row>
    <row r="1386" spans="28:30" x14ac:dyDescent="0.25">
      <c r="AB1386" s="207" t="s">
        <v>233</v>
      </c>
      <c r="AC1386" s="207" t="s">
        <v>1574</v>
      </c>
      <c r="AD1386" s="213">
        <v>3</v>
      </c>
    </row>
    <row r="1387" spans="28:30" x14ac:dyDescent="0.25">
      <c r="AB1387" s="207" t="s">
        <v>233</v>
      </c>
      <c r="AC1387" s="207" t="s">
        <v>1575</v>
      </c>
      <c r="AD1387" s="213">
        <v>3</v>
      </c>
    </row>
    <row r="1388" spans="28:30" x14ac:dyDescent="0.25">
      <c r="AB1388" s="207" t="s">
        <v>233</v>
      </c>
      <c r="AC1388" s="207" t="s">
        <v>1576</v>
      </c>
      <c r="AD1388" s="213">
        <v>3</v>
      </c>
    </row>
    <row r="1389" spans="28:30" x14ac:dyDescent="0.25">
      <c r="AB1389" s="207" t="s">
        <v>233</v>
      </c>
      <c r="AC1389" s="207" t="s">
        <v>1577</v>
      </c>
      <c r="AD1389" s="213">
        <v>3</v>
      </c>
    </row>
    <row r="1390" spans="28:30" x14ac:dyDescent="0.25">
      <c r="AB1390" s="207" t="s">
        <v>233</v>
      </c>
      <c r="AC1390" s="207" t="s">
        <v>1578</v>
      </c>
      <c r="AD1390" s="213">
        <v>3</v>
      </c>
    </row>
    <row r="1391" spans="28:30" x14ac:dyDescent="0.25">
      <c r="AB1391" s="207" t="s">
        <v>233</v>
      </c>
      <c r="AC1391" s="207" t="s">
        <v>1579</v>
      </c>
      <c r="AD1391" s="213">
        <v>4</v>
      </c>
    </row>
    <row r="1392" spans="28:30" x14ac:dyDescent="0.25">
      <c r="AB1392" s="207" t="s">
        <v>233</v>
      </c>
      <c r="AC1392" s="207" t="s">
        <v>1580</v>
      </c>
      <c r="AD1392" s="213">
        <v>3</v>
      </c>
    </row>
    <row r="1393" spans="28:30" x14ac:dyDescent="0.25">
      <c r="AB1393" s="207" t="s">
        <v>233</v>
      </c>
      <c r="AC1393" s="207" t="s">
        <v>1581</v>
      </c>
      <c r="AD1393" s="213">
        <v>3</v>
      </c>
    </row>
    <row r="1394" spans="28:30" x14ac:dyDescent="0.25">
      <c r="AB1394" s="207" t="s">
        <v>233</v>
      </c>
      <c r="AC1394" s="207" t="s">
        <v>1582</v>
      </c>
      <c r="AD1394" s="213">
        <v>3</v>
      </c>
    </row>
    <row r="1395" spans="28:30" x14ac:dyDescent="0.25">
      <c r="AB1395" s="207" t="s">
        <v>233</v>
      </c>
      <c r="AC1395" s="207" t="s">
        <v>1583</v>
      </c>
      <c r="AD1395" s="213">
        <v>3</v>
      </c>
    </row>
    <row r="1396" spans="28:30" x14ac:dyDescent="0.25">
      <c r="AB1396" s="207" t="s">
        <v>233</v>
      </c>
      <c r="AC1396" s="207" t="s">
        <v>1584</v>
      </c>
      <c r="AD1396" s="213">
        <v>4</v>
      </c>
    </row>
    <row r="1397" spans="28:30" x14ac:dyDescent="0.25">
      <c r="AB1397" s="207" t="s">
        <v>233</v>
      </c>
      <c r="AC1397" s="207" t="s">
        <v>1585</v>
      </c>
      <c r="AD1397" s="213">
        <v>3</v>
      </c>
    </row>
    <row r="1398" spans="28:30" x14ac:dyDescent="0.25">
      <c r="AB1398" s="207" t="s">
        <v>233</v>
      </c>
      <c r="AC1398" s="207" t="s">
        <v>1586</v>
      </c>
      <c r="AD1398" s="213">
        <v>3</v>
      </c>
    </row>
    <row r="1399" spans="28:30" x14ac:dyDescent="0.25">
      <c r="AB1399" s="207" t="s">
        <v>233</v>
      </c>
      <c r="AC1399" s="207" t="s">
        <v>1587</v>
      </c>
      <c r="AD1399" s="213">
        <v>3</v>
      </c>
    </row>
    <row r="1400" spans="28:30" x14ac:dyDescent="0.25">
      <c r="AB1400" s="207" t="s">
        <v>233</v>
      </c>
      <c r="AC1400" s="207" t="s">
        <v>1588</v>
      </c>
      <c r="AD1400" s="213">
        <v>3</v>
      </c>
    </row>
    <row r="1401" spans="28:30" x14ac:dyDescent="0.25">
      <c r="AB1401" s="207" t="s">
        <v>233</v>
      </c>
      <c r="AC1401" s="207" t="s">
        <v>1589</v>
      </c>
      <c r="AD1401" s="213">
        <v>3</v>
      </c>
    </row>
    <row r="1402" spans="28:30" x14ac:dyDescent="0.25">
      <c r="AB1402" s="207" t="s">
        <v>233</v>
      </c>
      <c r="AC1402" s="207" t="s">
        <v>1590</v>
      </c>
      <c r="AD1402" s="213">
        <v>3</v>
      </c>
    </row>
    <row r="1403" spans="28:30" x14ac:dyDescent="0.25">
      <c r="AB1403" s="207" t="s">
        <v>233</v>
      </c>
      <c r="AC1403" s="207" t="s">
        <v>1591</v>
      </c>
      <c r="AD1403" s="213">
        <v>3</v>
      </c>
    </row>
    <row r="1404" spans="28:30" x14ac:dyDescent="0.25">
      <c r="AB1404" s="207" t="s">
        <v>233</v>
      </c>
      <c r="AC1404" s="207" t="s">
        <v>5858</v>
      </c>
      <c r="AD1404" s="213">
        <v>3</v>
      </c>
    </row>
    <row r="1405" spans="28:30" x14ac:dyDescent="0.25">
      <c r="AB1405" s="207" t="s">
        <v>233</v>
      </c>
      <c r="AC1405" s="207" t="s">
        <v>1592</v>
      </c>
      <c r="AD1405" s="213">
        <v>3</v>
      </c>
    </row>
    <row r="1406" spans="28:30" x14ac:dyDescent="0.25">
      <c r="AB1406" s="207" t="s">
        <v>233</v>
      </c>
      <c r="AC1406" s="207" t="s">
        <v>1593</v>
      </c>
      <c r="AD1406" s="213">
        <v>3</v>
      </c>
    </row>
    <row r="1407" spans="28:30" x14ac:dyDescent="0.25">
      <c r="AB1407" s="207" t="s">
        <v>233</v>
      </c>
      <c r="AC1407" s="207" t="s">
        <v>1594</v>
      </c>
      <c r="AD1407" s="213">
        <v>3</v>
      </c>
    </row>
    <row r="1408" spans="28:30" x14ac:dyDescent="0.25">
      <c r="AB1408" s="207" t="s">
        <v>214</v>
      </c>
      <c r="AC1408" s="207" t="s">
        <v>1595</v>
      </c>
      <c r="AD1408" s="213">
        <v>3</v>
      </c>
    </row>
    <row r="1409" spans="28:30" x14ac:dyDescent="0.25">
      <c r="AB1409" s="207" t="s">
        <v>233</v>
      </c>
      <c r="AC1409" s="207" t="s">
        <v>1596</v>
      </c>
      <c r="AD1409" s="213">
        <v>4</v>
      </c>
    </row>
    <row r="1410" spans="28:30" x14ac:dyDescent="0.25">
      <c r="AB1410" s="207" t="s">
        <v>227</v>
      </c>
      <c r="AC1410" s="207" t="s">
        <v>1597</v>
      </c>
      <c r="AD1410" s="213">
        <v>8</v>
      </c>
    </row>
    <row r="1411" spans="28:30" x14ac:dyDescent="0.25">
      <c r="AB1411" s="207" t="s">
        <v>227</v>
      </c>
      <c r="AC1411" s="207" t="s">
        <v>1598</v>
      </c>
      <c r="AD1411" s="213">
        <v>3</v>
      </c>
    </row>
    <row r="1412" spans="28:30" x14ac:dyDescent="0.25">
      <c r="AB1412" s="207" t="s">
        <v>373</v>
      </c>
      <c r="AC1412" s="207" t="s">
        <v>1599</v>
      </c>
      <c r="AD1412" s="213">
        <v>8</v>
      </c>
    </row>
    <row r="1413" spans="28:30" x14ac:dyDescent="0.25">
      <c r="AB1413" s="207" t="s">
        <v>227</v>
      </c>
      <c r="AC1413" s="207" t="s">
        <v>5859</v>
      </c>
      <c r="AD1413" s="213">
        <v>3</v>
      </c>
    </row>
    <row r="1414" spans="28:30" x14ac:dyDescent="0.25">
      <c r="AB1414" s="207" t="s">
        <v>373</v>
      </c>
      <c r="AC1414" s="207" t="s">
        <v>1600</v>
      </c>
      <c r="AD1414" s="213">
        <v>8</v>
      </c>
    </row>
    <row r="1415" spans="28:30" x14ac:dyDescent="0.25">
      <c r="AB1415" s="207" t="s">
        <v>373</v>
      </c>
      <c r="AC1415" s="207" t="s">
        <v>1601</v>
      </c>
      <c r="AD1415" s="213">
        <v>8</v>
      </c>
    </row>
    <row r="1416" spans="28:30" x14ac:dyDescent="0.25">
      <c r="AB1416" s="207" t="s">
        <v>373</v>
      </c>
      <c r="AC1416" s="207" t="s">
        <v>1192</v>
      </c>
      <c r="AD1416" s="213">
        <v>8</v>
      </c>
    </row>
    <row r="1417" spans="28:30" x14ac:dyDescent="0.25">
      <c r="AB1417" s="207" t="s">
        <v>219</v>
      </c>
      <c r="AC1417" s="207" t="s">
        <v>1602</v>
      </c>
      <c r="AD1417" s="213">
        <v>8</v>
      </c>
    </row>
    <row r="1418" spans="28:30" x14ac:dyDescent="0.25">
      <c r="AB1418" s="207" t="s">
        <v>373</v>
      </c>
      <c r="AC1418" s="207" t="s">
        <v>1603</v>
      </c>
      <c r="AD1418" s="213">
        <v>8</v>
      </c>
    </row>
    <row r="1419" spans="28:30" x14ac:dyDescent="0.25">
      <c r="AB1419" s="207" t="s">
        <v>373</v>
      </c>
      <c r="AC1419" s="207" t="s">
        <v>1604</v>
      </c>
      <c r="AD1419" s="213">
        <v>8</v>
      </c>
    </row>
    <row r="1420" spans="28:30" x14ac:dyDescent="0.25">
      <c r="AB1420" s="207" t="s">
        <v>249</v>
      </c>
      <c r="AC1420" s="207" t="s">
        <v>1605</v>
      </c>
      <c r="AD1420" s="213">
        <v>3</v>
      </c>
    </row>
    <row r="1421" spans="28:30" x14ac:dyDescent="0.25">
      <c r="AB1421" s="207" t="s">
        <v>249</v>
      </c>
      <c r="AC1421" s="207" t="s">
        <v>1606</v>
      </c>
      <c r="AD1421" s="213">
        <v>3</v>
      </c>
    </row>
    <row r="1422" spans="28:30" x14ac:dyDescent="0.25">
      <c r="AB1422" s="207" t="s">
        <v>219</v>
      </c>
      <c r="AC1422" s="207" t="s">
        <v>1607</v>
      </c>
      <c r="AD1422" s="213">
        <v>8</v>
      </c>
    </row>
    <row r="1423" spans="28:30" x14ac:dyDescent="0.25">
      <c r="AB1423" s="207" t="s">
        <v>219</v>
      </c>
      <c r="AC1423" s="207" t="s">
        <v>1608</v>
      </c>
      <c r="AD1423" s="213">
        <v>8</v>
      </c>
    </row>
    <row r="1424" spans="28:30" x14ac:dyDescent="0.25">
      <c r="AB1424" s="207" t="s">
        <v>373</v>
      </c>
      <c r="AC1424" s="207" t="s">
        <v>1609</v>
      </c>
      <c r="AD1424" s="213">
        <v>8</v>
      </c>
    </row>
    <row r="1425" spans="28:30" x14ac:dyDescent="0.25">
      <c r="AB1425" s="207" t="s">
        <v>373</v>
      </c>
      <c r="AC1425" s="207" t="s">
        <v>1610</v>
      </c>
      <c r="AD1425" s="213">
        <v>8</v>
      </c>
    </row>
    <row r="1426" spans="28:30" x14ac:dyDescent="0.25">
      <c r="AB1426" s="207" t="s">
        <v>219</v>
      </c>
      <c r="AC1426" s="207" t="s">
        <v>1611</v>
      </c>
      <c r="AD1426" s="213">
        <v>8</v>
      </c>
    </row>
    <row r="1427" spans="28:30" x14ac:dyDescent="0.25">
      <c r="AB1427" s="207" t="s">
        <v>219</v>
      </c>
      <c r="AC1427" s="207" t="s">
        <v>1612</v>
      </c>
      <c r="AD1427" s="213">
        <v>8</v>
      </c>
    </row>
    <row r="1428" spans="28:30" x14ac:dyDescent="0.25">
      <c r="AB1428" s="207" t="s">
        <v>373</v>
      </c>
      <c r="AC1428" s="207" t="s">
        <v>1613</v>
      </c>
      <c r="AD1428" s="213">
        <v>5</v>
      </c>
    </row>
    <row r="1429" spans="28:30" x14ac:dyDescent="0.25">
      <c r="AB1429" s="207" t="s">
        <v>219</v>
      </c>
      <c r="AC1429" s="207" t="s">
        <v>1614</v>
      </c>
      <c r="AD1429" s="213">
        <v>8</v>
      </c>
    </row>
    <row r="1430" spans="28:30" x14ac:dyDescent="0.25">
      <c r="AB1430" s="207" t="s">
        <v>373</v>
      </c>
      <c r="AC1430" s="207" t="s">
        <v>1615</v>
      </c>
      <c r="AD1430" s="213">
        <v>8</v>
      </c>
    </row>
    <row r="1431" spans="28:30" x14ac:dyDescent="0.25">
      <c r="AB1431" s="207" t="s">
        <v>373</v>
      </c>
      <c r="AC1431" s="207" t="s">
        <v>1616</v>
      </c>
      <c r="AD1431" s="213">
        <v>8</v>
      </c>
    </row>
    <row r="1432" spans="28:30" x14ac:dyDescent="0.25">
      <c r="AB1432" s="207" t="s">
        <v>249</v>
      </c>
      <c r="AC1432" s="207" t="s">
        <v>1617</v>
      </c>
      <c r="AD1432" s="213">
        <v>5</v>
      </c>
    </row>
    <row r="1433" spans="28:30" x14ac:dyDescent="0.25">
      <c r="AB1433" s="207" t="s">
        <v>249</v>
      </c>
      <c r="AC1433" s="207" t="s">
        <v>1618</v>
      </c>
      <c r="AD1433" s="213">
        <v>5</v>
      </c>
    </row>
    <row r="1434" spans="28:30" x14ac:dyDescent="0.25">
      <c r="AB1434" s="207" t="s">
        <v>219</v>
      </c>
      <c r="AC1434" s="207" t="s">
        <v>1619</v>
      </c>
      <c r="AD1434" s="213">
        <v>8</v>
      </c>
    </row>
    <row r="1435" spans="28:30" x14ac:dyDescent="0.25">
      <c r="AB1435" s="207" t="s">
        <v>217</v>
      </c>
      <c r="AC1435" s="207" t="s">
        <v>1620</v>
      </c>
      <c r="AD1435" s="213">
        <v>8</v>
      </c>
    </row>
    <row r="1436" spans="28:30" x14ac:dyDescent="0.25">
      <c r="AB1436" s="207" t="s">
        <v>373</v>
      </c>
      <c r="AC1436" s="207" t="s">
        <v>1621</v>
      </c>
      <c r="AD1436" s="213">
        <v>8</v>
      </c>
    </row>
    <row r="1437" spans="28:30" x14ac:dyDescent="0.25">
      <c r="AB1437" s="207" t="s">
        <v>373</v>
      </c>
      <c r="AC1437" s="207" t="s">
        <v>1622</v>
      </c>
      <c r="AD1437" s="213">
        <v>8</v>
      </c>
    </row>
    <row r="1438" spans="28:30" x14ac:dyDescent="0.25">
      <c r="AB1438" s="207" t="s">
        <v>217</v>
      </c>
      <c r="AC1438" s="207" t="s">
        <v>1623</v>
      </c>
      <c r="AD1438" s="213">
        <v>8</v>
      </c>
    </row>
    <row r="1439" spans="28:30" x14ac:dyDescent="0.25">
      <c r="AB1439" s="207" t="s">
        <v>373</v>
      </c>
      <c r="AC1439" s="207" t="s">
        <v>1624</v>
      </c>
      <c r="AD1439" s="213">
        <v>8</v>
      </c>
    </row>
    <row r="1440" spans="28:30" x14ac:dyDescent="0.25">
      <c r="AB1440" s="207" t="s">
        <v>227</v>
      </c>
      <c r="AC1440" s="207" t="s">
        <v>1625</v>
      </c>
      <c r="AD1440" s="213">
        <v>3</v>
      </c>
    </row>
    <row r="1441" spans="28:30" x14ac:dyDescent="0.25">
      <c r="AB1441" s="207" t="s">
        <v>373</v>
      </c>
      <c r="AC1441" s="207" t="s">
        <v>1626</v>
      </c>
      <c r="AD1441" s="213">
        <v>8</v>
      </c>
    </row>
    <row r="1442" spans="28:30" x14ac:dyDescent="0.25">
      <c r="AB1442" s="207" t="s">
        <v>373</v>
      </c>
      <c r="AC1442" s="207" t="s">
        <v>1627</v>
      </c>
      <c r="AD1442" s="213">
        <v>8</v>
      </c>
    </row>
    <row r="1443" spans="28:30" x14ac:dyDescent="0.25">
      <c r="AB1443" s="207" t="s">
        <v>373</v>
      </c>
      <c r="AC1443" s="207" t="s">
        <v>1628</v>
      </c>
      <c r="AD1443" s="213">
        <v>8</v>
      </c>
    </row>
    <row r="1444" spans="28:30" x14ac:dyDescent="0.25">
      <c r="AB1444" s="207" t="s">
        <v>373</v>
      </c>
      <c r="AC1444" s="207" t="s">
        <v>1629</v>
      </c>
      <c r="AD1444" s="213">
        <v>8</v>
      </c>
    </row>
    <row r="1445" spans="28:30" x14ac:dyDescent="0.25">
      <c r="AB1445" s="207" t="s">
        <v>373</v>
      </c>
      <c r="AC1445" s="207" t="s">
        <v>1630</v>
      </c>
      <c r="AD1445" s="213">
        <v>8</v>
      </c>
    </row>
    <row r="1446" spans="28:30" x14ac:dyDescent="0.25">
      <c r="AB1446" s="207" t="s">
        <v>227</v>
      </c>
      <c r="AC1446" s="207" t="s">
        <v>1631</v>
      </c>
      <c r="AD1446" s="213">
        <v>5</v>
      </c>
    </row>
    <row r="1447" spans="28:30" x14ac:dyDescent="0.25">
      <c r="AB1447" s="207" t="s">
        <v>249</v>
      </c>
      <c r="AC1447" s="207" t="s">
        <v>1632</v>
      </c>
      <c r="AD1447" s="213">
        <v>5</v>
      </c>
    </row>
    <row r="1448" spans="28:30" x14ac:dyDescent="0.25">
      <c r="AB1448" s="207" t="s">
        <v>217</v>
      </c>
      <c r="AC1448" s="207" t="s">
        <v>1633</v>
      </c>
      <c r="AD1448" s="213">
        <v>8</v>
      </c>
    </row>
    <row r="1449" spans="28:30" x14ac:dyDescent="0.25">
      <c r="AB1449" s="207" t="s">
        <v>227</v>
      </c>
      <c r="AC1449" s="207" t="s">
        <v>1634</v>
      </c>
      <c r="AD1449" s="213">
        <v>3</v>
      </c>
    </row>
    <row r="1450" spans="28:30" x14ac:dyDescent="0.25">
      <c r="AB1450" s="207" t="s">
        <v>227</v>
      </c>
      <c r="AC1450" s="207" t="s">
        <v>1635</v>
      </c>
      <c r="AD1450" s="213">
        <v>3</v>
      </c>
    </row>
    <row r="1451" spans="28:30" x14ac:dyDescent="0.25">
      <c r="AB1451" s="207" t="s">
        <v>373</v>
      </c>
      <c r="AC1451" s="207" t="s">
        <v>1636</v>
      </c>
      <c r="AD1451" s="213">
        <v>8</v>
      </c>
    </row>
    <row r="1452" spans="28:30" x14ac:dyDescent="0.25">
      <c r="AB1452" s="207" t="s">
        <v>373</v>
      </c>
      <c r="AC1452" s="207" t="s">
        <v>1637</v>
      </c>
      <c r="AD1452" s="213">
        <v>8</v>
      </c>
    </row>
    <row r="1453" spans="28:30" x14ac:dyDescent="0.25">
      <c r="AB1453" s="207" t="s">
        <v>249</v>
      </c>
      <c r="AC1453" s="207" t="s">
        <v>1638</v>
      </c>
      <c r="AD1453" s="213">
        <v>3</v>
      </c>
    </row>
    <row r="1454" spans="28:30" x14ac:dyDescent="0.25">
      <c r="AB1454" s="207" t="s">
        <v>249</v>
      </c>
      <c r="AC1454" s="207" t="s">
        <v>1639</v>
      </c>
      <c r="AD1454" s="213">
        <v>5</v>
      </c>
    </row>
    <row r="1455" spans="28:30" x14ac:dyDescent="0.25">
      <c r="AB1455" s="207" t="s">
        <v>249</v>
      </c>
      <c r="AC1455" s="207" t="s">
        <v>1640</v>
      </c>
      <c r="AD1455" s="213">
        <v>5</v>
      </c>
    </row>
    <row r="1456" spans="28:30" x14ac:dyDescent="0.25">
      <c r="AB1456" s="207" t="s">
        <v>217</v>
      </c>
      <c r="AC1456" s="207" t="s">
        <v>1641</v>
      </c>
      <c r="AD1456" s="213">
        <v>8</v>
      </c>
    </row>
    <row r="1457" spans="28:30" x14ac:dyDescent="0.25">
      <c r="AB1457" s="207" t="s">
        <v>1642</v>
      </c>
      <c r="AC1457" s="207" t="s">
        <v>1643</v>
      </c>
      <c r="AD1457" s="213">
        <v>8</v>
      </c>
    </row>
    <row r="1458" spans="28:30" x14ac:dyDescent="0.25">
      <c r="AB1458" s="207" t="s">
        <v>249</v>
      </c>
      <c r="AC1458" s="207" t="s">
        <v>1644</v>
      </c>
      <c r="AD1458" s="213">
        <v>3</v>
      </c>
    </row>
    <row r="1459" spans="28:30" x14ac:dyDescent="0.25">
      <c r="AB1459" s="207" t="s">
        <v>219</v>
      </c>
      <c r="AC1459" s="207" t="s">
        <v>1645</v>
      </c>
      <c r="AD1459" s="213">
        <v>8</v>
      </c>
    </row>
    <row r="1460" spans="28:30" x14ac:dyDescent="0.25">
      <c r="AB1460" s="207" t="s">
        <v>249</v>
      </c>
      <c r="AC1460" s="207" t="s">
        <v>1646</v>
      </c>
      <c r="AD1460" s="213">
        <v>5</v>
      </c>
    </row>
    <row r="1461" spans="28:30" x14ac:dyDescent="0.25">
      <c r="AB1461" s="207" t="s">
        <v>373</v>
      </c>
      <c r="AC1461" s="207" t="s">
        <v>1647</v>
      </c>
      <c r="AD1461" s="213">
        <v>8</v>
      </c>
    </row>
    <row r="1462" spans="28:30" x14ac:dyDescent="0.25">
      <c r="AB1462" s="207" t="s">
        <v>373</v>
      </c>
      <c r="AC1462" s="207" t="s">
        <v>1648</v>
      </c>
      <c r="AD1462" s="213">
        <v>6</v>
      </c>
    </row>
    <row r="1463" spans="28:30" x14ac:dyDescent="0.25">
      <c r="AB1463" s="207" t="s">
        <v>373</v>
      </c>
      <c r="AC1463" s="207" t="s">
        <v>1649</v>
      </c>
      <c r="AD1463" s="213">
        <v>8</v>
      </c>
    </row>
    <row r="1464" spans="28:30" x14ac:dyDescent="0.25">
      <c r="AB1464" s="207" t="s">
        <v>227</v>
      </c>
      <c r="AC1464" s="207" t="s">
        <v>1650</v>
      </c>
      <c r="AD1464" s="213">
        <v>3</v>
      </c>
    </row>
    <row r="1465" spans="28:30" x14ac:dyDescent="0.25">
      <c r="AB1465" s="207" t="s">
        <v>373</v>
      </c>
      <c r="AC1465" s="207" t="s">
        <v>1651</v>
      </c>
      <c r="AD1465" s="213">
        <v>6</v>
      </c>
    </row>
    <row r="1466" spans="28:30" x14ac:dyDescent="0.25">
      <c r="AB1466" s="207" t="s">
        <v>373</v>
      </c>
      <c r="AC1466" s="207" t="s">
        <v>1652</v>
      </c>
      <c r="AD1466" s="213">
        <v>5</v>
      </c>
    </row>
    <row r="1467" spans="28:30" x14ac:dyDescent="0.25">
      <c r="AB1467" s="207" t="s">
        <v>1642</v>
      </c>
      <c r="AC1467" s="207" t="s">
        <v>1653</v>
      </c>
      <c r="AD1467" s="213">
        <v>8</v>
      </c>
    </row>
    <row r="1468" spans="28:30" x14ac:dyDescent="0.25">
      <c r="AB1468" s="207" t="s">
        <v>219</v>
      </c>
      <c r="AC1468" s="207" t="s">
        <v>1654</v>
      </c>
      <c r="AD1468" s="213">
        <v>8</v>
      </c>
    </row>
    <row r="1469" spans="28:30" x14ac:dyDescent="0.25">
      <c r="AB1469" s="207" t="s">
        <v>217</v>
      </c>
      <c r="AC1469" s="207" t="s">
        <v>1655</v>
      </c>
      <c r="AD1469" s="213">
        <v>8</v>
      </c>
    </row>
    <row r="1470" spans="28:30" x14ac:dyDescent="0.25">
      <c r="AB1470" s="207" t="s">
        <v>217</v>
      </c>
      <c r="AC1470" s="207" t="s">
        <v>1656</v>
      </c>
      <c r="AD1470" s="213">
        <v>8</v>
      </c>
    </row>
    <row r="1471" spans="28:30" x14ac:dyDescent="0.25">
      <c r="AB1471" s="207" t="s">
        <v>219</v>
      </c>
      <c r="AC1471" s="207" t="s">
        <v>1657</v>
      </c>
      <c r="AD1471" s="213">
        <v>8</v>
      </c>
    </row>
    <row r="1472" spans="28:30" x14ac:dyDescent="0.25">
      <c r="AB1472" s="207" t="s">
        <v>219</v>
      </c>
      <c r="AC1472" s="207" t="s">
        <v>1658</v>
      </c>
      <c r="AD1472" s="213">
        <v>8</v>
      </c>
    </row>
    <row r="1473" spans="28:30" x14ac:dyDescent="0.25">
      <c r="AB1473" s="207" t="s">
        <v>56</v>
      </c>
      <c r="AC1473" s="207" t="s">
        <v>1659</v>
      </c>
      <c r="AD1473" s="213">
        <v>8</v>
      </c>
    </row>
    <row r="1474" spans="28:30" x14ac:dyDescent="0.25">
      <c r="AB1474" s="207" t="s">
        <v>373</v>
      </c>
      <c r="AC1474" s="207" t="s">
        <v>1660</v>
      </c>
      <c r="AD1474" s="213">
        <v>5</v>
      </c>
    </row>
    <row r="1475" spans="28:30" x14ac:dyDescent="0.25">
      <c r="AB1475" s="207" t="s">
        <v>249</v>
      </c>
      <c r="AC1475" s="207" t="s">
        <v>1661</v>
      </c>
      <c r="AD1475" s="213">
        <v>5</v>
      </c>
    </row>
    <row r="1476" spans="28:30" x14ac:dyDescent="0.25">
      <c r="AB1476" s="207" t="s">
        <v>249</v>
      </c>
      <c r="AC1476" s="207" t="s">
        <v>1662</v>
      </c>
      <c r="AD1476" s="213">
        <v>3</v>
      </c>
    </row>
    <row r="1477" spans="28:30" x14ac:dyDescent="0.25">
      <c r="AB1477" s="207" t="s">
        <v>219</v>
      </c>
      <c r="AC1477" s="207" t="s">
        <v>1663</v>
      </c>
      <c r="AD1477" s="213">
        <v>5</v>
      </c>
    </row>
    <row r="1478" spans="28:30" x14ac:dyDescent="0.25">
      <c r="AB1478" s="207" t="s">
        <v>373</v>
      </c>
      <c r="AC1478" s="207" t="s">
        <v>1664</v>
      </c>
      <c r="AD1478" s="213">
        <v>8</v>
      </c>
    </row>
    <row r="1479" spans="28:30" x14ac:dyDescent="0.25">
      <c r="AB1479" s="207" t="s">
        <v>249</v>
      </c>
      <c r="AC1479" s="207" t="s">
        <v>1665</v>
      </c>
      <c r="AD1479" s="213">
        <v>3</v>
      </c>
    </row>
    <row r="1480" spans="28:30" x14ac:dyDescent="0.25">
      <c r="AB1480" s="207" t="s">
        <v>219</v>
      </c>
      <c r="AC1480" s="207" t="s">
        <v>1666</v>
      </c>
      <c r="AD1480" s="213">
        <v>8</v>
      </c>
    </row>
    <row r="1481" spans="28:30" x14ac:dyDescent="0.25">
      <c r="AB1481" s="207" t="s">
        <v>219</v>
      </c>
      <c r="AC1481" s="207" t="s">
        <v>1667</v>
      </c>
      <c r="AD1481" s="213">
        <v>5</v>
      </c>
    </row>
    <row r="1482" spans="28:30" x14ac:dyDescent="0.25">
      <c r="AB1482" s="207" t="s">
        <v>219</v>
      </c>
      <c r="AC1482" s="207" t="s">
        <v>1668</v>
      </c>
      <c r="AD1482" s="213">
        <v>8</v>
      </c>
    </row>
    <row r="1483" spans="28:30" x14ac:dyDescent="0.25">
      <c r="AB1483" s="207" t="s">
        <v>1669</v>
      </c>
      <c r="AC1483" s="207" t="s">
        <v>1670</v>
      </c>
      <c r="AD1483" s="213">
        <v>8</v>
      </c>
    </row>
    <row r="1484" spans="28:30" x14ac:dyDescent="0.25">
      <c r="AB1484" s="207" t="s">
        <v>249</v>
      </c>
      <c r="AC1484" s="207" t="s">
        <v>1671</v>
      </c>
      <c r="AD1484" s="213">
        <v>5</v>
      </c>
    </row>
    <row r="1485" spans="28:30" x14ac:dyDescent="0.25">
      <c r="AB1485" s="207" t="s">
        <v>249</v>
      </c>
      <c r="AC1485" s="207" t="s">
        <v>1672</v>
      </c>
      <c r="AD1485" s="213">
        <v>5</v>
      </c>
    </row>
    <row r="1486" spans="28:30" x14ac:dyDescent="0.25">
      <c r="AB1486" s="207" t="s">
        <v>249</v>
      </c>
      <c r="AC1486" s="207" t="s">
        <v>1673</v>
      </c>
      <c r="AD1486" s="213">
        <v>5</v>
      </c>
    </row>
    <row r="1487" spans="28:30" x14ac:dyDescent="0.25">
      <c r="AB1487" s="207" t="s">
        <v>219</v>
      </c>
      <c r="AC1487" s="207" t="s">
        <v>1674</v>
      </c>
      <c r="AD1487" s="213">
        <v>8</v>
      </c>
    </row>
    <row r="1488" spans="28:30" x14ac:dyDescent="0.25">
      <c r="AB1488" s="207" t="s">
        <v>249</v>
      </c>
      <c r="AC1488" s="207" t="s">
        <v>5860</v>
      </c>
      <c r="AD1488" s="213">
        <v>5</v>
      </c>
    </row>
    <row r="1489" spans="28:30" x14ac:dyDescent="0.25">
      <c r="AB1489" s="207" t="s">
        <v>217</v>
      </c>
      <c r="AC1489" s="207" t="s">
        <v>1675</v>
      </c>
      <c r="AD1489" s="213">
        <v>8</v>
      </c>
    </row>
    <row r="1490" spans="28:30" x14ac:dyDescent="0.25">
      <c r="AB1490" s="207" t="s">
        <v>219</v>
      </c>
      <c r="AC1490" s="207" t="s">
        <v>1676</v>
      </c>
      <c r="AD1490" s="213">
        <v>8</v>
      </c>
    </row>
    <row r="1491" spans="28:30" x14ac:dyDescent="0.25">
      <c r="AB1491" s="207" t="s">
        <v>219</v>
      </c>
      <c r="AC1491" s="207" t="s">
        <v>1677</v>
      </c>
      <c r="AD1491" s="213">
        <v>8</v>
      </c>
    </row>
    <row r="1492" spans="28:30" x14ac:dyDescent="0.25">
      <c r="AB1492" s="207" t="s">
        <v>249</v>
      </c>
      <c r="AC1492" s="207" t="s">
        <v>1678</v>
      </c>
      <c r="AD1492" s="213">
        <v>6</v>
      </c>
    </row>
    <row r="1493" spans="28:30" x14ac:dyDescent="0.25">
      <c r="AB1493" s="207" t="s">
        <v>249</v>
      </c>
      <c r="AC1493" s="207" t="s">
        <v>1679</v>
      </c>
      <c r="AD1493" s="213">
        <v>5</v>
      </c>
    </row>
    <row r="1494" spans="28:30" x14ac:dyDescent="0.25">
      <c r="AB1494" s="207" t="s">
        <v>219</v>
      </c>
      <c r="AC1494" s="207" t="s">
        <v>5861</v>
      </c>
      <c r="AD1494" s="213">
        <v>8</v>
      </c>
    </row>
    <row r="1495" spans="28:30" x14ac:dyDescent="0.25">
      <c r="AB1495" s="207" t="s">
        <v>249</v>
      </c>
      <c r="AC1495" s="207" t="s">
        <v>1680</v>
      </c>
      <c r="AD1495" s="213">
        <v>5</v>
      </c>
    </row>
    <row r="1496" spans="28:30" x14ac:dyDescent="0.25">
      <c r="AB1496" s="207" t="s">
        <v>249</v>
      </c>
      <c r="AC1496" s="207" t="s">
        <v>1681</v>
      </c>
      <c r="AD1496" s="213">
        <v>5</v>
      </c>
    </row>
    <row r="1497" spans="28:30" x14ac:dyDescent="0.25">
      <c r="AB1497" s="207" t="s">
        <v>227</v>
      </c>
      <c r="AC1497" s="207" t="s">
        <v>1682</v>
      </c>
      <c r="AD1497" s="213">
        <v>3</v>
      </c>
    </row>
    <row r="1498" spans="28:30" x14ac:dyDescent="0.25">
      <c r="AB1498" s="207" t="s">
        <v>249</v>
      </c>
      <c r="AC1498" s="207" t="s">
        <v>1683</v>
      </c>
      <c r="AD1498" s="213">
        <v>5</v>
      </c>
    </row>
    <row r="1499" spans="28:30" x14ac:dyDescent="0.25">
      <c r="AB1499" s="207" t="s">
        <v>373</v>
      </c>
      <c r="AC1499" s="207" t="s">
        <v>1684</v>
      </c>
      <c r="AD1499" s="213">
        <v>8</v>
      </c>
    </row>
    <row r="1500" spans="28:30" x14ac:dyDescent="0.25">
      <c r="AB1500" s="207" t="s">
        <v>1669</v>
      </c>
      <c r="AC1500" s="207" t="s">
        <v>1685</v>
      </c>
      <c r="AD1500" s="213">
        <v>8</v>
      </c>
    </row>
    <row r="1501" spans="28:30" x14ac:dyDescent="0.25">
      <c r="AB1501" s="207" t="s">
        <v>249</v>
      </c>
      <c r="AC1501" s="207" t="s">
        <v>1686</v>
      </c>
      <c r="AD1501" s="213">
        <v>5</v>
      </c>
    </row>
    <row r="1502" spans="28:30" x14ac:dyDescent="0.25">
      <c r="AB1502" s="207" t="s">
        <v>373</v>
      </c>
      <c r="AC1502" s="207" t="s">
        <v>1687</v>
      </c>
      <c r="AD1502" s="213">
        <v>8</v>
      </c>
    </row>
    <row r="1503" spans="28:30" x14ac:dyDescent="0.25">
      <c r="AB1503" s="207" t="s">
        <v>373</v>
      </c>
      <c r="AC1503" s="207" t="s">
        <v>5862</v>
      </c>
      <c r="AD1503" s="213">
        <v>8</v>
      </c>
    </row>
    <row r="1504" spans="28:30" x14ac:dyDescent="0.25">
      <c r="AB1504" s="207" t="s">
        <v>249</v>
      </c>
      <c r="AC1504" s="207" t="s">
        <v>1688</v>
      </c>
      <c r="AD1504" s="213">
        <v>5</v>
      </c>
    </row>
    <row r="1505" spans="28:30" x14ac:dyDescent="0.25">
      <c r="AB1505" s="207" t="s">
        <v>249</v>
      </c>
      <c r="AC1505" s="207" t="s">
        <v>1689</v>
      </c>
      <c r="AD1505" s="213">
        <v>5</v>
      </c>
    </row>
    <row r="1506" spans="28:30" x14ac:dyDescent="0.25">
      <c r="AB1506" s="207" t="s">
        <v>1642</v>
      </c>
      <c r="AC1506" s="207" t="s">
        <v>1690</v>
      </c>
      <c r="AD1506" s="213">
        <v>8</v>
      </c>
    </row>
    <row r="1507" spans="28:30" x14ac:dyDescent="0.25">
      <c r="AB1507" s="207" t="s">
        <v>1691</v>
      </c>
      <c r="AC1507" s="207" t="s">
        <v>1692</v>
      </c>
      <c r="AD1507" s="213">
        <v>8</v>
      </c>
    </row>
    <row r="1508" spans="28:30" x14ac:dyDescent="0.25">
      <c r="AB1508" s="207" t="s">
        <v>249</v>
      </c>
      <c r="AC1508" s="207" t="s">
        <v>1693</v>
      </c>
      <c r="AD1508" s="213">
        <v>5</v>
      </c>
    </row>
    <row r="1509" spans="28:30" x14ac:dyDescent="0.25">
      <c r="AB1509" s="207" t="s">
        <v>1642</v>
      </c>
      <c r="AC1509" s="207" t="s">
        <v>1694</v>
      </c>
      <c r="AD1509" s="213">
        <v>8</v>
      </c>
    </row>
    <row r="1510" spans="28:30" x14ac:dyDescent="0.25">
      <c r="AB1510" s="207" t="s">
        <v>249</v>
      </c>
      <c r="AC1510" s="207" t="s">
        <v>1695</v>
      </c>
      <c r="AD1510" s="213">
        <v>5</v>
      </c>
    </row>
    <row r="1511" spans="28:30" x14ac:dyDescent="0.25">
      <c r="AB1511" s="207" t="s">
        <v>373</v>
      </c>
      <c r="AC1511" s="207" t="s">
        <v>1696</v>
      </c>
      <c r="AD1511" s="213">
        <v>5</v>
      </c>
    </row>
    <row r="1512" spans="28:30" x14ac:dyDescent="0.25">
      <c r="AB1512" s="207" t="s">
        <v>1669</v>
      </c>
      <c r="AC1512" s="207" t="s">
        <v>1697</v>
      </c>
      <c r="AD1512" s="213">
        <v>8</v>
      </c>
    </row>
    <row r="1513" spans="28:30" x14ac:dyDescent="0.25">
      <c r="AB1513" s="207" t="s">
        <v>373</v>
      </c>
      <c r="AC1513" s="207" t="s">
        <v>1698</v>
      </c>
      <c r="AD1513" s="213">
        <v>6</v>
      </c>
    </row>
    <row r="1514" spans="28:30" x14ac:dyDescent="0.25">
      <c r="AB1514" s="207" t="s">
        <v>373</v>
      </c>
      <c r="AC1514" s="207" t="s">
        <v>1699</v>
      </c>
      <c r="AD1514" s="213">
        <v>5</v>
      </c>
    </row>
    <row r="1515" spans="28:30" x14ac:dyDescent="0.25">
      <c r="AB1515" s="207" t="s">
        <v>373</v>
      </c>
      <c r="AC1515" s="207" t="s">
        <v>1700</v>
      </c>
      <c r="AD1515" s="213">
        <v>8</v>
      </c>
    </row>
    <row r="1516" spans="28:30" x14ac:dyDescent="0.25">
      <c r="AB1516" s="207" t="s">
        <v>249</v>
      </c>
      <c r="AC1516" s="207" t="s">
        <v>1701</v>
      </c>
      <c r="AD1516" s="213">
        <v>5</v>
      </c>
    </row>
    <row r="1517" spans="28:30" x14ac:dyDescent="0.25">
      <c r="AB1517" s="207" t="s">
        <v>249</v>
      </c>
      <c r="AC1517" s="207" t="s">
        <v>1702</v>
      </c>
      <c r="AD1517" s="213">
        <v>5</v>
      </c>
    </row>
    <row r="1518" spans="28:30" x14ac:dyDescent="0.25">
      <c r="AB1518" s="207" t="s">
        <v>373</v>
      </c>
      <c r="AC1518" s="207" t="s">
        <v>1703</v>
      </c>
      <c r="AD1518" s="213">
        <v>8</v>
      </c>
    </row>
    <row r="1519" spans="28:30" x14ac:dyDescent="0.25">
      <c r="AB1519" s="207" t="s">
        <v>249</v>
      </c>
      <c r="AC1519" s="207" t="s">
        <v>1704</v>
      </c>
      <c r="AD1519" s="213">
        <v>6</v>
      </c>
    </row>
    <row r="1520" spans="28:30" x14ac:dyDescent="0.25">
      <c r="AB1520" s="207" t="s">
        <v>373</v>
      </c>
      <c r="AC1520" s="207" t="s">
        <v>1705</v>
      </c>
      <c r="AD1520" s="213">
        <v>8</v>
      </c>
    </row>
    <row r="1521" spans="28:30" x14ac:dyDescent="0.25">
      <c r="AB1521" s="207" t="s">
        <v>249</v>
      </c>
      <c r="AC1521" s="207" t="s">
        <v>1706</v>
      </c>
      <c r="AD1521" s="213">
        <v>5</v>
      </c>
    </row>
    <row r="1522" spans="28:30" x14ac:dyDescent="0.25">
      <c r="AB1522" s="207" t="s">
        <v>249</v>
      </c>
      <c r="AC1522" s="207" t="s">
        <v>1707</v>
      </c>
      <c r="AD1522" s="213">
        <v>5</v>
      </c>
    </row>
    <row r="1523" spans="28:30" x14ac:dyDescent="0.25">
      <c r="AB1523" s="207" t="s">
        <v>219</v>
      </c>
      <c r="AC1523" s="207" t="s">
        <v>1708</v>
      </c>
      <c r="AD1523" s="213">
        <v>5</v>
      </c>
    </row>
    <row r="1524" spans="28:30" x14ac:dyDescent="0.25">
      <c r="AB1524" s="207" t="s">
        <v>249</v>
      </c>
      <c r="AC1524" s="207" t="s">
        <v>1709</v>
      </c>
      <c r="AD1524" s="213">
        <v>5</v>
      </c>
    </row>
    <row r="1525" spans="28:30" x14ac:dyDescent="0.25">
      <c r="AB1525" s="207" t="s">
        <v>373</v>
      </c>
      <c r="AC1525" s="207" t="s">
        <v>980</v>
      </c>
      <c r="AD1525" s="213">
        <v>8</v>
      </c>
    </row>
    <row r="1526" spans="28:30" x14ac:dyDescent="0.25">
      <c r="AB1526" s="207" t="s">
        <v>219</v>
      </c>
      <c r="AC1526" s="207" t="s">
        <v>1710</v>
      </c>
      <c r="AD1526" s="213">
        <v>8</v>
      </c>
    </row>
    <row r="1527" spans="28:30" x14ac:dyDescent="0.25">
      <c r="AB1527" s="207" t="s">
        <v>373</v>
      </c>
      <c r="AC1527" s="207" t="s">
        <v>1711</v>
      </c>
      <c r="AD1527" s="213">
        <v>5</v>
      </c>
    </row>
    <row r="1528" spans="28:30" x14ac:dyDescent="0.25">
      <c r="AB1528" s="207" t="s">
        <v>217</v>
      </c>
      <c r="AC1528" s="207" t="s">
        <v>1712</v>
      </c>
      <c r="AD1528" s="213">
        <v>8</v>
      </c>
    </row>
    <row r="1529" spans="28:30" x14ac:dyDescent="0.25">
      <c r="AB1529" s="207" t="s">
        <v>373</v>
      </c>
      <c r="AC1529" s="207" t="s">
        <v>1713</v>
      </c>
      <c r="AD1529" s="213">
        <v>8</v>
      </c>
    </row>
    <row r="1530" spans="28:30" x14ac:dyDescent="0.25">
      <c r="AB1530" s="207" t="s">
        <v>249</v>
      </c>
      <c r="AC1530" s="207" t="s">
        <v>1714</v>
      </c>
      <c r="AD1530" s="213">
        <v>5</v>
      </c>
    </row>
    <row r="1531" spans="28:30" x14ac:dyDescent="0.25">
      <c r="AB1531" s="207" t="s">
        <v>1715</v>
      </c>
      <c r="AC1531" s="207" t="s">
        <v>5863</v>
      </c>
      <c r="AD1531" s="213">
        <v>6</v>
      </c>
    </row>
    <row r="1532" spans="28:30" x14ac:dyDescent="0.25">
      <c r="AB1532" s="207" t="s">
        <v>217</v>
      </c>
      <c r="AC1532" s="207" t="s">
        <v>1716</v>
      </c>
      <c r="AD1532" s="213">
        <v>8</v>
      </c>
    </row>
    <row r="1533" spans="28:30" x14ac:dyDescent="0.25">
      <c r="AB1533" s="207" t="s">
        <v>1642</v>
      </c>
      <c r="AC1533" s="207" t="s">
        <v>1717</v>
      </c>
      <c r="AD1533" s="213">
        <v>8</v>
      </c>
    </row>
    <row r="1534" spans="28:30" x14ac:dyDescent="0.25">
      <c r="AB1534" s="207" t="s">
        <v>249</v>
      </c>
      <c r="AC1534" s="207" t="s">
        <v>1718</v>
      </c>
      <c r="AD1534" s="213">
        <v>3</v>
      </c>
    </row>
    <row r="1535" spans="28:30" x14ac:dyDescent="0.25">
      <c r="AB1535" s="207" t="s">
        <v>219</v>
      </c>
      <c r="AC1535" s="207" t="s">
        <v>1719</v>
      </c>
      <c r="AD1535" s="213">
        <v>8</v>
      </c>
    </row>
    <row r="1536" spans="28:30" x14ac:dyDescent="0.25">
      <c r="AB1536" s="207" t="s">
        <v>249</v>
      </c>
      <c r="AC1536" s="207" t="s">
        <v>1720</v>
      </c>
      <c r="AD1536" s="213">
        <v>3</v>
      </c>
    </row>
    <row r="1537" spans="28:30" x14ac:dyDescent="0.25">
      <c r="AB1537" s="207" t="s">
        <v>1691</v>
      </c>
      <c r="AC1537" s="207" t="s">
        <v>1721</v>
      </c>
      <c r="AD1537" s="213">
        <v>8</v>
      </c>
    </row>
    <row r="1538" spans="28:30" x14ac:dyDescent="0.25">
      <c r="AB1538" s="207" t="s">
        <v>373</v>
      </c>
      <c r="AC1538" s="207" t="s">
        <v>1722</v>
      </c>
      <c r="AD1538" s="213">
        <v>8</v>
      </c>
    </row>
    <row r="1539" spans="28:30" x14ac:dyDescent="0.25">
      <c r="AB1539" s="207" t="s">
        <v>373</v>
      </c>
      <c r="AC1539" s="207" t="s">
        <v>1723</v>
      </c>
      <c r="AD1539" s="213">
        <v>8</v>
      </c>
    </row>
    <row r="1540" spans="28:30" x14ac:dyDescent="0.25">
      <c r="AB1540" s="207" t="s">
        <v>249</v>
      </c>
      <c r="AC1540" s="207" t="s">
        <v>1724</v>
      </c>
      <c r="AD1540" s="213">
        <v>5</v>
      </c>
    </row>
    <row r="1541" spans="28:30" x14ac:dyDescent="0.25">
      <c r="AB1541" s="207" t="s">
        <v>249</v>
      </c>
      <c r="AC1541" s="207" t="s">
        <v>1725</v>
      </c>
      <c r="AD1541" s="213">
        <v>5</v>
      </c>
    </row>
    <row r="1542" spans="28:30" x14ac:dyDescent="0.25">
      <c r="AB1542" s="207" t="s">
        <v>373</v>
      </c>
      <c r="AC1542" s="207" t="s">
        <v>1726</v>
      </c>
      <c r="AD1542" s="213">
        <v>5</v>
      </c>
    </row>
    <row r="1543" spans="28:30" x14ac:dyDescent="0.25">
      <c r="AB1543" s="207" t="s">
        <v>217</v>
      </c>
      <c r="AC1543" s="207" t="s">
        <v>1727</v>
      </c>
      <c r="AD1543" s="213">
        <v>8</v>
      </c>
    </row>
    <row r="1544" spans="28:30" x14ac:dyDescent="0.25">
      <c r="AB1544" s="207" t="s">
        <v>373</v>
      </c>
      <c r="AC1544" s="207" t="s">
        <v>1728</v>
      </c>
      <c r="AD1544" s="213">
        <v>8</v>
      </c>
    </row>
    <row r="1545" spans="28:30" x14ac:dyDescent="0.25">
      <c r="AB1545" s="207" t="s">
        <v>249</v>
      </c>
      <c r="AC1545" s="207" t="s">
        <v>1729</v>
      </c>
      <c r="AD1545" s="213">
        <v>5</v>
      </c>
    </row>
    <row r="1546" spans="28:30" x14ac:dyDescent="0.25">
      <c r="AB1546" s="207" t="s">
        <v>249</v>
      </c>
      <c r="AC1546" s="207" t="s">
        <v>1730</v>
      </c>
      <c r="AD1546" s="213">
        <v>6</v>
      </c>
    </row>
    <row r="1547" spans="28:30" x14ac:dyDescent="0.25">
      <c r="AB1547" s="207" t="s">
        <v>373</v>
      </c>
      <c r="AC1547" s="207" t="s">
        <v>1731</v>
      </c>
      <c r="AD1547" s="213">
        <v>8</v>
      </c>
    </row>
    <row r="1548" spans="28:30" x14ac:dyDescent="0.25">
      <c r="AB1548" s="207" t="s">
        <v>373</v>
      </c>
      <c r="AC1548" s="207" t="s">
        <v>1732</v>
      </c>
      <c r="AD1548" s="213">
        <v>5</v>
      </c>
    </row>
    <row r="1549" spans="28:30" x14ac:dyDescent="0.25">
      <c r="AB1549" s="207" t="s">
        <v>373</v>
      </c>
      <c r="AC1549" s="207" t="s">
        <v>1733</v>
      </c>
      <c r="AD1549" s="213">
        <v>8</v>
      </c>
    </row>
    <row r="1550" spans="28:30" x14ac:dyDescent="0.25">
      <c r="AB1550" s="207" t="s">
        <v>249</v>
      </c>
      <c r="AC1550" s="207" t="s">
        <v>1734</v>
      </c>
      <c r="AD1550" s="213">
        <v>5</v>
      </c>
    </row>
    <row r="1551" spans="28:30" x14ac:dyDescent="0.25">
      <c r="AB1551" s="207" t="s">
        <v>219</v>
      </c>
      <c r="AC1551" s="207" t="s">
        <v>1735</v>
      </c>
      <c r="AD1551" s="213">
        <v>8</v>
      </c>
    </row>
    <row r="1552" spans="28:30" x14ac:dyDescent="0.25">
      <c r="AB1552" s="207" t="s">
        <v>249</v>
      </c>
      <c r="AC1552" s="207" t="s">
        <v>1736</v>
      </c>
      <c r="AD1552" s="213">
        <v>5</v>
      </c>
    </row>
    <row r="1553" spans="28:30" x14ac:dyDescent="0.25">
      <c r="AB1553" s="207" t="s">
        <v>249</v>
      </c>
      <c r="AC1553" s="207" t="s">
        <v>1737</v>
      </c>
      <c r="AD1553" s="213">
        <v>5</v>
      </c>
    </row>
    <row r="1554" spans="28:30" x14ac:dyDescent="0.25">
      <c r="AB1554" s="207" t="s">
        <v>1738</v>
      </c>
      <c r="AC1554" s="207" t="s">
        <v>1739</v>
      </c>
      <c r="AD1554" s="213">
        <v>8</v>
      </c>
    </row>
    <row r="1555" spans="28:30" x14ac:dyDescent="0.25">
      <c r="AB1555" s="207" t="s">
        <v>1738</v>
      </c>
      <c r="AC1555" s="207" t="s">
        <v>1740</v>
      </c>
      <c r="AD1555" s="213">
        <v>8</v>
      </c>
    </row>
    <row r="1556" spans="28:30" x14ac:dyDescent="0.25">
      <c r="AB1556" s="207" t="s">
        <v>217</v>
      </c>
      <c r="AC1556" s="207" t="s">
        <v>1741</v>
      </c>
      <c r="AD1556" s="213">
        <v>8</v>
      </c>
    </row>
    <row r="1557" spans="28:30" x14ac:dyDescent="0.25">
      <c r="AB1557" s="207" t="s">
        <v>227</v>
      </c>
      <c r="AC1557" s="207" t="s">
        <v>1742</v>
      </c>
      <c r="AD1557" s="213">
        <v>5</v>
      </c>
    </row>
    <row r="1558" spans="28:30" x14ac:dyDescent="0.25">
      <c r="AB1558" s="207" t="s">
        <v>373</v>
      </c>
      <c r="AC1558" s="207" t="s">
        <v>1743</v>
      </c>
      <c r="AD1558" s="213">
        <v>6</v>
      </c>
    </row>
    <row r="1559" spans="28:30" x14ac:dyDescent="0.25">
      <c r="AB1559" s="207" t="s">
        <v>373</v>
      </c>
      <c r="AC1559" s="207" t="s">
        <v>1744</v>
      </c>
      <c r="AD1559" s="213">
        <v>8</v>
      </c>
    </row>
    <row r="1560" spans="28:30" x14ac:dyDescent="0.25">
      <c r="AB1560" s="207" t="s">
        <v>373</v>
      </c>
      <c r="AC1560" s="207" t="s">
        <v>1745</v>
      </c>
      <c r="AD1560" s="213">
        <v>8</v>
      </c>
    </row>
    <row r="1561" spans="28:30" x14ac:dyDescent="0.25">
      <c r="AB1561" s="207" t="s">
        <v>373</v>
      </c>
      <c r="AC1561" s="207" t="s">
        <v>1746</v>
      </c>
      <c r="AD1561" s="213">
        <v>8</v>
      </c>
    </row>
    <row r="1562" spans="28:30" x14ac:dyDescent="0.25">
      <c r="AB1562" s="207" t="s">
        <v>249</v>
      </c>
      <c r="AC1562" s="207" t="s">
        <v>1747</v>
      </c>
      <c r="AD1562" s="213">
        <v>5</v>
      </c>
    </row>
    <row r="1563" spans="28:30" x14ac:dyDescent="0.25">
      <c r="AB1563" s="207" t="s">
        <v>214</v>
      </c>
      <c r="AC1563" s="207" t="s">
        <v>1748</v>
      </c>
      <c r="AD1563" s="213">
        <v>3</v>
      </c>
    </row>
    <row r="1564" spans="28:30" x14ac:dyDescent="0.25">
      <c r="AB1564" s="207" t="s">
        <v>373</v>
      </c>
      <c r="AC1564" s="207" t="s">
        <v>1749</v>
      </c>
      <c r="AD1564" s="213">
        <v>8</v>
      </c>
    </row>
    <row r="1565" spans="28:30" x14ac:dyDescent="0.25">
      <c r="AB1565" s="207" t="s">
        <v>219</v>
      </c>
      <c r="AC1565" s="207" t="s">
        <v>1750</v>
      </c>
      <c r="AD1565" s="213">
        <v>8</v>
      </c>
    </row>
    <row r="1566" spans="28:30" x14ac:dyDescent="0.25">
      <c r="AB1566" s="207" t="s">
        <v>249</v>
      </c>
      <c r="AC1566" s="207" t="s">
        <v>1751</v>
      </c>
      <c r="AD1566" s="213">
        <v>5</v>
      </c>
    </row>
    <row r="1567" spans="28:30" x14ac:dyDescent="0.25">
      <c r="AB1567" s="207" t="s">
        <v>1738</v>
      </c>
      <c r="AC1567" s="207" t="s">
        <v>1752</v>
      </c>
      <c r="AD1567" s="213">
        <v>8</v>
      </c>
    </row>
    <row r="1568" spans="28:30" x14ac:dyDescent="0.25">
      <c r="AB1568" s="207" t="s">
        <v>27</v>
      </c>
      <c r="AC1568" s="207" t="s">
        <v>1753</v>
      </c>
      <c r="AD1568" s="213">
        <v>5</v>
      </c>
    </row>
    <row r="1569" spans="28:30" x14ac:dyDescent="0.25">
      <c r="AB1569" s="207" t="s">
        <v>1642</v>
      </c>
      <c r="AC1569" s="207" t="s">
        <v>1261</v>
      </c>
      <c r="AD1569" s="213">
        <v>8</v>
      </c>
    </row>
    <row r="1570" spans="28:30" x14ac:dyDescent="0.25">
      <c r="AB1570" s="207" t="s">
        <v>249</v>
      </c>
      <c r="AC1570" s="207" t="s">
        <v>1754</v>
      </c>
      <c r="AD1570" s="213">
        <v>5</v>
      </c>
    </row>
    <row r="1571" spans="28:30" x14ac:dyDescent="0.25">
      <c r="AB1571" s="207" t="s">
        <v>1691</v>
      </c>
      <c r="AC1571" s="207" t="s">
        <v>1755</v>
      </c>
      <c r="AD1571" s="213">
        <v>8</v>
      </c>
    </row>
    <row r="1572" spans="28:30" x14ac:dyDescent="0.25">
      <c r="AB1572" s="207" t="s">
        <v>219</v>
      </c>
      <c r="AC1572" s="207" t="s">
        <v>1756</v>
      </c>
      <c r="AD1572" s="213">
        <v>8</v>
      </c>
    </row>
    <row r="1573" spans="28:30" x14ac:dyDescent="0.25">
      <c r="AB1573" s="207" t="s">
        <v>373</v>
      </c>
      <c r="AC1573" s="207" t="s">
        <v>1757</v>
      </c>
      <c r="AD1573" s="213">
        <v>8</v>
      </c>
    </row>
    <row r="1574" spans="28:30" x14ac:dyDescent="0.25">
      <c r="AB1574" s="207" t="s">
        <v>249</v>
      </c>
      <c r="AC1574" s="207" t="s">
        <v>1758</v>
      </c>
      <c r="AD1574" s="213">
        <v>5</v>
      </c>
    </row>
    <row r="1575" spans="28:30" x14ac:dyDescent="0.25">
      <c r="AB1575" s="207" t="s">
        <v>373</v>
      </c>
      <c r="AC1575" s="207" t="s">
        <v>1759</v>
      </c>
      <c r="AD1575" s="213">
        <v>8</v>
      </c>
    </row>
    <row r="1576" spans="28:30" x14ac:dyDescent="0.25">
      <c r="AB1576" s="207" t="s">
        <v>249</v>
      </c>
      <c r="AC1576" s="207" t="s">
        <v>1760</v>
      </c>
      <c r="AD1576" s="213">
        <v>5</v>
      </c>
    </row>
    <row r="1577" spans="28:30" x14ac:dyDescent="0.25">
      <c r="AB1577" s="207" t="s">
        <v>373</v>
      </c>
      <c r="AC1577" s="207" t="s">
        <v>1761</v>
      </c>
      <c r="AD1577" s="213">
        <v>8</v>
      </c>
    </row>
    <row r="1578" spans="28:30" x14ac:dyDescent="0.25">
      <c r="AB1578" s="207" t="s">
        <v>227</v>
      </c>
      <c r="AC1578" s="207" t="s">
        <v>1762</v>
      </c>
      <c r="AD1578" s="213">
        <v>8</v>
      </c>
    </row>
    <row r="1579" spans="28:30" x14ac:dyDescent="0.25">
      <c r="AB1579" s="207" t="s">
        <v>373</v>
      </c>
      <c r="AC1579" s="207" t="s">
        <v>1763</v>
      </c>
      <c r="AD1579" s="213">
        <v>8</v>
      </c>
    </row>
    <row r="1580" spans="28:30" x14ac:dyDescent="0.25">
      <c r="AB1580" s="207" t="s">
        <v>249</v>
      </c>
      <c r="AC1580" s="207" t="s">
        <v>1764</v>
      </c>
      <c r="AD1580" s="213">
        <v>5</v>
      </c>
    </row>
    <row r="1581" spans="28:30" x14ac:dyDescent="0.25">
      <c r="AB1581" s="207" t="s">
        <v>373</v>
      </c>
      <c r="AC1581" s="207" t="s">
        <v>1765</v>
      </c>
      <c r="AD1581" s="213">
        <v>8</v>
      </c>
    </row>
    <row r="1582" spans="28:30" x14ac:dyDescent="0.25">
      <c r="AB1582" s="207" t="s">
        <v>217</v>
      </c>
      <c r="AC1582" s="207" t="s">
        <v>1766</v>
      </c>
      <c r="AD1582" s="213">
        <v>8</v>
      </c>
    </row>
    <row r="1583" spans="28:30" x14ac:dyDescent="0.25">
      <c r="AB1583" s="207" t="s">
        <v>249</v>
      </c>
      <c r="AC1583" s="207" t="s">
        <v>1767</v>
      </c>
      <c r="AD1583" s="213">
        <v>5</v>
      </c>
    </row>
    <row r="1584" spans="28:30" x14ac:dyDescent="0.25">
      <c r="AB1584" s="207" t="s">
        <v>1691</v>
      </c>
      <c r="AC1584" s="207" t="s">
        <v>1768</v>
      </c>
      <c r="AD1584" s="213">
        <v>5</v>
      </c>
    </row>
    <row r="1585" spans="28:30" x14ac:dyDescent="0.25">
      <c r="AB1585" s="207" t="s">
        <v>249</v>
      </c>
      <c r="AC1585" s="207" t="s">
        <v>1769</v>
      </c>
      <c r="AD1585" s="213">
        <v>4</v>
      </c>
    </row>
    <row r="1586" spans="28:30" x14ac:dyDescent="0.25">
      <c r="AB1586" s="207" t="s">
        <v>373</v>
      </c>
      <c r="AC1586" s="207" t="s">
        <v>1770</v>
      </c>
      <c r="AD1586" s="213">
        <v>6</v>
      </c>
    </row>
    <row r="1587" spans="28:30" x14ac:dyDescent="0.25">
      <c r="AB1587" s="207" t="s">
        <v>373</v>
      </c>
      <c r="AC1587" s="207" t="s">
        <v>1771</v>
      </c>
      <c r="AD1587" s="213">
        <v>6</v>
      </c>
    </row>
    <row r="1588" spans="28:30" x14ac:dyDescent="0.25">
      <c r="AB1588" s="207" t="s">
        <v>249</v>
      </c>
      <c r="AC1588" s="207" t="s">
        <v>1772</v>
      </c>
      <c r="AD1588" s="213">
        <v>5</v>
      </c>
    </row>
    <row r="1589" spans="28:30" x14ac:dyDescent="0.25">
      <c r="AB1589" s="207" t="s">
        <v>373</v>
      </c>
      <c r="AC1589" s="207" t="s">
        <v>1773</v>
      </c>
      <c r="AD1589" s="213">
        <v>8</v>
      </c>
    </row>
    <row r="1590" spans="28:30" x14ac:dyDescent="0.25">
      <c r="AB1590" s="207" t="s">
        <v>249</v>
      </c>
      <c r="AC1590" s="207" t="s">
        <v>1774</v>
      </c>
      <c r="AD1590" s="213">
        <v>6</v>
      </c>
    </row>
    <row r="1591" spans="28:30" x14ac:dyDescent="0.25">
      <c r="AB1591" s="207" t="s">
        <v>249</v>
      </c>
      <c r="AC1591" s="207" t="s">
        <v>1775</v>
      </c>
      <c r="AD1591" s="213">
        <v>5</v>
      </c>
    </row>
    <row r="1592" spans="28:30" x14ac:dyDescent="0.25">
      <c r="AB1592" s="207" t="s">
        <v>373</v>
      </c>
      <c r="AC1592" s="207" t="s">
        <v>1776</v>
      </c>
      <c r="AD1592" s="213">
        <v>5</v>
      </c>
    </row>
    <row r="1593" spans="28:30" x14ac:dyDescent="0.25">
      <c r="AB1593" s="207" t="s">
        <v>249</v>
      </c>
      <c r="AC1593" s="207" t="s">
        <v>1777</v>
      </c>
      <c r="AD1593" s="213">
        <v>5</v>
      </c>
    </row>
    <row r="1594" spans="28:30" x14ac:dyDescent="0.25">
      <c r="AB1594" s="207" t="s">
        <v>249</v>
      </c>
      <c r="AC1594" s="207" t="s">
        <v>1778</v>
      </c>
      <c r="AD1594" s="213">
        <v>5</v>
      </c>
    </row>
    <row r="1595" spans="28:30" x14ac:dyDescent="0.25">
      <c r="AB1595" s="207" t="s">
        <v>373</v>
      </c>
      <c r="AC1595" s="207" t="s">
        <v>1779</v>
      </c>
      <c r="AD1595" s="213">
        <v>8</v>
      </c>
    </row>
    <row r="1596" spans="28:30" x14ac:dyDescent="0.25">
      <c r="AB1596" s="207" t="s">
        <v>1738</v>
      </c>
      <c r="AC1596" s="207" t="s">
        <v>886</v>
      </c>
      <c r="AD1596" s="213">
        <v>6</v>
      </c>
    </row>
    <row r="1597" spans="28:30" x14ac:dyDescent="0.25">
      <c r="AB1597" s="207" t="s">
        <v>1669</v>
      </c>
      <c r="AC1597" s="207" t="s">
        <v>1780</v>
      </c>
      <c r="AD1597" s="213">
        <v>8</v>
      </c>
    </row>
    <row r="1598" spans="28:30" x14ac:dyDescent="0.25">
      <c r="AB1598" s="207" t="s">
        <v>217</v>
      </c>
      <c r="AC1598" s="207" t="s">
        <v>1781</v>
      </c>
      <c r="AD1598" s="213">
        <v>8</v>
      </c>
    </row>
    <row r="1599" spans="28:30" x14ac:dyDescent="0.25">
      <c r="AB1599" s="207" t="s">
        <v>249</v>
      </c>
      <c r="AC1599" s="207" t="s">
        <v>1782</v>
      </c>
      <c r="AD1599" s="213">
        <v>5</v>
      </c>
    </row>
    <row r="1600" spans="28:30" x14ac:dyDescent="0.25">
      <c r="AB1600" s="207" t="s">
        <v>227</v>
      </c>
      <c r="AC1600" s="207" t="s">
        <v>1783</v>
      </c>
      <c r="AD1600" s="213">
        <v>5</v>
      </c>
    </row>
    <row r="1601" spans="28:30" x14ac:dyDescent="0.25">
      <c r="AB1601" s="207" t="s">
        <v>373</v>
      </c>
      <c r="AC1601" s="207" t="s">
        <v>1784</v>
      </c>
      <c r="AD1601" s="213">
        <v>8</v>
      </c>
    </row>
    <row r="1602" spans="28:30" x14ac:dyDescent="0.25">
      <c r="AB1602" s="207" t="s">
        <v>249</v>
      </c>
      <c r="AC1602" s="207" t="s">
        <v>1785</v>
      </c>
      <c r="AD1602" s="213">
        <v>5</v>
      </c>
    </row>
    <row r="1603" spans="28:30" x14ac:dyDescent="0.25">
      <c r="AB1603" s="207" t="s">
        <v>217</v>
      </c>
      <c r="AC1603" s="207" t="s">
        <v>1786</v>
      </c>
      <c r="AD1603" s="213">
        <v>8</v>
      </c>
    </row>
    <row r="1604" spans="28:30" x14ac:dyDescent="0.25">
      <c r="AB1604" s="207" t="s">
        <v>219</v>
      </c>
      <c r="AC1604" s="207" t="s">
        <v>1047</v>
      </c>
      <c r="AD1604" s="213">
        <v>8</v>
      </c>
    </row>
    <row r="1605" spans="28:30" x14ac:dyDescent="0.25">
      <c r="AB1605" s="207" t="s">
        <v>249</v>
      </c>
      <c r="AC1605" s="207" t="s">
        <v>1787</v>
      </c>
      <c r="AD1605" s="213">
        <v>5</v>
      </c>
    </row>
    <row r="1606" spans="28:30" x14ac:dyDescent="0.25">
      <c r="AB1606" s="207" t="s">
        <v>373</v>
      </c>
      <c r="AC1606" s="207" t="s">
        <v>1788</v>
      </c>
      <c r="AD1606" s="213">
        <v>8</v>
      </c>
    </row>
    <row r="1607" spans="28:30" x14ac:dyDescent="0.25">
      <c r="AB1607" s="207" t="s">
        <v>249</v>
      </c>
      <c r="AC1607" s="207" t="s">
        <v>1789</v>
      </c>
      <c r="AD1607" s="213">
        <v>4</v>
      </c>
    </row>
    <row r="1608" spans="28:30" x14ac:dyDescent="0.25">
      <c r="AB1608" s="207" t="s">
        <v>373</v>
      </c>
      <c r="AC1608" s="207" t="s">
        <v>1790</v>
      </c>
      <c r="AD1608" s="213">
        <v>8</v>
      </c>
    </row>
    <row r="1609" spans="28:30" x14ac:dyDescent="0.25">
      <c r="AB1609" s="207" t="s">
        <v>249</v>
      </c>
      <c r="AC1609" s="207" t="s">
        <v>1791</v>
      </c>
      <c r="AD1609" s="213">
        <v>5</v>
      </c>
    </row>
    <row r="1610" spans="28:30" x14ac:dyDescent="0.25">
      <c r="AB1610" s="207" t="s">
        <v>373</v>
      </c>
      <c r="AC1610" s="207" t="s">
        <v>1792</v>
      </c>
      <c r="AD1610" s="213">
        <v>8</v>
      </c>
    </row>
    <row r="1611" spans="28:30" x14ac:dyDescent="0.25">
      <c r="AB1611" s="207" t="s">
        <v>1715</v>
      </c>
      <c r="AC1611" s="207" t="s">
        <v>1793</v>
      </c>
      <c r="AD1611" s="213">
        <v>6</v>
      </c>
    </row>
    <row r="1612" spans="28:30" x14ac:dyDescent="0.25">
      <c r="AB1612" s="207" t="s">
        <v>249</v>
      </c>
      <c r="AC1612" s="207" t="s">
        <v>1794</v>
      </c>
      <c r="AD1612" s="213">
        <v>5</v>
      </c>
    </row>
    <row r="1613" spans="28:30" x14ac:dyDescent="0.25">
      <c r="AB1613" s="207" t="s">
        <v>373</v>
      </c>
      <c r="AC1613" s="207" t="s">
        <v>1795</v>
      </c>
      <c r="AD1613" s="213">
        <v>8</v>
      </c>
    </row>
    <row r="1614" spans="28:30" x14ac:dyDescent="0.25">
      <c r="AB1614" s="207" t="s">
        <v>249</v>
      </c>
      <c r="AC1614" s="207" t="s">
        <v>1796</v>
      </c>
      <c r="AD1614" s="213">
        <v>5</v>
      </c>
    </row>
    <row r="1615" spans="28:30" x14ac:dyDescent="0.25">
      <c r="AB1615" s="207" t="s">
        <v>249</v>
      </c>
      <c r="AC1615" s="207" t="s">
        <v>1797</v>
      </c>
      <c r="AD1615" s="213">
        <v>5</v>
      </c>
    </row>
    <row r="1616" spans="28:30" x14ac:dyDescent="0.25">
      <c r="AB1616" s="207" t="s">
        <v>217</v>
      </c>
      <c r="AC1616" s="207" t="s">
        <v>1798</v>
      </c>
      <c r="AD1616" s="213">
        <v>8</v>
      </c>
    </row>
    <row r="1617" spans="28:30" x14ac:dyDescent="0.25">
      <c r="AB1617" s="207" t="s">
        <v>249</v>
      </c>
      <c r="AC1617" s="207" t="s">
        <v>1799</v>
      </c>
      <c r="AD1617" s="213">
        <v>5</v>
      </c>
    </row>
    <row r="1618" spans="28:30" x14ac:dyDescent="0.25">
      <c r="AB1618" s="207" t="s">
        <v>1738</v>
      </c>
      <c r="AC1618" s="207" t="s">
        <v>1800</v>
      </c>
      <c r="AD1618" s="213">
        <v>7</v>
      </c>
    </row>
    <row r="1619" spans="28:30" x14ac:dyDescent="0.25">
      <c r="AB1619" s="207" t="s">
        <v>249</v>
      </c>
      <c r="AC1619" s="207" t="s">
        <v>1801</v>
      </c>
      <c r="AD1619" s="213">
        <v>5</v>
      </c>
    </row>
    <row r="1620" spans="28:30" x14ac:dyDescent="0.25">
      <c r="AB1620" s="207" t="s">
        <v>1715</v>
      </c>
      <c r="AC1620" s="207" t="s">
        <v>1802</v>
      </c>
      <c r="AD1620" s="213">
        <v>4</v>
      </c>
    </row>
    <row r="1621" spans="28:30" x14ac:dyDescent="0.25">
      <c r="AB1621" s="207" t="s">
        <v>373</v>
      </c>
      <c r="AC1621" s="207" t="s">
        <v>1803</v>
      </c>
      <c r="AD1621" s="213">
        <v>6</v>
      </c>
    </row>
    <row r="1622" spans="28:30" x14ac:dyDescent="0.25">
      <c r="AB1622" s="207" t="s">
        <v>249</v>
      </c>
      <c r="AC1622" s="207" t="s">
        <v>1804</v>
      </c>
      <c r="AD1622" s="213">
        <v>5</v>
      </c>
    </row>
    <row r="1623" spans="28:30" x14ac:dyDescent="0.25">
      <c r="AB1623" s="207" t="s">
        <v>373</v>
      </c>
      <c r="AC1623" s="207" t="s">
        <v>1805</v>
      </c>
      <c r="AD1623" s="213">
        <v>8</v>
      </c>
    </row>
    <row r="1624" spans="28:30" x14ac:dyDescent="0.25">
      <c r="AB1624" s="207" t="s">
        <v>373</v>
      </c>
      <c r="AC1624" s="207" t="s">
        <v>1806</v>
      </c>
      <c r="AD1624" s="213">
        <v>6</v>
      </c>
    </row>
    <row r="1625" spans="28:30" x14ac:dyDescent="0.25">
      <c r="AB1625" s="207" t="s">
        <v>373</v>
      </c>
      <c r="AC1625" s="207" t="s">
        <v>1807</v>
      </c>
      <c r="AD1625" s="213">
        <v>8</v>
      </c>
    </row>
    <row r="1626" spans="28:30" x14ac:dyDescent="0.25">
      <c r="AB1626" s="207" t="s">
        <v>249</v>
      </c>
      <c r="AC1626" s="207" t="s">
        <v>1808</v>
      </c>
      <c r="AD1626" s="213">
        <v>5</v>
      </c>
    </row>
    <row r="1627" spans="28:30" x14ac:dyDescent="0.25">
      <c r="AB1627" s="207" t="s">
        <v>249</v>
      </c>
      <c r="AC1627" s="207" t="s">
        <v>1809</v>
      </c>
      <c r="AD1627" s="213">
        <v>5</v>
      </c>
    </row>
    <row r="1628" spans="28:30" x14ac:dyDescent="0.25">
      <c r="AB1628" s="207" t="s">
        <v>227</v>
      </c>
      <c r="AC1628" s="207" t="s">
        <v>1810</v>
      </c>
      <c r="AD1628" s="213">
        <v>5</v>
      </c>
    </row>
    <row r="1629" spans="28:30" x14ac:dyDescent="0.25">
      <c r="AB1629" s="207" t="s">
        <v>373</v>
      </c>
      <c r="AC1629" s="207" t="s">
        <v>1811</v>
      </c>
      <c r="AD1629" s="213">
        <v>8</v>
      </c>
    </row>
    <row r="1630" spans="28:30" x14ac:dyDescent="0.25">
      <c r="AB1630" s="207" t="s">
        <v>219</v>
      </c>
      <c r="AC1630" s="207" t="s">
        <v>1812</v>
      </c>
      <c r="AD1630" s="213">
        <v>8</v>
      </c>
    </row>
    <row r="1631" spans="28:30" x14ac:dyDescent="0.25">
      <c r="AB1631" s="207" t="s">
        <v>249</v>
      </c>
      <c r="AC1631" s="207" t="s">
        <v>1813</v>
      </c>
      <c r="AD1631" s="213">
        <v>5</v>
      </c>
    </row>
    <row r="1632" spans="28:30" x14ac:dyDescent="0.25">
      <c r="AB1632" s="207" t="s">
        <v>249</v>
      </c>
      <c r="AC1632" s="207" t="s">
        <v>1814</v>
      </c>
      <c r="AD1632" s="213">
        <v>3</v>
      </c>
    </row>
    <row r="1633" spans="28:30" x14ac:dyDescent="0.25">
      <c r="AB1633" s="207" t="s">
        <v>249</v>
      </c>
      <c r="AC1633" s="207" t="s">
        <v>1815</v>
      </c>
      <c r="AD1633" s="213">
        <v>3</v>
      </c>
    </row>
    <row r="1634" spans="28:30" x14ac:dyDescent="0.25">
      <c r="AB1634" s="207" t="s">
        <v>373</v>
      </c>
      <c r="AC1634" s="207" t="s">
        <v>1816</v>
      </c>
      <c r="AD1634" s="213">
        <v>8</v>
      </c>
    </row>
    <row r="1635" spans="28:30" x14ac:dyDescent="0.25">
      <c r="AB1635" s="207" t="s">
        <v>373</v>
      </c>
      <c r="AC1635" s="207" t="s">
        <v>1817</v>
      </c>
      <c r="AD1635" s="213">
        <v>8</v>
      </c>
    </row>
    <row r="1636" spans="28:30" x14ac:dyDescent="0.25">
      <c r="AB1636" s="207" t="s">
        <v>373</v>
      </c>
      <c r="AC1636" s="207" t="s">
        <v>1818</v>
      </c>
      <c r="AD1636" s="213">
        <v>5</v>
      </c>
    </row>
    <row r="1637" spans="28:30" x14ac:dyDescent="0.25">
      <c r="AB1637" s="207" t="s">
        <v>373</v>
      </c>
      <c r="AC1637" s="207" t="s">
        <v>1819</v>
      </c>
      <c r="AD1637" s="213">
        <v>5</v>
      </c>
    </row>
    <row r="1638" spans="28:30" x14ac:dyDescent="0.25">
      <c r="AB1638" s="207" t="s">
        <v>373</v>
      </c>
      <c r="AC1638" s="207" t="s">
        <v>1820</v>
      </c>
      <c r="AD1638" s="213">
        <v>6</v>
      </c>
    </row>
    <row r="1639" spans="28:30" x14ac:dyDescent="0.25">
      <c r="AB1639" s="207" t="s">
        <v>249</v>
      </c>
      <c r="AC1639" s="207" t="s">
        <v>1821</v>
      </c>
      <c r="AD1639" s="213">
        <v>3</v>
      </c>
    </row>
    <row r="1640" spans="28:30" x14ac:dyDescent="0.25">
      <c r="AB1640" s="207" t="s">
        <v>249</v>
      </c>
      <c r="AC1640" s="207" t="s">
        <v>1822</v>
      </c>
      <c r="AD1640" s="213">
        <v>3</v>
      </c>
    </row>
    <row r="1641" spans="28:30" x14ac:dyDescent="0.25">
      <c r="AB1641" s="207" t="s">
        <v>249</v>
      </c>
      <c r="AC1641" s="207" t="s">
        <v>1823</v>
      </c>
      <c r="AD1641" s="213">
        <v>3</v>
      </c>
    </row>
    <row r="1642" spans="28:30" x14ac:dyDescent="0.25">
      <c r="AB1642" s="207" t="s">
        <v>249</v>
      </c>
      <c r="AC1642" s="207" t="s">
        <v>1824</v>
      </c>
      <c r="AD1642" s="213">
        <v>5</v>
      </c>
    </row>
    <row r="1643" spans="28:30" x14ac:dyDescent="0.25">
      <c r="AB1643" s="207" t="s">
        <v>373</v>
      </c>
      <c r="AC1643" s="207" t="s">
        <v>1825</v>
      </c>
      <c r="AD1643" s="213">
        <v>8</v>
      </c>
    </row>
    <row r="1644" spans="28:30" x14ac:dyDescent="0.25">
      <c r="AB1644" s="207" t="s">
        <v>373</v>
      </c>
      <c r="AC1644" s="207" t="s">
        <v>1826</v>
      </c>
      <c r="AD1644" s="213">
        <v>8</v>
      </c>
    </row>
    <row r="1645" spans="28:30" x14ac:dyDescent="0.25">
      <c r="AB1645" s="207" t="s">
        <v>373</v>
      </c>
      <c r="AC1645" s="207" t="s">
        <v>1827</v>
      </c>
      <c r="AD1645" s="213">
        <v>8</v>
      </c>
    </row>
    <row r="1646" spans="28:30" x14ac:dyDescent="0.25">
      <c r="AB1646" s="207" t="s">
        <v>249</v>
      </c>
      <c r="AC1646" s="207" t="s">
        <v>1828</v>
      </c>
      <c r="AD1646" s="213">
        <v>3</v>
      </c>
    </row>
    <row r="1647" spans="28:30" x14ac:dyDescent="0.25">
      <c r="AB1647" s="207" t="s">
        <v>373</v>
      </c>
      <c r="AC1647" s="207" t="s">
        <v>1829</v>
      </c>
      <c r="AD1647" s="213">
        <v>8</v>
      </c>
    </row>
    <row r="1648" spans="28:30" x14ac:dyDescent="0.25">
      <c r="AB1648" s="207" t="s">
        <v>373</v>
      </c>
      <c r="AC1648" s="207" t="s">
        <v>1830</v>
      </c>
      <c r="AD1648" s="213">
        <v>8</v>
      </c>
    </row>
    <row r="1649" spans="28:30" x14ac:dyDescent="0.25">
      <c r="AB1649" s="207" t="s">
        <v>249</v>
      </c>
      <c r="AC1649" s="207" t="s">
        <v>1831</v>
      </c>
      <c r="AD1649" s="213">
        <v>3</v>
      </c>
    </row>
    <row r="1650" spans="28:30" x14ac:dyDescent="0.25">
      <c r="AB1650" s="207" t="s">
        <v>1738</v>
      </c>
      <c r="AC1650" s="207" t="s">
        <v>1832</v>
      </c>
      <c r="AD1650" s="213">
        <v>8</v>
      </c>
    </row>
    <row r="1651" spans="28:30" x14ac:dyDescent="0.25">
      <c r="AB1651" s="207" t="s">
        <v>249</v>
      </c>
      <c r="AC1651" s="207" t="s">
        <v>1833</v>
      </c>
      <c r="AD1651" s="213">
        <v>4</v>
      </c>
    </row>
    <row r="1652" spans="28:30" x14ac:dyDescent="0.25">
      <c r="AB1652" s="207" t="s">
        <v>1738</v>
      </c>
      <c r="AC1652" s="207" t="s">
        <v>1834</v>
      </c>
      <c r="AD1652" s="213">
        <v>7</v>
      </c>
    </row>
    <row r="1653" spans="28:30" x14ac:dyDescent="0.25">
      <c r="AB1653" s="207" t="s">
        <v>217</v>
      </c>
      <c r="AC1653" s="207" t="s">
        <v>1289</v>
      </c>
      <c r="AD1653" s="213">
        <v>7</v>
      </c>
    </row>
    <row r="1654" spans="28:30" x14ac:dyDescent="0.25">
      <c r="AB1654" s="207" t="s">
        <v>249</v>
      </c>
      <c r="AC1654" s="207" t="s">
        <v>1835</v>
      </c>
      <c r="AD1654" s="213">
        <v>5</v>
      </c>
    </row>
    <row r="1655" spans="28:30" x14ac:dyDescent="0.25">
      <c r="AB1655" s="207" t="s">
        <v>373</v>
      </c>
      <c r="AC1655" s="207" t="s">
        <v>1836</v>
      </c>
      <c r="AD1655" s="213">
        <v>8</v>
      </c>
    </row>
    <row r="1656" spans="28:30" x14ac:dyDescent="0.25">
      <c r="AB1656" s="207" t="s">
        <v>249</v>
      </c>
      <c r="AC1656" s="207" t="s">
        <v>5864</v>
      </c>
      <c r="AD1656" s="213">
        <v>3</v>
      </c>
    </row>
    <row r="1657" spans="28:30" x14ac:dyDescent="0.25">
      <c r="AB1657" s="207" t="s">
        <v>249</v>
      </c>
      <c r="AC1657" s="207" t="s">
        <v>1837</v>
      </c>
      <c r="AD1657" s="213">
        <v>3</v>
      </c>
    </row>
    <row r="1658" spans="28:30" x14ac:dyDescent="0.25">
      <c r="AB1658" s="207" t="s">
        <v>373</v>
      </c>
      <c r="AC1658" s="207" t="s">
        <v>1838</v>
      </c>
      <c r="AD1658" s="213">
        <v>8</v>
      </c>
    </row>
    <row r="1659" spans="28:30" x14ac:dyDescent="0.25">
      <c r="AB1659" s="207" t="s">
        <v>249</v>
      </c>
      <c r="AC1659" s="207" t="s">
        <v>1839</v>
      </c>
      <c r="AD1659" s="213">
        <v>3</v>
      </c>
    </row>
    <row r="1660" spans="28:30" x14ac:dyDescent="0.25">
      <c r="AB1660" s="207" t="s">
        <v>373</v>
      </c>
      <c r="AC1660" s="207" t="s">
        <v>1840</v>
      </c>
      <c r="AD1660" s="213">
        <v>8</v>
      </c>
    </row>
    <row r="1661" spans="28:30" x14ac:dyDescent="0.25">
      <c r="AB1661" s="207" t="s">
        <v>373</v>
      </c>
      <c r="AC1661" s="207" t="s">
        <v>1841</v>
      </c>
      <c r="AD1661" s="213">
        <v>8</v>
      </c>
    </row>
    <row r="1662" spans="28:30" x14ac:dyDescent="0.25">
      <c r="AB1662" s="207" t="s">
        <v>373</v>
      </c>
      <c r="AC1662" s="207" t="s">
        <v>1842</v>
      </c>
      <c r="AD1662" s="213">
        <v>5</v>
      </c>
    </row>
    <row r="1663" spans="28:30" x14ac:dyDescent="0.25">
      <c r="AB1663" s="207" t="s">
        <v>249</v>
      </c>
      <c r="AC1663" s="207" t="s">
        <v>1843</v>
      </c>
      <c r="AD1663" s="213">
        <v>3</v>
      </c>
    </row>
    <row r="1664" spans="28:30" x14ac:dyDescent="0.25">
      <c r="AB1664" s="207" t="s">
        <v>373</v>
      </c>
      <c r="AC1664" s="207" t="s">
        <v>1844</v>
      </c>
      <c r="AD1664" s="213">
        <v>8</v>
      </c>
    </row>
    <row r="1665" spans="28:30" x14ac:dyDescent="0.25">
      <c r="AB1665" s="207" t="s">
        <v>373</v>
      </c>
      <c r="AC1665" s="207" t="s">
        <v>1845</v>
      </c>
      <c r="AD1665" s="213">
        <v>8</v>
      </c>
    </row>
    <row r="1666" spans="28:30" x14ac:dyDescent="0.25">
      <c r="AB1666" s="207" t="s">
        <v>249</v>
      </c>
      <c r="AC1666" s="207" t="s">
        <v>1846</v>
      </c>
      <c r="AD1666" s="213">
        <v>5</v>
      </c>
    </row>
    <row r="1667" spans="28:30" x14ac:dyDescent="0.25">
      <c r="AB1667" s="207" t="s">
        <v>249</v>
      </c>
      <c r="AC1667" s="207" t="s">
        <v>1847</v>
      </c>
      <c r="AD1667" s="213">
        <v>5</v>
      </c>
    </row>
    <row r="1668" spans="28:30" x14ac:dyDescent="0.25">
      <c r="AB1668" s="207" t="s">
        <v>373</v>
      </c>
      <c r="AC1668" s="207" t="s">
        <v>1848</v>
      </c>
      <c r="AD1668" s="213">
        <v>8</v>
      </c>
    </row>
    <row r="1669" spans="28:30" x14ac:dyDescent="0.25">
      <c r="AB1669" s="207" t="s">
        <v>373</v>
      </c>
      <c r="AC1669" s="207" t="s">
        <v>1849</v>
      </c>
      <c r="AD1669" s="213">
        <v>8</v>
      </c>
    </row>
    <row r="1670" spans="28:30" x14ac:dyDescent="0.25">
      <c r="AB1670" s="207" t="s">
        <v>373</v>
      </c>
      <c r="AC1670" s="207" t="s">
        <v>1850</v>
      </c>
      <c r="AD1670" s="213">
        <v>5</v>
      </c>
    </row>
    <row r="1671" spans="28:30" x14ac:dyDescent="0.25">
      <c r="AB1671" s="207" t="s">
        <v>373</v>
      </c>
      <c r="AC1671" s="207" t="s">
        <v>1851</v>
      </c>
      <c r="AD1671" s="213">
        <v>8</v>
      </c>
    </row>
    <row r="1672" spans="28:30" x14ac:dyDescent="0.25">
      <c r="AB1672" s="207" t="s">
        <v>219</v>
      </c>
      <c r="AC1672" s="207" t="s">
        <v>1852</v>
      </c>
      <c r="AD1672" s="213">
        <v>8</v>
      </c>
    </row>
    <row r="1673" spans="28:30" x14ac:dyDescent="0.25">
      <c r="AB1673" s="207" t="s">
        <v>1738</v>
      </c>
      <c r="AC1673" s="207" t="s">
        <v>1853</v>
      </c>
      <c r="AD1673" s="213">
        <v>7</v>
      </c>
    </row>
    <row r="1674" spans="28:30" x14ac:dyDescent="0.25">
      <c r="AB1674" s="207" t="s">
        <v>373</v>
      </c>
      <c r="AC1674" s="207" t="s">
        <v>1854</v>
      </c>
      <c r="AD1674" s="213">
        <v>5</v>
      </c>
    </row>
    <row r="1675" spans="28:30" x14ac:dyDescent="0.25">
      <c r="AB1675" s="207" t="s">
        <v>249</v>
      </c>
      <c r="AC1675" s="207" t="s">
        <v>1855</v>
      </c>
      <c r="AD1675" s="213">
        <v>3</v>
      </c>
    </row>
    <row r="1676" spans="28:30" x14ac:dyDescent="0.25">
      <c r="AB1676" s="207" t="s">
        <v>373</v>
      </c>
      <c r="AC1676" s="207" t="s">
        <v>1856</v>
      </c>
      <c r="AD1676" s="213">
        <v>8</v>
      </c>
    </row>
    <row r="1677" spans="28:30" x14ac:dyDescent="0.25">
      <c r="AB1677" s="207" t="s">
        <v>249</v>
      </c>
      <c r="AC1677" s="207" t="s">
        <v>1857</v>
      </c>
      <c r="AD1677" s="213">
        <v>3</v>
      </c>
    </row>
    <row r="1678" spans="28:30" x14ac:dyDescent="0.25">
      <c r="AB1678" s="207" t="s">
        <v>249</v>
      </c>
      <c r="AC1678" s="207" t="s">
        <v>1858</v>
      </c>
      <c r="AD1678" s="213">
        <v>3</v>
      </c>
    </row>
    <row r="1679" spans="28:30" x14ac:dyDescent="0.25">
      <c r="AB1679" s="207" t="s">
        <v>373</v>
      </c>
      <c r="AC1679" s="207" t="s">
        <v>1859</v>
      </c>
      <c r="AD1679" s="213">
        <v>8</v>
      </c>
    </row>
    <row r="1680" spans="28:30" x14ac:dyDescent="0.25">
      <c r="AB1680" s="207" t="s">
        <v>249</v>
      </c>
      <c r="AC1680" s="207" t="s">
        <v>1860</v>
      </c>
      <c r="AD1680" s="213">
        <v>3</v>
      </c>
    </row>
    <row r="1681" spans="28:30" x14ac:dyDescent="0.25">
      <c r="AB1681" s="207" t="s">
        <v>249</v>
      </c>
      <c r="AC1681" s="207" t="s">
        <v>1861</v>
      </c>
      <c r="AD1681" s="213">
        <v>6</v>
      </c>
    </row>
    <row r="1682" spans="28:30" x14ac:dyDescent="0.25">
      <c r="AB1682" s="207" t="s">
        <v>249</v>
      </c>
      <c r="AC1682" s="207" t="s">
        <v>1862</v>
      </c>
      <c r="AD1682" s="213">
        <v>4</v>
      </c>
    </row>
    <row r="1683" spans="28:30" x14ac:dyDescent="0.25">
      <c r="AB1683" s="207" t="s">
        <v>1738</v>
      </c>
      <c r="AC1683" s="207" t="s">
        <v>1863</v>
      </c>
      <c r="AD1683" s="213">
        <v>8</v>
      </c>
    </row>
    <row r="1684" spans="28:30" x14ac:dyDescent="0.25">
      <c r="AB1684" s="207" t="s">
        <v>373</v>
      </c>
      <c r="AC1684" s="207" t="s">
        <v>1864</v>
      </c>
      <c r="AD1684" s="213">
        <v>5</v>
      </c>
    </row>
    <row r="1685" spans="28:30" x14ac:dyDescent="0.25">
      <c r="AB1685" s="207" t="s">
        <v>373</v>
      </c>
      <c r="AC1685" s="207" t="s">
        <v>1865</v>
      </c>
      <c r="AD1685" s="213">
        <v>5</v>
      </c>
    </row>
    <row r="1686" spans="28:30" x14ac:dyDescent="0.25">
      <c r="AB1686" s="207" t="s">
        <v>373</v>
      </c>
      <c r="AC1686" s="207" t="s">
        <v>1866</v>
      </c>
      <c r="AD1686" s="213">
        <v>8</v>
      </c>
    </row>
    <row r="1687" spans="28:30" x14ac:dyDescent="0.25">
      <c r="AB1687" s="207" t="s">
        <v>1715</v>
      </c>
      <c r="AC1687" s="207" t="s">
        <v>1867</v>
      </c>
      <c r="AD1687" s="213">
        <v>6</v>
      </c>
    </row>
    <row r="1688" spans="28:30" x14ac:dyDescent="0.25">
      <c r="AB1688" s="207" t="s">
        <v>1738</v>
      </c>
      <c r="AC1688" s="207" t="s">
        <v>1868</v>
      </c>
      <c r="AD1688" s="213">
        <v>8</v>
      </c>
    </row>
    <row r="1689" spans="28:30" x14ac:dyDescent="0.25">
      <c r="AB1689" s="207" t="s">
        <v>227</v>
      </c>
      <c r="AC1689" s="207" t="s">
        <v>1869</v>
      </c>
      <c r="AD1689" s="213">
        <v>5</v>
      </c>
    </row>
    <row r="1690" spans="28:30" x14ac:dyDescent="0.25">
      <c r="AB1690" s="207" t="s">
        <v>373</v>
      </c>
      <c r="AC1690" s="207" t="s">
        <v>1870</v>
      </c>
      <c r="AD1690" s="213">
        <v>8</v>
      </c>
    </row>
    <row r="1691" spans="28:30" x14ac:dyDescent="0.25">
      <c r="AB1691" s="207" t="s">
        <v>373</v>
      </c>
      <c r="AC1691" s="207" t="s">
        <v>1871</v>
      </c>
      <c r="AD1691" s="213">
        <v>5</v>
      </c>
    </row>
    <row r="1692" spans="28:30" x14ac:dyDescent="0.25">
      <c r="AB1692" s="207" t="s">
        <v>249</v>
      </c>
      <c r="AC1692" s="207" t="s">
        <v>1872</v>
      </c>
      <c r="AD1692" s="213">
        <v>3</v>
      </c>
    </row>
    <row r="1693" spans="28:30" x14ac:dyDescent="0.25">
      <c r="AB1693" s="207" t="s">
        <v>373</v>
      </c>
      <c r="AC1693" s="207" t="s">
        <v>1873</v>
      </c>
      <c r="AD1693" s="213">
        <v>8</v>
      </c>
    </row>
    <row r="1694" spans="28:30" x14ac:dyDescent="0.25">
      <c r="AB1694" s="207" t="s">
        <v>249</v>
      </c>
      <c r="AC1694" s="207" t="s">
        <v>1874</v>
      </c>
      <c r="AD1694" s="213">
        <v>3</v>
      </c>
    </row>
    <row r="1695" spans="28:30" x14ac:dyDescent="0.25">
      <c r="AB1695" s="207" t="s">
        <v>373</v>
      </c>
      <c r="AC1695" s="207" t="s">
        <v>1875</v>
      </c>
      <c r="AD1695" s="213">
        <v>8</v>
      </c>
    </row>
    <row r="1696" spans="28:30" x14ac:dyDescent="0.25">
      <c r="AB1696" s="207" t="s">
        <v>249</v>
      </c>
      <c r="AC1696" s="207" t="s">
        <v>1876</v>
      </c>
      <c r="AD1696" s="213">
        <v>3</v>
      </c>
    </row>
    <row r="1697" spans="28:30" x14ac:dyDescent="0.25">
      <c r="AB1697" s="207" t="s">
        <v>373</v>
      </c>
      <c r="AC1697" s="207" t="s">
        <v>1877</v>
      </c>
      <c r="AD1697" s="213">
        <v>5</v>
      </c>
    </row>
    <row r="1698" spans="28:30" x14ac:dyDescent="0.25">
      <c r="AB1698" s="207" t="s">
        <v>249</v>
      </c>
      <c r="AC1698" s="207" t="s">
        <v>1878</v>
      </c>
      <c r="AD1698" s="213">
        <v>3</v>
      </c>
    </row>
    <row r="1699" spans="28:30" x14ac:dyDescent="0.25">
      <c r="AB1699" s="207" t="s">
        <v>219</v>
      </c>
      <c r="AC1699" s="207" t="s">
        <v>1879</v>
      </c>
      <c r="AD1699" s="213">
        <v>5</v>
      </c>
    </row>
    <row r="1700" spans="28:30" x14ac:dyDescent="0.25">
      <c r="AB1700" s="207" t="s">
        <v>249</v>
      </c>
      <c r="AC1700" s="207" t="s">
        <v>1880</v>
      </c>
      <c r="AD1700" s="213">
        <v>3</v>
      </c>
    </row>
    <row r="1701" spans="28:30" x14ac:dyDescent="0.25">
      <c r="AB1701" s="207" t="s">
        <v>373</v>
      </c>
      <c r="AC1701" s="207" t="s">
        <v>1881</v>
      </c>
      <c r="AD1701" s="213">
        <v>8</v>
      </c>
    </row>
    <row r="1702" spans="28:30" x14ac:dyDescent="0.25">
      <c r="AB1702" s="207" t="s">
        <v>217</v>
      </c>
      <c r="AC1702" s="207" t="s">
        <v>1882</v>
      </c>
      <c r="AD1702" s="213">
        <v>8</v>
      </c>
    </row>
    <row r="1703" spans="28:30" x14ac:dyDescent="0.25">
      <c r="AB1703" s="207" t="s">
        <v>373</v>
      </c>
      <c r="AC1703" s="207" t="s">
        <v>1883</v>
      </c>
      <c r="AD1703" s="213">
        <v>8</v>
      </c>
    </row>
    <row r="1704" spans="28:30" x14ac:dyDescent="0.25">
      <c r="AB1704" s="207" t="s">
        <v>249</v>
      </c>
      <c r="AC1704" s="207" t="s">
        <v>1884</v>
      </c>
      <c r="AD1704" s="213">
        <v>3</v>
      </c>
    </row>
    <row r="1705" spans="28:30" x14ac:dyDescent="0.25">
      <c r="AB1705" s="207" t="s">
        <v>373</v>
      </c>
      <c r="AC1705" s="207" t="s">
        <v>1885</v>
      </c>
      <c r="AD1705" s="213">
        <v>5</v>
      </c>
    </row>
    <row r="1706" spans="28:30" x14ac:dyDescent="0.25">
      <c r="AB1706" s="207" t="s">
        <v>1642</v>
      </c>
      <c r="AC1706" s="207" t="s">
        <v>1886</v>
      </c>
      <c r="AD1706" s="213">
        <v>8</v>
      </c>
    </row>
    <row r="1707" spans="28:30" x14ac:dyDescent="0.25">
      <c r="AB1707" s="207" t="s">
        <v>249</v>
      </c>
      <c r="AC1707" s="207" t="s">
        <v>1887</v>
      </c>
      <c r="AD1707" s="213">
        <v>2</v>
      </c>
    </row>
    <row r="1708" spans="28:30" x14ac:dyDescent="0.25">
      <c r="AB1708" s="207" t="s">
        <v>1715</v>
      </c>
      <c r="AC1708" s="207" t="s">
        <v>1888</v>
      </c>
      <c r="AD1708" s="213">
        <v>4</v>
      </c>
    </row>
    <row r="1709" spans="28:30" x14ac:dyDescent="0.25">
      <c r="AB1709" s="207" t="s">
        <v>249</v>
      </c>
      <c r="AC1709" s="207" t="s">
        <v>1889</v>
      </c>
      <c r="AD1709" s="213">
        <v>4</v>
      </c>
    </row>
    <row r="1710" spans="28:30" x14ac:dyDescent="0.25">
      <c r="AB1710" s="207" t="s">
        <v>1715</v>
      </c>
      <c r="AC1710" s="207" t="s">
        <v>1890</v>
      </c>
      <c r="AD1710" s="213">
        <v>6</v>
      </c>
    </row>
    <row r="1711" spans="28:30" x14ac:dyDescent="0.25">
      <c r="AB1711" s="207" t="s">
        <v>249</v>
      </c>
      <c r="AC1711" s="207" t="s">
        <v>1891</v>
      </c>
      <c r="AD1711" s="213">
        <v>3</v>
      </c>
    </row>
    <row r="1712" spans="28:30" x14ac:dyDescent="0.25">
      <c r="AB1712" s="207" t="s">
        <v>373</v>
      </c>
      <c r="AC1712" s="207" t="s">
        <v>1892</v>
      </c>
      <c r="AD1712" s="213">
        <v>8</v>
      </c>
    </row>
    <row r="1713" spans="28:30" x14ac:dyDescent="0.25">
      <c r="AB1713" s="207" t="s">
        <v>373</v>
      </c>
      <c r="AC1713" s="207" t="s">
        <v>1893</v>
      </c>
      <c r="AD1713" s="213">
        <v>8</v>
      </c>
    </row>
    <row r="1714" spans="28:30" x14ac:dyDescent="0.25">
      <c r="AB1714" s="207" t="s">
        <v>373</v>
      </c>
      <c r="AC1714" s="207" t="s">
        <v>1894</v>
      </c>
      <c r="AD1714" s="213">
        <v>8</v>
      </c>
    </row>
    <row r="1715" spans="28:30" x14ac:dyDescent="0.25">
      <c r="AB1715" s="207" t="s">
        <v>249</v>
      </c>
      <c r="AC1715" s="207" t="s">
        <v>1895</v>
      </c>
      <c r="AD1715" s="213">
        <v>5</v>
      </c>
    </row>
    <row r="1716" spans="28:30" x14ac:dyDescent="0.25">
      <c r="AB1716" s="207" t="s">
        <v>1738</v>
      </c>
      <c r="AC1716" s="207" t="s">
        <v>1896</v>
      </c>
      <c r="AD1716" s="213">
        <v>7</v>
      </c>
    </row>
    <row r="1717" spans="28:30" x14ac:dyDescent="0.25">
      <c r="AB1717" s="207" t="s">
        <v>373</v>
      </c>
      <c r="AC1717" s="207" t="s">
        <v>1897</v>
      </c>
      <c r="AD1717" s="213">
        <v>8</v>
      </c>
    </row>
    <row r="1718" spans="28:30" x14ac:dyDescent="0.25">
      <c r="AB1718" s="207" t="s">
        <v>249</v>
      </c>
      <c r="AC1718" s="207" t="s">
        <v>1898</v>
      </c>
      <c r="AD1718" s="213">
        <v>5</v>
      </c>
    </row>
    <row r="1719" spans="28:30" x14ac:dyDescent="0.25">
      <c r="AB1719" s="207" t="s">
        <v>249</v>
      </c>
      <c r="AC1719" s="207" t="s">
        <v>1899</v>
      </c>
      <c r="AD1719" s="213">
        <v>4</v>
      </c>
    </row>
    <row r="1720" spans="28:30" x14ac:dyDescent="0.25">
      <c r="AB1720" s="207" t="s">
        <v>217</v>
      </c>
      <c r="AC1720" s="207" t="s">
        <v>1900</v>
      </c>
      <c r="AD1720" s="213">
        <v>8</v>
      </c>
    </row>
    <row r="1721" spans="28:30" x14ac:dyDescent="0.25">
      <c r="AB1721" s="207" t="s">
        <v>249</v>
      </c>
      <c r="AC1721" s="207" t="s">
        <v>1901</v>
      </c>
      <c r="AD1721" s="213">
        <v>3</v>
      </c>
    </row>
    <row r="1722" spans="28:30" x14ac:dyDescent="0.25">
      <c r="AB1722" s="207" t="s">
        <v>1715</v>
      </c>
      <c r="AC1722" s="207" t="s">
        <v>1902</v>
      </c>
      <c r="AD1722" s="213">
        <v>6</v>
      </c>
    </row>
    <row r="1723" spans="28:30" x14ac:dyDescent="0.25">
      <c r="AB1723" s="207" t="s">
        <v>249</v>
      </c>
      <c r="AC1723" s="207" t="s">
        <v>1903</v>
      </c>
      <c r="AD1723" s="213">
        <v>2</v>
      </c>
    </row>
    <row r="1724" spans="28:30" x14ac:dyDescent="0.25">
      <c r="AB1724" s="207" t="s">
        <v>249</v>
      </c>
      <c r="AC1724" s="207" t="s">
        <v>1904</v>
      </c>
      <c r="AD1724" s="213">
        <v>6</v>
      </c>
    </row>
    <row r="1725" spans="28:30" x14ac:dyDescent="0.25">
      <c r="AB1725" s="207" t="s">
        <v>373</v>
      </c>
      <c r="AC1725" s="207" t="s">
        <v>1905</v>
      </c>
      <c r="AD1725" s="213">
        <v>8</v>
      </c>
    </row>
    <row r="1726" spans="28:30" x14ac:dyDescent="0.25">
      <c r="AB1726" s="207" t="s">
        <v>249</v>
      </c>
      <c r="AC1726" s="207" t="s">
        <v>1906</v>
      </c>
      <c r="AD1726" s="213">
        <v>4</v>
      </c>
    </row>
    <row r="1727" spans="28:30" x14ac:dyDescent="0.25">
      <c r="AB1727" s="207" t="s">
        <v>373</v>
      </c>
      <c r="AC1727" s="207" t="s">
        <v>1907</v>
      </c>
      <c r="AD1727" s="213">
        <v>5</v>
      </c>
    </row>
    <row r="1728" spans="28:30" x14ac:dyDescent="0.25">
      <c r="AB1728" s="207" t="s">
        <v>249</v>
      </c>
      <c r="AC1728" s="207" t="s">
        <v>1908</v>
      </c>
      <c r="AD1728" s="213">
        <v>4</v>
      </c>
    </row>
    <row r="1729" spans="28:30" x14ac:dyDescent="0.25">
      <c r="AB1729" s="207" t="s">
        <v>373</v>
      </c>
      <c r="AC1729" s="207" t="s">
        <v>1909</v>
      </c>
      <c r="AD1729" s="213">
        <v>8</v>
      </c>
    </row>
    <row r="1730" spans="28:30" x14ac:dyDescent="0.25">
      <c r="AB1730" s="207" t="s">
        <v>373</v>
      </c>
      <c r="AC1730" s="207" t="s">
        <v>1910</v>
      </c>
      <c r="AD1730" s="213">
        <v>8</v>
      </c>
    </row>
    <row r="1731" spans="28:30" x14ac:dyDescent="0.25">
      <c r="AB1731" s="207" t="s">
        <v>249</v>
      </c>
      <c r="AC1731" s="207" t="s">
        <v>1911</v>
      </c>
      <c r="AD1731" s="213">
        <v>3</v>
      </c>
    </row>
    <row r="1732" spans="28:30" x14ac:dyDescent="0.25">
      <c r="AB1732" s="207" t="s">
        <v>1738</v>
      </c>
      <c r="AC1732" s="207" t="s">
        <v>1912</v>
      </c>
      <c r="AD1732" s="213">
        <v>7</v>
      </c>
    </row>
    <row r="1733" spans="28:30" x14ac:dyDescent="0.25">
      <c r="AB1733" s="207" t="s">
        <v>249</v>
      </c>
      <c r="AC1733" s="207" t="s">
        <v>1913</v>
      </c>
      <c r="AD1733" s="213">
        <v>3</v>
      </c>
    </row>
    <row r="1734" spans="28:30" x14ac:dyDescent="0.25">
      <c r="AB1734" s="207" t="s">
        <v>1738</v>
      </c>
      <c r="AC1734" s="207" t="s">
        <v>1914</v>
      </c>
      <c r="AD1734" s="213">
        <v>8</v>
      </c>
    </row>
    <row r="1735" spans="28:30" x14ac:dyDescent="0.25">
      <c r="AB1735" s="207" t="s">
        <v>249</v>
      </c>
      <c r="AC1735" s="207" t="s">
        <v>1915</v>
      </c>
      <c r="AD1735" s="213">
        <v>3</v>
      </c>
    </row>
    <row r="1736" spans="28:30" x14ac:dyDescent="0.25">
      <c r="AB1736" s="207" t="s">
        <v>249</v>
      </c>
      <c r="AC1736" s="207" t="s">
        <v>1916</v>
      </c>
      <c r="AD1736" s="213">
        <v>3</v>
      </c>
    </row>
    <row r="1737" spans="28:30" x14ac:dyDescent="0.25">
      <c r="AB1737" s="207" t="s">
        <v>1738</v>
      </c>
      <c r="AC1737" s="207" t="s">
        <v>1917</v>
      </c>
      <c r="AD1737" s="213">
        <v>8</v>
      </c>
    </row>
    <row r="1738" spans="28:30" x14ac:dyDescent="0.25">
      <c r="AB1738" s="207" t="s">
        <v>1918</v>
      </c>
      <c r="AC1738" s="207" t="s">
        <v>1919</v>
      </c>
      <c r="AD1738" s="213">
        <v>7</v>
      </c>
    </row>
    <row r="1739" spans="28:30" x14ac:dyDescent="0.25">
      <c r="AB1739" s="207" t="s">
        <v>217</v>
      </c>
      <c r="AC1739" s="207" t="s">
        <v>1920</v>
      </c>
      <c r="AD1739" s="213">
        <v>8</v>
      </c>
    </row>
    <row r="1740" spans="28:30" x14ac:dyDescent="0.25">
      <c r="AB1740" s="207" t="s">
        <v>249</v>
      </c>
      <c r="AC1740" s="207" t="s">
        <v>1921</v>
      </c>
      <c r="AD1740" s="213">
        <v>6</v>
      </c>
    </row>
    <row r="1741" spans="28:30" x14ac:dyDescent="0.25">
      <c r="AB1741" s="207" t="s">
        <v>373</v>
      </c>
      <c r="AC1741" s="207" t="s">
        <v>1922</v>
      </c>
      <c r="AD1741" s="213">
        <v>5</v>
      </c>
    </row>
    <row r="1742" spans="28:30" x14ac:dyDescent="0.25">
      <c r="AB1742" s="207" t="s">
        <v>1738</v>
      </c>
      <c r="AC1742" s="207" t="s">
        <v>1923</v>
      </c>
      <c r="AD1742" s="213">
        <v>8</v>
      </c>
    </row>
    <row r="1743" spans="28:30" x14ac:dyDescent="0.25">
      <c r="AB1743" s="207" t="s">
        <v>373</v>
      </c>
      <c r="AC1743" s="207" t="s">
        <v>1924</v>
      </c>
      <c r="AD1743" s="213">
        <v>8</v>
      </c>
    </row>
    <row r="1744" spans="28:30" x14ac:dyDescent="0.25">
      <c r="AB1744" s="207" t="s">
        <v>1738</v>
      </c>
      <c r="AC1744" s="207" t="s">
        <v>1925</v>
      </c>
      <c r="AD1744" s="213">
        <v>8</v>
      </c>
    </row>
    <row r="1745" spans="28:30" x14ac:dyDescent="0.25">
      <c r="AB1745" s="207" t="s">
        <v>249</v>
      </c>
      <c r="AC1745" s="207" t="s">
        <v>1926</v>
      </c>
      <c r="AD1745" s="213">
        <v>6</v>
      </c>
    </row>
    <row r="1746" spans="28:30" x14ac:dyDescent="0.25">
      <c r="AB1746" s="207" t="s">
        <v>249</v>
      </c>
      <c r="AC1746" s="207" t="s">
        <v>1927</v>
      </c>
      <c r="AD1746" s="213">
        <v>3</v>
      </c>
    </row>
    <row r="1747" spans="28:30" x14ac:dyDescent="0.25">
      <c r="AB1747" s="207" t="s">
        <v>1738</v>
      </c>
      <c r="AC1747" s="207" t="s">
        <v>1928</v>
      </c>
      <c r="AD1747" s="213">
        <v>7</v>
      </c>
    </row>
    <row r="1748" spans="28:30" x14ac:dyDescent="0.25">
      <c r="AB1748" s="207" t="s">
        <v>249</v>
      </c>
      <c r="AC1748" s="207" t="s">
        <v>1929</v>
      </c>
      <c r="AD1748" s="213">
        <v>3</v>
      </c>
    </row>
    <row r="1749" spans="28:30" x14ac:dyDescent="0.25">
      <c r="AB1749" s="207" t="s">
        <v>1738</v>
      </c>
      <c r="AC1749" s="207" t="s">
        <v>1930</v>
      </c>
      <c r="AD1749" s="213">
        <v>8</v>
      </c>
    </row>
    <row r="1750" spans="28:30" x14ac:dyDescent="0.25">
      <c r="AB1750" s="207" t="s">
        <v>249</v>
      </c>
      <c r="AC1750" s="207" t="s">
        <v>1931</v>
      </c>
      <c r="AD1750" s="213">
        <v>3</v>
      </c>
    </row>
    <row r="1751" spans="28:30" x14ac:dyDescent="0.25">
      <c r="AB1751" s="207" t="s">
        <v>373</v>
      </c>
      <c r="AC1751" s="207" t="s">
        <v>1932</v>
      </c>
      <c r="AD1751" s="213">
        <v>8</v>
      </c>
    </row>
    <row r="1752" spans="28:30" x14ac:dyDescent="0.25">
      <c r="AB1752" s="207" t="s">
        <v>373</v>
      </c>
      <c r="AC1752" s="207" t="s">
        <v>1933</v>
      </c>
      <c r="AD1752" s="213">
        <v>8</v>
      </c>
    </row>
    <row r="1753" spans="28:30" x14ac:dyDescent="0.25">
      <c r="AB1753" s="207" t="s">
        <v>1738</v>
      </c>
      <c r="AC1753" s="207" t="s">
        <v>1934</v>
      </c>
      <c r="AD1753" s="213">
        <v>7</v>
      </c>
    </row>
    <row r="1754" spans="28:30" x14ac:dyDescent="0.25">
      <c r="AB1754" s="207" t="s">
        <v>249</v>
      </c>
      <c r="AC1754" s="207" t="s">
        <v>5865</v>
      </c>
      <c r="AD1754" s="213">
        <v>3</v>
      </c>
    </row>
    <row r="1755" spans="28:30" x14ac:dyDescent="0.25">
      <c r="AB1755" s="207" t="s">
        <v>1738</v>
      </c>
      <c r="AC1755" s="207" t="s">
        <v>1935</v>
      </c>
      <c r="AD1755" s="213">
        <v>8</v>
      </c>
    </row>
    <row r="1756" spans="28:30" x14ac:dyDescent="0.25">
      <c r="AB1756" s="207" t="s">
        <v>373</v>
      </c>
      <c r="AC1756" s="207" t="s">
        <v>1936</v>
      </c>
      <c r="AD1756" s="213">
        <v>8</v>
      </c>
    </row>
    <row r="1757" spans="28:30" x14ac:dyDescent="0.25">
      <c r="AB1757" s="207" t="s">
        <v>1918</v>
      </c>
      <c r="AC1757" s="207" t="s">
        <v>1937</v>
      </c>
      <c r="AD1757" s="213">
        <v>7</v>
      </c>
    </row>
    <row r="1758" spans="28:30" x14ac:dyDescent="0.25">
      <c r="AB1758" s="207" t="s">
        <v>373</v>
      </c>
      <c r="AC1758" s="207" t="s">
        <v>1938</v>
      </c>
      <c r="AD1758" s="213">
        <v>8</v>
      </c>
    </row>
    <row r="1759" spans="28:30" x14ac:dyDescent="0.25">
      <c r="AB1759" s="207" t="s">
        <v>1738</v>
      </c>
      <c r="AC1759" s="207" t="s">
        <v>1939</v>
      </c>
      <c r="AD1759" s="213">
        <v>8</v>
      </c>
    </row>
    <row r="1760" spans="28:30" x14ac:dyDescent="0.25">
      <c r="AB1760" s="207" t="s">
        <v>1738</v>
      </c>
      <c r="AC1760" s="207" t="s">
        <v>1940</v>
      </c>
      <c r="AD1760" s="213">
        <v>8</v>
      </c>
    </row>
    <row r="1761" spans="28:30" x14ac:dyDescent="0.25">
      <c r="AB1761" s="207" t="s">
        <v>1738</v>
      </c>
      <c r="AC1761" s="207" t="s">
        <v>1941</v>
      </c>
      <c r="AD1761" s="213">
        <v>8</v>
      </c>
    </row>
    <row r="1762" spans="28:30" x14ac:dyDescent="0.25">
      <c r="AB1762" s="207" t="s">
        <v>1738</v>
      </c>
      <c r="AC1762" s="207" t="s">
        <v>1942</v>
      </c>
      <c r="AD1762" s="213">
        <v>8</v>
      </c>
    </row>
    <row r="1763" spans="28:30" x14ac:dyDescent="0.25">
      <c r="AB1763" s="207" t="s">
        <v>373</v>
      </c>
      <c r="AC1763" s="207" t="s">
        <v>1421</v>
      </c>
      <c r="AD1763" s="213">
        <v>8</v>
      </c>
    </row>
    <row r="1764" spans="28:30" x14ac:dyDescent="0.25">
      <c r="AB1764" s="207" t="s">
        <v>249</v>
      </c>
      <c r="AC1764" s="207" t="s">
        <v>1943</v>
      </c>
      <c r="AD1764" s="213">
        <v>2</v>
      </c>
    </row>
    <row r="1765" spans="28:30" x14ac:dyDescent="0.25">
      <c r="AB1765" s="207" t="s">
        <v>249</v>
      </c>
      <c r="AC1765" s="207" t="s">
        <v>1944</v>
      </c>
      <c r="AD1765" s="213">
        <v>4</v>
      </c>
    </row>
    <row r="1766" spans="28:30" x14ac:dyDescent="0.25">
      <c r="AB1766" s="207" t="s">
        <v>249</v>
      </c>
      <c r="AC1766" s="207" t="s">
        <v>1664</v>
      </c>
      <c r="AD1766" s="213">
        <v>3</v>
      </c>
    </row>
    <row r="1767" spans="28:30" x14ac:dyDescent="0.25">
      <c r="AB1767" s="207" t="s">
        <v>1715</v>
      </c>
      <c r="AC1767" s="207" t="s">
        <v>1945</v>
      </c>
      <c r="AD1767" s="213">
        <v>6</v>
      </c>
    </row>
    <row r="1768" spans="28:30" x14ac:dyDescent="0.25">
      <c r="AB1768" s="207" t="s">
        <v>214</v>
      </c>
      <c r="AC1768" s="207" t="s">
        <v>1946</v>
      </c>
      <c r="AD1768" s="213">
        <v>2</v>
      </c>
    </row>
    <row r="1769" spans="28:30" x14ac:dyDescent="0.25">
      <c r="AB1769" s="207" t="s">
        <v>373</v>
      </c>
      <c r="AC1769" s="207" t="s">
        <v>1947</v>
      </c>
      <c r="AD1769" s="213">
        <v>8</v>
      </c>
    </row>
    <row r="1770" spans="28:30" x14ac:dyDescent="0.25">
      <c r="AB1770" s="207" t="s">
        <v>373</v>
      </c>
      <c r="AC1770" s="207" t="s">
        <v>1948</v>
      </c>
      <c r="AD1770" s="213">
        <v>5</v>
      </c>
    </row>
    <row r="1771" spans="28:30" x14ac:dyDescent="0.25">
      <c r="AB1771" s="207" t="s">
        <v>249</v>
      </c>
      <c r="AC1771" s="207" t="s">
        <v>1949</v>
      </c>
      <c r="AD1771" s="213">
        <v>3</v>
      </c>
    </row>
    <row r="1772" spans="28:30" x14ac:dyDescent="0.25">
      <c r="AB1772" s="207" t="s">
        <v>249</v>
      </c>
      <c r="AC1772" s="207" t="s">
        <v>1950</v>
      </c>
      <c r="AD1772" s="213">
        <v>3</v>
      </c>
    </row>
    <row r="1773" spans="28:30" x14ac:dyDescent="0.25">
      <c r="AB1773" s="207" t="s">
        <v>1951</v>
      </c>
      <c r="AC1773" s="207" t="s">
        <v>1952</v>
      </c>
      <c r="AD1773" s="213">
        <v>7</v>
      </c>
    </row>
    <row r="1774" spans="28:30" x14ac:dyDescent="0.25">
      <c r="AB1774" s="207" t="s">
        <v>1953</v>
      </c>
      <c r="AC1774" s="207" t="s">
        <v>1954</v>
      </c>
      <c r="AD1774" s="213">
        <v>6</v>
      </c>
    </row>
    <row r="1775" spans="28:30" x14ac:dyDescent="0.25">
      <c r="AB1775" s="207" t="s">
        <v>1738</v>
      </c>
      <c r="AC1775" s="207" t="s">
        <v>1955</v>
      </c>
      <c r="AD1775" s="213">
        <v>8</v>
      </c>
    </row>
    <row r="1776" spans="28:30" x14ac:dyDescent="0.25">
      <c r="AB1776" s="207" t="s">
        <v>373</v>
      </c>
      <c r="AC1776" s="207" t="s">
        <v>1956</v>
      </c>
      <c r="AD1776" s="213">
        <v>8</v>
      </c>
    </row>
    <row r="1777" spans="28:30" x14ac:dyDescent="0.25">
      <c r="AB1777" s="207" t="s">
        <v>373</v>
      </c>
      <c r="AC1777" s="207" t="s">
        <v>1957</v>
      </c>
      <c r="AD1777" s="213">
        <v>8</v>
      </c>
    </row>
    <row r="1778" spans="28:30" x14ac:dyDescent="0.25">
      <c r="AB1778" s="207" t="s">
        <v>249</v>
      </c>
      <c r="AC1778" s="207" t="s">
        <v>1958</v>
      </c>
      <c r="AD1778" s="213">
        <v>4</v>
      </c>
    </row>
    <row r="1779" spans="28:30" x14ac:dyDescent="0.25">
      <c r="AB1779" s="207" t="s">
        <v>373</v>
      </c>
      <c r="AC1779" s="207" t="s">
        <v>1959</v>
      </c>
      <c r="AD1779" s="213">
        <v>5</v>
      </c>
    </row>
    <row r="1780" spans="28:30" x14ac:dyDescent="0.25">
      <c r="AB1780" s="207" t="s">
        <v>1715</v>
      </c>
      <c r="AC1780" s="207" t="s">
        <v>1960</v>
      </c>
      <c r="AD1780" s="213">
        <v>6</v>
      </c>
    </row>
    <row r="1781" spans="28:30" x14ac:dyDescent="0.25">
      <c r="AB1781" s="207" t="s">
        <v>373</v>
      </c>
      <c r="AC1781" s="207" t="s">
        <v>1961</v>
      </c>
      <c r="AD1781" s="213">
        <v>5</v>
      </c>
    </row>
    <row r="1782" spans="28:30" x14ac:dyDescent="0.25">
      <c r="AB1782" s="207" t="s">
        <v>1738</v>
      </c>
      <c r="AC1782" s="207" t="s">
        <v>1962</v>
      </c>
      <c r="AD1782" s="213">
        <v>8</v>
      </c>
    </row>
    <row r="1783" spans="28:30" x14ac:dyDescent="0.25">
      <c r="AB1783" s="207" t="s">
        <v>373</v>
      </c>
      <c r="AC1783" s="207" t="s">
        <v>1963</v>
      </c>
      <c r="AD1783" s="213">
        <v>5</v>
      </c>
    </row>
    <row r="1784" spans="28:30" x14ac:dyDescent="0.25">
      <c r="AB1784" s="207" t="s">
        <v>249</v>
      </c>
      <c r="AC1784" s="207" t="s">
        <v>1964</v>
      </c>
      <c r="AD1784" s="213">
        <v>5</v>
      </c>
    </row>
    <row r="1785" spans="28:30" x14ac:dyDescent="0.25">
      <c r="AB1785" s="207" t="s">
        <v>1738</v>
      </c>
      <c r="AC1785" s="207" t="s">
        <v>1965</v>
      </c>
      <c r="AD1785" s="213">
        <v>6</v>
      </c>
    </row>
    <row r="1786" spans="28:30" x14ac:dyDescent="0.25">
      <c r="AB1786" s="207" t="s">
        <v>1738</v>
      </c>
      <c r="AC1786" s="207" t="s">
        <v>1966</v>
      </c>
      <c r="AD1786" s="213">
        <v>8</v>
      </c>
    </row>
    <row r="1787" spans="28:30" x14ac:dyDescent="0.25">
      <c r="AB1787" s="207" t="s">
        <v>1642</v>
      </c>
      <c r="AC1787" s="207" t="s">
        <v>1967</v>
      </c>
      <c r="AD1787" s="213">
        <v>8</v>
      </c>
    </row>
    <row r="1788" spans="28:30" x14ac:dyDescent="0.25">
      <c r="AB1788" s="207" t="s">
        <v>1738</v>
      </c>
      <c r="AC1788" s="207" t="s">
        <v>28</v>
      </c>
      <c r="AD1788" s="213">
        <v>8</v>
      </c>
    </row>
    <row r="1789" spans="28:30" x14ac:dyDescent="0.25">
      <c r="AB1789" s="207" t="s">
        <v>373</v>
      </c>
      <c r="AC1789" s="207" t="s">
        <v>1968</v>
      </c>
      <c r="AD1789" s="213">
        <v>8</v>
      </c>
    </row>
    <row r="1790" spans="28:30" x14ac:dyDescent="0.25">
      <c r="AB1790" s="207" t="s">
        <v>373</v>
      </c>
      <c r="AC1790" s="207" t="s">
        <v>1969</v>
      </c>
      <c r="AD1790" s="213">
        <v>8</v>
      </c>
    </row>
    <row r="1791" spans="28:30" x14ac:dyDescent="0.25">
      <c r="AB1791" s="207" t="s">
        <v>373</v>
      </c>
      <c r="AC1791" s="207" t="s">
        <v>1970</v>
      </c>
      <c r="AD1791" s="213">
        <v>8</v>
      </c>
    </row>
    <row r="1792" spans="28:30" x14ac:dyDescent="0.25">
      <c r="AB1792" s="207" t="s">
        <v>249</v>
      </c>
      <c r="AC1792" s="207" t="s">
        <v>1971</v>
      </c>
      <c r="AD1792" s="213">
        <v>2</v>
      </c>
    </row>
    <row r="1793" spans="28:30" x14ac:dyDescent="0.25">
      <c r="AB1793" s="207" t="s">
        <v>373</v>
      </c>
      <c r="AC1793" s="207" t="s">
        <v>1972</v>
      </c>
      <c r="AD1793" s="213">
        <v>8</v>
      </c>
    </row>
    <row r="1794" spans="28:30" x14ac:dyDescent="0.25">
      <c r="AB1794" s="207" t="s">
        <v>373</v>
      </c>
      <c r="AC1794" s="207" t="s">
        <v>1973</v>
      </c>
      <c r="AD1794" s="213">
        <v>8</v>
      </c>
    </row>
    <row r="1795" spans="28:30" x14ac:dyDescent="0.25">
      <c r="AB1795" s="207" t="s">
        <v>1738</v>
      </c>
      <c r="AC1795" s="207" t="s">
        <v>1974</v>
      </c>
      <c r="AD1795" s="213">
        <v>7</v>
      </c>
    </row>
    <row r="1796" spans="28:30" x14ac:dyDescent="0.25">
      <c r="AB1796" s="207" t="s">
        <v>1951</v>
      </c>
      <c r="AC1796" s="207" t="s">
        <v>1975</v>
      </c>
      <c r="AD1796" s="213">
        <v>7</v>
      </c>
    </row>
    <row r="1797" spans="28:30" x14ac:dyDescent="0.25">
      <c r="AB1797" s="207" t="s">
        <v>373</v>
      </c>
      <c r="AC1797" s="207" t="s">
        <v>1976</v>
      </c>
      <c r="AD1797" s="213">
        <v>8</v>
      </c>
    </row>
    <row r="1798" spans="28:30" x14ac:dyDescent="0.25">
      <c r="AB1798" s="207" t="s">
        <v>373</v>
      </c>
      <c r="AC1798" s="207" t="s">
        <v>1977</v>
      </c>
      <c r="AD1798" s="213">
        <v>8</v>
      </c>
    </row>
    <row r="1799" spans="28:30" x14ac:dyDescent="0.25">
      <c r="AB1799" s="207" t="s">
        <v>249</v>
      </c>
      <c r="AC1799" s="207" t="s">
        <v>1978</v>
      </c>
      <c r="AD1799" s="213">
        <v>3</v>
      </c>
    </row>
    <row r="1800" spans="28:30" x14ac:dyDescent="0.25">
      <c r="AB1800" s="207" t="s">
        <v>1738</v>
      </c>
      <c r="AC1800" s="207" t="s">
        <v>1979</v>
      </c>
      <c r="AD1800" s="213">
        <v>8</v>
      </c>
    </row>
    <row r="1801" spans="28:30" x14ac:dyDescent="0.25">
      <c r="AB1801" s="207" t="s">
        <v>1738</v>
      </c>
      <c r="AC1801" s="207" t="s">
        <v>1980</v>
      </c>
      <c r="AD1801" s="213">
        <v>6</v>
      </c>
    </row>
    <row r="1802" spans="28:30" x14ac:dyDescent="0.25">
      <c r="AB1802" s="207" t="s">
        <v>1738</v>
      </c>
      <c r="AC1802" s="207" t="s">
        <v>1140</v>
      </c>
      <c r="AD1802" s="213">
        <v>8</v>
      </c>
    </row>
    <row r="1803" spans="28:30" x14ac:dyDescent="0.25">
      <c r="AB1803" s="207" t="s">
        <v>1738</v>
      </c>
      <c r="AC1803" s="207" t="s">
        <v>1981</v>
      </c>
      <c r="AD1803" s="213">
        <v>8</v>
      </c>
    </row>
    <row r="1804" spans="28:30" x14ac:dyDescent="0.25">
      <c r="AB1804" s="207" t="s">
        <v>373</v>
      </c>
      <c r="AC1804" s="207" t="s">
        <v>1982</v>
      </c>
      <c r="AD1804" s="213">
        <v>7</v>
      </c>
    </row>
    <row r="1805" spans="28:30" x14ac:dyDescent="0.25">
      <c r="AB1805" s="207" t="s">
        <v>373</v>
      </c>
      <c r="AC1805" s="207" t="s">
        <v>1983</v>
      </c>
      <c r="AD1805" s="213">
        <v>8</v>
      </c>
    </row>
    <row r="1806" spans="28:30" x14ac:dyDescent="0.25">
      <c r="AB1806" s="207" t="s">
        <v>373</v>
      </c>
      <c r="AC1806" s="207" t="s">
        <v>1984</v>
      </c>
      <c r="AD1806" s="213">
        <v>8</v>
      </c>
    </row>
    <row r="1807" spans="28:30" x14ac:dyDescent="0.25">
      <c r="AB1807" s="207" t="s">
        <v>1738</v>
      </c>
      <c r="AC1807" s="207" t="s">
        <v>1985</v>
      </c>
      <c r="AD1807" s="213">
        <v>8</v>
      </c>
    </row>
    <row r="1808" spans="28:30" x14ac:dyDescent="0.25">
      <c r="AB1808" s="207" t="s">
        <v>24</v>
      </c>
      <c r="AC1808" s="207" t="s">
        <v>23</v>
      </c>
      <c r="AD1808" s="213">
        <v>4</v>
      </c>
    </row>
    <row r="1809" spans="28:30" x14ac:dyDescent="0.25">
      <c r="AB1809" s="207" t="s">
        <v>373</v>
      </c>
      <c r="AC1809" s="207" t="s">
        <v>1986</v>
      </c>
      <c r="AD1809" s="213">
        <v>8</v>
      </c>
    </row>
    <row r="1810" spans="28:30" x14ac:dyDescent="0.25">
      <c r="AB1810" s="207" t="s">
        <v>1738</v>
      </c>
      <c r="AC1810" s="207" t="s">
        <v>1987</v>
      </c>
      <c r="AD1810" s="213">
        <v>8</v>
      </c>
    </row>
    <row r="1811" spans="28:30" x14ac:dyDescent="0.25">
      <c r="AB1811" s="207" t="s">
        <v>373</v>
      </c>
      <c r="AC1811" s="207" t="s">
        <v>1988</v>
      </c>
      <c r="AD1811" s="213">
        <v>8</v>
      </c>
    </row>
    <row r="1812" spans="28:30" x14ac:dyDescent="0.25">
      <c r="AB1812" s="207" t="s">
        <v>1738</v>
      </c>
      <c r="AC1812" s="207" t="s">
        <v>1989</v>
      </c>
      <c r="AD1812" s="213">
        <v>8</v>
      </c>
    </row>
    <row r="1813" spans="28:30" x14ac:dyDescent="0.25">
      <c r="AB1813" s="207" t="s">
        <v>249</v>
      </c>
      <c r="AC1813" s="207" t="s">
        <v>1990</v>
      </c>
      <c r="AD1813" s="213">
        <v>3</v>
      </c>
    </row>
    <row r="1814" spans="28:30" x14ac:dyDescent="0.25">
      <c r="AB1814" s="207" t="s">
        <v>249</v>
      </c>
      <c r="AC1814" s="207" t="s">
        <v>1991</v>
      </c>
      <c r="AD1814" s="213">
        <v>2</v>
      </c>
    </row>
    <row r="1815" spans="28:30" x14ac:dyDescent="0.25">
      <c r="AB1815" s="207" t="s">
        <v>249</v>
      </c>
      <c r="AC1815" s="207" t="s">
        <v>1992</v>
      </c>
      <c r="AD1815" s="213">
        <v>3</v>
      </c>
    </row>
    <row r="1816" spans="28:30" x14ac:dyDescent="0.25">
      <c r="AB1816" s="207" t="s">
        <v>1738</v>
      </c>
      <c r="AC1816" s="207" t="s">
        <v>1993</v>
      </c>
      <c r="AD1816" s="213">
        <v>8</v>
      </c>
    </row>
    <row r="1817" spans="28:30" x14ac:dyDescent="0.25">
      <c r="AB1817" s="207" t="s">
        <v>373</v>
      </c>
      <c r="AC1817" s="207" t="s">
        <v>1994</v>
      </c>
      <c r="AD1817" s="213">
        <v>8</v>
      </c>
    </row>
    <row r="1818" spans="28:30" x14ac:dyDescent="0.25">
      <c r="AB1818" s="207" t="s">
        <v>1738</v>
      </c>
      <c r="AC1818" s="207" t="s">
        <v>1995</v>
      </c>
      <c r="AD1818" s="213">
        <v>8</v>
      </c>
    </row>
    <row r="1819" spans="28:30" x14ac:dyDescent="0.25">
      <c r="AB1819" s="207" t="s">
        <v>249</v>
      </c>
      <c r="AC1819" s="207" t="s">
        <v>1996</v>
      </c>
      <c r="AD1819" s="213">
        <v>2</v>
      </c>
    </row>
    <row r="1820" spans="28:30" x14ac:dyDescent="0.25">
      <c r="AB1820" s="207" t="s">
        <v>249</v>
      </c>
      <c r="AC1820" s="207" t="s">
        <v>1997</v>
      </c>
      <c r="AD1820" s="213">
        <v>3</v>
      </c>
    </row>
    <row r="1821" spans="28:30" x14ac:dyDescent="0.25">
      <c r="AB1821" s="207" t="s">
        <v>1691</v>
      </c>
      <c r="AC1821" s="207" t="s">
        <v>1998</v>
      </c>
      <c r="AD1821" s="213">
        <v>5</v>
      </c>
    </row>
    <row r="1822" spans="28:30" x14ac:dyDescent="0.25">
      <c r="AB1822" s="207" t="s">
        <v>217</v>
      </c>
      <c r="AC1822" s="207" t="s">
        <v>1999</v>
      </c>
      <c r="AD1822" s="213">
        <v>8</v>
      </c>
    </row>
    <row r="1823" spans="28:30" x14ac:dyDescent="0.25">
      <c r="AB1823" s="207" t="s">
        <v>373</v>
      </c>
      <c r="AC1823" s="207" t="s">
        <v>2000</v>
      </c>
      <c r="AD1823" s="213">
        <v>8</v>
      </c>
    </row>
    <row r="1824" spans="28:30" x14ac:dyDescent="0.25">
      <c r="AB1824" s="207" t="s">
        <v>249</v>
      </c>
      <c r="AC1824" s="207" t="s">
        <v>2001</v>
      </c>
      <c r="AD1824" s="213">
        <v>3</v>
      </c>
    </row>
    <row r="1825" spans="28:30" x14ac:dyDescent="0.25">
      <c r="AB1825" s="207" t="s">
        <v>1738</v>
      </c>
      <c r="AC1825" s="207" t="s">
        <v>236</v>
      </c>
      <c r="AD1825" s="213">
        <v>8</v>
      </c>
    </row>
    <row r="1826" spans="28:30" x14ac:dyDescent="0.25">
      <c r="AB1826" s="207" t="s">
        <v>1738</v>
      </c>
      <c r="AC1826" s="207" t="s">
        <v>2002</v>
      </c>
      <c r="AD1826" s="213">
        <v>8</v>
      </c>
    </row>
    <row r="1827" spans="28:30" x14ac:dyDescent="0.25">
      <c r="AB1827" s="207" t="s">
        <v>1738</v>
      </c>
      <c r="AC1827" s="207" t="s">
        <v>2003</v>
      </c>
      <c r="AD1827" s="213">
        <v>8</v>
      </c>
    </row>
    <row r="1828" spans="28:30" x14ac:dyDescent="0.25">
      <c r="AB1828" s="207" t="s">
        <v>249</v>
      </c>
      <c r="AC1828" s="207" t="s">
        <v>2004</v>
      </c>
      <c r="AD1828" s="213">
        <v>6</v>
      </c>
    </row>
    <row r="1829" spans="28:30" x14ac:dyDescent="0.25">
      <c r="AB1829" s="207" t="s">
        <v>217</v>
      </c>
      <c r="AC1829" s="207" t="s">
        <v>2005</v>
      </c>
      <c r="AD1829" s="213">
        <v>8</v>
      </c>
    </row>
    <row r="1830" spans="28:30" x14ac:dyDescent="0.25">
      <c r="AB1830" s="207" t="s">
        <v>1738</v>
      </c>
      <c r="AC1830" s="207" t="s">
        <v>2006</v>
      </c>
      <c r="AD1830" s="213">
        <v>8</v>
      </c>
    </row>
    <row r="1831" spans="28:30" x14ac:dyDescent="0.25">
      <c r="AB1831" s="207" t="s">
        <v>217</v>
      </c>
      <c r="AC1831" s="207" t="s">
        <v>2007</v>
      </c>
      <c r="AD1831" s="213">
        <v>8</v>
      </c>
    </row>
    <row r="1832" spans="28:30" x14ac:dyDescent="0.25">
      <c r="AB1832" s="207" t="s">
        <v>233</v>
      </c>
      <c r="AC1832" s="207" t="s">
        <v>2008</v>
      </c>
      <c r="AD1832" s="213">
        <v>4</v>
      </c>
    </row>
    <row r="1833" spans="28:30" x14ac:dyDescent="0.25">
      <c r="AB1833" s="207" t="s">
        <v>373</v>
      </c>
      <c r="AC1833" s="207" t="s">
        <v>2009</v>
      </c>
      <c r="AD1833" s="213">
        <v>5</v>
      </c>
    </row>
    <row r="1834" spans="28:30" x14ac:dyDescent="0.25">
      <c r="AB1834" s="207" t="s">
        <v>373</v>
      </c>
      <c r="AC1834" s="207" t="s">
        <v>2010</v>
      </c>
      <c r="AD1834" s="213">
        <v>5</v>
      </c>
    </row>
    <row r="1835" spans="28:30" x14ac:dyDescent="0.25">
      <c r="AB1835" s="207" t="s">
        <v>1738</v>
      </c>
      <c r="AC1835" s="207" t="s">
        <v>2011</v>
      </c>
      <c r="AD1835" s="213">
        <v>8</v>
      </c>
    </row>
    <row r="1836" spans="28:30" x14ac:dyDescent="0.25">
      <c r="AB1836" s="207" t="s">
        <v>1918</v>
      </c>
      <c r="AC1836" s="207" t="s">
        <v>2012</v>
      </c>
      <c r="AD1836" s="213">
        <v>7</v>
      </c>
    </row>
    <row r="1837" spans="28:30" x14ac:dyDescent="0.25">
      <c r="AB1837" s="207" t="s">
        <v>373</v>
      </c>
      <c r="AC1837" s="207" t="s">
        <v>2013</v>
      </c>
      <c r="AD1837" s="213">
        <v>8</v>
      </c>
    </row>
    <row r="1838" spans="28:30" x14ac:dyDescent="0.25">
      <c r="AB1838" s="207" t="s">
        <v>1738</v>
      </c>
      <c r="AC1838" s="207" t="s">
        <v>2014</v>
      </c>
      <c r="AD1838" s="213">
        <v>8</v>
      </c>
    </row>
    <row r="1839" spans="28:30" x14ac:dyDescent="0.25">
      <c r="AB1839" s="207" t="s">
        <v>249</v>
      </c>
      <c r="AC1839" s="207" t="s">
        <v>2015</v>
      </c>
      <c r="AD1839" s="213">
        <v>2</v>
      </c>
    </row>
    <row r="1840" spans="28:30" x14ac:dyDescent="0.25">
      <c r="AB1840" s="207" t="s">
        <v>1738</v>
      </c>
      <c r="AC1840" s="207" t="s">
        <v>2016</v>
      </c>
      <c r="AD1840" s="213">
        <v>8</v>
      </c>
    </row>
    <row r="1841" spans="28:30" x14ac:dyDescent="0.25">
      <c r="AB1841" s="207" t="s">
        <v>1642</v>
      </c>
      <c r="AC1841" s="207" t="s">
        <v>2017</v>
      </c>
      <c r="AD1841" s="213">
        <v>8</v>
      </c>
    </row>
    <row r="1842" spans="28:30" x14ac:dyDescent="0.25">
      <c r="AB1842" s="207" t="s">
        <v>1642</v>
      </c>
      <c r="AC1842" s="207" t="s">
        <v>2018</v>
      </c>
      <c r="AD1842" s="213">
        <v>8</v>
      </c>
    </row>
    <row r="1843" spans="28:30" x14ac:dyDescent="0.25">
      <c r="AB1843" s="207" t="s">
        <v>1738</v>
      </c>
      <c r="AC1843" s="207" t="s">
        <v>2019</v>
      </c>
      <c r="AD1843" s="213">
        <v>6</v>
      </c>
    </row>
    <row r="1844" spans="28:30" x14ac:dyDescent="0.25">
      <c r="AB1844" s="207" t="s">
        <v>249</v>
      </c>
      <c r="AC1844" s="207" t="s">
        <v>2020</v>
      </c>
      <c r="AD1844" s="213">
        <v>3</v>
      </c>
    </row>
    <row r="1845" spans="28:30" x14ac:dyDescent="0.25">
      <c r="AB1845" s="207" t="s">
        <v>1738</v>
      </c>
      <c r="AC1845" s="207" t="s">
        <v>2021</v>
      </c>
      <c r="AD1845" s="213">
        <v>8</v>
      </c>
    </row>
    <row r="1846" spans="28:30" x14ac:dyDescent="0.25">
      <c r="AB1846" s="207" t="s">
        <v>1738</v>
      </c>
      <c r="AC1846" s="207" t="s">
        <v>2022</v>
      </c>
      <c r="AD1846" s="213">
        <v>8</v>
      </c>
    </row>
    <row r="1847" spans="28:30" x14ac:dyDescent="0.25">
      <c r="AB1847" s="207" t="s">
        <v>1738</v>
      </c>
      <c r="AC1847" s="207" t="s">
        <v>2023</v>
      </c>
      <c r="AD1847" s="213">
        <v>8</v>
      </c>
    </row>
    <row r="1848" spans="28:30" x14ac:dyDescent="0.25">
      <c r="AB1848" s="207" t="s">
        <v>1738</v>
      </c>
      <c r="AC1848" s="207" t="s">
        <v>2024</v>
      </c>
      <c r="AD1848" s="213">
        <v>8</v>
      </c>
    </row>
    <row r="1849" spans="28:30" x14ac:dyDescent="0.25">
      <c r="AB1849" s="207" t="s">
        <v>1691</v>
      </c>
      <c r="AC1849" s="207" t="s">
        <v>2025</v>
      </c>
      <c r="AD1849" s="213">
        <v>8</v>
      </c>
    </row>
    <row r="1850" spans="28:30" x14ac:dyDescent="0.25">
      <c r="AB1850" s="207" t="s">
        <v>373</v>
      </c>
      <c r="AC1850" s="207" t="s">
        <v>2026</v>
      </c>
      <c r="AD1850" s="213">
        <v>8</v>
      </c>
    </row>
    <row r="1851" spans="28:30" x14ac:dyDescent="0.25">
      <c r="AB1851" s="207" t="s">
        <v>1642</v>
      </c>
      <c r="AC1851" s="207" t="s">
        <v>2027</v>
      </c>
      <c r="AD1851" s="213">
        <v>7</v>
      </c>
    </row>
    <row r="1852" spans="28:30" x14ac:dyDescent="0.25">
      <c r="AB1852" s="207" t="s">
        <v>214</v>
      </c>
      <c r="AC1852" s="207" t="s">
        <v>2028</v>
      </c>
      <c r="AD1852" s="213">
        <v>3</v>
      </c>
    </row>
    <row r="1853" spans="28:30" x14ac:dyDescent="0.25">
      <c r="AB1853" s="207" t="s">
        <v>373</v>
      </c>
      <c r="AC1853" s="207" t="s">
        <v>2029</v>
      </c>
      <c r="AD1853" s="213">
        <v>5</v>
      </c>
    </row>
    <row r="1854" spans="28:30" x14ac:dyDescent="0.25">
      <c r="AB1854" s="207" t="s">
        <v>373</v>
      </c>
      <c r="AC1854" s="207" t="s">
        <v>2030</v>
      </c>
      <c r="AD1854" s="213">
        <v>8</v>
      </c>
    </row>
    <row r="1855" spans="28:30" x14ac:dyDescent="0.25">
      <c r="AB1855" s="207" t="s">
        <v>1738</v>
      </c>
      <c r="AC1855" s="207" t="s">
        <v>2031</v>
      </c>
      <c r="AD1855" s="213">
        <v>8</v>
      </c>
    </row>
    <row r="1856" spans="28:30" x14ac:dyDescent="0.25">
      <c r="AB1856" s="207" t="s">
        <v>1738</v>
      </c>
      <c r="AC1856" s="207" t="s">
        <v>2032</v>
      </c>
      <c r="AD1856" s="213">
        <v>8</v>
      </c>
    </row>
    <row r="1857" spans="28:30" x14ac:dyDescent="0.25">
      <c r="AB1857" s="207" t="s">
        <v>373</v>
      </c>
      <c r="AC1857" s="207" t="s">
        <v>2033</v>
      </c>
      <c r="AD1857" s="213">
        <v>8</v>
      </c>
    </row>
    <row r="1858" spans="28:30" x14ac:dyDescent="0.25">
      <c r="AB1858" s="207" t="s">
        <v>1738</v>
      </c>
      <c r="AC1858" s="207" t="s">
        <v>2034</v>
      </c>
      <c r="AD1858" s="213">
        <v>8</v>
      </c>
    </row>
    <row r="1859" spans="28:30" x14ac:dyDescent="0.25">
      <c r="AB1859" s="207" t="s">
        <v>373</v>
      </c>
      <c r="AC1859" s="207" t="s">
        <v>2035</v>
      </c>
      <c r="AD1859" s="213">
        <v>8</v>
      </c>
    </row>
    <row r="1860" spans="28:30" x14ac:dyDescent="0.25">
      <c r="AB1860" s="207" t="s">
        <v>1738</v>
      </c>
      <c r="AC1860" s="207" t="s">
        <v>2036</v>
      </c>
      <c r="AD1860" s="213">
        <v>5</v>
      </c>
    </row>
    <row r="1861" spans="28:30" x14ac:dyDescent="0.25">
      <c r="AB1861" s="207" t="s">
        <v>373</v>
      </c>
      <c r="AC1861" s="207" t="s">
        <v>2037</v>
      </c>
      <c r="AD1861" s="213">
        <v>8</v>
      </c>
    </row>
    <row r="1862" spans="28:30" x14ac:dyDescent="0.25">
      <c r="AB1862" s="207" t="s">
        <v>1738</v>
      </c>
      <c r="AC1862" s="207" t="s">
        <v>2038</v>
      </c>
      <c r="AD1862" s="213">
        <v>8</v>
      </c>
    </row>
    <row r="1863" spans="28:30" x14ac:dyDescent="0.25">
      <c r="AB1863" s="207" t="s">
        <v>373</v>
      </c>
      <c r="AC1863" s="207" t="s">
        <v>2039</v>
      </c>
      <c r="AD1863" s="213">
        <v>8</v>
      </c>
    </row>
    <row r="1864" spans="28:30" x14ac:dyDescent="0.25">
      <c r="AB1864" s="207" t="s">
        <v>373</v>
      </c>
      <c r="AC1864" s="207" t="s">
        <v>2040</v>
      </c>
      <c r="AD1864" s="213">
        <v>8</v>
      </c>
    </row>
    <row r="1865" spans="28:30" x14ac:dyDescent="0.25">
      <c r="AB1865" s="207" t="s">
        <v>1738</v>
      </c>
      <c r="AC1865" s="207" t="s">
        <v>2041</v>
      </c>
      <c r="AD1865" s="213">
        <v>8</v>
      </c>
    </row>
    <row r="1866" spans="28:30" x14ac:dyDescent="0.25">
      <c r="AB1866" s="207" t="s">
        <v>249</v>
      </c>
      <c r="AC1866" s="207" t="s">
        <v>2042</v>
      </c>
      <c r="AD1866" s="213">
        <v>6</v>
      </c>
    </row>
    <row r="1867" spans="28:30" x14ac:dyDescent="0.25">
      <c r="AB1867" s="207" t="s">
        <v>1738</v>
      </c>
      <c r="AC1867" s="207" t="s">
        <v>1766</v>
      </c>
      <c r="AD1867" s="213">
        <v>8</v>
      </c>
    </row>
    <row r="1868" spans="28:30" x14ac:dyDescent="0.25">
      <c r="AB1868" s="207" t="s">
        <v>249</v>
      </c>
      <c r="AC1868" s="207" t="s">
        <v>2043</v>
      </c>
      <c r="AD1868" s="213">
        <v>2</v>
      </c>
    </row>
    <row r="1869" spans="28:30" x14ac:dyDescent="0.25">
      <c r="AB1869" s="207" t="s">
        <v>373</v>
      </c>
      <c r="AC1869" s="207" t="s">
        <v>2044</v>
      </c>
      <c r="AD1869" s="213">
        <v>8</v>
      </c>
    </row>
    <row r="1870" spans="28:30" x14ac:dyDescent="0.25">
      <c r="AB1870" s="207" t="s">
        <v>373</v>
      </c>
      <c r="AC1870" s="207" t="s">
        <v>2045</v>
      </c>
      <c r="AD1870" s="213">
        <v>8</v>
      </c>
    </row>
    <row r="1871" spans="28:30" x14ac:dyDescent="0.25">
      <c r="AB1871" s="207" t="s">
        <v>1738</v>
      </c>
      <c r="AC1871" s="207" t="s">
        <v>2046</v>
      </c>
      <c r="AD1871" s="213">
        <v>8</v>
      </c>
    </row>
    <row r="1872" spans="28:30" x14ac:dyDescent="0.25">
      <c r="AB1872" s="207" t="s">
        <v>249</v>
      </c>
      <c r="AC1872" s="207" t="s">
        <v>2047</v>
      </c>
      <c r="AD1872" s="213">
        <v>3</v>
      </c>
    </row>
    <row r="1873" spans="28:30" x14ac:dyDescent="0.25">
      <c r="AB1873" s="207" t="s">
        <v>1738</v>
      </c>
      <c r="AC1873" s="207" t="s">
        <v>2048</v>
      </c>
      <c r="AD1873" s="213">
        <v>8</v>
      </c>
    </row>
    <row r="1874" spans="28:30" x14ac:dyDescent="0.25">
      <c r="AB1874" s="207" t="s">
        <v>373</v>
      </c>
      <c r="AC1874" s="207" t="s">
        <v>2049</v>
      </c>
      <c r="AD1874" s="213">
        <v>8</v>
      </c>
    </row>
    <row r="1875" spans="28:30" x14ac:dyDescent="0.25">
      <c r="AB1875" s="207" t="s">
        <v>373</v>
      </c>
      <c r="AC1875" s="207" t="s">
        <v>2050</v>
      </c>
      <c r="AD1875" s="213">
        <v>8</v>
      </c>
    </row>
    <row r="1876" spans="28:30" x14ac:dyDescent="0.25">
      <c r="AB1876" s="207" t="s">
        <v>1738</v>
      </c>
      <c r="AC1876" s="207" t="s">
        <v>2051</v>
      </c>
      <c r="AD1876" s="213">
        <v>8</v>
      </c>
    </row>
    <row r="1877" spans="28:30" x14ac:dyDescent="0.25">
      <c r="AB1877" s="207" t="s">
        <v>249</v>
      </c>
      <c r="AC1877" s="207" t="s">
        <v>2052</v>
      </c>
      <c r="AD1877" s="213">
        <v>6</v>
      </c>
    </row>
    <row r="1878" spans="28:30" x14ac:dyDescent="0.25">
      <c r="AB1878" s="207" t="s">
        <v>373</v>
      </c>
      <c r="AC1878" s="207" t="s">
        <v>2053</v>
      </c>
      <c r="AD1878" s="213">
        <v>8</v>
      </c>
    </row>
    <row r="1879" spans="28:30" x14ac:dyDescent="0.25">
      <c r="AB1879" s="207" t="s">
        <v>217</v>
      </c>
      <c r="AC1879" s="207" t="s">
        <v>2054</v>
      </c>
      <c r="AD1879" s="213">
        <v>6</v>
      </c>
    </row>
    <row r="1880" spans="28:30" x14ac:dyDescent="0.25">
      <c r="AB1880" s="207" t="s">
        <v>373</v>
      </c>
      <c r="AC1880" s="207" t="s">
        <v>2055</v>
      </c>
      <c r="AD1880" s="213">
        <v>8</v>
      </c>
    </row>
    <row r="1881" spans="28:30" x14ac:dyDescent="0.25">
      <c r="AB1881" s="207" t="s">
        <v>1738</v>
      </c>
      <c r="AC1881" s="207" t="s">
        <v>2056</v>
      </c>
      <c r="AD1881" s="213">
        <v>8</v>
      </c>
    </row>
    <row r="1882" spans="28:30" x14ac:dyDescent="0.25">
      <c r="AB1882" s="207" t="s">
        <v>249</v>
      </c>
      <c r="AC1882" s="207" t="s">
        <v>2057</v>
      </c>
      <c r="AD1882" s="213">
        <v>3</v>
      </c>
    </row>
    <row r="1883" spans="28:30" x14ac:dyDescent="0.25">
      <c r="AB1883" s="207" t="s">
        <v>1715</v>
      </c>
      <c r="AC1883" s="207" t="s">
        <v>2058</v>
      </c>
      <c r="AD1883" s="213">
        <v>6</v>
      </c>
    </row>
    <row r="1884" spans="28:30" x14ac:dyDescent="0.25">
      <c r="AB1884" s="207" t="s">
        <v>1715</v>
      </c>
      <c r="AC1884" s="207" t="s">
        <v>2059</v>
      </c>
      <c r="AD1884" s="213">
        <v>6</v>
      </c>
    </row>
    <row r="1885" spans="28:30" x14ac:dyDescent="0.25">
      <c r="AB1885" s="207" t="s">
        <v>1738</v>
      </c>
      <c r="AC1885" s="207" t="s">
        <v>2060</v>
      </c>
      <c r="AD1885" s="213">
        <v>8</v>
      </c>
    </row>
    <row r="1886" spans="28:30" x14ac:dyDescent="0.25">
      <c r="AB1886" s="207" t="s">
        <v>373</v>
      </c>
      <c r="AC1886" s="207" t="s">
        <v>2061</v>
      </c>
      <c r="AD1886" s="213">
        <v>8</v>
      </c>
    </row>
    <row r="1887" spans="28:30" x14ac:dyDescent="0.25">
      <c r="AB1887" s="207" t="s">
        <v>1738</v>
      </c>
      <c r="AC1887" s="207" t="s">
        <v>2062</v>
      </c>
      <c r="AD1887" s="213">
        <v>8</v>
      </c>
    </row>
    <row r="1888" spans="28:30" x14ac:dyDescent="0.25">
      <c r="AB1888" s="207" t="s">
        <v>1738</v>
      </c>
      <c r="AC1888" s="207" t="s">
        <v>2063</v>
      </c>
      <c r="AD1888" s="213">
        <v>8</v>
      </c>
    </row>
    <row r="1889" spans="28:30" x14ac:dyDescent="0.25">
      <c r="AB1889" s="207" t="s">
        <v>373</v>
      </c>
      <c r="AC1889" s="207" t="s">
        <v>2064</v>
      </c>
      <c r="AD1889" s="213">
        <v>8</v>
      </c>
    </row>
    <row r="1890" spans="28:30" x14ac:dyDescent="0.25">
      <c r="AB1890" s="207" t="s">
        <v>1738</v>
      </c>
      <c r="AC1890" s="207" t="s">
        <v>2065</v>
      </c>
      <c r="AD1890" s="213">
        <v>8</v>
      </c>
    </row>
    <row r="1891" spans="28:30" x14ac:dyDescent="0.25">
      <c r="AB1891" s="207" t="s">
        <v>1738</v>
      </c>
      <c r="AC1891" s="207" t="s">
        <v>2066</v>
      </c>
      <c r="AD1891" s="213">
        <v>8</v>
      </c>
    </row>
    <row r="1892" spans="28:30" x14ac:dyDescent="0.25">
      <c r="AB1892" s="207" t="s">
        <v>1738</v>
      </c>
      <c r="AC1892" s="207" t="s">
        <v>2067</v>
      </c>
      <c r="AD1892" s="213">
        <v>8</v>
      </c>
    </row>
    <row r="1893" spans="28:30" x14ac:dyDescent="0.25">
      <c r="AB1893" s="207" t="s">
        <v>1738</v>
      </c>
      <c r="AC1893" s="207" t="s">
        <v>2068</v>
      </c>
      <c r="AD1893" s="213">
        <v>8</v>
      </c>
    </row>
    <row r="1894" spans="28:30" x14ac:dyDescent="0.25">
      <c r="AB1894" s="207" t="s">
        <v>1738</v>
      </c>
      <c r="AC1894" s="207" t="s">
        <v>2069</v>
      </c>
      <c r="AD1894" s="213">
        <v>5</v>
      </c>
    </row>
    <row r="1895" spans="28:30" x14ac:dyDescent="0.25">
      <c r="AB1895" s="207" t="s">
        <v>373</v>
      </c>
      <c r="AC1895" s="207" t="s">
        <v>2028</v>
      </c>
      <c r="AD1895" s="213">
        <v>8</v>
      </c>
    </row>
    <row r="1896" spans="28:30" x14ac:dyDescent="0.25">
      <c r="AB1896" s="207" t="s">
        <v>249</v>
      </c>
      <c r="AC1896" s="207" t="s">
        <v>2070</v>
      </c>
      <c r="AD1896" s="213">
        <v>3</v>
      </c>
    </row>
    <row r="1897" spans="28:30" x14ac:dyDescent="0.25">
      <c r="AB1897" s="207" t="s">
        <v>1918</v>
      </c>
      <c r="AC1897" s="207" t="s">
        <v>2071</v>
      </c>
      <c r="AD1897" s="213">
        <v>7</v>
      </c>
    </row>
    <row r="1898" spans="28:30" x14ac:dyDescent="0.25">
      <c r="AB1898" s="207" t="s">
        <v>1918</v>
      </c>
      <c r="AC1898" s="207" t="s">
        <v>2072</v>
      </c>
      <c r="AD1898" s="213">
        <v>7</v>
      </c>
    </row>
    <row r="1899" spans="28:30" x14ac:dyDescent="0.25">
      <c r="AB1899" s="207" t="s">
        <v>1738</v>
      </c>
      <c r="AC1899" s="207" t="s">
        <v>2073</v>
      </c>
      <c r="AD1899" s="213">
        <v>8</v>
      </c>
    </row>
    <row r="1900" spans="28:30" x14ac:dyDescent="0.25">
      <c r="AB1900" s="207" t="s">
        <v>1738</v>
      </c>
      <c r="AC1900" s="207" t="s">
        <v>1366</v>
      </c>
      <c r="AD1900" s="213">
        <v>8</v>
      </c>
    </row>
    <row r="1901" spans="28:30" x14ac:dyDescent="0.25">
      <c r="AB1901" s="207" t="s">
        <v>1738</v>
      </c>
      <c r="AC1901" s="207" t="s">
        <v>2074</v>
      </c>
      <c r="AD1901" s="213">
        <v>8</v>
      </c>
    </row>
    <row r="1902" spans="28:30" x14ac:dyDescent="0.25">
      <c r="AB1902" s="207" t="s">
        <v>1738</v>
      </c>
      <c r="AC1902" s="207" t="s">
        <v>2075</v>
      </c>
      <c r="AD1902" s="213">
        <v>8</v>
      </c>
    </row>
    <row r="1903" spans="28:30" x14ac:dyDescent="0.25">
      <c r="AB1903" s="207" t="s">
        <v>373</v>
      </c>
      <c r="AC1903" s="207" t="s">
        <v>2076</v>
      </c>
      <c r="AD1903" s="213">
        <v>5</v>
      </c>
    </row>
    <row r="1904" spans="28:30" x14ac:dyDescent="0.25">
      <c r="AB1904" s="207" t="s">
        <v>373</v>
      </c>
      <c r="AC1904" s="207" t="s">
        <v>2077</v>
      </c>
      <c r="AD1904" s="213">
        <v>5</v>
      </c>
    </row>
    <row r="1905" spans="28:30" x14ac:dyDescent="0.25">
      <c r="AB1905" s="207" t="s">
        <v>373</v>
      </c>
      <c r="AC1905" s="207" t="s">
        <v>2078</v>
      </c>
      <c r="AD1905" s="213">
        <v>8</v>
      </c>
    </row>
    <row r="1906" spans="28:30" x14ac:dyDescent="0.25">
      <c r="AB1906" s="207" t="s">
        <v>1738</v>
      </c>
      <c r="AC1906" s="207" t="s">
        <v>2079</v>
      </c>
      <c r="AD1906" s="213">
        <v>8</v>
      </c>
    </row>
    <row r="1907" spans="28:30" x14ac:dyDescent="0.25">
      <c r="AB1907" s="207" t="s">
        <v>1738</v>
      </c>
      <c r="AC1907" s="207" t="s">
        <v>2080</v>
      </c>
      <c r="AD1907" s="213">
        <v>8</v>
      </c>
    </row>
    <row r="1908" spans="28:30" x14ac:dyDescent="0.25">
      <c r="AB1908" s="207" t="s">
        <v>373</v>
      </c>
      <c r="AC1908" s="207" t="s">
        <v>2081</v>
      </c>
      <c r="AD1908" s="213">
        <v>8</v>
      </c>
    </row>
    <row r="1909" spans="28:30" x14ac:dyDescent="0.25">
      <c r="AB1909" s="207" t="s">
        <v>1738</v>
      </c>
      <c r="AC1909" s="207" t="s">
        <v>2082</v>
      </c>
      <c r="AD1909" s="213">
        <v>6</v>
      </c>
    </row>
    <row r="1910" spans="28:30" x14ac:dyDescent="0.25">
      <c r="AB1910" s="207" t="s">
        <v>373</v>
      </c>
      <c r="AC1910" s="207" t="s">
        <v>2083</v>
      </c>
      <c r="AD1910" s="213">
        <v>8</v>
      </c>
    </row>
    <row r="1911" spans="28:30" x14ac:dyDescent="0.25">
      <c r="AB1911" s="207" t="s">
        <v>1738</v>
      </c>
      <c r="AC1911" s="207" t="s">
        <v>1866</v>
      </c>
      <c r="AD1911" s="213">
        <v>8</v>
      </c>
    </row>
    <row r="1912" spans="28:30" x14ac:dyDescent="0.25">
      <c r="AB1912" s="207" t="s">
        <v>1738</v>
      </c>
      <c r="AC1912" s="207" t="s">
        <v>2084</v>
      </c>
      <c r="AD1912" s="213">
        <v>8</v>
      </c>
    </row>
    <row r="1913" spans="28:30" x14ac:dyDescent="0.25">
      <c r="AB1913" s="207" t="s">
        <v>1738</v>
      </c>
      <c r="AC1913" s="207" t="s">
        <v>2085</v>
      </c>
      <c r="AD1913" s="213">
        <v>8</v>
      </c>
    </row>
    <row r="1914" spans="28:30" x14ac:dyDescent="0.25">
      <c r="AB1914" s="207" t="s">
        <v>1738</v>
      </c>
      <c r="AC1914" s="207" t="s">
        <v>2086</v>
      </c>
      <c r="AD1914" s="213">
        <v>8</v>
      </c>
    </row>
    <row r="1915" spans="28:30" x14ac:dyDescent="0.25">
      <c r="AB1915" s="207" t="s">
        <v>249</v>
      </c>
      <c r="AC1915" s="207" t="s">
        <v>2087</v>
      </c>
      <c r="AD1915" s="213">
        <v>2</v>
      </c>
    </row>
    <row r="1916" spans="28:30" x14ac:dyDescent="0.25">
      <c r="AB1916" s="207" t="s">
        <v>373</v>
      </c>
      <c r="AC1916" s="207" t="s">
        <v>2088</v>
      </c>
      <c r="AD1916" s="213">
        <v>5</v>
      </c>
    </row>
    <row r="1917" spans="28:30" x14ac:dyDescent="0.25">
      <c r="AB1917" s="207" t="s">
        <v>1738</v>
      </c>
      <c r="AC1917" s="207" t="s">
        <v>2089</v>
      </c>
      <c r="AD1917" s="213">
        <v>8</v>
      </c>
    </row>
    <row r="1918" spans="28:30" x14ac:dyDescent="0.25">
      <c r="AB1918" s="207" t="s">
        <v>1738</v>
      </c>
      <c r="AC1918" s="207" t="s">
        <v>2090</v>
      </c>
      <c r="AD1918" s="213">
        <v>8</v>
      </c>
    </row>
    <row r="1919" spans="28:30" x14ac:dyDescent="0.25">
      <c r="AB1919" s="207" t="s">
        <v>373</v>
      </c>
      <c r="AC1919" s="207" t="s">
        <v>2091</v>
      </c>
      <c r="AD1919" s="213">
        <v>8</v>
      </c>
    </row>
    <row r="1920" spans="28:30" x14ac:dyDescent="0.25">
      <c r="AB1920" s="207" t="s">
        <v>249</v>
      </c>
      <c r="AC1920" s="207" t="s">
        <v>2092</v>
      </c>
      <c r="AD1920" s="213">
        <v>2</v>
      </c>
    </row>
    <row r="1921" spans="28:30" x14ac:dyDescent="0.25">
      <c r="AB1921" s="207" t="s">
        <v>249</v>
      </c>
      <c r="AC1921" s="207" t="s">
        <v>2093</v>
      </c>
      <c r="AD1921" s="213">
        <v>3</v>
      </c>
    </row>
    <row r="1922" spans="28:30" x14ac:dyDescent="0.25">
      <c r="AB1922" s="207" t="s">
        <v>373</v>
      </c>
      <c r="AC1922" s="207" t="s">
        <v>1287</v>
      </c>
      <c r="AD1922" s="213">
        <v>8</v>
      </c>
    </row>
    <row r="1923" spans="28:30" x14ac:dyDescent="0.25">
      <c r="AB1923" s="207" t="s">
        <v>217</v>
      </c>
      <c r="AC1923" s="207" t="s">
        <v>1067</v>
      </c>
      <c r="AD1923" s="213">
        <v>8</v>
      </c>
    </row>
    <row r="1924" spans="28:30" x14ac:dyDescent="0.25">
      <c r="AB1924" s="207" t="s">
        <v>373</v>
      </c>
      <c r="AC1924" s="207" t="s">
        <v>2094</v>
      </c>
      <c r="AD1924" s="213">
        <v>8</v>
      </c>
    </row>
    <row r="1925" spans="28:30" x14ac:dyDescent="0.25">
      <c r="AB1925" s="207" t="s">
        <v>1738</v>
      </c>
      <c r="AC1925" s="207" t="s">
        <v>2095</v>
      </c>
      <c r="AD1925" s="213">
        <v>8</v>
      </c>
    </row>
    <row r="1926" spans="28:30" x14ac:dyDescent="0.25">
      <c r="AB1926" s="207" t="s">
        <v>373</v>
      </c>
      <c r="AC1926" s="207" t="s">
        <v>2096</v>
      </c>
      <c r="AD1926" s="213">
        <v>8</v>
      </c>
    </row>
    <row r="1927" spans="28:30" x14ac:dyDescent="0.25">
      <c r="AB1927" s="207" t="s">
        <v>249</v>
      </c>
      <c r="AC1927" s="207" t="s">
        <v>2097</v>
      </c>
      <c r="AD1927" s="213">
        <v>3</v>
      </c>
    </row>
    <row r="1928" spans="28:30" x14ac:dyDescent="0.25">
      <c r="AB1928" s="207" t="s">
        <v>1953</v>
      </c>
      <c r="AC1928" s="207" t="s">
        <v>2098</v>
      </c>
      <c r="AD1928" s="213">
        <v>6</v>
      </c>
    </row>
    <row r="1929" spans="28:30" x14ac:dyDescent="0.25">
      <c r="AB1929" s="207" t="s">
        <v>1738</v>
      </c>
      <c r="AC1929" s="207" t="s">
        <v>2099</v>
      </c>
      <c r="AD1929" s="213">
        <v>8</v>
      </c>
    </row>
    <row r="1930" spans="28:30" x14ac:dyDescent="0.25">
      <c r="AB1930" s="207" t="s">
        <v>1738</v>
      </c>
      <c r="AC1930" s="207" t="s">
        <v>5866</v>
      </c>
      <c r="AD1930" s="213">
        <v>8</v>
      </c>
    </row>
    <row r="1931" spans="28:30" x14ac:dyDescent="0.25">
      <c r="AB1931" s="207" t="s">
        <v>373</v>
      </c>
      <c r="AC1931" s="207" t="s">
        <v>2100</v>
      </c>
      <c r="AD1931" s="213">
        <v>8</v>
      </c>
    </row>
    <row r="1932" spans="28:30" x14ac:dyDescent="0.25">
      <c r="AB1932" s="207" t="s">
        <v>1738</v>
      </c>
      <c r="AC1932" s="207" t="s">
        <v>2101</v>
      </c>
      <c r="AD1932" s="213">
        <v>8</v>
      </c>
    </row>
    <row r="1933" spans="28:30" x14ac:dyDescent="0.25">
      <c r="AB1933" s="207" t="s">
        <v>217</v>
      </c>
      <c r="AC1933" s="207" t="s">
        <v>2102</v>
      </c>
      <c r="AD1933" s="213">
        <v>8</v>
      </c>
    </row>
    <row r="1934" spans="28:30" x14ac:dyDescent="0.25">
      <c r="AB1934" s="207" t="s">
        <v>373</v>
      </c>
      <c r="AC1934" s="207" t="s">
        <v>2103</v>
      </c>
      <c r="AD1934" s="213">
        <v>8</v>
      </c>
    </row>
    <row r="1935" spans="28:30" x14ac:dyDescent="0.25">
      <c r="AB1935" s="207" t="s">
        <v>1738</v>
      </c>
      <c r="AC1935" s="207" t="s">
        <v>2104</v>
      </c>
      <c r="AD1935" s="213">
        <v>6</v>
      </c>
    </row>
    <row r="1936" spans="28:30" x14ac:dyDescent="0.25">
      <c r="AB1936" s="207" t="s">
        <v>373</v>
      </c>
      <c r="AC1936" s="207" t="s">
        <v>2105</v>
      </c>
      <c r="AD1936" s="213">
        <v>5</v>
      </c>
    </row>
    <row r="1937" spans="28:30" x14ac:dyDescent="0.25">
      <c r="AB1937" s="207" t="s">
        <v>1738</v>
      </c>
      <c r="AC1937" s="207" t="s">
        <v>2106</v>
      </c>
      <c r="AD1937" s="213">
        <v>8</v>
      </c>
    </row>
    <row r="1938" spans="28:30" x14ac:dyDescent="0.25">
      <c r="AB1938" s="207" t="s">
        <v>1738</v>
      </c>
      <c r="AC1938" s="207" t="s">
        <v>2107</v>
      </c>
      <c r="AD1938" s="213">
        <v>8</v>
      </c>
    </row>
    <row r="1939" spans="28:30" x14ac:dyDescent="0.25">
      <c r="AB1939" s="207" t="s">
        <v>373</v>
      </c>
      <c r="AC1939" s="207" t="s">
        <v>2108</v>
      </c>
      <c r="AD1939" s="213">
        <v>8</v>
      </c>
    </row>
    <row r="1940" spans="28:30" x14ac:dyDescent="0.25">
      <c r="AB1940" s="207" t="s">
        <v>373</v>
      </c>
      <c r="AC1940" s="207" t="s">
        <v>2109</v>
      </c>
      <c r="AD1940" s="213">
        <v>8</v>
      </c>
    </row>
    <row r="1941" spans="28:30" x14ac:dyDescent="0.25">
      <c r="AB1941" s="207" t="s">
        <v>373</v>
      </c>
      <c r="AC1941" s="207" t="s">
        <v>2110</v>
      </c>
      <c r="AD1941" s="213">
        <v>8</v>
      </c>
    </row>
    <row r="1942" spans="28:30" x14ac:dyDescent="0.25">
      <c r="AB1942" s="207" t="s">
        <v>373</v>
      </c>
      <c r="AC1942" s="207" t="s">
        <v>2111</v>
      </c>
      <c r="AD1942" s="213">
        <v>8</v>
      </c>
    </row>
    <row r="1943" spans="28:30" x14ac:dyDescent="0.25">
      <c r="AB1943" s="207" t="s">
        <v>373</v>
      </c>
      <c r="AC1943" s="207" t="s">
        <v>2112</v>
      </c>
      <c r="AD1943" s="213">
        <v>8</v>
      </c>
    </row>
    <row r="1944" spans="28:30" x14ac:dyDescent="0.25">
      <c r="AB1944" s="207" t="s">
        <v>1715</v>
      </c>
      <c r="AC1944" s="207" t="s">
        <v>2113</v>
      </c>
      <c r="AD1944" s="213">
        <v>6</v>
      </c>
    </row>
    <row r="1945" spans="28:30" x14ac:dyDescent="0.25">
      <c r="AB1945" s="207" t="s">
        <v>249</v>
      </c>
      <c r="AC1945" s="207" t="s">
        <v>2114</v>
      </c>
      <c r="AD1945" s="213">
        <v>2</v>
      </c>
    </row>
    <row r="1946" spans="28:30" x14ac:dyDescent="0.25">
      <c r="AB1946" s="207" t="s">
        <v>1715</v>
      </c>
      <c r="AC1946" s="207" t="s">
        <v>2115</v>
      </c>
      <c r="AD1946" s="213">
        <v>6</v>
      </c>
    </row>
    <row r="1947" spans="28:30" x14ac:dyDescent="0.25">
      <c r="AB1947" s="207" t="s">
        <v>373</v>
      </c>
      <c r="AC1947" s="207" t="s">
        <v>2116</v>
      </c>
      <c r="AD1947" s="213">
        <v>8</v>
      </c>
    </row>
    <row r="1948" spans="28:30" x14ac:dyDescent="0.25">
      <c r="AB1948" s="207" t="s">
        <v>1918</v>
      </c>
      <c r="AC1948" s="207" t="s">
        <v>2117</v>
      </c>
      <c r="AD1948" s="213">
        <v>5</v>
      </c>
    </row>
    <row r="1949" spans="28:30" x14ac:dyDescent="0.25">
      <c r="AB1949" s="207" t="s">
        <v>1953</v>
      </c>
      <c r="AC1949" s="207" t="s">
        <v>2118</v>
      </c>
      <c r="AD1949" s="213">
        <v>6</v>
      </c>
    </row>
    <row r="1950" spans="28:30" x14ac:dyDescent="0.25">
      <c r="AB1950" s="207" t="s">
        <v>1715</v>
      </c>
      <c r="AC1950" s="207" t="s">
        <v>2119</v>
      </c>
      <c r="AD1950" s="213">
        <v>6</v>
      </c>
    </row>
    <row r="1951" spans="28:30" x14ac:dyDescent="0.25">
      <c r="AB1951" s="207" t="s">
        <v>249</v>
      </c>
      <c r="AC1951" s="207" t="s">
        <v>2120</v>
      </c>
      <c r="AD1951" s="213">
        <v>2</v>
      </c>
    </row>
    <row r="1952" spans="28:30" x14ac:dyDescent="0.25">
      <c r="AB1952" s="207" t="s">
        <v>373</v>
      </c>
      <c r="AC1952" s="207" t="s">
        <v>2121</v>
      </c>
      <c r="AD1952" s="213">
        <v>8</v>
      </c>
    </row>
    <row r="1953" spans="28:30" x14ac:dyDescent="0.25">
      <c r="AB1953" s="207" t="s">
        <v>249</v>
      </c>
      <c r="AC1953" s="207" t="s">
        <v>2122</v>
      </c>
      <c r="AD1953" s="213">
        <v>6</v>
      </c>
    </row>
    <row r="1954" spans="28:30" x14ac:dyDescent="0.25">
      <c r="AB1954" s="207" t="s">
        <v>373</v>
      </c>
      <c r="AC1954" s="207" t="s">
        <v>2123</v>
      </c>
      <c r="AD1954" s="213">
        <v>8</v>
      </c>
    </row>
    <row r="1955" spans="28:30" x14ac:dyDescent="0.25">
      <c r="AB1955" s="207" t="s">
        <v>373</v>
      </c>
      <c r="AC1955" s="207" t="s">
        <v>2124</v>
      </c>
      <c r="AD1955" s="213">
        <v>8</v>
      </c>
    </row>
    <row r="1956" spans="28:30" x14ac:dyDescent="0.25">
      <c r="AB1956" s="207" t="s">
        <v>1715</v>
      </c>
      <c r="AC1956" s="207" t="s">
        <v>2125</v>
      </c>
      <c r="AD1956" s="213">
        <v>6</v>
      </c>
    </row>
    <row r="1957" spans="28:30" x14ac:dyDescent="0.25">
      <c r="AB1957" s="207" t="s">
        <v>1918</v>
      </c>
      <c r="AC1957" s="207" t="s">
        <v>2126</v>
      </c>
      <c r="AD1957" s="213">
        <v>8</v>
      </c>
    </row>
    <row r="1958" spans="28:30" x14ac:dyDescent="0.25">
      <c r="AB1958" s="207" t="s">
        <v>249</v>
      </c>
      <c r="AC1958" s="207" t="s">
        <v>2127</v>
      </c>
      <c r="AD1958" s="213">
        <v>2</v>
      </c>
    </row>
    <row r="1959" spans="28:30" x14ac:dyDescent="0.25">
      <c r="AB1959" s="207" t="s">
        <v>233</v>
      </c>
      <c r="AC1959" s="207" t="s">
        <v>2128</v>
      </c>
      <c r="AD1959" s="213">
        <v>4</v>
      </c>
    </row>
    <row r="1960" spans="28:30" x14ac:dyDescent="0.25">
      <c r="AB1960" s="207" t="s">
        <v>249</v>
      </c>
      <c r="AC1960" s="207" t="s">
        <v>2129</v>
      </c>
      <c r="AD1960" s="213">
        <v>3</v>
      </c>
    </row>
    <row r="1961" spans="28:30" x14ac:dyDescent="0.25">
      <c r="AB1961" s="207" t="s">
        <v>1715</v>
      </c>
      <c r="AC1961" s="207" t="s">
        <v>2130</v>
      </c>
      <c r="AD1961" s="213">
        <v>6</v>
      </c>
    </row>
    <row r="1962" spans="28:30" x14ac:dyDescent="0.25">
      <c r="AB1962" s="207" t="s">
        <v>1715</v>
      </c>
      <c r="AC1962" s="207" t="s">
        <v>2131</v>
      </c>
      <c r="AD1962" s="213">
        <v>6</v>
      </c>
    </row>
    <row r="1963" spans="28:30" x14ac:dyDescent="0.25">
      <c r="AB1963" s="207" t="s">
        <v>1918</v>
      </c>
      <c r="AC1963" s="207" t="s">
        <v>2132</v>
      </c>
      <c r="AD1963" s="213">
        <v>5</v>
      </c>
    </row>
    <row r="1964" spans="28:30" x14ac:dyDescent="0.25">
      <c r="AB1964" s="207" t="s">
        <v>1918</v>
      </c>
      <c r="AC1964" s="207" t="s">
        <v>2133</v>
      </c>
      <c r="AD1964" s="213">
        <v>5</v>
      </c>
    </row>
    <row r="1965" spans="28:30" x14ac:dyDescent="0.25">
      <c r="AB1965" s="207" t="s">
        <v>1953</v>
      </c>
      <c r="AC1965" s="207" t="s">
        <v>2134</v>
      </c>
      <c r="AD1965" s="213">
        <v>6</v>
      </c>
    </row>
    <row r="1966" spans="28:30" x14ac:dyDescent="0.25">
      <c r="AB1966" s="207" t="s">
        <v>249</v>
      </c>
      <c r="AC1966" s="207" t="s">
        <v>2135</v>
      </c>
      <c r="AD1966" s="213">
        <v>2</v>
      </c>
    </row>
    <row r="1967" spans="28:30" x14ac:dyDescent="0.25">
      <c r="AB1967" s="207" t="s">
        <v>1715</v>
      </c>
      <c r="AC1967" s="207" t="s">
        <v>2136</v>
      </c>
      <c r="AD1967" s="213">
        <v>6</v>
      </c>
    </row>
    <row r="1968" spans="28:30" x14ac:dyDescent="0.25">
      <c r="AB1968" s="207" t="s">
        <v>249</v>
      </c>
      <c r="AC1968" s="207" t="s">
        <v>2137</v>
      </c>
      <c r="AD1968" s="213">
        <v>4</v>
      </c>
    </row>
    <row r="1969" spans="28:30" x14ac:dyDescent="0.25">
      <c r="AB1969" s="207" t="s">
        <v>1738</v>
      </c>
      <c r="AC1969" s="207" t="s">
        <v>2138</v>
      </c>
      <c r="AD1969" s="213">
        <v>8</v>
      </c>
    </row>
    <row r="1970" spans="28:30" x14ac:dyDescent="0.25">
      <c r="AB1970" s="207" t="s">
        <v>1953</v>
      </c>
      <c r="AC1970" s="207" t="s">
        <v>2139</v>
      </c>
      <c r="AD1970" s="213">
        <v>6</v>
      </c>
    </row>
    <row r="1971" spans="28:30" x14ac:dyDescent="0.25">
      <c r="AB1971" s="207" t="s">
        <v>227</v>
      </c>
      <c r="AC1971" s="207" t="s">
        <v>2140</v>
      </c>
      <c r="AD1971" s="213">
        <v>3</v>
      </c>
    </row>
    <row r="1972" spans="28:30" x14ac:dyDescent="0.25">
      <c r="AB1972" s="207" t="s">
        <v>1738</v>
      </c>
      <c r="AC1972" s="207" t="s">
        <v>2141</v>
      </c>
      <c r="AD1972" s="213">
        <v>7</v>
      </c>
    </row>
    <row r="1973" spans="28:30" x14ac:dyDescent="0.25">
      <c r="AB1973" s="207" t="s">
        <v>373</v>
      </c>
      <c r="AC1973" s="207" t="s">
        <v>2142</v>
      </c>
      <c r="AD1973" s="213">
        <v>8</v>
      </c>
    </row>
    <row r="1974" spans="28:30" x14ac:dyDescent="0.25">
      <c r="AB1974" s="207" t="s">
        <v>373</v>
      </c>
      <c r="AC1974" s="207" t="s">
        <v>2143</v>
      </c>
      <c r="AD1974" s="213">
        <v>8</v>
      </c>
    </row>
    <row r="1975" spans="28:30" x14ac:dyDescent="0.25">
      <c r="AB1975" s="207" t="s">
        <v>373</v>
      </c>
      <c r="AC1975" s="207" t="s">
        <v>2144</v>
      </c>
      <c r="AD1975" s="213">
        <v>8</v>
      </c>
    </row>
    <row r="1976" spans="28:30" x14ac:dyDescent="0.25">
      <c r="AB1976" s="207" t="s">
        <v>249</v>
      </c>
      <c r="AC1976" s="207" t="s">
        <v>2145</v>
      </c>
      <c r="AD1976" s="213">
        <v>4</v>
      </c>
    </row>
    <row r="1977" spans="28:30" x14ac:dyDescent="0.25">
      <c r="AB1977" s="207" t="s">
        <v>1918</v>
      </c>
      <c r="AC1977" s="207" t="s">
        <v>2146</v>
      </c>
      <c r="AD1977" s="213">
        <v>5</v>
      </c>
    </row>
    <row r="1978" spans="28:30" x14ac:dyDescent="0.25">
      <c r="AB1978" s="207" t="s">
        <v>373</v>
      </c>
      <c r="AC1978" s="207" t="s">
        <v>2147</v>
      </c>
      <c r="AD1978" s="213">
        <v>8</v>
      </c>
    </row>
    <row r="1979" spans="28:30" x14ac:dyDescent="0.25">
      <c r="AB1979" s="207" t="s">
        <v>1918</v>
      </c>
      <c r="AC1979" s="207" t="s">
        <v>2148</v>
      </c>
      <c r="AD1979" s="213">
        <v>5</v>
      </c>
    </row>
    <row r="1980" spans="28:30" x14ac:dyDescent="0.25">
      <c r="AB1980" s="207" t="s">
        <v>1953</v>
      </c>
      <c r="AC1980" s="207" t="s">
        <v>2149</v>
      </c>
      <c r="AD1980" s="213">
        <v>6</v>
      </c>
    </row>
    <row r="1981" spans="28:30" x14ac:dyDescent="0.25">
      <c r="AB1981" s="207" t="s">
        <v>1715</v>
      </c>
      <c r="AC1981" s="207" t="s">
        <v>2150</v>
      </c>
      <c r="AD1981" s="213">
        <v>6</v>
      </c>
    </row>
    <row r="1982" spans="28:30" x14ac:dyDescent="0.25">
      <c r="AB1982" s="207" t="s">
        <v>249</v>
      </c>
      <c r="AC1982" s="207" t="s">
        <v>2151</v>
      </c>
      <c r="AD1982" s="213">
        <v>2</v>
      </c>
    </row>
    <row r="1983" spans="28:30" x14ac:dyDescent="0.25">
      <c r="AB1983" s="207" t="s">
        <v>373</v>
      </c>
      <c r="AC1983" s="207" t="s">
        <v>2152</v>
      </c>
      <c r="AD1983" s="213">
        <v>7</v>
      </c>
    </row>
    <row r="1984" spans="28:30" x14ac:dyDescent="0.25">
      <c r="AB1984" s="207" t="s">
        <v>1953</v>
      </c>
      <c r="AC1984" s="207" t="s">
        <v>2153</v>
      </c>
      <c r="AD1984" s="213">
        <v>6</v>
      </c>
    </row>
    <row r="1985" spans="28:30" x14ac:dyDescent="0.25">
      <c r="AB1985" s="207" t="s">
        <v>1715</v>
      </c>
      <c r="AC1985" s="207" t="s">
        <v>2154</v>
      </c>
      <c r="AD1985" s="213">
        <v>6</v>
      </c>
    </row>
    <row r="1986" spans="28:30" x14ac:dyDescent="0.25">
      <c r="AB1986" s="207" t="s">
        <v>1738</v>
      </c>
      <c r="AC1986" s="207" t="s">
        <v>2155</v>
      </c>
      <c r="AD1986" s="213">
        <v>7</v>
      </c>
    </row>
    <row r="1987" spans="28:30" x14ac:dyDescent="0.25">
      <c r="AB1987" s="207" t="s">
        <v>1953</v>
      </c>
      <c r="AC1987" s="207" t="s">
        <v>2156</v>
      </c>
      <c r="AD1987" s="213">
        <v>6</v>
      </c>
    </row>
    <row r="1988" spans="28:30" x14ac:dyDescent="0.25">
      <c r="AB1988" s="207" t="s">
        <v>373</v>
      </c>
      <c r="AC1988" s="207" t="s">
        <v>2157</v>
      </c>
      <c r="AD1988" s="213">
        <v>7</v>
      </c>
    </row>
    <row r="1989" spans="28:30" x14ac:dyDescent="0.25">
      <c r="AB1989" s="207" t="s">
        <v>217</v>
      </c>
      <c r="AC1989" s="207" t="s">
        <v>2158</v>
      </c>
      <c r="AD1989" s="213">
        <v>8</v>
      </c>
    </row>
    <row r="1990" spans="28:30" x14ac:dyDescent="0.25">
      <c r="AB1990" s="207" t="s">
        <v>1715</v>
      </c>
      <c r="AC1990" s="207" t="s">
        <v>2159</v>
      </c>
      <c r="AD1990" s="213">
        <v>6</v>
      </c>
    </row>
    <row r="1991" spans="28:30" x14ac:dyDescent="0.25">
      <c r="AB1991" s="207" t="s">
        <v>2160</v>
      </c>
      <c r="AC1991" s="207" t="s">
        <v>2161</v>
      </c>
      <c r="AD1991" s="213">
        <v>5</v>
      </c>
    </row>
    <row r="1992" spans="28:30" x14ac:dyDescent="0.25">
      <c r="AB1992" s="207" t="s">
        <v>249</v>
      </c>
      <c r="AC1992" s="207" t="s">
        <v>2162</v>
      </c>
      <c r="AD1992" s="213">
        <v>3</v>
      </c>
    </row>
    <row r="1993" spans="28:30" x14ac:dyDescent="0.25">
      <c r="AB1993" s="207" t="s">
        <v>1715</v>
      </c>
      <c r="AC1993" s="207" t="s">
        <v>2163</v>
      </c>
      <c r="AD1993" s="213">
        <v>6</v>
      </c>
    </row>
    <row r="1994" spans="28:30" x14ac:dyDescent="0.25">
      <c r="AB1994" s="207" t="s">
        <v>1715</v>
      </c>
      <c r="AC1994" s="207" t="s">
        <v>2164</v>
      </c>
      <c r="AD1994" s="213">
        <v>6</v>
      </c>
    </row>
    <row r="1995" spans="28:30" x14ac:dyDescent="0.25">
      <c r="AB1995" s="207" t="s">
        <v>373</v>
      </c>
      <c r="AC1995" s="207" t="s">
        <v>2165</v>
      </c>
      <c r="AD1995" s="213">
        <v>5</v>
      </c>
    </row>
    <row r="1996" spans="28:30" x14ac:dyDescent="0.25">
      <c r="AB1996" s="207" t="s">
        <v>373</v>
      </c>
      <c r="AC1996" s="207" t="s">
        <v>2166</v>
      </c>
      <c r="AD1996" s="213">
        <v>7</v>
      </c>
    </row>
    <row r="1997" spans="28:30" x14ac:dyDescent="0.25">
      <c r="AB1997" s="207" t="s">
        <v>1738</v>
      </c>
      <c r="AC1997" s="207" t="s">
        <v>2167</v>
      </c>
      <c r="AD1997" s="213">
        <v>7</v>
      </c>
    </row>
    <row r="1998" spans="28:30" x14ac:dyDescent="0.25">
      <c r="AB1998" s="207" t="s">
        <v>1715</v>
      </c>
      <c r="AC1998" s="207" t="s">
        <v>2168</v>
      </c>
      <c r="AD1998" s="213">
        <v>6</v>
      </c>
    </row>
    <row r="1999" spans="28:30" x14ac:dyDescent="0.25">
      <c r="AB1999" s="207" t="s">
        <v>217</v>
      </c>
      <c r="AC1999" s="207" t="s">
        <v>2169</v>
      </c>
      <c r="AD1999" s="213">
        <v>8</v>
      </c>
    </row>
    <row r="2000" spans="28:30" x14ac:dyDescent="0.25">
      <c r="AB2000" s="207" t="s">
        <v>217</v>
      </c>
      <c r="AC2000" s="207" t="s">
        <v>2170</v>
      </c>
      <c r="AD2000" s="213">
        <v>8</v>
      </c>
    </row>
    <row r="2001" spans="28:30" x14ac:dyDescent="0.25">
      <c r="AB2001" s="207" t="s">
        <v>233</v>
      </c>
      <c r="AC2001" s="207" t="s">
        <v>2171</v>
      </c>
      <c r="AD2001" s="213">
        <v>6</v>
      </c>
    </row>
    <row r="2002" spans="28:30" x14ac:dyDescent="0.25">
      <c r="AB2002" s="207" t="s">
        <v>1715</v>
      </c>
      <c r="AC2002" s="207" t="s">
        <v>2172</v>
      </c>
      <c r="AD2002" s="213">
        <v>6</v>
      </c>
    </row>
    <row r="2003" spans="28:30" x14ac:dyDescent="0.25">
      <c r="AB2003" s="207" t="s">
        <v>2173</v>
      </c>
      <c r="AC2003" s="207" t="s">
        <v>2174</v>
      </c>
      <c r="AD2003" s="213">
        <v>8</v>
      </c>
    </row>
    <row r="2004" spans="28:30" x14ac:dyDescent="0.25">
      <c r="AB2004" s="207" t="s">
        <v>1715</v>
      </c>
      <c r="AC2004" s="207" t="s">
        <v>2175</v>
      </c>
      <c r="AD2004" s="213">
        <v>6</v>
      </c>
    </row>
    <row r="2005" spans="28:30" x14ac:dyDescent="0.25">
      <c r="AB2005" s="207" t="s">
        <v>2160</v>
      </c>
      <c r="AC2005" s="207" t="s">
        <v>2176</v>
      </c>
      <c r="AD2005" s="213">
        <v>6</v>
      </c>
    </row>
    <row r="2006" spans="28:30" x14ac:dyDescent="0.25">
      <c r="AB2006" s="207" t="s">
        <v>373</v>
      </c>
      <c r="AC2006" s="207" t="s">
        <v>2177</v>
      </c>
      <c r="AD2006" s="213">
        <v>8</v>
      </c>
    </row>
    <row r="2007" spans="28:30" x14ac:dyDescent="0.25">
      <c r="AB2007" s="207" t="s">
        <v>249</v>
      </c>
      <c r="AC2007" s="207" t="s">
        <v>2178</v>
      </c>
      <c r="AD2007" s="213">
        <v>2</v>
      </c>
    </row>
    <row r="2008" spans="28:30" x14ac:dyDescent="0.25">
      <c r="AB2008" s="207" t="s">
        <v>217</v>
      </c>
      <c r="AC2008" s="207" t="s">
        <v>2179</v>
      </c>
      <c r="AD2008" s="213">
        <v>8</v>
      </c>
    </row>
    <row r="2009" spans="28:30" x14ac:dyDescent="0.25">
      <c r="AB2009" s="207" t="s">
        <v>373</v>
      </c>
      <c r="AC2009" s="207" t="s">
        <v>2180</v>
      </c>
      <c r="AD2009" s="213">
        <v>7</v>
      </c>
    </row>
    <row r="2010" spans="28:30" x14ac:dyDescent="0.25">
      <c r="AB2010" s="207" t="s">
        <v>1715</v>
      </c>
      <c r="AC2010" s="207" t="s">
        <v>2181</v>
      </c>
      <c r="AD2010" s="213">
        <v>6</v>
      </c>
    </row>
    <row r="2011" spans="28:30" x14ac:dyDescent="0.25">
      <c r="AB2011" s="207" t="s">
        <v>217</v>
      </c>
      <c r="AC2011" s="207" t="s">
        <v>581</v>
      </c>
      <c r="AD2011" s="213">
        <v>8</v>
      </c>
    </row>
    <row r="2012" spans="28:30" x14ac:dyDescent="0.25">
      <c r="AB2012" s="207" t="s">
        <v>2160</v>
      </c>
      <c r="AC2012" s="207" t="s">
        <v>2182</v>
      </c>
      <c r="AD2012" s="213">
        <v>6</v>
      </c>
    </row>
    <row r="2013" spans="28:30" x14ac:dyDescent="0.25">
      <c r="AB2013" s="207" t="s">
        <v>2160</v>
      </c>
      <c r="AC2013" s="207" t="s">
        <v>5867</v>
      </c>
      <c r="AD2013" s="213">
        <v>5</v>
      </c>
    </row>
    <row r="2014" spans="28:30" x14ac:dyDescent="0.25">
      <c r="AB2014" s="207" t="s">
        <v>249</v>
      </c>
      <c r="AC2014" s="207" t="s">
        <v>2183</v>
      </c>
      <c r="AD2014" s="213">
        <v>3</v>
      </c>
    </row>
    <row r="2015" spans="28:30" x14ac:dyDescent="0.25">
      <c r="AB2015" s="207" t="s">
        <v>1738</v>
      </c>
      <c r="AC2015" s="207" t="s">
        <v>2184</v>
      </c>
      <c r="AD2015" s="213">
        <v>6</v>
      </c>
    </row>
    <row r="2016" spans="28:30" x14ac:dyDescent="0.25">
      <c r="AB2016" s="207" t="s">
        <v>217</v>
      </c>
      <c r="AC2016" s="207" t="s">
        <v>2185</v>
      </c>
      <c r="AD2016" s="213">
        <v>8</v>
      </c>
    </row>
    <row r="2017" spans="28:30" x14ac:dyDescent="0.25">
      <c r="AB2017" s="207" t="s">
        <v>1953</v>
      </c>
      <c r="AC2017" s="207" t="s">
        <v>2186</v>
      </c>
      <c r="AD2017" s="213">
        <v>6</v>
      </c>
    </row>
    <row r="2018" spans="28:30" x14ac:dyDescent="0.25">
      <c r="AB2018" s="207" t="s">
        <v>1953</v>
      </c>
      <c r="AC2018" s="207" t="s">
        <v>2187</v>
      </c>
      <c r="AD2018" s="213">
        <v>6</v>
      </c>
    </row>
    <row r="2019" spans="28:30" x14ac:dyDescent="0.25">
      <c r="AB2019" s="207" t="s">
        <v>1953</v>
      </c>
      <c r="AC2019" s="207" t="s">
        <v>2188</v>
      </c>
      <c r="AD2019" s="213">
        <v>5</v>
      </c>
    </row>
    <row r="2020" spans="28:30" x14ac:dyDescent="0.25">
      <c r="AB2020" s="207" t="s">
        <v>2160</v>
      </c>
      <c r="AC2020" s="207" t="s">
        <v>2189</v>
      </c>
      <c r="AD2020" s="213">
        <v>5</v>
      </c>
    </row>
    <row r="2021" spans="28:30" x14ac:dyDescent="0.25">
      <c r="AB2021" s="207" t="s">
        <v>1953</v>
      </c>
      <c r="AC2021" s="207" t="s">
        <v>2190</v>
      </c>
      <c r="AD2021" s="213">
        <v>5</v>
      </c>
    </row>
    <row r="2022" spans="28:30" x14ac:dyDescent="0.25">
      <c r="AB2022" s="207" t="s">
        <v>373</v>
      </c>
      <c r="AC2022" s="207" t="s">
        <v>2191</v>
      </c>
      <c r="AD2022" s="213">
        <v>5</v>
      </c>
    </row>
    <row r="2023" spans="28:30" x14ac:dyDescent="0.25">
      <c r="AB2023" s="207" t="s">
        <v>2160</v>
      </c>
      <c r="AC2023" s="207" t="s">
        <v>2192</v>
      </c>
      <c r="AD2023" s="213">
        <v>6</v>
      </c>
    </row>
    <row r="2024" spans="28:30" x14ac:dyDescent="0.25">
      <c r="AB2024" s="207" t="s">
        <v>1715</v>
      </c>
      <c r="AC2024" s="207" t="s">
        <v>2193</v>
      </c>
      <c r="AD2024" s="213">
        <v>6</v>
      </c>
    </row>
    <row r="2025" spans="28:30" x14ac:dyDescent="0.25">
      <c r="AB2025" s="207" t="s">
        <v>249</v>
      </c>
      <c r="AC2025" s="207" t="s">
        <v>2194</v>
      </c>
      <c r="AD2025" s="213">
        <v>2</v>
      </c>
    </row>
    <row r="2026" spans="28:30" x14ac:dyDescent="0.25">
      <c r="AB2026" s="207" t="s">
        <v>2173</v>
      </c>
      <c r="AC2026" s="207" t="s">
        <v>2195</v>
      </c>
      <c r="AD2026" s="213">
        <v>8</v>
      </c>
    </row>
    <row r="2027" spans="28:30" x14ac:dyDescent="0.25">
      <c r="AB2027" s="207" t="s">
        <v>1953</v>
      </c>
      <c r="AC2027" s="207" t="s">
        <v>2196</v>
      </c>
      <c r="AD2027" s="213">
        <v>6</v>
      </c>
    </row>
    <row r="2028" spans="28:30" x14ac:dyDescent="0.25">
      <c r="AB2028" s="207" t="s">
        <v>2160</v>
      </c>
      <c r="AC2028" s="207" t="s">
        <v>2197</v>
      </c>
      <c r="AD2028" s="213">
        <v>5</v>
      </c>
    </row>
    <row r="2029" spans="28:30" x14ac:dyDescent="0.25">
      <c r="AB2029" s="207" t="s">
        <v>217</v>
      </c>
      <c r="AC2029" s="207" t="s">
        <v>2198</v>
      </c>
      <c r="AD2029" s="213">
        <v>7</v>
      </c>
    </row>
    <row r="2030" spans="28:30" x14ac:dyDescent="0.25">
      <c r="AB2030" s="207" t="s">
        <v>217</v>
      </c>
      <c r="AC2030" s="207" t="s">
        <v>2199</v>
      </c>
      <c r="AD2030" s="213">
        <v>5</v>
      </c>
    </row>
    <row r="2031" spans="28:30" x14ac:dyDescent="0.25">
      <c r="AB2031" s="207" t="s">
        <v>2173</v>
      </c>
      <c r="AC2031" s="207" t="s">
        <v>2200</v>
      </c>
      <c r="AD2031" s="213">
        <v>8</v>
      </c>
    </row>
    <row r="2032" spans="28:30" x14ac:dyDescent="0.25">
      <c r="AB2032" s="207" t="s">
        <v>2160</v>
      </c>
      <c r="AC2032" s="207" t="s">
        <v>2201</v>
      </c>
      <c r="AD2032" s="213">
        <v>5</v>
      </c>
    </row>
    <row r="2033" spans="28:30" x14ac:dyDescent="0.25">
      <c r="AB2033" s="207" t="s">
        <v>2160</v>
      </c>
      <c r="AC2033" s="207" t="s">
        <v>2202</v>
      </c>
      <c r="AD2033" s="213">
        <v>6</v>
      </c>
    </row>
    <row r="2034" spans="28:30" x14ac:dyDescent="0.25">
      <c r="AB2034" s="207" t="s">
        <v>2160</v>
      </c>
      <c r="AC2034" s="207" t="s">
        <v>2203</v>
      </c>
      <c r="AD2034" s="213">
        <v>6</v>
      </c>
    </row>
    <row r="2035" spans="28:30" x14ac:dyDescent="0.25">
      <c r="AB2035" s="207" t="s">
        <v>2160</v>
      </c>
      <c r="AC2035" s="207" t="s">
        <v>2204</v>
      </c>
      <c r="AD2035" s="213">
        <v>6</v>
      </c>
    </row>
    <row r="2036" spans="28:30" x14ac:dyDescent="0.25">
      <c r="AB2036" s="207" t="s">
        <v>1715</v>
      </c>
      <c r="AC2036" s="207" t="s">
        <v>2205</v>
      </c>
      <c r="AD2036" s="213">
        <v>6</v>
      </c>
    </row>
    <row r="2037" spans="28:30" x14ac:dyDescent="0.25">
      <c r="AB2037" s="207" t="s">
        <v>373</v>
      </c>
      <c r="AC2037" s="207" t="s">
        <v>2206</v>
      </c>
      <c r="AD2037" s="213">
        <v>5</v>
      </c>
    </row>
    <row r="2038" spans="28:30" x14ac:dyDescent="0.25">
      <c r="AB2038" s="207" t="s">
        <v>1691</v>
      </c>
      <c r="AC2038" s="207" t="s">
        <v>2207</v>
      </c>
      <c r="AD2038" s="213">
        <v>8</v>
      </c>
    </row>
    <row r="2039" spans="28:30" x14ac:dyDescent="0.25">
      <c r="AB2039" s="207" t="s">
        <v>219</v>
      </c>
      <c r="AC2039" s="207" t="s">
        <v>2208</v>
      </c>
      <c r="AD2039" s="213">
        <v>8</v>
      </c>
    </row>
    <row r="2040" spans="28:30" x14ac:dyDescent="0.25">
      <c r="AB2040" s="207" t="s">
        <v>219</v>
      </c>
      <c r="AC2040" s="207" t="s">
        <v>2209</v>
      </c>
      <c r="AD2040" s="213">
        <v>8</v>
      </c>
    </row>
    <row r="2041" spans="28:30" x14ac:dyDescent="0.25">
      <c r="AB2041" s="207" t="s">
        <v>217</v>
      </c>
      <c r="AC2041" s="207" t="s">
        <v>2210</v>
      </c>
      <c r="AD2041" s="213">
        <v>8</v>
      </c>
    </row>
    <row r="2042" spans="28:30" x14ac:dyDescent="0.25">
      <c r="AB2042" s="207" t="s">
        <v>219</v>
      </c>
      <c r="AC2042" s="207" t="s">
        <v>2211</v>
      </c>
      <c r="AD2042" s="213">
        <v>8</v>
      </c>
    </row>
    <row r="2043" spans="28:30" x14ac:dyDescent="0.25">
      <c r="AB2043" s="207" t="s">
        <v>219</v>
      </c>
      <c r="AC2043" s="207" t="s">
        <v>2212</v>
      </c>
      <c r="AD2043" s="213">
        <v>8</v>
      </c>
    </row>
    <row r="2044" spans="28:30" x14ac:dyDescent="0.25">
      <c r="AB2044" s="207" t="s">
        <v>219</v>
      </c>
      <c r="AC2044" s="207" t="s">
        <v>394</v>
      </c>
      <c r="AD2044" s="213">
        <v>8</v>
      </c>
    </row>
    <row r="2045" spans="28:30" x14ac:dyDescent="0.25">
      <c r="AB2045" s="207" t="s">
        <v>217</v>
      </c>
      <c r="AC2045" s="207" t="s">
        <v>2213</v>
      </c>
      <c r="AD2045" s="213">
        <v>8</v>
      </c>
    </row>
    <row r="2046" spans="28:30" x14ac:dyDescent="0.25">
      <c r="AB2046" s="207" t="s">
        <v>1691</v>
      </c>
      <c r="AC2046" s="207" t="s">
        <v>2214</v>
      </c>
      <c r="AD2046" s="213">
        <v>8</v>
      </c>
    </row>
    <row r="2047" spans="28:30" x14ac:dyDescent="0.25">
      <c r="AB2047" s="207" t="s">
        <v>219</v>
      </c>
      <c r="AC2047" s="207" t="s">
        <v>2215</v>
      </c>
      <c r="AD2047" s="213">
        <v>8</v>
      </c>
    </row>
    <row r="2048" spans="28:30" x14ac:dyDescent="0.25">
      <c r="AB2048" s="207" t="s">
        <v>217</v>
      </c>
      <c r="AC2048" s="207" t="s">
        <v>2216</v>
      </c>
      <c r="AD2048" s="213">
        <v>8</v>
      </c>
    </row>
    <row r="2049" spans="28:30" x14ac:dyDescent="0.25">
      <c r="AB2049" s="207" t="s">
        <v>217</v>
      </c>
      <c r="AC2049" s="207" t="s">
        <v>2217</v>
      </c>
      <c r="AD2049" s="213">
        <v>8</v>
      </c>
    </row>
    <row r="2050" spans="28:30" x14ac:dyDescent="0.25">
      <c r="AB2050" s="207" t="s">
        <v>219</v>
      </c>
      <c r="AC2050" s="207" t="s">
        <v>2218</v>
      </c>
      <c r="AD2050" s="213">
        <v>8</v>
      </c>
    </row>
    <row r="2051" spans="28:30" x14ac:dyDescent="0.25">
      <c r="AB2051" s="207" t="s">
        <v>373</v>
      </c>
      <c r="AC2051" s="207" t="s">
        <v>2219</v>
      </c>
      <c r="AD2051" s="213">
        <v>6</v>
      </c>
    </row>
    <row r="2052" spans="28:30" x14ac:dyDescent="0.25">
      <c r="AB2052" s="207" t="s">
        <v>217</v>
      </c>
      <c r="AC2052" s="207" t="s">
        <v>1921</v>
      </c>
      <c r="AD2052" s="213">
        <v>7</v>
      </c>
    </row>
    <row r="2053" spans="28:30" x14ac:dyDescent="0.25">
      <c r="AB2053" s="207" t="s">
        <v>1691</v>
      </c>
      <c r="AC2053" s="207" t="s">
        <v>2220</v>
      </c>
      <c r="AD2053" s="213">
        <v>8</v>
      </c>
    </row>
    <row r="2054" spans="28:30" x14ac:dyDescent="0.25">
      <c r="AB2054" s="207" t="s">
        <v>217</v>
      </c>
      <c r="AC2054" s="207" t="s">
        <v>2221</v>
      </c>
      <c r="AD2054" s="213">
        <v>8</v>
      </c>
    </row>
    <row r="2055" spans="28:30" x14ac:dyDescent="0.25">
      <c r="AB2055" s="207" t="s">
        <v>217</v>
      </c>
      <c r="AC2055" s="207" t="s">
        <v>2222</v>
      </c>
      <c r="AD2055" s="213">
        <v>8</v>
      </c>
    </row>
    <row r="2056" spans="28:30" x14ac:dyDescent="0.25">
      <c r="AB2056" s="207" t="s">
        <v>217</v>
      </c>
      <c r="AC2056" s="207" t="s">
        <v>2223</v>
      </c>
      <c r="AD2056" s="213">
        <v>8</v>
      </c>
    </row>
    <row r="2057" spans="28:30" x14ac:dyDescent="0.25">
      <c r="AB2057" s="207" t="s">
        <v>1691</v>
      </c>
      <c r="AC2057" s="207" t="s">
        <v>2224</v>
      </c>
      <c r="AD2057" s="213">
        <v>8</v>
      </c>
    </row>
    <row r="2058" spans="28:30" x14ac:dyDescent="0.25">
      <c r="AB2058" s="207" t="s">
        <v>217</v>
      </c>
      <c r="AC2058" s="207" t="s">
        <v>2225</v>
      </c>
      <c r="AD2058" s="213">
        <v>8</v>
      </c>
    </row>
    <row r="2059" spans="28:30" x14ac:dyDescent="0.25">
      <c r="AB2059" s="207" t="s">
        <v>373</v>
      </c>
      <c r="AC2059" s="207" t="s">
        <v>2226</v>
      </c>
      <c r="AD2059" s="213">
        <v>5</v>
      </c>
    </row>
    <row r="2060" spans="28:30" x14ac:dyDescent="0.25">
      <c r="AB2060" s="207" t="s">
        <v>249</v>
      </c>
      <c r="AC2060" s="207" t="s">
        <v>2227</v>
      </c>
      <c r="AD2060" s="213">
        <v>5</v>
      </c>
    </row>
    <row r="2061" spans="28:30" x14ac:dyDescent="0.25">
      <c r="AB2061" s="207" t="s">
        <v>217</v>
      </c>
      <c r="AC2061" s="207" t="s">
        <v>2228</v>
      </c>
      <c r="AD2061" s="213">
        <v>7</v>
      </c>
    </row>
    <row r="2062" spans="28:30" x14ac:dyDescent="0.25">
      <c r="AB2062" s="207" t="s">
        <v>373</v>
      </c>
      <c r="AC2062" s="207" t="s">
        <v>2229</v>
      </c>
      <c r="AD2062" s="213">
        <v>5</v>
      </c>
    </row>
    <row r="2063" spans="28:30" x14ac:dyDescent="0.25">
      <c r="AB2063" s="207" t="s">
        <v>1691</v>
      </c>
      <c r="AC2063" s="207" t="s">
        <v>2230</v>
      </c>
      <c r="AD2063" s="213">
        <v>8</v>
      </c>
    </row>
    <row r="2064" spans="28:30" x14ac:dyDescent="0.25">
      <c r="AB2064" s="207" t="s">
        <v>373</v>
      </c>
      <c r="AC2064" s="207" t="s">
        <v>2231</v>
      </c>
      <c r="AD2064" s="213">
        <v>8</v>
      </c>
    </row>
    <row r="2065" spans="28:30" x14ac:dyDescent="0.25">
      <c r="AB2065" s="207" t="s">
        <v>373</v>
      </c>
      <c r="AC2065" s="207" t="s">
        <v>2232</v>
      </c>
      <c r="AD2065" s="213">
        <v>5</v>
      </c>
    </row>
    <row r="2066" spans="28:30" x14ac:dyDescent="0.25">
      <c r="AB2066" s="207" t="s">
        <v>373</v>
      </c>
      <c r="AC2066" s="207" t="s">
        <v>2233</v>
      </c>
      <c r="AD2066" s="213">
        <v>5</v>
      </c>
    </row>
    <row r="2067" spans="28:30" x14ac:dyDescent="0.25">
      <c r="AB2067" s="207" t="s">
        <v>217</v>
      </c>
      <c r="AC2067" s="207" t="s">
        <v>2234</v>
      </c>
      <c r="AD2067" s="213">
        <v>8</v>
      </c>
    </row>
    <row r="2068" spans="28:30" x14ac:dyDescent="0.25">
      <c r="AB2068" s="207" t="s">
        <v>1691</v>
      </c>
      <c r="AC2068" s="207" t="s">
        <v>2235</v>
      </c>
      <c r="AD2068" s="213">
        <v>8</v>
      </c>
    </row>
    <row r="2069" spans="28:30" x14ac:dyDescent="0.25">
      <c r="AB2069" s="207" t="s">
        <v>1691</v>
      </c>
      <c r="AC2069" s="207" t="s">
        <v>28</v>
      </c>
      <c r="AD2069" s="213">
        <v>8</v>
      </c>
    </row>
    <row r="2070" spans="28:30" x14ac:dyDescent="0.25">
      <c r="AB2070" s="207" t="s">
        <v>233</v>
      </c>
      <c r="AC2070" s="207" t="s">
        <v>2236</v>
      </c>
      <c r="AD2070" s="213">
        <v>3</v>
      </c>
    </row>
    <row r="2071" spans="28:30" x14ac:dyDescent="0.25">
      <c r="AB2071" s="207" t="s">
        <v>1691</v>
      </c>
      <c r="AC2071" s="207" t="s">
        <v>2237</v>
      </c>
      <c r="AD2071" s="213">
        <v>8</v>
      </c>
    </row>
    <row r="2072" spans="28:30" x14ac:dyDescent="0.25">
      <c r="AB2072" s="207" t="s">
        <v>217</v>
      </c>
      <c r="AC2072" s="207" t="s">
        <v>2238</v>
      </c>
      <c r="AD2072" s="213">
        <v>8</v>
      </c>
    </row>
    <row r="2073" spans="28:30" x14ac:dyDescent="0.25">
      <c r="AB2073" s="207" t="s">
        <v>217</v>
      </c>
      <c r="AC2073" s="207" t="s">
        <v>2239</v>
      </c>
      <c r="AD2073" s="213">
        <v>8</v>
      </c>
    </row>
    <row r="2074" spans="28:30" x14ac:dyDescent="0.25">
      <c r="AB2074" s="207" t="s">
        <v>217</v>
      </c>
      <c r="AC2074" s="207" t="s">
        <v>2240</v>
      </c>
      <c r="AD2074" s="213">
        <v>8</v>
      </c>
    </row>
    <row r="2075" spans="28:30" x14ac:dyDescent="0.25">
      <c r="AB2075" s="207" t="s">
        <v>217</v>
      </c>
      <c r="AC2075" s="207" t="s">
        <v>2241</v>
      </c>
      <c r="AD2075" s="213">
        <v>8</v>
      </c>
    </row>
    <row r="2076" spans="28:30" x14ac:dyDescent="0.25">
      <c r="AB2076" s="207" t="s">
        <v>373</v>
      </c>
      <c r="AC2076" s="207" t="s">
        <v>2242</v>
      </c>
      <c r="AD2076" s="213">
        <v>7</v>
      </c>
    </row>
    <row r="2077" spans="28:30" x14ac:dyDescent="0.25">
      <c r="AB2077" s="207" t="s">
        <v>373</v>
      </c>
      <c r="AC2077" s="207" t="s">
        <v>2243</v>
      </c>
      <c r="AD2077" s="213">
        <v>5</v>
      </c>
    </row>
    <row r="2078" spans="28:30" x14ac:dyDescent="0.25">
      <c r="AB2078" s="207" t="s">
        <v>217</v>
      </c>
      <c r="AC2078" s="207" t="s">
        <v>2244</v>
      </c>
      <c r="AD2078" s="213">
        <v>8</v>
      </c>
    </row>
    <row r="2079" spans="28:30" x14ac:dyDescent="0.25">
      <c r="AB2079" s="207" t="s">
        <v>373</v>
      </c>
      <c r="AC2079" s="207" t="s">
        <v>2245</v>
      </c>
      <c r="AD2079" s="213">
        <v>5</v>
      </c>
    </row>
    <row r="2080" spans="28:30" x14ac:dyDescent="0.25">
      <c r="AB2080" s="207" t="s">
        <v>217</v>
      </c>
      <c r="AC2080" s="207" t="s">
        <v>2246</v>
      </c>
      <c r="AD2080" s="213">
        <v>8</v>
      </c>
    </row>
    <row r="2081" spans="28:30" x14ac:dyDescent="0.25">
      <c r="AB2081" s="207" t="s">
        <v>373</v>
      </c>
      <c r="AC2081" s="207" t="s">
        <v>2247</v>
      </c>
      <c r="AD2081" s="213">
        <v>5</v>
      </c>
    </row>
    <row r="2082" spans="28:30" x14ac:dyDescent="0.25">
      <c r="AB2082" s="207" t="s">
        <v>373</v>
      </c>
      <c r="AC2082" s="207" t="s">
        <v>2248</v>
      </c>
      <c r="AD2082" s="213">
        <v>5</v>
      </c>
    </row>
    <row r="2083" spans="28:30" x14ac:dyDescent="0.25">
      <c r="AB2083" s="207" t="s">
        <v>217</v>
      </c>
      <c r="AC2083" s="207" t="s">
        <v>2249</v>
      </c>
      <c r="AD2083" s="213">
        <v>8</v>
      </c>
    </row>
    <row r="2084" spans="28:30" x14ac:dyDescent="0.25">
      <c r="AB2084" s="207" t="s">
        <v>217</v>
      </c>
      <c r="AC2084" s="207" t="s">
        <v>2250</v>
      </c>
      <c r="AD2084" s="213">
        <v>8</v>
      </c>
    </row>
    <row r="2085" spans="28:30" x14ac:dyDescent="0.25">
      <c r="AB2085" s="207" t="s">
        <v>217</v>
      </c>
      <c r="AC2085" s="207" t="s">
        <v>1818</v>
      </c>
      <c r="AD2085" s="213">
        <v>8</v>
      </c>
    </row>
    <row r="2086" spans="28:30" x14ac:dyDescent="0.25">
      <c r="AB2086" s="207" t="s">
        <v>217</v>
      </c>
      <c r="AC2086" s="207" t="s">
        <v>2251</v>
      </c>
      <c r="AD2086" s="213">
        <v>8</v>
      </c>
    </row>
    <row r="2087" spans="28:30" x14ac:dyDescent="0.25">
      <c r="AB2087" s="207" t="s">
        <v>373</v>
      </c>
      <c r="AC2087" s="207" t="s">
        <v>2252</v>
      </c>
      <c r="AD2087" s="213">
        <v>6</v>
      </c>
    </row>
    <row r="2088" spans="28:30" x14ac:dyDescent="0.25">
      <c r="AB2088" s="207" t="s">
        <v>373</v>
      </c>
      <c r="AC2088" s="207" t="s">
        <v>2253</v>
      </c>
      <c r="AD2088" s="213">
        <v>6</v>
      </c>
    </row>
    <row r="2089" spans="28:30" x14ac:dyDescent="0.25">
      <c r="AB2089" s="207" t="s">
        <v>373</v>
      </c>
      <c r="AC2089" s="207" t="s">
        <v>2254</v>
      </c>
      <c r="AD2089" s="213">
        <v>8</v>
      </c>
    </row>
    <row r="2090" spans="28:30" x14ac:dyDescent="0.25">
      <c r="AB2090" s="207" t="s">
        <v>1738</v>
      </c>
      <c r="AC2090" s="207" t="s">
        <v>2255</v>
      </c>
      <c r="AD2090" s="213">
        <v>8</v>
      </c>
    </row>
    <row r="2091" spans="28:30" x14ac:dyDescent="0.25">
      <c r="AB2091" s="207" t="s">
        <v>217</v>
      </c>
      <c r="AC2091" s="207" t="s">
        <v>2256</v>
      </c>
      <c r="AD2091" s="213">
        <v>8</v>
      </c>
    </row>
    <row r="2092" spans="28:30" x14ac:dyDescent="0.25">
      <c r="AB2092" s="207" t="s">
        <v>373</v>
      </c>
      <c r="AC2092" s="207" t="s">
        <v>2257</v>
      </c>
      <c r="AD2092" s="213">
        <v>5</v>
      </c>
    </row>
    <row r="2093" spans="28:30" x14ac:dyDescent="0.25">
      <c r="AB2093" s="207" t="s">
        <v>249</v>
      </c>
      <c r="AC2093" s="207" t="s">
        <v>2258</v>
      </c>
      <c r="AD2093" s="213">
        <v>5</v>
      </c>
    </row>
    <row r="2094" spans="28:30" x14ac:dyDescent="0.25">
      <c r="AB2094" s="207" t="s">
        <v>217</v>
      </c>
      <c r="AC2094" s="207" t="s">
        <v>2259</v>
      </c>
      <c r="AD2094" s="213">
        <v>8</v>
      </c>
    </row>
    <row r="2095" spans="28:30" x14ac:dyDescent="0.25">
      <c r="AB2095" s="207" t="s">
        <v>219</v>
      </c>
      <c r="AC2095" s="207" t="s">
        <v>2260</v>
      </c>
      <c r="AD2095" s="213">
        <v>8</v>
      </c>
    </row>
    <row r="2096" spans="28:30" x14ac:dyDescent="0.25">
      <c r="AB2096" s="207" t="s">
        <v>219</v>
      </c>
      <c r="AC2096" s="207" t="s">
        <v>2261</v>
      </c>
      <c r="AD2096" s="213">
        <v>8</v>
      </c>
    </row>
    <row r="2097" spans="28:30" x14ac:dyDescent="0.25">
      <c r="AB2097" s="207" t="s">
        <v>217</v>
      </c>
      <c r="AC2097" s="207" t="s">
        <v>2262</v>
      </c>
      <c r="AD2097" s="213">
        <v>8</v>
      </c>
    </row>
    <row r="2098" spans="28:30" x14ac:dyDescent="0.25">
      <c r="AB2098" s="207" t="s">
        <v>217</v>
      </c>
      <c r="AC2098" s="207" t="s">
        <v>2263</v>
      </c>
      <c r="AD2098" s="213">
        <v>7</v>
      </c>
    </row>
    <row r="2099" spans="28:30" x14ac:dyDescent="0.25">
      <c r="AB2099" s="207" t="s">
        <v>217</v>
      </c>
      <c r="AC2099" s="207" t="s">
        <v>2264</v>
      </c>
      <c r="AD2099" s="213">
        <v>8</v>
      </c>
    </row>
    <row r="2100" spans="28:30" x14ac:dyDescent="0.25">
      <c r="AB2100" s="207" t="s">
        <v>373</v>
      </c>
      <c r="AC2100" s="207" t="s">
        <v>2265</v>
      </c>
      <c r="AD2100" s="213">
        <v>5</v>
      </c>
    </row>
    <row r="2101" spans="28:30" x14ac:dyDescent="0.25">
      <c r="AB2101" s="207" t="s">
        <v>373</v>
      </c>
      <c r="AC2101" s="207" t="s">
        <v>2266</v>
      </c>
      <c r="AD2101" s="213">
        <v>8</v>
      </c>
    </row>
    <row r="2102" spans="28:30" x14ac:dyDescent="0.25">
      <c r="AB2102" s="207" t="s">
        <v>373</v>
      </c>
      <c r="AC2102" s="207" t="s">
        <v>2267</v>
      </c>
      <c r="AD2102" s="213">
        <v>5</v>
      </c>
    </row>
    <row r="2103" spans="28:30" x14ac:dyDescent="0.25">
      <c r="AB2103" s="207" t="s">
        <v>249</v>
      </c>
      <c r="AC2103" s="207" t="s">
        <v>2268</v>
      </c>
      <c r="AD2103" s="213">
        <v>5</v>
      </c>
    </row>
    <row r="2104" spans="28:30" x14ac:dyDescent="0.25">
      <c r="AB2104" s="207" t="s">
        <v>373</v>
      </c>
      <c r="AC2104" s="207" t="s">
        <v>2269</v>
      </c>
      <c r="AD2104" s="213">
        <v>5</v>
      </c>
    </row>
    <row r="2105" spans="28:30" x14ac:dyDescent="0.25">
      <c r="AB2105" s="207" t="s">
        <v>373</v>
      </c>
      <c r="AC2105" s="207" t="s">
        <v>2270</v>
      </c>
      <c r="AD2105" s="213">
        <v>8</v>
      </c>
    </row>
    <row r="2106" spans="28:30" x14ac:dyDescent="0.25">
      <c r="AB2106" s="207" t="s">
        <v>217</v>
      </c>
      <c r="AC2106" s="207" t="s">
        <v>2271</v>
      </c>
      <c r="AD2106" s="213">
        <v>8</v>
      </c>
    </row>
    <row r="2107" spans="28:30" x14ac:dyDescent="0.25">
      <c r="AB2107" s="207" t="s">
        <v>217</v>
      </c>
      <c r="AC2107" s="207" t="s">
        <v>2272</v>
      </c>
      <c r="AD2107" s="213">
        <v>8</v>
      </c>
    </row>
    <row r="2108" spans="28:30" x14ac:dyDescent="0.25">
      <c r="AB2108" s="207" t="s">
        <v>217</v>
      </c>
      <c r="AC2108" s="207" t="s">
        <v>1245</v>
      </c>
      <c r="AD2108" s="213">
        <v>6</v>
      </c>
    </row>
    <row r="2109" spans="28:30" x14ac:dyDescent="0.25">
      <c r="AB2109" s="207" t="s">
        <v>373</v>
      </c>
      <c r="AC2109" s="207" t="s">
        <v>2273</v>
      </c>
      <c r="AD2109" s="213">
        <v>8</v>
      </c>
    </row>
    <row r="2110" spans="28:30" x14ac:dyDescent="0.25">
      <c r="AB2110" s="207" t="s">
        <v>217</v>
      </c>
      <c r="AC2110" s="207" t="s">
        <v>2274</v>
      </c>
      <c r="AD2110" s="213">
        <v>8</v>
      </c>
    </row>
    <row r="2111" spans="28:30" x14ac:dyDescent="0.25">
      <c r="AB2111" s="207" t="s">
        <v>56</v>
      </c>
      <c r="AC2111" s="207" t="s">
        <v>2275</v>
      </c>
      <c r="AD2111" s="213">
        <v>8</v>
      </c>
    </row>
    <row r="2112" spans="28:30" x14ac:dyDescent="0.25">
      <c r="AB2112" s="207" t="s">
        <v>217</v>
      </c>
      <c r="AC2112" s="207" t="s">
        <v>335</v>
      </c>
      <c r="AD2112" s="213">
        <v>8</v>
      </c>
    </row>
    <row r="2113" spans="28:30" x14ac:dyDescent="0.25">
      <c r="AB2113" s="207" t="s">
        <v>373</v>
      </c>
      <c r="AC2113" s="207" t="s">
        <v>2276</v>
      </c>
      <c r="AD2113" s="213">
        <v>8</v>
      </c>
    </row>
    <row r="2114" spans="28:30" x14ac:dyDescent="0.25">
      <c r="AB2114" s="207" t="s">
        <v>249</v>
      </c>
      <c r="AC2114" s="207" t="s">
        <v>2277</v>
      </c>
      <c r="AD2114" s="213">
        <v>5</v>
      </c>
    </row>
    <row r="2115" spans="28:30" x14ac:dyDescent="0.25">
      <c r="AB2115" s="207" t="s">
        <v>217</v>
      </c>
      <c r="AC2115" s="207" t="s">
        <v>2278</v>
      </c>
      <c r="AD2115" s="213">
        <v>8</v>
      </c>
    </row>
    <row r="2116" spans="28:30" x14ac:dyDescent="0.25">
      <c r="AB2116" s="207" t="s">
        <v>219</v>
      </c>
      <c r="AC2116" s="207" t="s">
        <v>2279</v>
      </c>
      <c r="AD2116" s="213">
        <v>8</v>
      </c>
    </row>
    <row r="2117" spans="28:30" x14ac:dyDescent="0.25">
      <c r="AB2117" s="207" t="s">
        <v>217</v>
      </c>
      <c r="AC2117" s="207" t="s">
        <v>2280</v>
      </c>
      <c r="AD2117" s="213">
        <v>7</v>
      </c>
    </row>
    <row r="2118" spans="28:30" x14ac:dyDescent="0.25">
      <c r="AB2118" s="207" t="s">
        <v>249</v>
      </c>
      <c r="AC2118" s="207" t="s">
        <v>2281</v>
      </c>
      <c r="AD2118" s="213">
        <v>3</v>
      </c>
    </row>
    <row r="2119" spans="28:30" x14ac:dyDescent="0.25">
      <c r="AB2119" s="207" t="s">
        <v>56</v>
      </c>
      <c r="AC2119" s="207" t="s">
        <v>2282</v>
      </c>
      <c r="AD2119" s="213">
        <v>8</v>
      </c>
    </row>
    <row r="2120" spans="28:30" x14ac:dyDescent="0.25">
      <c r="AB2120" s="207" t="s">
        <v>217</v>
      </c>
      <c r="AC2120" s="207" t="s">
        <v>2283</v>
      </c>
      <c r="AD2120" s="213">
        <v>8</v>
      </c>
    </row>
    <row r="2121" spans="28:30" x14ac:dyDescent="0.25">
      <c r="AB2121" s="207" t="s">
        <v>217</v>
      </c>
      <c r="AC2121" s="207" t="s">
        <v>2284</v>
      </c>
      <c r="AD2121" s="213">
        <v>6</v>
      </c>
    </row>
    <row r="2122" spans="28:30" x14ac:dyDescent="0.25">
      <c r="AB2122" s="207" t="s">
        <v>217</v>
      </c>
      <c r="AC2122" s="207" t="s">
        <v>2285</v>
      </c>
      <c r="AD2122" s="213">
        <v>8</v>
      </c>
    </row>
    <row r="2123" spans="28:30" x14ac:dyDescent="0.25">
      <c r="AB2123" s="207" t="s">
        <v>217</v>
      </c>
      <c r="AC2123" s="207" t="s">
        <v>2286</v>
      </c>
      <c r="AD2123" s="213">
        <v>7</v>
      </c>
    </row>
    <row r="2124" spans="28:30" x14ac:dyDescent="0.25">
      <c r="AB2124" s="207" t="s">
        <v>217</v>
      </c>
      <c r="AC2124" s="207" t="s">
        <v>2287</v>
      </c>
      <c r="AD2124" s="213">
        <v>7</v>
      </c>
    </row>
    <row r="2125" spans="28:30" x14ac:dyDescent="0.25">
      <c r="AB2125" s="207" t="s">
        <v>56</v>
      </c>
      <c r="AC2125" s="207" t="s">
        <v>2288</v>
      </c>
      <c r="AD2125" s="213">
        <v>8</v>
      </c>
    </row>
    <row r="2126" spans="28:30" x14ac:dyDescent="0.25">
      <c r="AB2126" s="207" t="s">
        <v>217</v>
      </c>
      <c r="AC2126" s="207" t="s">
        <v>2289</v>
      </c>
      <c r="AD2126" s="213">
        <v>8</v>
      </c>
    </row>
    <row r="2127" spans="28:30" x14ac:dyDescent="0.25">
      <c r="AB2127" s="207" t="s">
        <v>217</v>
      </c>
      <c r="AC2127" s="207" t="s">
        <v>2290</v>
      </c>
      <c r="AD2127" s="213">
        <v>7</v>
      </c>
    </row>
    <row r="2128" spans="28:30" x14ac:dyDescent="0.25">
      <c r="AB2128" s="207" t="s">
        <v>217</v>
      </c>
      <c r="AC2128" s="207" t="s">
        <v>2291</v>
      </c>
      <c r="AD2128" s="213">
        <v>7</v>
      </c>
    </row>
    <row r="2129" spans="28:30" x14ac:dyDescent="0.25">
      <c r="AB2129" s="207" t="s">
        <v>217</v>
      </c>
      <c r="AC2129" s="207" t="s">
        <v>2292</v>
      </c>
      <c r="AD2129" s="213">
        <v>8</v>
      </c>
    </row>
    <row r="2130" spans="28:30" x14ac:dyDescent="0.25">
      <c r="AB2130" s="207" t="s">
        <v>373</v>
      </c>
      <c r="AC2130" s="207" t="s">
        <v>2293</v>
      </c>
      <c r="AD2130" s="213">
        <v>8</v>
      </c>
    </row>
    <row r="2131" spans="28:30" x14ac:dyDescent="0.25">
      <c r="AB2131" s="207" t="s">
        <v>249</v>
      </c>
      <c r="AC2131" s="207" t="s">
        <v>2294</v>
      </c>
      <c r="AD2131" s="213">
        <v>3</v>
      </c>
    </row>
    <row r="2132" spans="28:30" x14ac:dyDescent="0.25">
      <c r="AB2132" s="207" t="s">
        <v>373</v>
      </c>
      <c r="AC2132" s="207" t="s">
        <v>2295</v>
      </c>
      <c r="AD2132" s="213">
        <v>5</v>
      </c>
    </row>
    <row r="2133" spans="28:30" x14ac:dyDescent="0.25">
      <c r="AB2133" s="207" t="s">
        <v>249</v>
      </c>
      <c r="AC2133" s="207" t="s">
        <v>2296</v>
      </c>
      <c r="AD2133" s="213">
        <v>3</v>
      </c>
    </row>
    <row r="2134" spans="28:30" x14ac:dyDescent="0.25">
      <c r="AB2134" s="207" t="s">
        <v>56</v>
      </c>
      <c r="AC2134" s="207" t="s">
        <v>2297</v>
      </c>
      <c r="AD2134" s="213">
        <v>8</v>
      </c>
    </row>
    <row r="2135" spans="28:30" x14ac:dyDescent="0.25">
      <c r="AB2135" s="207" t="s">
        <v>217</v>
      </c>
      <c r="AC2135" s="207" t="s">
        <v>2298</v>
      </c>
      <c r="AD2135" s="213">
        <v>7</v>
      </c>
    </row>
    <row r="2136" spans="28:30" x14ac:dyDescent="0.25">
      <c r="AB2136" s="207" t="s">
        <v>217</v>
      </c>
      <c r="AC2136" s="207" t="s">
        <v>2299</v>
      </c>
      <c r="AD2136" s="213">
        <v>7</v>
      </c>
    </row>
    <row r="2137" spans="28:30" x14ac:dyDescent="0.25">
      <c r="AB2137" s="207" t="s">
        <v>56</v>
      </c>
      <c r="AC2137" s="207" t="s">
        <v>1287</v>
      </c>
      <c r="AD2137" s="213">
        <v>8</v>
      </c>
    </row>
    <row r="2138" spans="28:30" x14ac:dyDescent="0.25">
      <c r="AB2138" s="207" t="s">
        <v>56</v>
      </c>
      <c r="AC2138" s="207" t="s">
        <v>2300</v>
      </c>
      <c r="AD2138" s="213">
        <v>8</v>
      </c>
    </row>
    <row r="2139" spans="28:30" x14ac:dyDescent="0.25">
      <c r="AB2139" s="207" t="s">
        <v>373</v>
      </c>
      <c r="AC2139" s="207" t="s">
        <v>2301</v>
      </c>
      <c r="AD2139" s="213">
        <v>6</v>
      </c>
    </row>
    <row r="2140" spans="28:30" x14ac:dyDescent="0.25">
      <c r="AB2140" s="207" t="s">
        <v>56</v>
      </c>
      <c r="AC2140" s="207" t="s">
        <v>2302</v>
      </c>
      <c r="AD2140" s="213">
        <v>8</v>
      </c>
    </row>
    <row r="2141" spans="28:30" x14ac:dyDescent="0.25">
      <c r="AB2141" s="207" t="s">
        <v>56</v>
      </c>
      <c r="AC2141" s="207" t="s">
        <v>2303</v>
      </c>
      <c r="AD2141" s="213">
        <v>8</v>
      </c>
    </row>
    <row r="2142" spans="28:30" x14ac:dyDescent="0.25">
      <c r="AB2142" s="207" t="s">
        <v>56</v>
      </c>
      <c r="AC2142" s="207" t="s">
        <v>2304</v>
      </c>
      <c r="AD2142" s="213">
        <v>8</v>
      </c>
    </row>
    <row r="2143" spans="28:30" x14ac:dyDescent="0.25">
      <c r="AB2143" s="207" t="s">
        <v>56</v>
      </c>
      <c r="AC2143" s="207" t="s">
        <v>2305</v>
      </c>
      <c r="AD2143" s="213">
        <v>8</v>
      </c>
    </row>
    <row r="2144" spans="28:30" x14ac:dyDescent="0.25">
      <c r="AB2144" s="207" t="s">
        <v>56</v>
      </c>
      <c r="AC2144" s="207" t="s">
        <v>2306</v>
      </c>
      <c r="AD2144" s="213">
        <v>8</v>
      </c>
    </row>
    <row r="2145" spans="28:30" x14ac:dyDescent="0.25">
      <c r="AB2145" s="207" t="s">
        <v>1715</v>
      </c>
      <c r="AC2145" s="207" t="s">
        <v>2307</v>
      </c>
      <c r="AD2145" s="213">
        <v>6</v>
      </c>
    </row>
    <row r="2146" spans="28:30" x14ac:dyDescent="0.25">
      <c r="AB2146" s="207" t="s">
        <v>56</v>
      </c>
      <c r="AC2146" s="207" t="s">
        <v>2308</v>
      </c>
      <c r="AD2146" s="213">
        <v>8</v>
      </c>
    </row>
    <row r="2147" spans="28:30" x14ac:dyDescent="0.25">
      <c r="AB2147" s="207" t="s">
        <v>56</v>
      </c>
      <c r="AC2147" s="207" t="s">
        <v>2309</v>
      </c>
      <c r="AD2147" s="213">
        <v>8</v>
      </c>
    </row>
    <row r="2148" spans="28:30" x14ac:dyDescent="0.25">
      <c r="AB2148" s="207" t="s">
        <v>249</v>
      </c>
      <c r="AC2148" s="207" t="s">
        <v>2310</v>
      </c>
      <c r="AD2148" s="213">
        <v>3</v>
      </c>
    </row>
    <row r="2149" spans="28:30" x14ac:dyDescent="0.25">
      <c r="AB2149" s="207" t="s">
        <v>249</v>
      </c>
      <c r="AC2149" s="207" t="s">
        <v>2311</v>
      </c>
      <c r="AD2149" s="213">
        <v>3</v>
      </c>
    </row>
    <row r="2150" spans="28:30" x14ac:dyDescent="0.25">
      <c r="AB2150" s="207" t="s">
        <v>217</v>
      </c>
      <c r="AC2150" s="207" t="s">
        <v>2312</v>
      </c>
      <c r="AD2150" s="213">
        <v>7</v>
      </c>
    </row>
    <row r="2151" spans="28:30" x14ac:dyDescent="0.25">
      <c r="AB2151" s="207" t="s">
        <v>56</v>
      </c>
      <c r="AC2151" s="207" t="s">
        <v>2313</v>
      </c>
      <c r="AD2151" s="213">
        <v>8</v>
      </c>
    </row>
    <row r="2152" spans="28:30" x14ac:dyDescent="0.25">
      <c r="AB2152" s="207" t="s">
        <v>217</v>
      </c>
      <c r="AC2152" s="207" t="s">
        <v>2314</v>
      </c>
      <c r="AD2152" s="213">
        <v>6</v>
      </c>
    </row>
    <row r="2153" spans="28:30" x14ac:dyDescent="0.25">
      <c r="AB2153" s="207" t="s">
        <v>56</v>
      </c>
      <c r="AC2153" s="207" t="s">
        <v>2315</v>
      </c>
      <c r="AD2153" s="213">
        <v>8</v>
      </c>
    </row>
    <row r="2154" spans="28:30" x14ac:dyDescent="0.25">
      <c r="AB2154" s="207" t="s">
        <v>249</v>
      </c>
      <c r="AC2154" s="207" t="s">
        <v>2316</v>
      </c>
      <c r="AD2154" s="213">
        <v>5</v>
      </c>
    </row>
    <row r="2155" spans="28:30" x14ac:dyDescent="0.25">
      <c r="AB2155" s="207" t="s">
        <v>249</v>
      </c>
      <c r="AC2155" s="207" t="s">
        <v>2317</v>
      </c>
      <c r="AD2155" s="213">
        <v>5</v>
      </c>
    </row>
    <row r="2156" spans="28:30" x14ac:dyDescent="0.25">
      <c r="AB2156" s="207" t="s">
        <v>217</v>
      </c>
      <c r="AC2156" s="207" t="s">
        <v>2318</v>
      </c>
      <c r="AD2156" s="213">
        <v>6</v>
      </c>
    </row>
    <row r="2157" spans="28:30" x14ac:dyDescent="0.25">
      <c r="AB2157" s="207" t="s">
        <v>249</v>
      </c>
      <c r="AC2157" s="207" t="s">
        <v>2319</v>
      </c>
      <c r="AD2157" s="213">
        <v>3</v>
      </c>
    </row>
    <row r="2158" spans="28:30" x14ac:dyDescent="0.25">
      <c r="AB2158" s="207" t="s">
        <v>217</v>
      </c>
      <c r="AC2158" s="207" t="s">
        <v>2320</v>
      </c>
      <c r="AD2158" s="213">
        <v>7</v>
      </c>
    </row>
    <row r="2159" spans="28:30" x14ac:dyDescent="0.25">
      <c r="AB2159" s="207" t="s">
        <v>373</v>
      </c>
      <c r="AC2159" s="207" t="s">
        <v>2321</v>
      </c>
      <c r="AD2159" s="213">
        <v>6</v>
      </c>
    </row>
    <row r="2160" spans="28:30" x14ac:dyDescent="0.25">
      <c r="AB2160" s="207" t="s">
        <v>217</v>
      </c>
      <c r="AC2160" s="207" t="s">
        <v>2322</v>
      </c>
      <c r="AD2160" s="213">
        <v>6</v>
      </c>
    </row>
    <row r="2161" spans="28:30" x14ac:dyDescent="0.25">
      <c r="AB2161" s="207" t="s">
        <v>217</v>
      </c>
      <c r="AC2161" s="207" t="s">
        <v>2323</v>
      </c>
      <c r="AD2161" s="213">
        <v>7</v>
      </c>
    </row>
    <row r="2162" spans="28:30" x14ac:dyDescent="0.25">
      <c r="AB2162" s="207" t="s">
        <v>373</v>
      </c>
      <c r="AC2162" s="207" t="s">
        <v>2324</v>
      </c>
      <c r="AD2162" s="213">
        <v>5</v>
      </c>
    </row>
    <row r="2163" spans="28:30" x14ac:dyDescent="0.25">
      <c r="AB2163" s="207" t="s">
        <v>219</v>
      </c>
      <c r="AC2163" s="207" t="s">
        <v>2325</v>
      </c>
      <c r="AD2163" s="213">
        <v>8</v>
      </c>
    </row>
    <row r="2164" spans="28:30" x14ac:dyDescent="0.25">
      <c r="AB2164" s="207" t="s">
        <v>56</v>
      </c>
      <c r="AC2164" s="207" t="s">
        <v>2326</v>
      </c>
      <c r="AD2164" s="213">
        <v>8</v>
      </c>
    </row>
    <row r="2165" spans="28:30" x14ac:dyDescent="0.25">
      <c r="AB2165" s="207" t="s">
        <v>373</v>
      </c>
      <c r="AC2165" s="207" t="s">
        <v>2327</v>
      </c>
      <c r="AD2165" s="213">
        <v>6</v>
      </c>
    </row>
    <row r="2166" spans="28:30" x14ac:dyDescent="0.25">
      <c r="AB2166" s="207" t="s">
        <v>249</v>
      </c>
      <c r="AC2166" s="207" t="s">
        <v>2328</v>
      </c>
      <c r="AD2166" s="213">
        <v>5</v>
      </c>
    </row>
    <row r="2167" spans="28:30" x14ac:dyDescent="0.25">
      <c r="AB2167" s="207" t="s">
        <v>1691</v>
      </c>
      <c r="AC2167" s="207" t="s">
        <v>2329</v>
      </c>
      <c r="AD2167" s="213">
        <v>8</v>
      </c>
    </row>
    <row r="2168" spans="28:30" x14ac:dyDescent="0.25">
      <c r="AB2168" s="207" t="s">
        <v>1953</v>
      </c>
      <c r="AC2168" s="207" t="s">
        <v>2330</v>
      </c>
      <c r="AD2168" s="213">
        <v>8</v>
      </c>
    </row>
    <row r="2169" spans="28:30" x14ac:dyDescent="0.25">
      <c r="AB2169" s="207" t="s">
        <v>56</v>
      </c>
      <c r="AC2169" s="207" t="s">
        <v>2331</v>
      </c>
      <c r="AD2169" s="213">
        <v>8</v>
      </c>
    </row>
    <row r="2170" spans="28:30" x14ac:dyDescent="0.25">
      <c r="AB2170" s="207" t="s">
        <v>217</v>
      </c>
      <c r="AC2170" s="207" t="s">
        <v>2332</v>
      </c>
      <c r="AD2170" s="213">
        <v>7</v>
      </c>
    </row>
    <row r="2171" spans="28:30" x14ac:dyDescent="0.25">
      <c r="AB2171" s="207" t="s">
        <v>373</v>
      </c>
      <c r="AC2171" s="207" t="s">
        <v>2333</v>
      </c>
      <c r="AD2171" s="213">
        <v>5</v>
      </c>
    </row>
    <row r="2172" spans="28:30" x14ac:dyDescent="0.25">
      <c r="AB2172" s="207" t="s">
        <v>1715</v>
      </c>
      <c r="AC2172" s="207" t="s">
        <v>2334</v>
      </c>
      <c r="AD2172" s="213">
        <v>6</v>
      </c>
    </row>
    <row r="2173" spans="28:30" x14ac:dyDescent="0.25">
      <c r="AB2173" s="207" t="s">
        <v>2160</v>
      </c>
      <c r="AC2173" s="207" t="s">
        <v>2335</v>
      </c>
      <c r="AD2173" s="213">
        <v>6</v>
      </c>
    </row>
    <row r="2174" spans="28:30" x14ac:dyDescent="0.25">
      <c r="AB2174" s="207" t="s">
        <v>249</v>
      </c>
      <c r="AC2174" s="207" t="s">
        <v>2336</v>
      </c>
      <c r="AD2174" s="213">
        <v>3</v>
      </c>
    </row>
    <row r="2175" spans="28:30" x14ac:dyDescent="0.25">
      <c r="AB2175" s="207" t="s">
        <v>217</v>
      </c>
      <c r="AC2175" s="207" t="s">
        <v>2337</v>
      </c>
      <c r="AD2175" s="213">
        <v>6</v>
      </c>
    </row>
    <row r="2176" spans="28:30" x14ac:dyDescent="0.25">
      <c r="AB2176" s="207" t="s">
        <v>249</v>
      </c>
      <c r="AC2176" s="207" t="s">
        <v>2338</v>
      </c>
      <c r="AD2176" s="213">
        <v>5</v>
      </c>
    </row>
    <row r="2177" spans="28:30" x14ac:dyDescent="0.25">
      <c r="AB2177" s="207" t="s">
        <v>249</v>
      </c>
      <c r="AC2177" s="207" t="s">
        <v>2339</v>
      </c>
      <c r="AD2177" s="213">
        <v>5</v>
      </c>
    </row>
    <row r="2178" spans="28:30" x14ac:dyDescent="0.25">
      <c r="AB2178" s="207" t="s">
        <v>56</v>
      </c>
      <c r="AC2178" s="207" t="s">
        <v>2340</v>
      </c>
      <c r="AD2178" s="213">
        <v>8</v>
      </c>
    </row>
    <row r="2179" spans="28:30" x14ac:dyDescent="0.25">
      <c r="AB2179" s="207" t="s">
        <v>219</v>
      </c>
      <c r="AC2179" s="207" t="s">
        <v>2341</v>
      </c>
      <c r="AD2179" s="213">
        <v>8</v>
      </c>
    </row>
    <row r="2180" spans="28:30" x14ac:dyDescent="0.25">
      <c r="AB2180" s="207" t="s">
        <v>217</v>
      </c>
      <c r="AC2180" s="207" t="s">
        <v>1830</v>
      </c>
      <c r="AD2180" s="213">
        <v>7</v>
      </c>
    </row>
    <row r="2181" spans="28:30" x14ac:dyDescent="0.25">
      <c r="AB2181" s="207" t="s">
        <v>373</v>
      </c>
      <c r="AC2181" s="207" t="s">
        <v>2342</v>
      </c>
      <c r="AD2181" s="213">
        <v>8</v>
      </c>
    </row>
    <row r="2182" spans="28:30" x14ac:dyDescent="0.25">
      <c r="AB2182" s="207" t="s">
        <v>249</v>
      </c>
      <c r="AC2182" s="207" t="s">
        <v>2343</v>
      </c>
      <c r="AD2182" s="213">
        <v>5</v>
      </c>
    </row>
    <row r="2183" spans="28:30" x14ac:dyDescent="0.25">
      <c r="AB2183" s="207" t="s">
        <v>249</v>
      </c>
      <c r="AC2183" s="207" t="s">
        <v>2344</v>
      </c>
      <c r="AD2183" s="213">
        <v>5</v>
      </c>
    </row>
    <row r="2184" spans="28:30" x14ac:dyDescent="0.25">
      <c r="AB2184" s="207" t="s">
        <v>56</v>
      </c>
      <c r="AC2184" s="207" t="s">
        <v>2345</v>
      </c>
      <c r="AD2184" s="213">
        <v>8</v>
      </c>
    </row>
    <row r="2185" spans="28:30" x14ac:dyDescent="0.25">
      <c r="AB2185" s="207" t="s">
        <v>56</v>
      </c>
      <c r="AC2185" s="207" t="s">
        <v>2346</v>
      </c>
      <c r="AD2185" s="213">
        <v>8</v>
      </c>
    </row>
    <row r="2186" spans="28:30" x14ac:dyDescent="0.25">
      <c r="AB2186" s="207" t="s">
        <v>249</v>
      </c>
      <c r="AC2186" s="207" t="s">
        <v>2347</v>
      </c>
      <c r="AD2186" s="213">
        <v>5</v>
      </c>
    </row>
    <row r="2187" spans="28:30" x14ac:dyDescent="0.25">
      <c r="AB2187" s="207" t="s">
        <v>249</v>
      </c>
      <c r="AC2187" s="207" t="s">
        <v>2348</v>
      </c>
      <c r="AD2187" s="213">
        <v>5</v>
      </c>
    </row>
    <row r="2188" spans="28:30" x14ac:dyDescent="0.25">
      <c r="AB2188" s="207" t="s">
        <v>1691</v>
      </c>
      <c r="AC2188" s="207" t="s">
        <v>1035</v>
      </c>
      <c r="AD2188" s="213">
        <v>8</v>
      </c>
    </row>
    <row r="2189" spans="28:30" x14ac:dyDescent="0.25">
      <c r="AB2189" s="207" t="s">
        <v>56</v>
      </c>
      <c r="AC2189" s="207" t="s">
        <v>2349</v>
      </c>
      <c r="AD2189" s="213">
        <v>8</v>
      </c>
    </row>
    <row r="2190" spans="28:30" x14ac:dyDescent="0.25">
      <c r="AB2190" s="207" t="s">
        <v>373</v>
      </c>
      <c r="AC2190" s="207" t="s">
        <v>2350</v>
      </c>
      <c r="AD2190" s="213">
        <v>5</v>
      </c>
    </row>
    <row r="2191" spans="28:30" x14ac:dyDescent="0.25">
      <c r="AB2191" s="207" t="s">
        <v>217</v>
      </c>
      <c r="AC2191" s="207" t="s">
        <v>2351</v>
      </c>
      <c r="AD2191" s="213">
        <v>7</v>
      </c>
    </row>
    <row r="2192" spans="28:30" x14ac:dyDescent="0.25">
      <c r="AB2192" s="207" t="s">
        <v>373</v>
      </c>
      <c r="AC2192" s="207" t="s">
        <v>2352</v>
      </c>
      <c r="AD2192" s="213">
        <v>8</v>
      </c>
    </row>
    <row r="2193" spans="28:30" x14ac:dyDescent="0.25">
      <c r="AB2193" s="207" t="s">
        <v>56</v>
      </c>
      <c r="AC2193" s="207" t="s">
        <v>2353</v>
      </c>
      <c r="AD2193" s="213">
        <v>8</v>
      </c>
    </row>
    <row r="2194" spans="28:30" x14ac:dyDescent="0.25">
      <c r="AB2194" s="207" t="s">
        <v>373</v>
      </c>
      <c r="AC2194" s="207" t="s">
        <v>2354</v>
      </c>
      <c r="AD2194" s="213">
        <v>6</v>
      </c>
    </row>
    <row r="2195" spans="28:30" x14ac:dyDescent="0.25">
      <c r="AB2195" s="207" t="s">
        <v>1691</v>
      </c>
      <c r="AC2195" s="207" t="s">
        <v>2355</v>
      </c>
      <c r="AD2195" s="213">
        <v>8</v>
      </c>
    </row>
    <row r="2196" spans="28:30" x14ac:dyDescent="0.25">
      <c r="AB2196" s="207" t="s">
        <v>249</v>
      </c>
      <c r="AC2196" s="207" t="s">
        <v>2356</v>
      </c>
      <c r="AD2196" s="213">
        <v>5</v>
      </c>
    </row>
    <row r="2197" spans="28:30" x14ac:dyDescent="0.25">
      <c r="AB2197" s="207" t="s">
        <v>1691</v>
      </c>
      <c r="AC2197" s="207" t="s">
        <v>2357</v>
      </c>
      <c r="AD2197" s="213">
        <v>8</v>
      </c>
    </row>
    <row r="2198" spans="28:30" x14ac:dyDescent="0.25">
      <c r="AB2198" s="207" t="s">
        <v>249</v>
      </c>
      <c r="AC2198" s="207" t="s">
        <v>2358</v>
      </c>
      <c r="AD2198" s="213">
        <v>5</v>
      </c>
    </row>
    <row r="2199" spans="28:30" x14ac:dyDescent="0.25">
      <c r="AB2199" s="207" t="s">
        <v>217</v>
      </c>
      <c r="AC2199" s="207" t="s">
        <v>2359</v>
      </c>
      <c r="AD2199" s="213">
        <v>8</v>
      </c>
    </row>
    <row r="2200" spans="28:30" x14ac:dyDescent="0.25">
      <c r="AB2200" s="207" t="s">
        <v>1691</v>
      </c>
      <c r="AC2200" s="207" t="s">
        <v>2360</v>
      </c>
      <c r="AD2200" s="213">
        <v>8</v>
      </c>
    </row>
    <row r="2201" spans="28:30" x14ac:dyDescent="0.25">
      <c r="AB2201" s="207" t="s">
        <v>1691</v>
      </c>
      <c r="AC2201" s="207" t="s">
        <v>2361</v>
      </c>
      <c r="AD2201" s="213">
        <v>8</v>
      </c>
    </row>
    <row r="2202" spans="28:30" x14ac:dyDescent="0.25">
      <c r="AB2202" s="207" t="s">
        <v>56</v>
      </c>
      <c r="AC2202" s="207" t="s">
        <v>2362</v>
      </c>
      <c r="AD2202" s="213">
        <v>8</v>
      </c>
    </row>
    <row r="2203" spans="28:30" x14ac:dyDescent="0.25">
      <c r="AB2203" s="207" t="s">
        <v>373</v>
      </c>
      <c r="AC2203" s="207" t="s">
        <v>2363</v>
      </c>
      <c r="AD2203" s="213">
        <v>5</v>
      </c>
    </row>
    <row r="2204" spans="28:30" x14ac:dyDescent="0.25">
      <c r="AB2204" s="207" t="s">
        <v>1691</v>
      </c>
      <c r="AC2204" s="207" t="s">
        <v>2364</v>
      </c>
      <c r="AD2204" s="213">
        <v>8</v>
      </c>
    </row>
    <row r="2205" spans="28:30" x14ac:dyDescent="0.25">
      <c r="AB2205" s="207" t="s">
        <v>1691</v>
      </c>
      <c r="AC2205" s="207" t="s">
        <v>2365</v>
      </c>
      <c r="AD2205" s="213">
        <v>8</v>
      </c>
    </row>
    <row r="2206" spans="28:30" x14ac:dyDescent="0.25">
      <c r="AB2206" s="207" t="s">
        <v>373</v>
      </c>
      <c r="AC2206" s="207" t="s">
        <v>2366</v>
      </c>
      <c r="AD2206" s="213">
        <v>6</v>
      </c>
    </row>
    <row r="2207" spans="28:30" x14ac:dyDescent="0.25">
      <c r="AB2207" s="207" t="s">
        <v>1691</v>
      </c>
      <c r="AC2207" s="207" t="s">
        <v>2367</v>
      </c>
      <c r="AD2207" s="213">
        <v>8</v>
      </c>
    </row>
    <row r="2208" spans="28:30" x14ac:dyDescent="0.25">
      <c r="AB2208" s="207" t="s">
        <v>1691</v>
      </c>
      <c r="AC2208" s="207" t="s">
        <v>2368</v>
      </c>
      <c r="AD2208" s="213">
        <v>8</v>
      </c>
    </row>
    <row r="2209" spans="28:30" x14ac:dyDescent="0.25">
      <c r="AB2209" s="207" t="s">
        <v>249</v>
      </c>
      <c r="AC2209" s="207" t="s">
        <v>2369</v>
      </c>
      <c r="AD2209" s="213">
        <v>6</v>
      </c>
    </row>
    <row r="2210" spans="28:30" x14ac:dyDescent="0.25">
      <c r="AB2210" s="207" t="s">
        <v>56</v>
      </c>
      <c r="AC2210" s="207" t="s">
        <v>2370</v>
      </c>
      <c r="AD2210" s="213">
        <v>8</v>
      </c>
    </row>
    <row r="2211" spans="28:30" x14ac:dyDescent="0.25">
      <c r="AB2211" s="207" t="s">
        <v>1691</v>
      </c>
      <c r="AC2211" s="207" t="s">
        <v>2371</v>
      </c>
      <c r="AD2211" s="213">
        <v>8</v>
      </c>
    </row>
    <row r="2212" spans="28:30" x14ac:dyDescent="0.25">
      <c r="AB2212" s="207" t="s">
        <v>1691</v>
      </c>
      <c r="AC2212" s="207" t="s">
        <v>2372</v>
      </c>
      <c r="AD2212" s="213">
        <v>8</v>
      </c>
    </row>
    <row r="2213" spans="28:30" x14ac:dyDescent="0.25">
      <c r="AB2213" s="207" t="s">
        <v>217</v>
      </c>
      <c r="AC2213" s="207" t="s">
        <v>2373</v>
      </c>
      <c r="AD2213" s="213">
        <v>7</v>
      </c>
    </row>
    <row r="2214" spans="28:30" x14ac:dyDescent="0.25">
      <c r="AB2214" s="207" t="s">
        <v>249</v>
      </c>
      <c r="AC2214" s="207" t="s">
        <v>2374</v>
      </c>
      <c r="AD2214" s="213">
        <v>5</v>
      </c>
    </row>
    <row r="2215" spans="28:30" x14ac:dyDescent="0.25">
      <c r="AB2215" s="207" t="s">
        <v>1738</v>
      </c>
      <c r="AC2215" s="207" t="s">
        <v>2375</v>
      </c>
      <c r="AD2215" s="213">
        <v>7</v>
      </c>
    </row>
    <row r="2216" spans="28:30" x14ac:dyDescent="0.25">
      <c r="AB2216" s="207" t="s">
        <v>217</v>
      </c>
      <c r="AC2216" s="207" t="s">
        <v>2376</v>
      </c>
      <c r="AD2216" s="213">
        <v>6</v>
      </c>
    </row>
    <row r="2217" spans="28:30" x14ac:dyDescent="0.25">
      <c r="AB2217" s="207" t="s">
        <v>1738</v>
      </c>
      <c r="AC2217" s="207" t="s">
        <v>2377</v>
      </c>
      <c r="AD2217" s="213">
        <v>7</v>
      </c>
    </row>
    <row r="2218" spans="28:30" x14ac:dyDescent="0.25">
      <c r="AB2218" s="207" t="s">
        <v>1715</v>
      </c>
      <c r="AC2218" s="207" t="s">
        <v>2378</v>
      </c>
      <c r="AD2218" s="213">
        <v>7</v>
      </c>
    </row>
    <row r="2219" spans="28:30" x14ac:dyDescent="0.25">
      <c r="AB2219" s="207" t="s">
        <v>1918</v>
      </c>
      <c r="AC2219" s="207" t="s">
        <v>2379</v>
      </c>
      <c r="AD2219" s="213">
        <v>7</v>
      </c>
    </row>
    <row r="2220" spans="28:30" x14ac:dyDescent="0.25">
      <c r="AB2220" s="207" t="s">
        <v>1715</v>
      </c>
      <c r="AC2220" s="207" t="s">
        <v>2380</v>
      </c>
      <c r="AD2220" s="213">
        <v>6</v>
      </c>
    </row>
    <row r="2221" spans="28:30" x14ac:dyDescent="0.25">
      <c r="AB2221" s="207" t="s">
        <v>219</v>
      </c>
      <c r="AC2221" s="207" t="s">
        <v>2381</v>
      </c>
      <c r="AD2221" s="213">
        <v>8</v>
      </c>
    </row>
    <row r="2222" spans="28:30" x14ac:dyDescent="0.25">
      <c r="AB2222" s="207" t="s">
        <v>249</v>
      </c>
      <c r="AC2222" s="207" t="s">
        <v>2382</v>
      </c>
      <c r="AD2222" s="213">
        <v>5</v>
      </c>
    </row>
    <row r="2223" spans="28:30" x14ac:dyDescent="0.25">
      <c r="AB2223" s="207" t="s">
        <v>373</v>
      </c>
      <c r="AC2223" s="207" t="s">
        <v>2383</v>
      </c>
      <c r="AD2223" s="213">
        <v>5</v>
      </c>
    </row>
    <row r="2224" spans="28:30" x14ac:dyDescent="0.25">
      <c r="AB2224" s="207" t="s">
        <v>373</v>
      </c>
      <c r="AC2224" s="207" t="s">
        <v>2384</v>
      </c>
      <c r="AD2224" s="213">
        <v>6</v>
      </c>
    </row>
    <row r="2225" spans="28:30" x14ac:dyDescent="0.25">
      <c r="AB2225" s="207" t="s">
        <v>1738</v>
      </c>
      <c r="AC2225" s="207" t="s">
        <v>2385</v>
      </c>
      <c r="AD2225" s="213">
        <v>6</v>
      </c>
    </row>
    <row r="2226" spans="28:30" x14ac:dyDescent="0.25">
      <c r="AB2226" s="207" t="s">
        <v>1691</v>
      </c>
      <c r="AC2226" s="207" t="s">
        <v>2386</v>
      </c>
      <c r="AD2226" s="213">
        <v>8</v>
      </c>
    </row>
    <row r="2227" spans="28:30" x14ac:dyDescent="0.25">
      <c r="AB2227" s="207" t="s">
        <v>1691</v>
      </c>
      <c r="AC2227" s="207" t="s">
        <v>512</v>
      </c>
      <c r="AD2227" s="213">
        <v>8</v>
      </c>
    </row>
    <row r="2228" spans="28:30" x14ac:dyDescent="0.25">
      <c r="AB2228" s="207" t="s">
        <v>249</v>
      </c>
      <c r="AC2228" s="207" t="s">
        <v>2387</v>
      </c>
      <c r="AD2228" s="213">
        <v>3</v>
      </c>
    </row>
    <row r="2229" spans="28:30" x14ac:dyDescent="0.25">
      <c r="AB2229" s="207" t="s">
        <v>249</v>
      </c>
      <c r="AC2229" s="207" t="s">
        <v>2388</v>
      </c>
      <c r="AD2229" s="213">
        <v>5</v>
      </c>
    </row>
    <row r="2230" spans="28:30" x14ac:dyDescent="0.25">
      <c r="AB2230" s="207" t="s">
        <v>373</v>
      </c>
      <c r="AC2230" s="207" t="s">
        <v>2389</v>
      </c>
      <c r="AD2230" s="213">
        <v>6</v>
      </c>
    </row>
    <row r="2231" spans="28:30" x14ac:dyDescent="0.25">
      <c r="AB2231" s="207" t="s">
        <v>1691</v>
      </c>
      <c r="AC2231" s="207" t="s">
        <v>2390</v>
      </c>
      <c r="AD2231" s="213">
        <v>8</v>
      </c>
    </row>
    <row r="2232" spans="28:30" x14ac:dyDescent="0.25">
      <c r="AB2232" s="207" t="s">
        <v>1691</v>
      </c>
      <c r="AC2232" s="207" t="s">
        <v>2391</v>
      </c>
      <c r="AD2232" s="213">
        <v>8</v>
      </c>
    </row>
    <row r="2233" spans="28:30" x14ac:dyDescent="0.25">
      <c r="AB2233" s="207" t="s">
        <v>1715</v>
      </c>
      <c r="AC2233" s="207" t="s">
        <v>2392</v>
      </c>
      <c r="AD2233" s="213">
        <v>6</v>
      </c>
    </row>
    <row r="2234" spans="28:30" x14ac:dyDescent="0.25">
      <c r="AB2234" s="207" t="s">
        <v>214</v>
      </c>
      <c r="AC2234" s="207" t="s">
        <v>2393</v>
      </c>
      <c r="AD2234" s="213">
        <v>3</v>
      </c>
    </row>
    <row r="2235" spans="28:30" x14ac:dyDescent="0.25">
      <c r="AB2235" s="207" t="s">
        <v>1691</v>
      </c>
      <c r="AC2235" s="207" t="s">
        <v>347</v>
      </c>
      <c r="AD2235" s="213">
        <v>8</v>
      </c>
    </row>
    <row r="2236" spans="28:30" x14ac:dyDescent="0.25">
      <c r="AB2236" s="207" t="s">
        <v>373</v>
      </c>
      <c r="AC2236" s="207" t="s">
        <v>2394</v>
      </c>
      <c r="AD2236" s="213">
        <v>6</v>
      </c>
    </row>
    <row r="2237" spans="28:30" x14ac:dyDescent="0.25">
      <c r="AB2237" s="207" t="s">
        <v>249</v>
      </c>
      <c r="AC2237" s="207" t="s">
        <v>2395</v>
      </c>
      <c r="AD2237" s="213">
        <v>5</v>
      </c>
    </row>
    <row r="2238" spans="28:30" x14ac:dyDescent="0.25">
      <c r="AB2238" s="207" t="s">
        <v>1691</v>
      </c>
      <c r="AC2238" s="207" t="s">
        <v>2396</v>
      </c>
      <c r="AD2238" s="213">
        <v>8</v>
      </c>
    </row>
    <row r="2239" spans="28:30" x14ac:dyDescent="0.25">
      <c r="AB2239" s="207" t="s">
        <v>1691</v>
      </c>
      <c r="AC2239" s="207" t="s">
        <v>2397</v>
      </c>
      <c r="AD2239" s="213">
        <v>8</v>
      </c>
    </row>
    <row r="2240" spans="28:30" x14ac:dyDescent="0.25">
      <c r="AB2240" s="207" t="s">
        <v>373</v>
      </c>
      <c r="AC2240" s="207" t="s">
        <v>2398</v>
      </c>
      <c r="AD2240" s="213">
        <v>6</v>
      </c>
    </row>
    <row r="2241" spans="28:30" x14ac:dyDescent="0.25">
      <c r="AB2241" s="207" t="s">
        <v>1691</v>
      </c>
      <c r="AC2241" s="207" t="s">
        <v>2399</v>
      </c>
      <c r="AD2241" s="213">
        <v>8</v>
      </c>
    </row>
    <row r="2242" spans="28:30" x14ac:dyDescent="0.25">
      <c r="AB2242" s="207" t="s">
        <v>1691</v>
      </c>
      <c r="AC2242" s="207" t="s">
        <v>2400</v>
      </c>
      <c r="AD2242" s="213">
        <v>8</v>
      </c>
    </row>
    <row r="2243" spans="28:30" x14ac:dyDescent="0.25">
      <c r="AB2243" s="207" t="s">
        <v>1691</v>
      </c>
      <c r="AC2243" s="207" t="s">
        <v>2401</v>
      </c>
      <c r="AD2243" s="213">
        <v>8</v>
      </c>
    </row>
    <row r="2244" spans="28:30" x14ac:dyDescent="0.25">
      <c r="AB2244" s="207" t="s">
        <v>1691</v>
      </c>
      <c r="AC2244" s="207" t="s">
        <v>2402</v>
      </c>
      <c r="AD2244" s="213">
        <v>8</v>
      </c>
    </row>
    <row r="2245" spans="28:30" x14ac:dyDescent="0.25">
      <c r="AB2245" s="207" t="s">
        <v>1715</v>
      </c>
      <c r="AC2245" s="207" t="s">
        <v>2403</v>
      </c>
      <c r="AD2245" s="213">
        <v>6</v>
      </c>
    </row>
    <row r="2246" spans="28:30" x14ac:dyDescent="0.25">
      <c r="AB2246" s="207" t="s">
        <v>1715</v>
      </c>
      <c r="AC2246" s="207" t="s">
        <v>2404</v>
      </c>
      <c r="AD2246" s="213">
        <v>6</v>
      </c>
    </row>
    <row r="2247" spans="28:30" x14ac:dyDescent="0.25">
      <c r="AB2247" s="207" t="s">
        <v>1691</v>
      </c>
      <c r="AC2247" s="207" t="s">
        <v>2405</v>
      </c>
      <c r="AD2247" s="213">
        <v>8</v>
      </c>
    </row>
    <row r="2248" spans="28:30" x14ac:dyDescent="0.25">
      <c r="AB2248" s="207" t="s">
        <v>373</v>
      </c>
      <c r="AC2248" s="207" t="s">
        <v>2406</v>
      </c>
      <c r="AD2248" s="213">
        <v>6</v>
      </c>
    </row>
    <row r="2249" spans="28:30" x14ac:dyDescent="0.25">
      <c r="AB2249" s="207" t="s">
        <v>373</v>
      </c>
      <c r="AC2249" s="207" t="s">
        <v>2407</v>
      </c>
      <c r="AD2249" s="213">
        <v>8</v>
      </c>
    </row>
    <row r="2250" spans="28:30" x14ac:dyDescent="0.25">
      <c r="AB2250" s="207" t="s">
        <v>249</v>
      </c>
      <c r="AC2250" s="207" t="s">
        <v>2408</v>
      </c>
      <c r="AD2250" s="213">
        <v>4</v>
      </c>
    </row>
    <row r="2251" spans="28:30" x14ac:dyDescent="0.25">
      <c r="AB2251" s="207" t="s">
        <v>249</v>
      </c>
      <c r="AC2251" s="207" t="s">
        <v>2409</v>
      </c>
      <c r="AD2251" s="213">
        <v>3</v>
      </c>
    </row>
    <row r="2252" spans="28:30" x14ac:dyDescent="0.25">
      <c r="AB2252" s="207" t="s">
        <v>1691</v>
      </c>
      <c r="AC2252" s="207" t="s">
        <v>2410</v>
      </c>
      <c r="AD2252" s="213">
        <v>8</v>
      </c>
    </row>
    <row r="2253" spans="28:30" x14ac:dyDescent="0.25">
      <c r="AB2253" s="207" t="s">
        <v>249</v>
      </c>
      <c r="AC2253" s="207" t="s">
        <v>2411</v>
      </c>
      <c r="AD2253" s="213">
        <v>3</v>
      </c>
    </row>
    <row r="2254" spans="28:30" x14ac:dyDescent="0.25">
      <c r="AB2254" s="207" t="s">
        <v>1691</v>
      </c>
      <c r="AC2254" s="207" t="s">
        <v>2412</v>
      </c>
      <c r="AD2254" s="213">
        <v>8</v>
      </c>
    </row>
    <row r="2255" spans="28:30" x14ac:dyDescent="0.25">
      <c r="AB2255" s="207" t="s">
        <v>249</v>
      </c>
      <c r="AC2255" s="207" t="s">
        <v>2413</v>
      </c>
      <c r="AD2255" s="213">
        <v>3</v>
      </c>
    </row>
    <row r="2256" spans="28:30" x14ac:dyDescent="0.25">
      <c r="AB2256" s="207" t="s">
        <v>1691</v>
      </c>
      <c r="AC2256" s="207" t="s">
        <v>2414</v>
      </c>
      <c r="AD2256" s="213">
        <v>8</v>
      </c>
    </row>
    <row r="2257" spans="28:30" x14ac:dyDescent="0.25">
      <c r="AB2257" s="207" t="s">
        <v>249</v>
      </c>
      <c r="AC2257" s="207" t="s">
        <v>2415</v>
      </c>
      <c r="AD2257" s="213">
        <v>5</v>
      </c>
    </row>
    <row r="2258" spans="28:30" x14ac:dyDescent="0.25">
      <c r="AB2258" s="207" t="s">
        <v>249</v>
      </c>
      <c r="AC2258" s="207" t="s">
        <v>2416</v>
      </c>
      <c r="AD2258" s="213">
        <v>6</v>
      </c>
    </row>
    <row r="2259" spans="28:30" x14ac:dyDescent="0.25">
      <c r="AB2259" s="207" t="s">
        <v>373</v>
      </c>
      <c r="AC2259" s="207" t="s">
        <v>914</v>
      </c>
      <c r="AD2259" s="213">
        <v>5</v>
      </c>
    </row>
    <row r="2260" spans="28:30" x14ac:dyDescent="0.25">
      <c r="AB2260" s="207" t="s">
        <v>373</v>
      </c>
      <c r="AC2260" s="207" t="s">
        <v>2417</v>
      </c>
      <c r="AD2260" s="213">
        <v>6</v>
      </c>
    </row>
    <row r="2261" spans="28:30" x14ac:dyDescent="0.25">
      <c r="AB2261" s="207" t="s">
        <v>249</v>
      </c>
      <c r="AC2261" s="207" t="s">
        <v>2418</v>
      </c>
      <c r="AD2261" s="213">
        <v>6</v>
      </c>
    </row>
    <row r="2262" spans="28:30" x14ac:dyDescent="0.25">
      <c r="AB2262" s="207" t="s">
        <v>249</v>
      </c>
      <c r="AC2262" s="207" t="s">
        <v>2419</v>
      </c>
      <c r="AD2262" s="213">
        <v>3</v>
      </c>
    </row>
    <row r="2263" spans="28:30" x14ac:dyDescent="0.25">
      <c r="AB2263" s="207" t="s">
        <v>373</v>
      </c>
      <c r="AC2263" s="207" t="s">
        <v>2420</v>
      </c>
      <c r="AD2263" s="213">
        <v>8</v>
      </c>
    </row>
    <row r="2264" spans="28:30" x14ac:dyDescent="0.25">
      <c r="AB2264" s="207" t="s">
        <v>373</v>
      </c>
      <c r="AC2264" s="207" t="s">
        <v>2421</v>
      </c>
      <c r="AD2264" s="213">
        <v>6</v>
      </c>
    </row>
    <row r="2265" spans="28:30" x14ac:dyDescent="0.25">
      <c r="AB2265" s="207" t="s">
        <v>1715</v>
      </c>
      <c r="AC2265" s="207" t="s">
        <v>2422</v>
      </c>
      <c r="AD2265" s="213">
        <v>6</v>
      </c>
    </row>
    <row r="2266" spans="28:30" x14ac:dyDescent="0.25">
      <c r="AB2266" s="207" t="s">
        <v>1691</v>
      </c>
      <c r="AC2266" s="207" t="s">
        <v>2423</v>
      </c>
      <c r="AD2266" s="213">
        <v>8</v>
      </c>
    </row>
    <row r="2267" spans="28:30" x14ac:dyDescent="0.25">
      <c r="AB2267" s="207" t="s">
        <v>1691</v>
      </c>
      <c r="AC2267" s="207" t="s">
        <v>2424</v>
      </c>
      <c r="AD2267" s="213">
        <v>5</v>
      </c>
    </row>
    <row r="2268" spans="28:30" x14ac:dyDescent="0.25">
      <c r="AB2268" s="207" t="s">
        <v>1715</v>
      </c>
      <c r="AC2268" s="207" t="s">
        <v>2425</v>
      </c>
      <c r="AD2268" s="213">
        <v>4</v>
      </c>
    </row>
    <row r="2269" spans="28:30" x14ac:dyDescent="0.25">
      <c r="AB2269" s="207" t="s">
        <v>373</v>
      </c>
      <c r="AC2269" s="207" t="s">
        <v>2426</v>
      </c>
      <c r="AD2269" s="213">
        <v>5</v>
      </c>
    </row>
    <row r="2270" spans="28:30" x14ac:dyDescent="0.25">
      <c r="AB2270" s="207" t="s">
        <v>373</v>
      </c>
      <c r="AC2270" s="207" t="s">
        <v>2427</v>
      </c>
      <c r="AD2270" s="213">
        <v>6</v>
      </c>
    </row>
    <row r="2271" spans="28:30" x14ac:dyDescent="0.25">
      <c r="AB2271" s="207" t="s">
        <v>249</v>
      </c>
      <c r="AC2271" s="207" t="s">
        <v>2428</v>
      </c>
      <c r="AD2271" s="213">
        <v>5</v>
      </c>
    </row>
    <row r="2272" spans="28:30" x14ac:dyDescent="0.25">
      <c r="AB2272" s="207" t="s">
        <v>217</v>
      </c>
      <c r="AC2272" s="207" t="s">
        <v>2429</v>
      </c>
      <c r="AD2272" s="213">
        <v>7</v>
      </c>
    </row>
    <row r="2273" spans="28:30" x14ac:dyDescent="0.25">
      <c r="AB2273" s="207" t="s">
        <v>1715</v>
      </c>
      <c r="AC2273" s="207" t="s">
        <v>2430</v>
      </c>
      <c r="AD2273" s="213">
        <v>6</v>
      </c>
    </row>
    <row r="2274" spans="28:30" x14ac:dyDescent="0.25">
      <c r="AB2274" s="207" t="s">
        <v>249</v>
      </c>
      <c r="AC2274" s="207" t="s">
        <v>2431</v>
      </c>
      <c r="AD2274" s="213">
        <v>3</v>
      </c>
    </row>
    <row r="2275" spans="28:30" x14ac:dyDescent="0.25">
      <c r="AB2275" s="207" t="s">
        <v>1738</v>
      </c>
      <c r="AC2275" s="207" t="s">
        <v>2432</v>
      </c>
      <c r="AD2275" s="213">
        <v>6</v>
      </c>
    </row>
    <row r="2276" spans="28:30" x14ac:dyDescent="0.25">
      <c r="AB2276" s="207" t="s">
        <v>249</v>
      </c>
      <c r="AC2276" s="207" t="s">
        <v>2433</v>
      </c>
      <c r="AD2276" s="213">
        <v>6</v>
      </c>
    </row>
    <row r="2277" spans="28:30" x14ac:dyDescent="0.25">
      <c r="AB2277" s="207" t="s">
        <v>249</v>
      </c>
      <c r="AC2277" s="207" t="s">
        <v>2434</v>
      </c>
      <c r="AD2277" s="213">
        <v>4</v>
      </c>
    </row>
    <row r="2278" spans="28:30" x14ac:dyDescent="0.25">
      <c r="AB2278" s="207" t="s">
        <v>373</v>
      </c>
      <c r="AC2278" s="207" t="s">
        <v>2435</v>
      </c>
      <c r="AD2278" s="213">
        <v>8</v>
      </c>
    </row>
    <row r="2279" spans="28:30" x14ac:dyDescent="0.25">
      <c r="AB2279" s="207" t="s">
        <v>1715</v>
      </c>
      <c r="AC2279" s="207" t="s">
        <v>2436</v>
      </c>
      <c r="AD2279" s="213">
        <v>6</v>
      </c>
    </row>
    <row r="2280" spans="28:30" x14ac:dyDescent="0.25">
      <c r="AB2280" s="207" t="s">
        <v>2173</v>
      </c>
      <c r="AC2280" s="207" t="s">
        <v>2437</v>
      </c>
      <c r="AD2280" s="213">
        <v>8</v>
      </c>
    </row>
    <row r="2281" spans="28:30" x14ac:dyDescent="0.25">
      <c r="AB2281" s="207" t="s">
        <v>249</v>
      </c>
      <c r="AC2281" s="207" t="s">
        <v>2438</v>
      </c>
      <c r="AD2281" s="213">
        <v>3</v>
      </c>
    </row>
    <row r="2282" spans="28:30" x14ac:dyDescent="0.25">
      <c r="AB2282" s="207" t="s">
        <v>249</v>
      </c>
      <c r="AC2282" s="207" t="s">
        <v>2439</v>
      </c>
      <c r="AD2282" s="213">
        <v>5</v>
      </c>
    </row>
    <row r="2283" spans="28:30" x14ac:dyDescent="0.25">
      <c r="AB2283" s="207" t="s">
        <v>249</v>
      </c>
      <c r="AC2283" s="207" t="s">
        <v>2440</v>
      </c>
      <c r="AD2283" s="213">
        <v>3</v>
      </c>
    </row>
    <row r="2284" spans="28:30" x14ac:dyDescent="0.25">
      <c r="AB2284" s="207" t="s">
        <v>249</v>
      </c>
      <c r="AC2284" s="207" t="s">
        <v>2441</v>
      </c>
      <c r="AD2284" s="213">
        <v>3</v>
      </c>
    </row>
    <row r="2285" spans="28:30" x14ac:dyDescent="0.25">
      <c r="AB2285" s="207" t="s">
        <v>373</v>
      </c>
      <c r="AC2285" s="207" t="s">
        <v>1556</v>
      </c>
      <c r="AD2285" s="213">
        <v>6</v>
      </c>
    </row>
    <row r="2286" spans="28:30" x14ac:dyDescent="0.25">
      <c r="AB2286" s="207" t="s">
        <v>373</v>
      </c>
      <c r="AC2286" s="207" t="s">
        <v>2442</v>
      </c>
      <c r="AD2286" s="213">
        <v>6</v>
      </c>
    </row>
    <row r="2287" spans="28:30" x14ac:dyDescent="0.25">
      <c r="AB2287" s="207" t="s">
        <v>373</v>
      </c>
      <c r="AC2287" s="207" t="s">
        <v>2443</v>
      </c>
      <c r="AD2287" s="213">
        <v>6</v>
      </c>
    </row>
    <row r="2288" spans="28:30" x14ac:dyDescent="0.25">
      <c r="AB2288" s="207" t="s">
        <v>373</v>
      </c>
      <c r="AC2288" s="207" t="s">
        <v>2444</v>
      </c>
      <c r="AD2288" s="213">
        <v>6</v>
      </c>
    </row>
    <row r="2289" spans="28:30" x14ac:dyDescent="0.25">
      <c r="AB2289" s="207" t="s">
        <v>249</v>
      </c>
      <c r="AC2289" s="207" t="s">
        <v>2445</v>
      </c>
      <c r="AD2289" s="213">
        <v>6</v>
      </c>
    </row>
    <row r="2290" spans="28:30" x14ac:dyDescent="0.25">
      <c r="AB2290" s="207" t="s">
        <v>1715</v>
      </c>
      <c r="AC2290" s="207" t="s">
        <v>2446</v>
      </c>
      <c r="AD2290" s="213">
        <v>6</v>
      </c>
    </row>
    <row r="2291" spans="28:30" x14ac:dyDescent="0.25">
      <c r="AB2291" s="207" t="s">
        <v>1715</v>
      </c>
      <c r="AC2291" s="207" t="s">
        <v>2447</v>
      </c>
      <c r="AD2291" s="213">
        <v>6</v>
      </c>
    </row>
    <row r="2292" spans="28:30" x14ac:dyDescent="0.25">
      <c r="AB2292" s="207" t="s">
        <v>373</v>
      </c>
      <c r="AC2292" s="207" t="s">
        <v>2448</v>
      </c>
      <c r="AD2292" s="213">
        <v>6</v>
      </c>
    </row>
    <row r="2293" spans="28:30" x14ac:dyDescent="0.25">
      <c r="AB2293" s="207" t="s">
        <v>249</v>
      </c>
      <c r="AC2293" s="207" t="s">
        <v>2449</v>
      </c>
      <c r="AD2293" s="213">
        <v>6</v>
      </c>
    </row>
    <row r="2294" spans="28:30" x14ac:dyDescent="0.25">
      <c r="AB2294" s="207" t="s">
        <v>373</v>
      </c>
      <c r="AC2294" s="207" t="s">
        <v>2450</v>
      </c>
      <c r="AD2294" s="213">
        <v>6</v>
      </c>
    </row>
    <row r="2295" spans="28:30" x14ac:dyDescent="0.25">
      <c r="AB2295" s="207" t="s">
        <v>373</v>
      </c>
      <c r="AC2295" s="207" t="s">
        <v>2451</v>
      </c>
      <c r="AD2295" s="213">
        <v>6</v>
      </c>
    </row>
    <row r="2296" spans="28:30" x14ac:dyDescent="0.25">
      <c r="AB2296" s="207" t="s">
        <v>373</v>
      </c>
      <c r="AC2296" s="207" t="s">
        <v>2452</v>
      </c>
      <c r="AD2296" s="213">
        <v>6</v>
      </c>
    </row>
    <row r="2297" spans="28:30" x14ac:dyDescent="0.25">
      <c r="AB2297" s="207" t="s">
        <v>249</v>
      </c>
      <c r="AC2297" s="207" t="s">
        <v>2453</v>
      </c>
      <c r="AD2297" s="213">
        <v>3</v>
      </c>
    </row>
    <row r="2298" spans="28:30" x14ac:dyDescent="0.25">
      <c r="AB2298" s="207" t="s">
        <v>1715</v>
      </c>
      <c r="AC2298" s="207" t="s">
        <v>2454</v>
      </c>
      <c r="AD2298" s="213">
        <v>6</v>
      </c>
    </row>
    <row r="2299" spans="28:30" x14ac:dyDescent="0.25">
      <c r="AB2299" s="207" t="s">
        <v>249</v>
      </c>
      <c r="AC2299" s="207" t="s">
        <v>2455</v>
      </c>
      <c r="AD2299" s="213">
        <v>3</v>
      </c>
    </row>
    <row r="2300" spans="28:30" x14ac:dyDescent="0.25">
      <c r="AB2300" s="207" t="s">
        <v>249</v>
      </c>
      <c r="AC2300" s="207" t="s">
        <v>2456</v>
      </c>
      <c r="AD2300" s="213">
        <v>5</v>
      </c>
    </row>
    <row r="2301" spans="28:30" x14ac:dyDescent="0.25">
      <c r="AB2301" s="207" t="s">
        <v>217</v>
      </c>
      <c r="AC2301" s="207" t="s">
        <v>2457</v>
      </c>
      <c r="AD2301" s="213">
        <v>6</v>
      </c>
    </row>
    <row r="2302" spans="28:30" x14ac:dyDescent="0.25">
      <c r="AB2302" s="207" t="s">
        <v>1715</v>
      </c>
      <c r="AC2302" s="207" t="s">
        <v>2458</v>
      </c>
      <c r="AD2302" s="213">
        <v>6</v>
      </c>
    </row>
    <row r="2303" spans="28:30" x14ac:dyDescent="0.25">
      <c r="AB2303" s="207" t="s">
        <v>249</v>
      </c>
      <c r="AC2303" s="207" t="s">
        <v>2459</v>
      </c>
      <c r="AD2303" s="213">
        <v>3</v>
      </c>
    </row>
    <row r="2304" spans="28:30" x14ac:dyDescent="0.25">
      <c r="AB2304" s="207" t="s">
        <v>1715</v>
      </c>
      <c r="AC2304" s="207" t="s">
        <v>2460</v>
      </c>
      <c r="AD2304" s="213">
        <v>6</v>
      </c>
    </row>
    <row r="2305" spans="28:30" x14ac:dyDescent="0.25">
      <c r="AB2305" s="207" t="s">
        <v>249</v>
      </c>
      <c r="AC2305" s="207" t="s">
        <v>2461</v>
      </c>
      <c r="AD2305" s="213">
        <v>3</v>
      </c>
    </row>
    <row r="2306" spans="28:30" x14ac:dyDescent="0.25">
      <c r="AB2306" s="207" t="s">
        <v>1715</v>
      </c>
      <c r="AC2306" s="207" t="s">
        <v>2462</v>
      </c>
      <c r="AD2306" s="213">
        <v>6</v>
      </c>
    </row>
    <row r="2307" spans="28:30" x14ac:dyDescent="0.25">
      <c r="AB2307" s="207" t="s">
        <v>1738</v>
      </c>
      <c r="AC2307" s="207" t="s">
        <v>2463</v>
      </c>
      <c r="AD2307" s="213">
        <v>7</v>
      </c>
    </row>
    <row r="2308" spans="28:30" x14ac:dyDescent="0.25">
      <c r="AB2308" s="207" t="s">
        <v>373</v>
      </c>
      <c r="AC2308" s="207" t="s">
        <v>2464</v>
      </c>
      <c r="AD2308" s="213">
        <v>5</v>
      </c>
    </row>
    <row r="2309" spans="28:30" x14ac:dyDescent="0.25">
      <c r="AB2309" s="207" t="s">
        <v>1715</v>
      </c>
      <c r="AC2309" s="207" t="s">
        <v>2465</v>
      </c>
      <c r="AD2309" s="213">
        <v>6</v>
      </c>
    </row>
    <row r="2310" spans="28:30" x14ac:dyDescent="0.25">
      <c r="AB2310" s="207" t="s">
        <v>217</v>
      </c>
      <c r="AC2310" s="207" t="s">
        <v>2062</v>
      </c>
      <c r="AD2310" s="213">
        <v>8</v>
      </c>
    </row>
    <row r="2311" spans="28:30" x14ac:dyDescent="0.25">
      <c r="AB2311" s="207" t="s">
        <v>217</v>
      </c>
      <c r="AC2311" s="207" t="s">
        <v>2466</v>
      </c>
      <c r="AD2311" s="213">
        <v>8</v>
      </c>
    </row>
    <row r="2312" spans="28:30" x14ac:dyDescent="0.25">
      <c r="AB2312" s="207" t="s">
        <v>249</v>
      </c>
      <c r="AC2312" s="207" t="s">
        <v>2467</v>
      </c>
      <c r="AD2312" s="213">
        <v>5</v>
      </c>
    </row>
    <row r="2313" spans="28:30" x14ac:dyDescent="0.25">
      <c r="AB2313" s="207" t="s">
        <v>233</v>
      </c>
      <c r="AC2313" s="207" t="s">
        <v>1413</v>
      </c>
      <c r="AD2313" s="213">
        <v>3</v>
      </c>
    </row>
    <row r="2314" spans="28:30" x14ac:dyDescent="0.25">
      <c r="AB2314" s="207" t="s">
        <v>249</v>
      </c>
      <c r="AC2314" s="207" t="s">
        <v>1567</v>
      </c>
      <c r="AD2314" s="213">
        <v>3</v>
      </c>
    </row>
    <row r="2315" spans="28:30" x14ac:dyDescent="0.25">
      <c r="AB2315" s="207" t="s">
        <v>249</v>
      </c>
      <c r="AC2315" s="207" t="s">
        <v>2468</v>
      </c>
      <c r="AD2315" s="213">
        <v>6</v>
      </c>
    </row>
    <row r="2316" spans="28:30" x14ac:dyDescent="0.25">
      <c r="AB2316" s="207" t="s">
        <v>249</v>
      </c>
      <c r="AC2316" s="207" t="s">
        <v>2469</v>
      </c>
      <c r="AD2316" s="213">
        <v>6</v>
      </c>
    </row>
    <row r="2317" spans="28:30" x14ac:dyDescent="0.25">
      <c r="AB2317" s="207" t="s">
        <v>249</v>
      </c>
      <c r="AC2317" s="207" t="s">
        <v>2470</v>
      </c>
      <c r="AD2317" s="213">
        <v>6</v>
      </c>
    </row>
    <row r="2318" spans="28:30" x14ac:dyDescent="0.25">
      <c r="AB2318" s="207" t="s">
        <v>1715</v>
      </c>
      <c r="AC2318" s="207" t="s">
        <v>2471</v>
      </c>
      <c r="AD2318" s="213">
        <v>6</v>
      </c>
    </row>
    <row r="2319" spans="28:30" x14ac:dyDescent="0.25">
      <c r="AB2319" s="207" t="s">
        <v>373</v>
      </c>
      <c r="AC2319" s="207" t="s">
        <v>2472</v>
      </c>
      <c r="AD2319" s="213">
        <v>6</v>
      </c>
    </row>
    <row r="2320" spans="28:30" x14ac:dyDescent="0.25">
      <c r="AB2320" s="207" t="s">
        <v>249</v>
      </c>
      <c r="AC2320" s="207" t="s">
        <v>2473</v>
      </c>
      <c r="AD2320" s="213">
        <v>6</v>
      </c>
    </row>
    <row r="2321" spans="28:30" x14ac:dyDescent="0.25">
      <c r="AB2321" s="207" t="s">
        <v>249</v>
      </c>
      <c r="AC2321" s="207" t="s">
        <v>2474</v>
      </c>
      <c r="AD2321" s="213">
        <v>5</v>
      </c>
    </row>
    <row r="2322" spans="28:30" x14ac:dyDescent="0.25">
      <c r="AB2322" s="207" t="s">
        <v>249</v>
      </c>
      <c r="AC2322" s="207" t="s">
        <v>2475</v>
      </c>
      <c r="AD2322" s="213">
        <v>3</v>
      </c>
    </row>
    <row r="2323" spans="28:30" x14ac:dyDescent="0.25">
      <c r="AB2323" s="207" t="s">
        <v>373</v>
      </c>
      <c r="AC2323" s="207" t="s">
        <v>2476</v>
      </c>
      <c r="AD2323" s="213">
        <v>6</v>
      </c>
    </row>
    <row r="2324" spans="28:30" x14ac:dyDescent="0.25">
      <c r="AB2324" s="207" t="s">
        <v>249</v>
      </c>
      <c r="AC2324" s="207" t="s">
        <v>2477</v>
      </c>
      <c r="AD2324" s="213">
        <v>5</v>
      </c>
    </row>
    <row r="2325" spans="28:30" x14ac:dyDescent="0.25">
      <c r="AB2325" s="207" t="s">
        <v>249</v>
      </c>
      <c r="AC2325" s="207" t="s">
        <v>2478</v>
      </c>
      <c r="AD2325" s="213">
        <v>5</v>
      </c>
    </row>
    <row r="2326" spans="28:30" x14ac:dyDescent="0.25">
      <c r="AB2326" s="207" t="s">
        <v>1715</v>
      </c>
      <c r="AC2326" s="207" t="s">
        <v>2479</v>
      </c>
      <c r="AD2326" s="213">
        <v>6</v>
      </c>
    </row>
    <row r="2327" spans="28:30" x14ac:dyDescent="0.25">
      <c r="AB2327" s="207" t="s">
        <v>249</v>
      </c>
      <c r="AC2327" s="207" t="s">
        <v>2480</v>
      </c>
      <c r="AD2327" s="213">
        <v>3</v>
      </c>
    </row>
    <row r="2328" spans="28:30" x14ac:dyDescent="0.25">
      <c r="AB2328" s="207" t="s">
        <v>249</v>
      </c>
      <c r="AC2328" s="207" t="s">
        <v>2481</v>
      </c>
      <c r="AD2328" s="213">
        <v>5</v>
      </c>
    </row>
    <row r="2329" spans="28:30" x14ac:dyDescent="0.25">
      <c r="AB2329" s="207" t="s">
        <v>249</v>
      </c>
      <c r="AC2329" s="207" t="s">
        <v>2482</v>
      </c>
      <c r="AD2329" s="213">
        <v>5</v>
      </c>
    </row>
    <row r="2330" spans="28:30" x14ac:dyDescent="0.25">
      <c r="AB2330" s="207" t="s">
        <v>1715</v>
      </c>
      <c r="AC2330" s="207" t="s">
        <v>2483</v>
      </c>
      <c r="AD2330" s="213">
        <v>6</v>
      </c>
    </row>
    <row r="2331" spans="28:30" x14ac:dyDescent="0.25">
      <c r="AB2331" s="207" t="s">
        <v>249</v>
      </c>
      <c r="AC2331" s="207" t="s">
        <v>2484</v>
      </c>
      <c r="AD2331" s="213">
        <v>4</v>
      </c>
    </row>
    <row r="2332" spans="28:30" x14ac:dyDescent="0.25">
      <c r="AB2332" s="207" t="s">
        <v>249</v>
      </c>
      <c r="AC2332" s="207" t="s">
        <v>2485</v>
      </c>
      <c r="AD2332" s="213">
        <v>4</v>
      </c>
    </row>
    <row r="2333" spans="28:30" x14ac:dyDescent="0.25">
      <c r="AB2333" s="207" t="s">
        <v>373</v>
      </c>
      <c r="AC2333" s="207" t="s">
        <v>2486</v>
      </c>
      <c r="AD2333" s="213">
        <v>6</v>
      </c>
    </row>
    <row r="2334" spans="28:30" x14ac:dyDescent="0.25">
      <c r="AB2334" s="207" t="s">
        <v>249</v>
      </c>
      <c r="AC2334" s="207" t="s">
        <v>2487</v>
      </c>
      <c r="AD2334" s="213">
        <v>3</v>
      </c>
    </row>
    <row r="2335" spans="28:30" x14ac:dyDescent="0.25">
      <c r="AB2335" s="207" t="s">
        <v>1691</v>
      </c>
      <c r="AC2335" s="207" t="s">
        <v>2488</v>
      </c>
      <c r="AD2335" s="213">
        <v>8</v>
      </c>
    </row>
    <row r="2336" spans="28:30" x14ac:dyDescent="0.25">
      <c r="AB2336" s="207" t="s">
        <v>249</v>
      </c>
      <c r="AC2336" s="207" t="s">
        <v>2489</v>
      </c>
      <c r="AD2336" s="213">
        <v>3</v>
      </c>
    </row>
    <row r="2337" spans="28:30" x14ac:dyDescent="0.25">
      <c r="AB2337" s="207" t="s">
        <v>1715</v>
      </c>
      <c r="AC2337" s="207" t="s">
        <v>2490</v>
      </c>
      <c r="AD2337" s="213">
        <v>6</v>
      </c>
    </row>
    <row r="2338" spans="28:30" x14ac:dyDescent="0.25">
      <c r="AB2338" s="207" t="s">
        <v>1715</v>
      </c>
      <c r="AC2338" s="207" t="s">
        <v>2491</v>
      </c>
      <c r="AD2338" s="213">
        <v>4</v>
      </c>
    </row>
    <row r="2339" spans="28:30" x14ac:dyDescent="0.25">
      <c r="AB2339" s="207" t="s">
        <v>373</v>
      </c>
      <c r="AC2339" s="207" t="s">
        <v>2492</v>
      </c>
      <c r="AD2339" s="213">
        <v>5</v>
      </c>
    </row>
    <row r="2340" spans="28:30" x14ac:dyDescent="0.25">
      <c r="AB2340" s="207" t="s">
        <v>1738</v>
      </c>
      <c r="AC2340" s="207" t="s">
        <v>2493</v>
      </c>
      <c r="AD2340" s="213">
        <v>8</v>
      </c>
    </row>
    <row r="2341" spans="28:30" x14ac:dyDescent="0.25">
      <c r="AB2341" s="207" t="s">
        <v>1715</v>
      </c>
      <c r="AC2341" s="207" t="s">
        <v>2494</v>
      </c>
      <c r="AD2341" s="213">
        <v>6</v>
      </c>
    </row>
    <row r="2342" spans="28:30" x14ac:dyDescent="0.25">
      <c r="AB2342" s="207" t="s">
        <v>1715</v>
      </c>
      <c r="AC2342" s="207" t="s">
        <v>2495</v>
      </c>
      <c r="AD2342" s="213">
        <v>6</v>
      </c>
    </row>
    <row r="2343" spans="28:30" x14ac:dyDescent="0.25">
      <c r="AB2343" s="207" t="s">
        <v>249</v>
      </c>
      <c r="AC2343" s="207" t="s">
        <v>2496</v>
      </c>
      <c r="AD2343" s="213">
        <v>5</v>
      </c>
    </row>
    <row r="2344" spans="28:30" x14ac:dyDescent="0.25">
      <c r="AB2344" s="207" t="s">
        <v>1715</v>
      </c>
      <c r="AC2344" s="207" t="s">
        <v>2497</v>
      </c>
      <c r="AD2344" s="213">
        <v>6</v>
      </c>
    </row>
    <row r="2345" spans="28:30" x14ac:dyDescent="0.25">
      <c r="AB2345" s="207" t="s">
        <v>373</v>
      </c>
      <c r="AC2345" s="207" t="s">
        <v>2498</v>
      </c>
      <c r="AD2345" s="213">
        <v>6</v>
      </c>
    </row>
    <row r="2346" spans="28:30" x14ac:dyDescent="0.25">
      <c r="AB2346" s="207" t="s">
        <v>249</v>
      </c>
      <c r="AC2346" s="207" t="s">
        <v>2499</v>
      </c>
      <c r="AD2346" s="213">
        <v>3</v>
      </c>
    </row>
    <row r="2347" spans="28:30" x14ac:dyDescent="0.25">
      <c r="AB2347" s="207" t="s">
        <v>249</v>
      </c>
      <c r="AC2347" s="207" t="s">
        <v>2500</v>
      </c>
      <c r="AD2347" s="213">
        <v>3</v>
      </c>
    </row>
    <row r="2348" spans="28:30" x14ac:dyDescent="0.25">
      <c r="AB2348" s="207" t="s">
        <v>2173</v>
      </c>
      <c r="AC2348" s="207" t="s">
        <v>2501</v>
      </c>
      <c r="AD2348" s="213">
        <v>8</v>
      </c>
    </row>
    <row r="2349" spans="28:30" x14ac:dyDescent="0.25">
      <c r="AB2349" s="207" t="s">
        <v>1715</v>
      </c>
      <c r="AC2349" s="207" t="s">
        <v>2502</v>
      </c>
      <c r="AD2349" s="213">
        <v>6</v>
      </c>
    </row>
    <row r="2350" spans="28:30" x14ac:dyDescent="0.25">
      <c r="AB2350" s="207" t="s">
        <v>1715</v>
      </c>
      <c r="AC2350" s="207" t="s">
        <v>2503</v>
      </c>
      <c r="AD2350" s="213">
        <v>6</v>
      </c>
    </row>
    <row r="2351" spans="28:30" x14ac:dyDescent="0.25">
      <c r="AB2351" s="207" t="s">
        <v>249</v>
      </c>
      <c r="AC2351" s="207" t="s">
        <v>2504</v>
      </c>
      <c r="AD2351" s="213">
        <v>3</v>
      </c>
    </row>
    <row r="2352" spans="28:30" x14ac:dyDescent="0.25">
      <c r="AB2352" s="207" t="s">
        <v>373</v>
      </c>
      <c r="AC2352" s="207" t="s">
        <v>2505</v>
      </c>
      <c r="AD2352" s="213">
        <v>5</v>
      </c>
    </row>
    <row r="2353" spans="28:30" x14ac:dyDescent="0.25">
      <c r="AB2353" s="207" t="s">
        <v>1715</v>
      </c>
      <c r="AC2353" s="207" t="s">
        <v>2506</v>
      </c>
      <c r="AD2353" s="213">
        <v>6</v>
      </c>
    </row>
    <row r="2354" spans="28:30" x14ac:dyDescent="0.25">
      <c r="AB2354" s="207" t="s">
        <v>1918</v>
      </c>
      <c r="AC2354" s="207" t="s">
        <v>2507</v>
      </c>
      <c r="AD2354" s="213">
        <v>7</v>
      </c>
    </row>
    <row r="2355" spans="28:30" x14ac:dyDescent="0.25">
      <c r="AB2355" s="207" t="s">
        <v>1715</v>
      </c>
      <c r="AC2355" s="207" t="s">
        <v>2508</v>
      </c>
      <c r="AD2355" s="213">
        <v>6</v>
      </c>
    </row>
    <row r="2356" spans="28:30" x14ac:dyDescent="0.25">
      <c r="AB2356" s="207" t="s">
        <v>1715</v>
      </c>
      <c r="AC2356" s="207" t="s">
        <v>2509</v>
      </c>
      <c r="AD2356" s="213">
        <v>6</v>
      </c>
    </row>
    <row r="2357" spans="28:30" x14ac:dyDescent="0.25">
      <c r="AB2357" s="207" t="s">
        <v>1715</v>
      </c>
      <c r="AC2357" s="207" t="s">
        <v>2510</v>
      </c>
      <c r="AD2357" s="213">
        <v>6</v>
      </c>
    </row>
    <row r="2358" spans="28:30" x14ac:dyDescent="0.25">
      <c r="AB2358" s="207" t="s">
        <v>1691</v>
      </c>
      <c r="AC2358" s="207" t="s">
        <v>2511</v>
      </c>
      <c r="AD2358" s="213">
        <v>8</v>
      </c>
    </row>
    <row r="2359" spans="28:30" x14ac:dyDescent="0.25">
      <c r="AB2359" s="207" t="s">
        <v>249</v>
      </c>
      <c r="AC2359" s="207" t="s">
        <v>2512</v>
      </c>
      <c r="AD2359" s="213">
        <v>6</v>
      </c>
    </row>
    <row r="2360" spans="28:30" x14ac:dyDescent="0.25">
      <c r="AB2360" s="207" t="s">
        <v>249</v>
      </c>
      <c r="AC2360" s="207" t="s">
        <v>2513</v>
      </c>
      <c r="AD2360" s="213">
        <v>2</v>
      </c>
    </row>
    <row r="2361" spans="28:30" x14ac:dyDescent="0.25">
      <c r="AB2361" s="207" t="s">
        <v>373</v>
      </c>
      <c r="AC2361" s="207" t="s">
        <v>2514</v>
      </c>
      <c r="AD2361" s="213">
        <v>6</v>
      </c>
    </row>
    <row r="2362" spans="28:30" x14ac:dyDescent="0.25">
      <c r="AB2362" s="207" t="s">
        <v>1715</v>
      </c>
      <c r="AC2362" s="207" t="s">
        <v>2515</v>
      </c>
      <c r="AD2362" s="213">
        <v>6</v>
      </c>
    </row>
    <row r="2363" spans="28:30" x14ac:dyDescent="0.25">
      <c r="AB2363" s="207" t="s">
        <v>1715</v>
      </c>
      <c r="AC2363" s="207" t="s">
        <v>2516</v>
      </c>
      <c r="AD2363" s="213">
        <v>6</v>
      </c>
    </row>
    <row r="2364" spans="28:30" x14ac:dyDescent="0.25">
      <c r="AB2364" s="207" t="s">
        <v>249</v>
      </c>
      <c r="AC2364" s="207" t="s">
        <v>2517</v>
      </c>
      <c r="AD2364" s="213">
        <v>5</v>
      </c>
    </row>
    <row r="2365" spans="28:30" x14ac:dyDescent="0.25">
      <c r="AB2365" s="207" t="s">
        <v>249</v>
      </c>
      <c r="AC2365" s="207" t="s">
        <v>2518</v>
      </c>
      <c r="AD2365" s="213">
        <v>3</v>
      </c>
    </row>
    <row r="2366" spans="28:30" x14ac:dyDescent="0.25">
      <c r="AB2366" s="207" t="s">
        <v>1715</v>
      </c>
      <c r="AC2366" s="207" t="s">
        <v>2519</v>
      </c>
      <c r="AD2366" s="213">
        <v>6</v>
      </c>
    </row>
    <row r="2367" spans="28:30" x14ac:dyDescent="0.25">
      <c r="AB2367" s="207" t="s">
        <v>1738</v>
      </c>
      <c r="AC2367" s="207" t="s">
        <v>1998</v>
      </c>
      <c r="AD2367" s="213">
        <v>6</v>
      </c>
    </row>
    <row r="2368" spans="28:30" x14ac:dyDescent="0.25">
      <c r="AB2368" s="207" t="s">
        <v>1715</v>
      </c>
      <c r="AC2368" s="207" t="s">
        <v>2520</v>
      </c>
      <c r="AD2368" s="213">
        <v>6</v>
      </c>
    </row>
    <row r="2369" spans="28:30" x14ac:dyDescent="0.25">
      <c r="AB2369" s="207" t="s">
        <v>249</v>
      </c>
      <c r="AC2369" s="207" t="s">
        <v>2521</v>
      </c>
      <c r="AD2369" s="213">
        <v>6</v>
      </c>
    </row>
    <row r="2370" spans="28:30" x14ac:dyDescent="0.25">
      <c r="AB2370" s="207" t="s">
        <v>249</v>
      </c>
      <c r="AC2370" s="207" t="s">
        <v>2522</v>
      </c>
      <c r="AD2370" s="213">
        <v>3</v>
      </c>
    </row>
    <row r="2371" spans="28:30" x14ac:dyDescent="0.25">
      <c r="AB2371" s="207" t="s">
        <v>373</v>
      </c>
      <c r="AC2371" s="207" t="s">
        <v>2523</v>
      </c>
      <c r="AD2371" s="213">
        <v>7</v>
      </c>
    </row>
    <row r="2372" spans="28:30" x14ac:dyDescent="0.25">
      <c r="AB2372" s="207" t="s">
        <v>249</v>
      </c>
      <c r="AC2372" s="207" t="s">
        <v>2524</v>
      </c>
      <c r="AD2372" s="213">
        <v>3</v>
      </c>
    </row>
    <row r="2373" spans="28:30" x14ac:dyDescent="0.25">
      <c r="AB2373" s="207" t="s">
        <v>249</v>
      </c>
      <c r="AC2373" s="207" t="s">
        <v>2525</v>
      </c>
      <c r="AD2373" s="213">
        <v>4</v>
      </c>
    </row>
    <row r="2374" spans="28:30" x14ac:dyDescent="0.25">
      <c r="AB2374" s="207" t="s">
        <v>1715</v>
      </c>
      <c r="AC2374" s="207" t="s">
        <v>2526</v>
      </c>
      <c r="AD2374" s="213">
        <v>6</v>
      </c>
    </row>
    <row r="2375" spans="28:30" x14ac:dyDescent="0.25">
      <c r="AB2375" s="207" t="s">
        <v>217</v>
      </c>
      <c r="AC2375" s="207" t="s">
        <v>2527</v>
      </c>
      <c r="AD2375" s="213">
        <v>8</v>
      </c>
    </row>
    <row r="2376" spans="28:30" x14ac:dyDescent="0.25">
      <c r="AB2376" s="207" t="s">
        <v>249</v>
      </c>
      <c r="AC2376" s="207" t="s">
        <v>2528</v>
      </c>
      <c r="AD2376" s="213">
        <v>4</v>
      </c>
    </row>
    <row r="2377" spans="28:30" x14ac:dyDescent="0.25">
      <c r="AB2377" s="207" t="s">
        <v>249</v>
      </c>
      <c r="AC2377" s="207" t="s">
        <v>2529</v>
      </c>
      <c r="AD2377" s="213">
        <v>4</v>
      </c>
    </row>
    <row r="2378" spans="28:30" x14ac:dyDescent="0.25">
      <c r="AB2378" s="207" t="s">
        <v>1715</v>
      </c>
      <c r="AC2378" s="207" t="s">
        <v>2530</v>
      </c>
      <c r="AD2378" s="213">
        <v>6</v>
      </c>
    </row>
    <row r="2379" spans="28:30" x14ac:dyDescent="0.25">
      <c r="AB2379" s="207" t="s">
        <v>1953</v>
      </c>
      <c r="AC2379" s="207" t="s">
        <v>1818</v>
      </c>
      <c r="AD2379" s="213">
        <v>5</v>
      </c>
    </row>
    <row r="2380" spans="28:30" x14ac:dyDescent="0.25">
      <c r="AB2380" s="207" t="s">
        <v>373</v>
      </c>
      <c r="AC2380" s="207" t="s">
        <v>2531</v>
      </c>
      <c r="AD2380" s="213">
        <v>6</v>
      </c>
    </row>
    <row r="2381" spans="28:30" x14ac:dyDescent="0.25">
      <c r="AB2381" s="207" t="s">
        <v>233</v>
      </c>
      <c r="AC2381" s="207" t="s">
        <v>2532</v>
      </c>
      <c r="AD2381" s="213">
        <v>3</v>
      </c>
    </row>
    <row r="2382" spans="28:30" x14ac:dyDescent="0.25">
      <c r="AB2382" s="207" t="s">
        <v>249</v>
      </c>
      <c r="AC2382" s="207" t="s">
        <v>2533</v>
      </c>
      <c r="AD2382" s="213">
        <v>6</v>
      </c>
    </row>
    <row r="2383" spans="28:30" x14ac:dyDescent="0.25">
      <c r="AB2383" s="207" t="s">
        <v>249</v>
      </c>
      <c r="AC2383" s="207" t="s">
        <v>2534</v>
      </c>
      <c r="AD2383" s="213">
        <v>2</v>
      </c>
    </row>
    <row r="2384" spans="28:30" x14ac:dyDescent="0.25">
      <c r="AB2384" s="207" t="s">
        <v>249</v>
      </c>
      <c r="AC2384" s="207" t="s">
        <v>2535</v>
      </c>
      <c r="AD2384" s="213">
        <v>4</v>
      </c>
    </row>
    <row r="2385" spans="28:30" x14ac:dyDescent="0.25">
      <c r="AB2385" s="207" t="s">
        <v>373</v>
      </c>
      <c r="AC2385" s="207" t="s">
        <v>2536</v>
      </c>
      <c r="AD2385" s="213">
        <v>6</v>
      </c>
    </row>
    <row r="2386" spans="28:30" x14ac:dyDescent="0.25">
      <c r="AB2386" s="207" t="s">
        <v>249</v>
      </c>
      <c r="AC2386" s="207" t="s">
        <v>2537</v>
      </c>
      <c r="AD2386" s="213">
        <v>4</v>
      </c>
    </row>
    <row r="2387" spans="28:30" x14ac:dyDescent="0.25">
      <c r="AB2387" s="207" t="s">
        <v>1715</v>
      </c>
      <c r="AC2387" s="207" t="s">
        <v>2538</v>
      </c>
      <c r="AD2387" s="213">
        <v>6</v>
      </c>
    </row>
    <row r="2388" spans="28:30" x14ac:dyDescent="0.25">
      <c r="AB2388" s="207" t="s">
        <v>233</v>
      </c>
      <c r="AC2388" s="207" t="s">
        <v>2539</v>
      </c>
      <c r="AD2388" s="213">
        <v>4</v>
      </c>
    </row>
    <row r="2389" spans="28:30" x14ac:dyDescent="0.25">
      <c r="AB2389" s="207" t="s">
        <v>249</v>
      </c>
      <c r="AC2389" s="207" t="s">
        <v>2540</v>
      </c>
      <c r="AD2389" s="213">
        <v>5</v>
      </c>
    </row>
    <row r="2390" spans="28:30" x14ac:dyDescent="0.25">
      <c r="AB2390" s="207" t="s">
        <v>1715</v>
      </c>
      <c r="AC2390" s="207" t="s">
        <v>2541</v>
      </c>
      <c r="AD2390" s="213">
        <v>6</v>
      </c>
    </row>
    <row r="2391" spans="28:30" x14ac:dyDescent="0.25">
      <c r="AB2391" s="207" t="s">
        <v>249</v>
      </c>
      <c r="AC2391" s="207" t="s">
        <v>2542</v>
      </c>
      <c r="AD2391" s="213">
        <v>3</v>
      </c>
    </row>
    <row r="2392" spans="28:30" x14ac:dyDescent="0.25">
      <c r="AB2392" s="207" t="s">
        <v>1715</v>
      </c>
      <c r="AC2392" s="207" t="s">
        <v>2543</v>
      </c>
      <c r="AD2392" s="213">
        <v>6</v>
      </c>
    </row>
    <row r="2393" spans="28:30" x14ac:dyDescent="0.25">
      <c r="AB2393" s="207" t="s">
        <v>1715</v>
      </c>
      <c r="AC2393" s="207" t="s">
        <v>2544</v>
      </c>
      <c r="AD2393" s="213">
        <v>6</v>
      </c>
    </row>
    <row r="2394" spans="28:30" x14ac:dyDescent="0.25">
      <c r="AB2394" s="207" t="s">
        <v>249</v>
      </c>
      <c r="AC2394" s="207" t="s">
        <v>2545</v>
      </c>
      <c r="AD2394" s="213">
        <v>5</v>
      </c>
    </row>
    <row r="2395" spans="28:30" x14ac:dyDescent="0.25">
      <c r="AB2395" s="207" t="s">
        <v>249</v>
      </c>
      <c r="AC2395" s="207" t="s">
        <v>2546</v>
      </c>
      <c r="AD2395" s="213">
        <v>4</v>
      </c>
    </row>
    <row r="2396" spans="28:30" x14ac:dyDescent="0.25">
      <c r="AB2396" s="207" t="s">
        <v>249</v>
      </c>
      <c r="AC2396" s="207" t="s">
        <v>2547</v>
      </c>
      <c r="AD2396" s="213">
        <v>5</v>
      </c>
    </row>
    <row r="2397" spans="28:30" x14ac:dyDescent="0.25">
      <c r="AB2397" s="207" t="s">
        <v>1715</v>
      </c>
      <c r="AC2397" s="207" t="s">
        <v>2548</v>
      </c>
      <c r="AD2397" s="213">
        <v>6</v>
      </c>
    </row>
    <row r="2398" spans="28:30" x14ac:dyDescent="0.25">
      <c r="AB2398" s="207" t="s">
        <v>373</v>
      </c>
      <c r="AC2398" s="207" t="s">
        <v>2549</v>
      </c>
      <c r="AD2398" s="213">
        <v>6</v>
      </c>
    </row>
    <row r="2399" spans="28:30" x14ac:dyDescent="0.25">
      <c r="AB2399" s="207" t="s">
        <v>1715</v>
      </c>
      <c r="AC2399" s="207" t="s">
        <v>2550</v>
      </c>
      <c r="AD2399" s="213">
        <v>6</v>
      </c>
    </row>
    <row r="2400" spans="28:30" x14ac:dyDescent="0.25">
      <c r="AB2400" s="207" t="s">
        <v>249</v>
      </c>
      <c r="AC2400" s="207" t="s">
        <v>2551</v>
      </c>
      <c r="AD2400" s="213">
        <v>6</v>
      </c>
    </row>
    <row r="2401" spans="28:30" x14ac:dyDescent="0.25">
      <c r="AB2401" s="207" t="s">
        <v>249</v>
      </c>
      <c r="AC2401" s="207" t="s">
        <v>2552</v>
      </c>
      <c r="AD2401" s="213">
        <v>6</v>
      </c>
    </row>
    <row r="2402" spans="28:30" x14ac:dyDescent="0.25">
      <c r="AB2402" s="207" t="s">
        <v>233</v>
      </c>
      <c r="AC2402" s="207" t="s">
        <v>2553</v>
      </c>
      <c r="AD2402" s="213">
        <v>6</v>
      </c>
    </row>
    <row r="2403" spans="28:30" x14ac:dyDescent="0.25">
      <c r="AB2403" s="207" t="s">
        <v>249</v>
      </c>
      <c r="AC2403" s="207" t="s">
        <v>2554</v>
      </c>
      <c r="AD2403" s="213">
        <v>5</v>
      </c>
    </row>
    <row r="2404" spans="28:30" x14ac:dyDescent="0.25">
      <c r="AB2404" s="207" t="s">
        <v>1715</v>
      </c>
      <c r="AC2404" s="207" t="s">
        <v>2555</v>
      </c>
      <c r="AD2404" s="213">
        <v>6</v>
      </c>
    </row>
    <row r="2405" spans="28:30" x14ac:dyDescent="0.25">
      <c r="AB2405" s="207" t="s">
        <v>217</v>
      </c>
      <c r="AC2405" s="207" t="s">
        <v>2556</v>
      </c>
      <c r="AD2405" s="213">
        <v>6</v>
      </c>
    </row>
    <row r="2406" spans="28:30" x14ac:dyDescent="0.25">
      <c r="AB2406" s="207" t="s">
        <v>1715</v>
      </c>
      <c r="AC2406" s="207" t="s">
        <v>2557</v>
      </c>
      <c r="AD2406" s="213">
        <v>6</v>
      </c>
    </row>
    <row r="2407" spans="28:30" x14ac:dyDescent="0.25">
      <c r="AB2407" s="207" t="s">
        <v>249</v>
      </c>
      <c r="AC2407" s="207" t="s">
        <v>2558</v>
      </c>
      <c r="AD2407" s="213">
        <v>3</v>
      </c>
    </row>
    <row r="2408" spans="28:30" x14ac:dyDescent="0.25">
      <c r="AB2408" s="207" t="s">
        <v>249</v>
      </c>
      <c r="AC2408" s="207" t="s">
        <v>2559</v>
      </c>
      <c r="AD2408" s="213">
        <v>3</v>
      </c>
    </row>
    <row r="2409" spans="28:30" x14ac:dyDescent="0.25">
      <c r="AB2409" s="207" t="s">
        <v>1715</v>
      </c>
      <c r="AC2409" s="207" t="s">
        <v>2560</v>
      </c>
      <c r="AD2409" s="213">
        <v>6</v>
      </c>
    </row>
    <row r="2410" spans="28:30" x14ac:dyDescent="0.25">
      <c r="AB2410" s="207" t="s">
        <v>1715</v>
      </c>
      <c r="AC2410" s="207" t="s">
        <v>2561</v>
      </c>
      <c r="AD2410" s="213">
        <v>6</v>
      </c>
    </row>
    <row r="2411" spans="28:30" x14ac:dyDescent="0.25">
      <c r="AB2411" s="207" t="s">
        <v>249</v>
      </c>
      <c r="AC2411" s="207" t="s">
        <v>2562</v>
      </c>
      <c r="AD2411" s="213">
        <v>3</v>
      </c>
    </row>
    <row r="2412" spans="28:30" x14ac:dyDescent="0.25">
      <c r="AB2412" s="207" t="s">
        <v>1715</v>
      </c>
      <c r="AC2412" s="207" t="s">
        <v>2563</v>
      </c>
      <c r="AD2412" s="213">
        <v>6</v>
      </c>
    </row>
    <row r="2413" spans="28:30" x14ac:dyDescent="0.25">
      <c r="AB2413" s="207" t="s">
        <v>1715</v>
      </c>
      <c r="AC2413" s="207" t="s">
        <v>2564</v>
      </c>
      <c r="AD2413" s="213">
        <v>4</v>
      </c>
    </row>
    <row r="2414" spans="28:30" x14ac:dyDescent="0.25">
      <c r="AB2414" s="207" t="s">
        <v>217</v>
      </c>
      <c r="AC2414" s="207" t="s">
        <v>2565</v>
      </c>
      <c r="AD2414" s="213">
        <v>8</v>
      </c>
    </row>
    <row r="2415" spans="28:30" x14ac:dyDescent="0.25">
      <c r="AB2415" s="207" t="s">
        <v>249</v>
      </c>
      <c r="AC2415" s="207" t="s">
        <v>2566</v>
      </c>
      <c r="AD2415" s="213">
        <v>2</v>
      </c>
    </row>
    <row r="2416" spans="28:30" x14ac:dyDescent="0.25">
      <c r="AB2416" s="207" t="s">
        <v>249</v>
      </c>
      <c r="AC2416" s="207" t="s">
        <v>2567</v>
      </c>
      <c r="AD2416" s="213">
        <v>5</v>
      </c>
    </row>
    <row r="2417" spans="28:30" x14ac:dyDescent="0.25">
      <c r="AB2417" s="207" t="s">
        <v>1715</v>
      </c>
      <c r="AC2417" s="207" t="s">
        <v>2568</v>
      </c>
      <c r="AD2417" s="213">
        <v>4</v>
      </c>
    </row>
    <row r="2418" spans="28:30" x14ac:dyDescent="0.25">
      <c r="AB2418" s="207" t="s">
        <v>1715</v>
      </c>
      <c r="AC2418" s="207" t="s">
        <v>2569</v>
      </c>
      <c r="AD2418" s="213">
        <v>6</v>
      </c>
    </row>
    <row r="2419" spans="28:30" x14ac:dyDescent="0.25">
      <c r="AB2419" s="207" t="s">
        <v>249</v>
      </c>
      <c r="AC2419" s="207" t="s">
        <v>2569</v>
      </c>
      <c r="AD2419" s="213">
        <v>6</v>
      </c>
    </row>
    <row r="2420" spans="28:30" x14ac:dyDescent="0.25">
      <c r="AB2420" s="207" t="s">
        <v>1715</v>
      </c>
      <c r="AC2420" s="207" t="s">
        <v>2570</v>
      </c>
      <c r="AD2420" s="213">
        <v>6</v>
      </c>
    </row>
    <row r="2421" spans="28:30" x14ac:dyDescent="0.25">
      <c r="AB2421" s="207" t="s">
        <v>1715</v>
      </c>
      <c r="AC2421" s="207" t="s">
        <v>2571</v>
      </c>
      <c r="AD2421" s="213">
        <v>6</v>
      </c>
    </row>
    <row r="2422" spans="28:30" x14ac:dyDescent="0.25">
      <c r="AB2422" s="207" t="s">
        <v>1715</v>
      </c>
      <c r="AC2422" s="207" t="s">
        <v>2572</v>
      </c>
      <c r="AD2422" s="213">
        <v>6</v>
      </c>
    </row>
    <row r="2423" spans="28:30" x14ac:dyDescent="0.25">
      <c r="AB2423" s="207" t="s">
        <v>233</v>
      </c>
      <c r="AC2423" s="207" t="s">
        <v>2573</v>
      </c>
      <c r="AD2423" s="213">
        <v>4</v>
      </c>
    </row>
    <row r="2424" spans="28:30" x14ac:dyDescent="0.25">
      <c r="AB2424" s="207" t="s">
        <v>1715</v>
      </c>
      <c r="AC2424" s="207" t="s">
        <v>2574</v>
      </c>
      <c r="AD2424" s="213">
        <v>6</v>
      </c>
    </row>
    <row r="2425" spans="28:30" x14ac:dyDescent="0.25">
      <c r="AB2425" s="207" t="s">
        <v>2160</v>
      </c>
      <c r="AC2425" s="207" t="s">
        <v>2575</v>
      </c>
      <c r="AD2425" s="213">
        <v>8</v>
      </c>
    </row>
    <row r="2426" spans="28:30" x14ac:dyDescent="0.25">
      <c r="AB2426" s="207" t="s">
        <v>1691</v>
      </c>
      <c r="AC2426" s="207" t="s">
        <v>2576</v>
      </c>
      <c r="AD2426" s="213">
        <v>8</v>
      </c>
    </row>
    <row r="2427" spans="28:30" x14ac:dyDescent="0.25">
      <c r="AB2427" s="207" t="s">
        <v>249</v>
      </c>
      <c r="AC2427" s="207" t="s">
        <v>2577</v>
      </c>
      <c r="AD2427" s="213">
        <v>3</v>
      </c>
    </row>
    <row r="2428" spans="28:30" x14ac:dyDescent="0.25">
      <c r="AB2428" s="207" t="s">
        <v>249</v>
      </c>
      <c r="AC2428" s="207" t="s">
        <v>2578</v>
      </c>
      <c r="AD2428" s="213">
        <v>3</v>
      </c>
    </row>
    <row r="2429" spans="28:30" x14ac:dyDescent="0.25">
      <c r="AB2429" s="207" t="s">
        <v>1715</v>
      </c>
      <c r="AC2429" s="207" t="s">
        <v>2579</v>
      </c>
      <c r="AD2429" s="213">
        <v>6</v>
      </c>
    </row>
    <row r="2430" spans="28:30" x14ac:dyDescent="0.25">
      <c r="AB2430" s="207" t="s">
        <v>249</v>
      </c>
      <c r="AC2430" s="207" t="s">
        <v>2580</v>
      </c>
      <c r="AD2430" s="213">
        <v>3</v>
      </c>
    </row>
    <row r="2431" spans="28:30" x14ac:dyDescent="0.25">
      <c r="AB2431" s="207" t="s">
        <v>233</v>
      </c>
      <c r="AC2431" s="207" t="s">
        <v>2581</v>
      </c>
      <c r="AD2431" s="213">
        <v>6</v>
      </c>
    </row>
    <row r="2432" spans="28:30" x14ac:dyDescent="0.25">
      <c r="AB2432" s="207" t="s">
        <v>1715</v>
      </c>
      <c r="AC2432" s="207" t="s">
        <v>2582</v>
      </c>
      <c r="AD2432" s="213">
        <v>4</v>
      </c>
    </row>
    <row r="2433" spans="28:30" x14ac:dyDescent="0.25">
      <c r="AB2433" s="207" t="s">
        <v>1715</v>
      </c>
      <c r="AC2433" s="207" t="s">
        <v>2583</v>
      </c>
      <c r="AD2433" s="213">
        <v>4</v>
      </c>
    </row>
    <row r="2434" spans="28:30" x14ac:dyDescent="0.25">
      <c r="AB2434" s="207" t="s">
        <v>1715</v>
      </c>
      <c r="AC2434" s="207" t="s">
        <v>2584</v>
      </c>
      <c r="AD2434" s="213">
        <v>6</v>
      </c>
    </row>
    <row r="2435" spans="28:30" x14ac:dyDescent="0.25">
      <c r="AB2435" s="207" t="s">
        <v>1715</v>
      </c>
      <c r="AC2435" s="207" t="s">
        <v>2585</v>
      </c>
      <c r="AD2435" s="213">
        <v>6</v>
      </c>
    </row>
    <row r="2436" spans="28:30" x14ac:dyDescent="0.25">
      <c r="AB2436" s="207" t="s">
        <v>1715</v>
      </c>
      <c r="AC2436" s="207" t="s">
        <v>2586</v>
      </c>
      <c r="AD2436" s="213">
        <v>6</v>
      </c>
    </row>
    <row r="2437" spans="28:30" x14ac:dyDescent="0.25">
      <c r="AB2437" s="207" t="s">
        <v>1715</v>
      </c>
      <c r="AC2437" s="207" t="s">
        <v>2587</v>
      </c>
      <c r="AD2437" s="213">
        <v>6</v>
      </c>
    </row>
    <row r="2438" spans="28:30" x14ac:dyDescent="0.25">
      <c r="AB2438" s="207" t="s">
        <v>1715</v>
      </c>
      <c r="AC2438" s="207" t="s">
        <v>2588</v>
      </c>
      <c r="AD2438" s="213">
        <v>6</v>
      </c>
    </row>
    <row r="2439" spans="28:30" x14ac:dyDescent="0.25">
      <c r="AB2439" s="207" t="s">
        <v>1715</v>
      </c>
      <c r="AC2439" s="207" t="s">
        <v>2589</v>
      </c>
      <c r="AD2439" s="213">
        <v>6</v>
      </c>
    </row>
    <row r="2440" spans="28:30" x14ac:dyDescent="0.25">
      <c r="AB2440" s="207" t="s">
        <v>233</v>
      </c>
      <c r="AC2440" s="207" t="s">
        <v>2590</v>
      </c>
      <c r="AD2440" s="213">
        <v>4</v>
      </c>
    </row>
    <row r="2441" spans="28:30" x14ac:dyDescent="0.25">
      <c r="AB2441" s="207" t="s">
        <v>1715</v>
      </c>
      <c r="AC2441" s="207" t="s">
        <v>2591</v>
      </c>
      <c r="AD2441" s="213">
        <v>7</v>
      </c>
    </row>
    <row r="2442" spans="28:30" x14ac:dyDescent="0.25">
      <c r="AB2442" s="207" t="s">
        <v>1715</v>
      </c>
      <c r="AC2442" s="207" t="s">
        <v>2592</v>
      </c>
      <c r="AD2442" s="213">
        <v>6</v>
      </c>
    </row>
    <row r="2443" spans="28:30" x14ac:dyDescent="0.25">
      <c r="AB2443" s="207" t="s">
        <v>249</v>
      </c>
      <c r="AC2443" s="207" t="s">
        <v>2593</v>
      </c>
      <c r="AD2443" s="213">
        <v>6</v>
      </c>
    </row>
    <row r="2444" spans="28:30" x14ac:dyDescent="0.25">
      <c r="AB2444" s="207" t="s">
        <v>249</v>
      </c>
      <c r="AC2444" s="207" t="s">
        <v>2594</v>
      </c>
      <c r="AD2444" s="213">
        <v>6</v>
      </c>
    </row>
    <row r="2445" spans="28:30" x14ac:dyDescent="0.25">
      <c r="AB2445" s="207" t="s">
        <v>249</v>
      </c>
      <c r="AC2445" s="207" t="s">
        <v>2595</v>
      </c>
      <c r="AD2445" s="213">
        <v>6</v>
      </c>
    </row>
    <row r="2446" spans="28:30" x14ac:dyDescent="0.25">
      <c r="AB2446" s="207" t="s">
        <v>1715</v>
      </c>
      <c r="AC2446" s="207" t="s">
        <v>2596</v>
      </c>
      <c r="AD2446" s="213">
        <v>6</v>
      </c>
    </row>
    <row r="2447" spans="28:30" x14ac:dyDescent="0.25">
      <c r="AB2447" s="207" t="s">
        <v>1715</v>
      </c>
      <c r="AC2447" s="207" t="s">
        <v>2597</v>
      </c>
      <c r="AD2447" s="213">
        <v>6</v>
      </c>
    </row>
    <row r="2448" spans="28:30" x14ac:dyDescent="0.25">
      <c r="AB2448" s="207" t="s">
        <v>1715</v>
      </c>
      <c r="AC2448" s="207" t="s">
        <v>2598</v>
      </c>
      <c r="AD2448" s="213">
        <v>6</v>
      </c>
    </row>
    <row r="2449" spans="28:30" x14ac:dyDescent="0.25">
      <c r="AB2449" s="207" t="s">
        <v>249</v>
      </c>
      <c r="AC2449" s="207" t="s">
        <v>2599</v>
      </c>
      <c r="AD2449" s="213">
        <v>4</v>
      </c>
    </row>
    <row r="2450" spans="28:30" x14ac:dyDescent="0.25">
      <c r="AB2450" s="207" t="s">
        <v>1953</v>
      </c>
      <c r="AC2450" s="207" t="s">
        <v>2600</v>
      </c>
      <c r="AD2450" s="213">
        <v>6</v>
      </c>
    </row>
    <row r="2451" spans="28:30" x14ac:dyDescent="0.25">
      <c r="AB2451" s="207" t="s">
        <v>1715</v>
      </c>
      <c r="AC2451" s="207" t="s">
        <v>2601</v>
      </c>
      <c r="AD2451" s="213">
        <v>6</v>
      </c>
    </row>
    <row r="2452" spans="28:30" x14ac:dyDescent="0.25">
      <c r="AB2452" s="207" t="s">
        <v>249</v>
      </c>
      <c r="AC2452" s="207" t="s">
        <v>2602</v>
      </c>
      <c r="AD2452" s="213">
        <v>4</v>
      </c>
    </row>
    <row r="2453" spans="28:30" x14ac:dyDescent="0.25">
      <c r="AB2453" s="207" t="s">
        <v>249</v>
      </c>
      <c r="AC2453" s="207" t="s">
        <v>2603</v>
      </c>
      <c r="AD2453" s="213">
        <v>3</v>
      </c>
    </row>
    <row r="2454" spans="28:30" x14ac:dyDescent="0.25">
      <c r="AB2454" s="207" t="s">
        <v>249</v>
      </c>
      <c r="AC2454" s="207" t="s">
        <v>2604</v>
      </c>
      <c r="AD2454" s="213">
        <v>4</v>
      </c>
    </row>
    <row r="2455" spans="28:30" x14ac:dyDescent="0.25">
      <c r="AB2455" s="207" t="s">
        <v>249</v>
      </c>
      <c r="AC2455" s="207" t="s">
        <v>2605</v>
      </c>
      <c r="AD2455" s="213">
        <v>4</v>
      </c>
    </row>
    <row r="2456" spans="28:30" x14ac:dyDescent="0.25">
      <c r="AB2456" s="207" t="s">
        <v>1715</v>
      </c>
      <c r="AC2456" s="207" t="s">
        <v>2606</v>
      </c>
      <c r="AD2456" s="213">
        <v>6</v>
      </c>
    </row>
    <row r="2457" spans="28:30" x14ac:dyDescent="0.25">
      <c r="AB2457" s="207" t="s">
        <v>217</v>
      </c>
      <c r="AC2457" s="207" t="s">
        <v>2607</v>
      </c>
      <c r="AD2457" s="213">
        <v>8</v>
      </c>
    </row>
    <row r="2458" spans="28:30" x14ac:dyDescent="0.25">
      <c r="AB2458" s="207" t="s">
        <v>249</v>
      </c>
      <c r="AC2458" s="207" t="s">
        <v>2608</v>
      </c>
      <c r="AD2458" s="213">
        <v>6</v>
      </c>
    </row>
    <row r="2459" spans="28:30" x14ac:dyDescent="0.25">
      <c r="AB2459" s="207" t="s">
        <v>1715</v>
      </c>
      <c r="AC2459" s="207" t="s">
        <v>2609</v>
      </c>
      <c r="AD2459" s="213">
        <v>6</v>
      </c>
    </row>
    <row r="2460" spans="28:30" x14ac:dyDescent="0.25">
      <c r="AB2460" s="207" t="s">
        <v>249</v>
      </c>
      <c r="AC2460" s="207" t="s">
        <v>2610</v>
      </c>
      <c r="AD2460" s="213">
        <v>4</v>
      </c>
    </row>
    <row r="2461" spans="28:30" x14ac:dyDescent="0.25">
      <c r="AB2461" s="207" t="s">
        <v>233</v>
      </c>
      <c r="AC2461" s="207" t="s">
        <v>2611</v>
      </c>
      <c r="AD2461" s="213">
        <v>4</v>
      </c>
    </row>
    <row r="2462" spans="28:30" x14ac:dyDescent="0.25">
      <c r="AB2462" s="207" t="s">
        <v>249</v>
      </c>
      <c r="AC2462" s="207" t="s">
        <v>2612</v>
      </c>
      <c r="AD2462" s="213">
        <v>2</v>
      </c>
    </row>
    <row r="2463" spans="28:30" x14ac:dyDescent="0.25">
      <c r="AB2463" s="207" t="s">
        <v>233</v>
      </c>
      <c r="AC2463" s="207" t="s">
        <v>2613</v>
      </c>
      <c r="AD2463" s="213">
        <v>6</v>
      </c>
    </row>
    <row r="2464" spans="28:30" x14ac:dyDescent="0.25">
      <c r="AB2464" s="207" t="s">
        <v>249</v>
      </c>
      <c r="AC2464" s="207" t="s">
        <v>2614</v>
      </c>
      <c r="AD2464" s="213">
        <v>4</v>
      </c>
    </row>
    <row r="2465" spans="28:30" x14ac:dyDescent="0.25">
      <c r="AB2465" s="207" t="s">
        <v>1715</v>
      </c>
      <c r="AC2465" s="207" t="s">
        <v>2615</v>
      </c>
      <c r="AD2465" s="213">
        <v>7</v>
      </c>
    </row>
    <row r="2466" spans="28:30" x14ac:dyDescent="0.25">
      <c r="AB2466" s="207" t="s">
        <v>233</v>
      </c>
      <c r="AC2466" s="207" t="s">
        <v>2616</v>
      </c>
      <c r="AD2466" s="213">
        <v>3</v>
      </c>
    </row>
    <row r="2467" spans="28:30" x14ac:dyDescent="0.25">
      <c r="AB2467" s="207" t="s">
        <v>249</v>
      </c>
      <c r="AC2467" s="207" t="s">
        <v>2617</v>
      </c>
      <c r="AD2467" s="213">
        <v>3</v>
      </c>
    </row>
    <row r="2468" spans="28:30" x14ac:dyDescent="0.25">
      <c r="AB2468" s="207" t="s">
        <v>249</v>
      </c>
      <c r="AC2468" s="207" t="s">
        <v>2618</v>
      </c>
      <c r="AD2468" s="213">
        <v>3</v>
      </c>
    </row>
    <row r="2469" spans="28:30" x14ac:dyDescent="0.25">
      <c r="AB2469" s="207" t="s">
        <v>249</v>
      </c>
      <c r="AC2469" s="207" t="s">
        <v>2619</v>
      </c>
      <c r="AD2469" s="213">
        <v>4</v>
      </c>
    </row>
    <row r="2470" spans="28:30" x14ac:dyDescent="0.25">
      <c r="AB2470" s="207" t="s">
        <v>1715</v>
      </c>
      <c r="AC2470" s="207" t="s">
        <v>2620</v>
      </c>
      <c r="AD2470" s="213">
        <v>6</v>
      </c>
    </row>
    <row r="2471" spans="28:30" x14ac:dyDescent="0.25">
      <c r="AB2471" s="207" t="s">
        <v>1715</v>
      </c>
      <c r="AC2471" s="207" t="s">
        <v>2621</v>
      </c>
      <c r="AD2471" s="213">
        <v>6</v>
      </c>
    </row>
    <row r="2472" spans="28:30" x14ac:dyDescent="0.25">
      <c r="AB2472" s="207" t="s">
        <v>249</v>
      </c>
      <c r="AC2472" s="207" t="s">
        <v>2622</v>
      </c>
      <c r="AD2472" s="213">
        <v>3</v>
      </c>
    </row>
    <row r="2473" spans="28:30" x14ac:dyDescent="0.25">
      <c r="AB2473" s="207" t="s">
        <v>1715</v>
      </c>
      <c r="AC2473" s="207" t="s">
        <v>2623</v>
      </c>
      <c r="AD2473" s="213">
        <v>7</v>
      </c>
    </row>
    <row r="2474" spans="28:30" x14ac:dyDescent="0.25">
      <c r="AB2474" s="207" t="s">
        <v>373</v>
      </c>
      <c r="AC2474" s="207" t="s">
        <v>2624</v>
      </c>
      <c r="AD2474" s="213">
        <v>6</v>
      </c>
    </row>
    <row r="2475" spans="28:30" x14ac:dyDescent="0.25">
      <c r="AB2475" s="207" t="s">
        <v>1715</v>
      </c>
      <c r="AC2475" s="207" t="s">
        <v>2625</v>
      </c>
      <c r="AD2475" s="213">
        <v>6</v>
      </c>
    </row>
    <row r="2476" spans="28:30" x14ac:dyDescent="0.25">
      <c r="AB2476" s="207" t="s">
        <v>217</v>
      </c>
      <c r="AC2476" s="207" t="s">
        <v>2626</v>
      </c>
      <c r="AD2476" s="213">
        <v>7</v>
      </c>
    </row>
    <row r="2477" spans="28:30" x14ac:dyDescent="0.25">
      <c r="AB2477" s="207" t="s">
        <v>1715</v>
      </c>
      <c r="AC2477" s="207" t="s">
        <v>2627</v>
      </c>
      <c r="AD2477" s="213">
        <v>6</v>
      </c>
    </row>
    <row r="2478" spans="28:30" x14ac:dyDescent="0.25">
      <c r="AB2478" s="207" t="s">
        <v>1715</v>
      </c>
      <c r="AC2478" s="207" t="s">
        <v>2628</v>
      </c>
      <c r="AD2478" s="213">
        <v>6</v>
      </c>
    </row>
    <row r="2479" spans="28:30" x14ac:dyDescent="0.25">
      <c r="AB2479" s="207" t="s">
        <v>217</v>
      </c>
      <c r="AC2479" s="207" t="s">
        <v>2629</v>
      </c>
      <c r="AD2479" s="213">
        <v>8</v>
      </c>
    </row>
    <row r="2480" spans="28:30" x14ac:dyDescent="0.25">
      <c r="AB2480" s="207" t="s">
        <v>249</v>
      </c>
      <c r="AC2480" s="207" t="s">
        <v>2630</v>
      </c>
      <c r="AD2480" s="213">
        <v>5</v>
      </c>
    </row>
    <row r="2481" spans="28:30" x14ac:dyDescent="0.25">
      <c r="AB2481" s="207" t="s">
        <v>1715</v>
      </c>
      <c r="AC2481" s="207" t="s">
        <v>2631</v>
      </c>
      <c r="AD2481" s="213">
        <v>6</v>
      </c>
    </row>
    <row r="2482" spans="28:30" x14ac:dyDescent="0.25">
      <c r="AB2482" s="207" t="s">
        <v>1715</v>
      </c>
      <c r="AC2482" s="207" t="s">
        <v>2632</v>
      </c>
      <c r="AD2482" s="213">
        <v>6</v>
      </c>
    </row>
    <row r="2483" spans="28:30" x14ac:dyDescent="0.25">
      <c r="AB2483" s="207" t="s">
        <v>249</v>
      </c>
      <c r="AC2483" s="207" t="s">
        <v>2633</v>
      </c>
      <c r="AD2483" s="213">
        <v>6</v>
      </c>
    </row>
    <row r="2484" spans="28:30" x14ac:dyDescent="0.25">
      <c r="AB2484" s="207" t="s">
        <v>1715</v>
      </c>
      <c r="AC2484" s="207" t="s">
        <v>2634</v>
      </c>
      <c r="AD2484" s="213">
        <v>6</v>
      </c>
    </row>
    <row r="2485" spans="28:30" x14ac:dyDescent="0.25">
      <c r="AB2485" s="207" t="s">
        <v>249</v>
      </c>
      <c r="AC2485" s="207" t="s">
        <v>2635</v>
      </c>
      <c r="AD2485" s="213">
        <v>4</v>
      </c>
    </row>
    <row r="2486" spans="28:30" x14ac:dyDescent="0.25">
      <c r="AB2486" s="207" t="s">
        <v>1715</v>
      </c>
      <c r="AC2486" s="207" t="s">
        <v>273</v>
      </c>
      <c r="AD2486" s="213">
        <v>6</v>
      </c>
    </row>
    <row r="2487" spans="28:30" x14ac:dyDescent="0.25">
      <c r="AB2487" s="207" t="s">
        <v>249</v>
      </c>
      <c r="AC2487" s="207" t="s">
        <v>2636</v>
      </c>
      <c r="AD2487" s="213">
        <v>4</v>
      </c>
    </row>
    <row r="2488" spans="28:30" x14ac:dyDescent="0.25">
      <c r="AB2488" s="207" t="s">
        <v>249</v>
      </c>
      <c r="AC2488" s="207" t="s">
        <v>2637</v>
      </c>
      <c r="AD2488" s="213">
        <v>6</v>
      </c>
    </row>
    <row r="2489" spans="28:30" x14ac:dyDescent="0.25">
      <c r="AB2489" s="207" t="s">
        <v>249</v>
      </c>
      <c r="AC2489" s="207" t="s">
        <v>2638</v>
      </c>
      <c r="AD2489" s="213">
        <v>4</v>
      </c>
    </row>
    <row r="2490" spans="28:30" x14ac:dyDescent="0.25">
      <c r="AB2490" s="207" t="s">
        <v>249</v>
      </c>
      <c r="AC2490" s="207" t="s">
        <v>2639</v>
      </c>
      <c r="AD2490" s="213">
        <v>3</v>
      </c>
    </row>
    <row r="2491" spans="28:30" x14ac:dyDescent="0.25">
      <c r="AB2491" s="207" t="s">
        <v>233</v>
      </c>
      <c r="AC2491" s="207" t="s">
        <v>2640</v>
      </c>
      <c r="AD2491" s="213">
        <v>6</v>
      </c>
    </row>
    <row r="2492" spans="28:30" x14ac:dyDescent="0.25">
      <c r="AB2492" s="207" t="s">
        <v>1715</v>
      </c>
      <c r="AC2492" s="207" t="s">
        <v>2641</v>
      </c>
      <c r="AD2492" s="213">
        <v>6</v>
      </c>
    </row>
    <row r="2493" spans="28:30" x14ac:dyDescent="0.25">
      <c r="AB2493" s="207" t="s">
        <v>2160</v>
      </c>
      <c r="AC2493" s="207" t="s">
        <v>2642</v>
      </c>
      <c r="AD2493" s="213">
        <v>6</v>
      </c>
    </row>
    <row r="2494" spans="28:30" x14ac:dyDescent="0.25">
      <c r="AB2494" s="207" t="s">
        <v>233</v>
      </c>
      <c r="AC2494" s="207" t="s">
        <v>2643</v>
      </c>
      <c r="AD2494" s="213">
        <v>4</v>
      </c>
    </row>
    <row r="2495" spans="28:30" x14ac:dyDescent="0.25">
      <c r="AB2495" s="207" t="s">
        <v>1715</v>
      </c>
      <c r="AC2495" s="207" t="s">
        <v>2644</v>
      </c>
      <c r="AD2495" s="213">
        <v>6</v>
      </c>
    </row>
    <row r="2496" spans="28:30" x14ac:dyDescent="0.25">
      <c r="AB2496" s="207" t="s">
        <v>1715</v>
      </c>
      <c r="AC2496" s="207" t="s">
        <v>2645</v>
      </c>
      <c r="AD2496" s="213">
        <v>6</v>
      </c>
    </row>
    <row r="2497" spans="28:30" x14ac:dyDescent="0.25">
      <c r="AB2497" s="207" t="s">
        <v>1715</v>
      </c>
      <c r="AC2497" s="207" t="s">
        <v>2646</v>
      </c>
      <c r="AD2497" s="213">
        <v>6</v>
      </c>
    </row>
    <row r="2498" spans="28:30" x14ac:dyDescent="0.25">
      <c r="AB2498" s="207" t="s">
        <v>249</v>
      </c>
      <c r="AC2498" s="207" t="s">
        <v>2647</v>
      </c>
      <c r="AD2498" s="213">
        <v>5</v>
      </c>
    </row>
    <row r="2499" spans="28:30" x14ac:dyDescent="0.25">
      <c r="AB2499" s="207" t="s">
        <v>1715</v>
      </c>
      <c r="AC2499" s="207" t="s">
        <v>2648</v>
      </c>
      <c r="AD2499" s="213">
        <v>6</v>
      </c>
    </row>
    <row r="2500" spans="28:30" x14ac:dyDescent="0.25">
      <c r="AB2500" s="207" t="s">
        <v>249</v>
      </c>
      <c r="AC2500" s="207" t="s">
        <v>2649</v>
      </c>
      <c r="AD2500" s="213">
        <v>5</v>
      </c>
    </row>
    <row r="2501" spans="28:30" x14ac:dyDescent="0.25">
      <c r="AB2501" s="207" t="s">
        <v>249</v>
      </c>
      <c r="AC2501" s="207" t="s">
        <v>2650</v>
      </c>
      <c r="AD2501" s="213">
        <v>4</v>
      </c>
    </row>
    <row r="2502" spans="28:30" x14ac:dyDescent="0.25">
      <c r="AB2502" s="207" t="s">
        <v>217</v>
      </c>
      <c r="AC2502" s="207" t="s">
        <v>2651</v>
      </c>
      <c r="AD2502" s="213">
        <v>8</v>
      </c>
    </row>
    <row r="2503" spans="28:30" x14ac:dyDescent="0.25">
      <c r="AB2503" s="207" t="s">
        <v>249</v>
      </c>
      <c r="AC2503" s="207" t="s">
        <v>2652</v>
      </c>
      <c r="AD2503" s="213">
        <v>4</v>
      </c>
    </row>
    <row r="2504" spans="28:30" x14ac:dyDescent="0.25">
      <c r="AB2504" s="207" t="s">
        <v>249</v>
      </c>
      <c r="AC2504" s="207" t="s">
        <v>2653</v>
      </c>
      <c r="AD2504" s="213">
        <v>3</v>
      </c>
    </row>
    <row r="2505" spans="28:30" x14ac:dyDescent="0.25">
      <c r="AB2505" s="207" t="s">
        <v>1715</v>
      </c>
      <c r="AC2505" s="207" t="s">
        <v>2654</v>
      </c>
      <c r="AD2505" s="213">
        <v>6</v>
      </c>
    </row>
    <row r="2506" spans="28:30" x14ac:dyDescent="0.25">
      <c r="AB2506" s="207" t="s">
        <v>249</v>
      </c>
      <c r="AC2506" s="207" t="s">
        <v>2655</v>
      </c>
      <c r="AD2506" s="213">
        <v>6</v>
      </c>
    </row>
    <row r="2507" spans="28:30" x14ac:dyDescent="0.25">
      <c r="AB2507" s="207" t="s">
        <v>249</v>
      </c>
      <c r="AC2507" s="207" t="s">
        <v>2656</v>
      </c>
      <c r="AD2507" s="213">
        <v>2</v>
      </c>
    </row>
    <row r="2508" spans="28:30" x14ac:dyDescent="0.25">
      <c r="AB2508" s="207" t="s">
        <v>249</v>
      </c>
      <c r="AC2508" s="207" t="s">
        <v>2657</v>
      </c>
      <c r="AD2508" s="213">
        <v>6</v>
      </c>
    </row>
    <row r="2509" spans="28:30" x14ac:dyDescent="0.25">
      <c r="AB2509" s="207" t="s">
        <v>1691</v>
      </c>
      <c r="AC2509" s="207" t="s">
        <v>2658</v>
      </c>
      <c r="AD2509" s="213">
        <v>8</v>
      </c>
    </row>
    <row r="2510" spans="28:30" x14ac:dyDescent="0.25">
      <c r="AB2510" s="207" t="s">
        <v>217</v>
      </c>
      <c r="AC2510" s="207" t="s">
        <v>2659</v>
      </c>
      <c r="AD2510" s="213">
        <v>8</v>
      </c>
    </row>
    <row r="2511" spans="28:30" x14ac:dyDescent="0.25">
      <c r="AB2511" s="207" t="s">
        <v>1715</v>
      </c>
      <c r="AC2511" s="207" t="s">
        <v>2660</v>
      </c>
      <c r="AD2511" s="213">
        <v>6</v>
      </c>
    </row>
    <row r="2512" spans="28:30" x14ac:dyDescent="0.25">
      <c r="AB2512" s="207" t="s">
        <v>1715</v>
      </c>
      <c r="AC2512" s="207" t="s">
        <v>2661</v>
      </c>
      <c r="AD2512" s="213">
        <v>6</v>
      </c>
    </row>
    <row r="2513" spans="28:30" x14ac:dyDescent="0.25">
      <c r="AB2513" s="207" t="s">
        <v>1715</v>
      </c>
      <c r="AC2513" s="207" t="s">
        <v>2662</v>
      </c>
      <c r="AD2513" s="213">
        <v>6</v>
      </c>
    </row>
    <row r="2514" spans="28:30" x14ac:dyDescent="0.25">
      <c r="AB2514" s="207" t="s">
        <v>249</v>
      </c>
      <c r="AC2514" s="207" t="s">
        <v>2663</v>
      </c>
      <c r="AD2514" s="213">
        <v>4</v>
      </c>
    </row>
    <row r="2515" spans="28:30" x14ac:dyDescent="0.25">
      <c r="AB2515" s="207" t="s">
        <v>1715</v>
      </c>
      <c r="AC2515" s="207" t="s">
        <v>2664</v>
      </c>
      <c r="AD2515" s="213">
        <v>6</v>
      </c>
    </row>
    <row r="2516" spans="28:30" x14ac:dyDescent="0.25">
      <c r="AB2516" s="207" t="s">
        <v>249</v>
      </c>
      <c r="AC2516" s="207" t="s">
        <v>2665</v>
      </c>
      <c r="AD2516" s="213">
        <v>4</v>
      </c>
    </row>
    <row r="2517" spans="28:30" x14ac:dyDescent="0.25">
      <c r="AB2517" s="207" t="s">
        <v>249</v>
      </c>
      <c r="AC2517" s="207" t="s">
        <v>2666</v>
      </c>
      <c r="AD2517" s="213">
        <v>4</v>
      </c>
    </row>
    <row r="2518" spans="28:30" x14ac:dyDescent="0.25">
      <c r="AB2518" s="207" t="s">
        <v>249</v>
      </c>
      <c r="AC2518" s="207" t="s">
        <v>2667</v>
      </c>
      <c r="AD2518" s="213">
        <v>4</v>
      </c>
    </row>
    <row r="2519" spans="28:30" x14ac:dyDescent="0.25">
      <c r="AB2519" s="207" t="s">
        <v>249</v>
      </c>
      <c r="AC2519" s="207" t="s">
        <v>2668</v>
      </c>
      <c r="AD2519" s="213">
        <v>5</v>
      </c>
    </row>
    <row r="2520" spans="28:30" x14ac:dyDescent="0.25">
      <c r="AB2520" s="207" t="s">
        <v>1715</v>
      </c>
      <c r="AC2520" s="207" t="s">
        <v>2669</v>
      </c>
      <c r="AD2520" s="213">
        <v>6</v>
      </c>
    </row>
    <row r="2521" spans="28:30" x14ac:dyDescent="0.25">
      <c r="AB2521" s="207" t="s">
        <v>1715</v>
      </c>
      <c r="AC2521" s="207" t="s">
        <v>2670</v>
      </c>
      <c r="AD2521" s="213">
        <v>6</v>
      </c>
    </row>
    <row r="2522" spans="28:30" x14ac:dyDescent="0.25">
      <c r="AB2522" s="207" t="s">
        <v>217</v>
      </c>
      <c r="AC2522" s="207" t="s">
        <v>2671</v>
      </c>
      <c r="AD2522" s="213">
        <v>6</v>
      </c>
    </row>
    <row r="2523" spans="28:30" x14ac:dyDescent="0.25">
      <c r="AB2523" s="207" t="s">
        <v>249</v>
      </c>
      <c r="AC2523" s="207" t="s">
        <v>2672</v>
      </c>
      <c r="AD2523" s="213">
        <v>4</v>
      </c>
    </row>
    <row r="2524" spans="28:30" x14ac:dyDescent="0.25">
      <c r="AB2524" s="207" t="s">
        <v>249</v>
      </c>
      <c r="AC2524" s="207" t="s">
        <v>2673</v>
      </c>
      <c r="AD2524" s="213">
        <v>4</v>
      </c>
    </row>
    <row r="2525" spans="28:30" x14ac:dyDescent="0.25">
      <c r="AB2525" s="207" t="s">
        <v>249</v>
      </c>
      <c r="AC2525" s="207" t="s">
        <v>2674</v>
      </c>
      <c r="AD2525" s="213">
        <v>3</v>
      </c>
    </row>
    <row r="2526" spans="28:30" x14ac:dyDescent="0.25">
      <c r="AB2526" s="207" t="s">
        <v>233</v>
      </c>
      <c r="AC2526" s="207" t="s">
        <v>2675</v>
      </c>
      <c r="AD2526" s="213">
        <v>6</v>
      </c>
    </row>
    <row r="2527" spans="28:30" x14ac:dyDescent="0.25">
      <c r="AB2527" s="207" t="s">
        <v>1715</v>
      </c>
      <c r="AC2527" s="207" t="s">
        <v>2676</v>
      </c>
      <c r="AD2527" s="213">
        <v>6</v>
      </c>
    </row>
    <row r="2528" spans="28:30" x14ac:dyDescent="0.25">
      <c r="AB2528" s="207" t="s">
        <v>1715</v>
      </c>
      <c r="AC2528" s="207" t="s">
        <v>2677</v>
      </c>
      <c r="AD2528" s="213">
        <v>6</v>
      </c>
    </row>
    <row r="2529" spans="28:30" x14ac:dyDescent="0.25">
      <c r="AB2529" s="207" t="s">
        <v>249</v>
      </c>
      <c r="AC2529" s="207" t="s">
        <v>2678</v>
      </c>
      <c r="AD2529" s="213">
        <v>4</v>
      </c>
    </row>
    <row r="2530" spans="28:30" x14ac:dyDescent="0.25">
      <c r="AB2530" s="207" t="s">
        <v>1715</v>
      </c>
      <c r="AC2530" s="207" t="s">
        <v>2679</v>
      </c>
      <c r="AD2530" s="213">
        <v>4</v>
      </c>
    </row>
    <row r="2531" spans="28:30" x14ac:dyDescent="0.25">
      <c r="AB2531" s="207" t="s">
        <v>249</v>
      </c>
      <c r="AC2531" s="207" t="s">
        <v>2680</v>
      </c>
      <c r="AD2531" s="213">
        <v>4</v>
      </c>
    </row>
    <row r="2532" spans="28:30" x14ac:dyDescent="0.25">
      <c r="AB2532" s="207" t="s">
        <v>1715</v>
      </c>
      <c r="AC2532" s="207" t="s">
        <v>2681</v>
      </c>
      <c r="AD2532" s="213">
        <v>6</v>
      </c>
    </row>
    <row r="2533" spans="28:30" x14ac:dyDescent="0.25">
      <c r="AB2533" s="207" t="s">
        <v>1715</v>
      </c>
      <c r="AC2533" s="207" t="s">
        <v>2682</v>
      </c>
      <c r="AD2533" s="213">
        <v>6</v>
      </c>
    </row>
    <row r="2534" spans="28:30" x14ac:dyDescent="0.25">
      <c r="AB2534" s="207" t="s">
        <v>233</v>
      </c>
      <c r="AC2534" s="207" t="s">
        <v>2683</v>
      </c>
      <c r="AD2534" s="213">
        <v>6</v>
      </c>
    </row>
    <row r="2535" spans="28:30" x14ac:dyDescent="0.25">
      <c r="AB2535" s="207" t="s">
        <v>249</v>
      </c>
      <c r="AC2535" s="207" t="s">
        <v>2684</v>
      </c>
      <c r="AD2535" s="213">
        <v>6</v>
      </c>
    </row>
    <row r="2536" spans="28:30" x14ac:dyDescent="0.25">
      <c r="AB2536" s="207" t="s">
        <v>1715</v>
      </c>
      <c r="AC2536" s="207" t="s">
        <v>2685</v>
      </c>
      <c r="AD2536" s="213">
        <v>6</v>
      </c>
    </row>
    <row r="2537" spans="28:30" x14ac:dyDescent="0.25">
      <c r="AB2537" s="207" t="s">
        <v>249</v>
      </c>
      <c r="AC2537" s="207" t="s">
        <v>2686</v>
      </c>
      <c r="AD2537" s="213">
        <v>6</v>
      </c>
    </row>
    <row r="2538" spans="28:30" x14ac:dyDescent="0.25">
      <c r="AB2538" s="207" t="s">
        <v>249</v>
      </c>
      <c r="AC2538" s="207" t="s">
        <v>2687</v>
      </c>
      <c r="AD2538" s="213">
        <v>4</v>
      </c>
    </row>
    <row r="2539" spans="28:30" x14ac:dyDescent="0.25">
      <c r="AB2539" s="207" t="s">
        <v>1715</v>
      </c>
      <c r="AC2539" s="207" t="s">
        <v>2688</v>
      </c>
      <c r="AD2539" s="213">
        <v>6</v>
      </c>
    </row>
    <row r="2540" spans="28:30" x14ac:dyDescent="0.25">
      <c r="AB2540" s="207" t="s">
        <v>1715</v>
      </c>
      <c r="AC2540" s="207" t="s">
        <v>2689</v>
      </c>
      <c r="AD2540" s="213">
        <v>6</v>
      </c>
    </row>
    <row r="2541" spans="28:30" x14ac:dyDescent="0.25">
      <c r="AB2541" s="207" t="s">
        <v>1715</v>
      </c>
      <c r="AC2541" s="207" t="s">
        <v>2690</v>
      </c>
      <c r="AD2541" s="213">
        <v>6</v>
      </c>
    </row>
    <row r="2542" spans="28:30" x14ac:dyDescent="0.25">
      <c r="AB2542" s="207" t="s">
        <v>233</v>
      </c>
      <c r="AC2542" s="207" t="s">
        <v>2691</v>
      </c>
      <c r="AD2542" s="213">
        <v>3</v>
      </c>
    </row>
    <row r="2543" spans="28:30" x14ac:dyDescent="0.25">
      <c r="AB2543" s="207" t="s">
        <v>1715</v>
      </c>
      <c r="AC2543" s="207" t="s">
        <v>2692</v>
      </c>
      <c r="AD2543" s="213">
        <v>6</v>
      </c>
    </row>
    <row r="2544" spans="28:30" x14ac:dyDescent="0.25">
      <c r="AB2544" s="207" t="s">
        <v>249</v>
      </c>
      <c r="AC2544" s="207" t="s">
        <v>2693</v>
      </c>
      <c r="AD2544" s="213">
        <v>4</v>
      </c>
    </row>
    <row r="2545" spans="28:30" x14ac:dyDescent="0.25">
      <c r="AB2545" s="207" t="s">
        <v>373</v>
      </c>
      <c r="AC2545" s="207" t="s">
        <v>2694</v>
      </c>
      <c r="AD2545" s="213">
        <v>6</v>
      </c>
    </row>
    <row r="2546" spans="28:30" x14ac:dyDescent="0.25">
      <c r="AB2546" s="207" t="s">
        <v>249</v>
      </c>
      <c r="AC2546" s="207" t="s">
        <v>2695</v>
      </c>
      <c r="AD2546" s="213">
        <v>3</v>
      </c>
    </row>
    <row r="2547" spans="28:30" x14ac:dyDescent="0.25">
      <c r="AB2547" s="207" t="s">
        <v>1715</v>
      </c>
      <c r="AC2547" s="207" t="s">
        <v>2696</v>
      </c>
      <c r="AD2547" s="213">
        <v>4</v>
      </c>
    </row>
    <row r="2548" spans="28:30" x14ac:dyDescent="0.25">
      <c r="AB2548" s="207" t="s">
        <v>1953</v>
      </c>
      <c r="AC2548" s="207" t="s">
        <v>2697</v>
      </c>
      <c r="AD2548" s="213">
        <v>6</v>
      </c>
    </row>
    <row r="2549" spans="28:30" x14ac:dyDescent="0.25">
      <c r="AB2549" s="207" t="s">
        <v>1715</v>
      </c>
      <c r="AC2549" s="207" t="s">
        <v>2698</v>
      </c>
      <c r="AD2549" s="213">
        <v>6</v>
      </c>
    </row>
    <row r="2550" spans="28:30" x14ac:dyDescent="0.25">
      <c r="AB2550" s="207" t="s">
        <v>1715</v>
      </c>
      <c r="AC2550" s="207" t="s">
        <v>2699</v>
      </c>
      <c r="AD2550" s="213">
        <v>6</v>
      </c>
    </row>
    <row r="2551" spans="28:30" x14ac:dyDescent="0.25">
      <c r="AB2551" s="207" t="s">
        <v>233</v>
      </c>
      <c r="AC2551" s="207" t="s">
        <v>2700</v>
      </c>
      <c r="AD2551" s="213">
        <v>4</v>
      </c>
    </row>
    <row r="2552" spans="28:30" x14ac:dyDescent="0.25">
      <c r="AB2552" s="207" t="s">
        <v>249</v>
      </c>
      <c r="AC2552" s="207" t="s">
        <v>2701</v>
      </c>
      <c r="AD2552" s="213">
        <v>3</v>
      </c>
    </row>
    <row r="2553" spans="28:30" x14ac:dyDescent="0.25">
      <c r="AB2553" s="207" t="s">
        <v>249</v>
      </c>
      <c r="AC2553" s="207" t="s">
        <v>2702</v>
      </c>
      <c r="AD2553" s="213">
        <v>4</v>
      </c>
    </row>
    <row r="2554" spans="28:30" x14ac:dyDescent="0.25">
      <c r="AB2554" s="207" t="s">
        <v>1715</v>
      </c>
      <c r="AC2554" s="207" t="s">
        <v>2703</v>
      </c>
      <c r="AD2554" s="213">
        <v>6</v>
      </c>
    </row>
    <row r="2555" spans="28:30" x14ac:dyDescent="0.25">
      <c r="AB2555" s="207" t="s">
        <v>1715</v>
      </c>
      <c r="AC2555" s="207" t="s">
        <v>2704</v>
      </c>
      <c r="AD2555" s="213">
        <v>6</v>
      </c>
    </row>
    <row r="2556" spans="28:30" x14ac:dyDescent="0.25">
      <c r="AB2556" s="207" t="s">
        <v>373</v>
      </c>
      <c r="AC2556" s="207" t="s">
        <v>2705</v>
      </c>
      <c r="AD2556" s="213">
        <v>6</v>
      </c>
    </row>
    <row r="2557" spans="28:30" x14ac:dyDescent="0.25">
      <c r="AB2557" s="207" t="s">
        <v>249</v>
      </c>
      <c r="AC2557" s="207" t="s">
        <v>2706</v>
      </c>
      <c r="AD2557" s="213">
        <v>4</v>
      </c>
    </row>
    <row r="2558" spans="28:30" x14ac:dyDescent="0.25">
      <c r="AB2558" s="207" t="s">
        <v>249</v>
      </c>
      <c r="AC2558" s="207" t="s">
        <v>2707</v>
      </c>
      <c r="AD2558" s="213">
        <v>4</v>
      </c>
    </row>
    <row r="2559" spans="28:30" x14ac:dyDescent="0.25">
      <c r="AB2559" s="207" t="s">
        <v>1715</v>
      </c>
      <c r="AC2559" s="207" t="s">
        <v>2708</v>
      </c>
      <c r="AD2559" s="213">
        <v>6</v>
      </c>
    </row>
    <row r="2560" spans="28:30" x14ac:dyDescent="0.25">
      <c r="AB2560" s="207" t="s">
        <v>1715</v>
      </c>
      <c r="AC2560" s="207" t="s">
        <v>2709</v>
      </c>
      <c r="AD2560" s="213">
        <v>6</v>
      </c>
    </row>
    <row r="2561" spans="28:30" x14ac:dyDescent="0.25">
      <c r="AB2561" s="207" t="s">
        <v>233</v>
      </c>
      <c r="AC2561" s="207" t="s">
        <v>2710</v>
      </c>
      <c r="AD2561" s="213">
        <v>4</v>
      </c>
    </row>
    <row r="2562" spans="28:30" x14ac:dyDescent="0.25">
      <c r="AB2562" s="207" t="s">
        <v>1715</v>
      </c>
      <c r="AC2562" s="207" t="s">
        <v>2711</v>
      </c>
      <c r="AD2562" s="213">
        <v>6</v>
      </c>
    </row>
    <row r="2563" spans="28:30" x14ac:dyDescent="0.25">
      <c r="AB2563" s="207" t="s">
        <v>249</v>
      </c>
      <c r="AC2563" s="207" t="s">
        <v>2712</v>
      </c>
      <c r="AD2563" s="213">
        <v>3</v>
      </c>
    </row>
    <row r="2564" spans="28:30" x14ac:dyDescent="0.25">
      <c r="AB2564" s="207" t="s">
        <v>249</v>
      </c>
      <c r="AC2564" s="207" t="s">
        <v>2713</v>
      </c>
      <c r="AD2564" s="213">
        <v>4</v>
      </c>
    </row>
    <row r="2565" spans="28:30" x14ac:dyDescent="0.25">
      <c r="AB2565" s="207" t="s">
        <v>1715</v>
      </c>
      <c r="AC2565" s="207" t="s">
        <v>2714</v>
      </c>
      <c r="AD2565" s="213">
        <v>6</v>
      </c>
    </row>
    <row r="2566" spans="28:30" x14ac:dyDescent="0.25">
      <c r="AB2566" s="207" t="s">
        <v>1715</v>
      </c>
      <c r="AC2566" s="207" t="s">
        <v>2715</v>
      </c>
      <c r="AD2566" s="213">
        <v>6</v>
      </c>
    </row>
    <row r="2567" spans="28:30" x14ac:dyDescent="0.25">
      <c r="AB2567" s="207" t="s">
        <v>1715</v>
      </c>
      <c r="AC2567" s="207" t="s">
        <v>2716</v>
      </c>
      <c r="AD2567" s="213">
        <v>6</v>
      </c>
    </row>
    <row r="2568" spans="28:30" x14ac:dyDescent="0.25">
      <c r="AB2568" s="207" t="s">
        <v>249</v>
      </c>
      <c r="AC2568" s="207" t="s">
        <v>2717</v>
      </c>
      <c r="AD2568" s="213">
        <v>6</v>
      </c>
    </row>
    <row r="2569" spans="28:30" x14ac:dyDescent="0.25">
      <c r="AB2569" s="207" t="s">
        <v>249</v>
      </c>
      <c r="AC2569" s="207" t="s">
        <v>2718</v>
      </c>
      <c r="AD2569" s="213">
        <v>4</v>
      </c>
    </row>
    <row r="2570" spans="28:30" x14ac:dyDescent="0.25">
      <c r="AB2570" s="207" t="s">
        <v>1715</v>
      </c>
      <c r="AC2570" s="207" t="s">
        <v>2719</v>
      </c>
      <c r="AD2570" s="213">
        <v>6</v>
      </c>
    </row>
    <row r="2571" spans="28:30" x14ac:dyDescent="0.25">
      <c r="AB2571" s="207" t="s">
        <v>1715</v>
      </c>
      <c r="AC2571" s="207" t="s">
        <v>2720</v>
      </c>
      <c r="AD2571" s="213">
        <v>6</v>
      </c>
    </row>
    <row r="2572" spans="28:30" x14ac:dyDescent="0.25">
      <c r="AB2572" s="207" t="s">
        <v>1715</v>
      </c>
      <c r="AC2572" s="207" t="s">
        <v>2721</v>
      </c>
      <c r="AD2572" s="213">
        <v>6</v>
      </c>
    </row>
    <row r="2573" spans="28:30" x14ac:dyDescent="0.25">
      <c r="AB2573" s="207" t="s">
        <v>1715</v>
      </c>
      <c r="AC2573" s="207" t="s">
        <v>2722</v>
      </c>
      <c r="AD2573" s="213">
        <v>6</v>
      </c>
    </row>
    <row r="2574" spans="28:30" x14ac:dyDescent="0.25">
      <c r="AB2574" s="207" t="s">
        <v>1715</v>
      </c>
      <c r="AC2574" s="207" t="s">
        <v>2723</v>
      </c>
      <c r="AD2574" s="213">
        <v>4</v>
      </c>
    </row>
    <row r="2575" spans="28:30" x14ac:dyDescent="0.25">
      <c r="AB2575" s="207" t="s">
        <v>249</v>
      </c>
      <c r="AC2575" s="207" t="s">
        <v>2724</v>
      </c>
      <c r="AD2575" s="213">
        <v>4</v>
      </c>
    </row>
    <row r="2576" spans="28:30" x14ac:dyDescent="0.25">
      <c r="AB2576" s="207" t="s">
        <v>1953</v>
      </c>
      <c r="AC2576" s="207" t="s">
        <v>2725</v>
      </c>
      <c r="AD2576" s="213">
        <v>6</v>
      </c>
    </row>
    <row r="2577" spans="28:30" x14ac:dyDescent="0.25">
      <c r="AB2577" s="207" t="s">
        <v>1715</v>
      </c>
      <c r="AC2577" s="207" t="s">
        <v>2726</v>
      </c>
      <c r="AD2577" s="213">
        <v>6</v>
      </c>
    </row>
    <row r="2578" spans="28:30" x14ac:dyDescent="0.25">
      <c r="AB2578" s="207" t="s">
        <v>1715</v>
      </c>
      <c r="AC2578" s="207" t="s">
        <v>2727</v>
      </c>
      <c r="AD2578" s="213">
        <v>6</v>
      </c>
    </row>
    <row r="2579" spans="28:30" x14ac:dyDescent="0.25">
      <c r="AB2579" s="207" t="s">
        <v>1715</v>
      </c>
      <c r="AC2579" s="207" t="s">
        <v>2728</v>
      </c>
      <c r="AD2579" s="213">
        <v>6</v>
      </c>
    </row>
    <row r="2580" spans="28:30" x14ac:dyDescent="0.25">
      <c r="AB2580" s="207" t="s">
        <v>249</v>
      </c>
      <c r="AC2580" s="207" t="s">
        <v>2729</v>
      </c>
      <c r="AD2580" s="213">
        <v>6</v>
      </c>
    </row>
    <row r="2581" spans="28:30" x14ac:dyDescent="0.25">
      <c r="AB2581" s="207" t="s">
        <v>249</v>
      </c>
      <c r="AC2581" s="207" t="s">
        <v>2730</v>
      </c>
      <c r="AD2581" s="213">
        <v>3</v>
      </c>
    </row>
    <row r="2582" spans="28:30" x14ac:dyDescent="0.25">
      <c r="AB2582" s="207" t="s">
        <v>217</v>
      </c>
      <c r="AC2582" s="207" t="s">
        <v>2731</v>
      </c>
      <c r="AD2582" s="213">
        <v>8</v>
      </c>
    </row>
    <row r="2583" spans="28:30" x14ac:dyDescent="0.25">
      <c r="AB2583" s="207" t="s">
        <v>1715</v>
      </c>
      <c r="AC2583" s="207" t="s">
        <v>2732</v>
      </c>
      <c r="AD2583" s="213">
        <v>6</v>
      </c>
    </row>
    <row r="2584" spans="28:30" x14ac:dyDescent="0.25">
      <c r="AB2584" s="207" t="s">
        <v>1715</v>
      </c>
      <c r="AC2584" s="207" t="s">
        <v>2733</v>
      </c>
      <c r="AD2584" s="213">
        <v>6</v>
      </c>
    </row>
    <row r="2585" spans="28:30" x14ac:dyDescent="0.25">
      <c r="AB2585" s="207" t="s">
        <v>1715</v>
      </c>
      <c r="AC2585" s="207" t="s">
        <v>2734</v>
      </c>
      <c r="AD2585" s="213">
        <v>4</v>
      </c>
    </row>
    <row r="2586" spans="28:30" x14ac:dyDescent="0.25">
      <c r="AB2586" s="207" t="s">
        <v>233</v>
      </c>
      <c r="AC2586" s="207" t="s">
        <v>2735</v>
      </c>
      <c r="AD2586" s="213">
        <v>3</v>
      </c>
    </row>
    <row r="2587" spans="28:30" x14ac:dyDescent="0.25">
      <c r="AB2587" s="207" t="s">
        <v>233</v>
      </c>
      <c r="AC2587" s="207" t="s">
        <v>2736</v>
      </c>
      <c r="AD2587" s="213">
        <v>6</v>
      </c>
    </row>
    <row r="2588" spans="28:30" x14ac:dyDescent="0.25">
      <c r="AB2588" s="207" t="s">
        <v>249</v>
      </c>
      <c r="AC2588" s="207" t="s">
        <v>2737</v>
      </c>
      <c r="AD2588" s="213">
        <v>6</v>
      </c>
    </row>
    <row r="2589" spans="28:30" x14ac:dyDescent="0.25">
      <c r="AB2589" s="207" t="s">
        <v>2160</v>
      </c>
      <c r="AC2589" s="207" t="s">
        <v>2738</v>
      </c>
      <c r="AD2589" s="213">
        <v>6</v>
      </c>
    </row>
    <row r="2590" spans="28:30" x14ac:dyDescent="0.25">
      <c r="AB2590" s="207" t="s">
        <v>249</v>
      </c>
      <c r="AC2590" s="207" t="s">
        <v>2739</v>
      </c>
      <c r="AD2590" s="213">
        <v>6</v>
      </c>
    </row>
    <row r="2591" spans="28:30" x14ac:dyDescent="0.25">
      <c r="AB2591" s="207" t="s">
        <v>233</v>
      </c>
      <c r="AC2591" s="207" t="s">
        <v>2740</v>
      </c>
      <c r="AD2591" s="213">
        <v>6</v>
      </c>
    </row>
    <row r="2592" spans="28:30" x14ac:dyDescent="0.25">
      <c r="AB2592" s="207" t="s">
        <v>233</v>
      </c>
      <c r="AC2592" s="207" t="s">
        <v>2741</v>
      </c>
      <c r="AD2592" s="213">
        <v>6</v>
      </c>
    </row>
    <row r="2593" spans="28:30" x14ac:dyDescent="0.25">
      <c r="AB2593" s="207" t="s">
        <v>1715</v>
      </c>
      <c r="AC2593" s="207" t="s">
        <v>2742</v>
      </c>
      <c r="AD2593" s="213">
        <v>6</v>
      </c>
    </row>
    <row r="2594" spans="28:30" x14ac:dyDescent="0.25">
      <c r="AB2594" s="207" t="s">
        <v>1715</v>
      </c>
      <c r="AC2594" s="207" t="s">
        <v>2743</v>
      </c>
      <c r="AD2594" s="213">
        <v>6</v>
      </c>
    </row>
    <row r="2595" spans="28:30" x14ac:dyDescent="0.25">
      <c r="AB2595" s="207" t="s">
        <v>249</v>
      </c>
      <c r="AC2595" s="207" t="s">
        <v>2744</v>
      </c>
      <c r="AD2595" s="213">
        <v>6</v>
      </c>
    </row>
    <row r="2596" spans="28:30" x14ac:dyDescent="0.25">
      <c r="AB2596" s="207" t="s">
        <v>249</v>
      </c>
      <c r="AC2596" s="207" t="s">
        <v>2745</v>
      </c>
      <c r="AD2596" s="213">
        <v>4</v>
      </c>
    </row>
    <row r="2597" spans="28:30" x14ac:dyDescent="0.25">
      <c r="AB2597" s="207" t="s">
        <v>1715</v>
      </c>
      <c r="AC2597" s="207" t="s">
        <v>2746</v>
      </c>
      <c r="AD2597" s="213">
        <v>6</v>
      </c>
    </row>
    <row r="2598" spans="28:30" x14ac:dyDescent="0.25">
      <c r="AB2598" s="207" t="s">
        <v>249</v>
      </c>
      <c r="AC2598" s="207" t="s">
        <v>2747</v>
      </c>
      <c r="AD2598" s="213">
        <v>4</v>
      </c>
    </row>
    <row r="2599" spans="28:30" x14ac:dyDescent="0.25">
      <c r="AB2599" s="207" t="s">
        <v>249</v>
      </c>
      <c r="AC2599" s="207" t="s">
        <v>2748</v>
      </c>
      <c r="AD2599" s="213">
        <v>4</v>
      </c>
    </row>
    <row r="2600" spans="28:30" x14ac:dyDescent="0.25">
      <c r="AB2600" s="207" t="s">
        <v>249</v>
      </c>
      <c r="AC2600" s="207" t="s">
        <v>2749</v>
      </c>
      <c r="AD2600" s="213">
        <v>6</v>
      </c>
    </row>
    <row r="2601" spans="28:30" x14ac:dyDescent="0.25">
      <c r="AB2601" s="207" t="s">
        <v>249</v>
      </c>
      <c r="AC2601" s="207" t="s">
        <v>2750</v>
      </c>
      <c r="AD2601" s="213">
        <v>4</v>
      </c>
    </row>
    <row r="2602" spans="28:30" x14ac:dyDescent="0.25">
      <c r="AB2602" s="207" t="s">
        <v>1715</v>
      </c>
      <c r="AC2602" s="207" t="s">
        <v>2751</v>
      </c>
      <c r="AD2602" s="213">
        <v>6</v>
      </c>
    </row>
    <row r="2603" spans="28:30" x14ac:dyDescent="0.25">
      <c r="AB2603" s="207" t="s">
        <v>1953</v>
      </c>
      <c r="AC2603" s="207" t="s">
        <v>2752</v>
      </c>
      <c r="AD2603" s="213">
        <v>6</v>
      </c>
    </row>
    <row r="2604" spans="28:30" x14ac:dyDescent="0.25">
      <c r="AB2604" s="207" t="s">
        <v>249</v>
      </c>
      <c r="AC2604" s="207" t="s">
        <v>2753</v>
      </c>
      <c r="AD2604" s="213">
        <v>3</v>
      </c>
    </row>
    <row r="2605" spans="28:30" x14ac:dyDescent="0.25">
      <c r="AB2605" s="207" t="s">
        <v>373</v>
      </c>
      <c r="AC2605" s="207" t="s">
        <v>2754</v>
      </c>
      <c r="AD2605" s="213">
        <v>6</v>
      </c>
    </row>
    <row r="2606" spans="28:30" x14ac:dyDescent="0.25">
      <c r="AB2606" s="207" t="s">
        <v>1715</v>
      </c>
      <c r="AC2606" s="207" t="s">
        <v>2755</v>
      </c>
      <c r="AD2606" s="213">
        <v>6</v>
      </c>
    </row>
    <row r="2607" spans="28:30" x14ac:dyDescent="0.25">
      <c r="AB2607" s="207" t="s">
        <v>1715</v>
      </c>
      <c r="AC2607" s="207" t="s">
        <v>2756</v>
      </c>
      <c r="AD2607" s="213">
        <v>6</v>
      </c>
    </row>
    <row r="2608" spans="28:30" x14ac:dyDescent="0.25">
      <c r="AB2608" s="207" t="s">
        <v>249</v>
      </c>
      <c r="AC2608" s="207" t="s">
        <v>2757</v>
      </c>
      <c r="AD2608" s="213">
        <v>6</v>
      </c>
    </row>
    <row r="2609" spans="28:30" x14ac:dyDescent="0.25">
      <c r="AB2609" s="207" t="s">
        <v>249</v>
      </c>
      <c r="AC2609" s="207" t="s">
        <v>2758</v>
      </c>
      <c r="AD2609" s="213">
        <v>4</v>
      </c>
    </row>
    <row r="2610" spans="28:30" x14ac:dyDescent="0.25">
      <c r="AB2610" s="207" t="s">
        <v>1715</v>
      </c>
      <c r="AC2610" s="207" t="s">
        <v>2759</v>
      </c>
      <c r="AD2610" s="213">
        <v>6</v>
      </c>
    </row>
    <row r="2611" spans="28:30" x14ac:dyDescent="0.25">
      <c r="AB2611" s="207" t="s">
        <v>1738</v>
      </c>
      <c r="AC2611" s="207" t="s">
        <v>2760</v>
      </c>
      <c r="AD2611" s="213">
        <v>8</v>
      </c>
    </row>
    <row r="2612" spans="28:30" x14ac:dyDescent="0.25">
      <c r="AB2612" s="207" t="s">
        <v>249</v>
      </c>
      <c r="AC2612" s="207" t="s">
        <v>2761</v>
      </c>
      <c r="AD2612" s="213">
        <v>6</v>
      </c>
    </row>
    <row r="2613" spans="28:30" x14ac:dyDescent="0.25">
      <c r="AB2613" s="207" t="s">
        <v>1715</v>
      </c>
      <c r="AC2613" s="207" t="s">
        <v>2762</v>
      </c>
      <c r="AD2613" s="213">
        <v>6</v>
      </c>
    </row>
    <row r="2614" spans="28:30" x14ac:dyDescent="0.25">
      <c r="AB2614" s="207" t="s">
        <v>249</v>
      </c>
      <c r="AC2614" s="207" t="s">
        <v>2763</v>
      </c>
      <c r="AD2614" s="213">
        <v>6</v>
      </c>
    </row>
    <row r="2615" spans="28:30" x14ac:dyDescent="0.25">
      <c r="AB2615" s="207" t="s">
        <v>249</v>
      </c>
      <c r="AC2615" s="207" t="s">
        <v>2764</v>
      </c>
      <c r="AD2615" s="213">
        <v>6</v>
      </c>
    </row>
    <row r="2616" spans="28:30" x14ac:dyDescent="0.25">
      <c r="AB2616" s="207" t="s">
        <v>1715</v>
      </c>
      <c r="AC2616" s="207" t="s">
        <v>2765</v>
      </c>
      <c r="AD2616" s="213">
        <v>4</v>
      </c>
    </row>
    <row r="2617" spans="28:30" x14ac:dyDescent="0.25">
      <c r="AB2617" s="207" t="s">
        <v>249</v>
      </c>
      <c r="AC2617" s="207" t="s">
        <v>2766</v>
      </c>
      <c r="AD2617" s="213">
        <v>3</v>
      </c>
    </row>
    <row r="2618" spans="28:30" x14ac:dyDescent="0.25">
      <c r="AB2618" s="207" t="s">
        <v>249</v>
      </c>
      <c r="AC2618" s="207" t="s">
        <v>2767</v>
      </c>
      <c r="AD2618" s="213">
        <v>6</v>
      </c>
    </row>
    <row r="2619" spans="28:30" x14ac:dyDescent="0.25">
      <c r="AB2619" s="207" t="s">
        <v>1715</v>
      </c>
      <c r="AC2619" s="207" t="s">
        <v>2768</v>
      </c>
      <c r="AD2619" s="213">
        <v>6</v>
      </c>
    </row>
    <row r="2620" spans="28:30" x14ac:dyDescent="0.25">
      <c r="AB2620" s="207" t="s">
        <v>249</v>
      </c>
      <c r="AC2620" s="207" t="s">
        <v>2769</v>
      </c>
      <c r="AD2620" s="213">
        <v>6</v>
      </c>
    </row>
    <row r="2621" spans="28:30" x14ac:dyDescent="0.25">
      <c r="AB2621" s="207" t="s">
        <v>233</v>
      </c>
      <c r="AC2621" s="207" t="s">
        <v>2770</v>
      </c>
      <c r="AD2621" s="213">
        <v>6</v>
      </c>
    </row>
    <row r="2622" spans="28:30" x14ac:dyDescent="0.25">
      <c r="AB2622" s="207" t="s">
        <v>1715</v>
      </c>
      <c r="AC2622" s="207" t="s">
        <v>2771</v>
      </c>
      <c r="AD2622" s="213">
        <v>6</v>
      </c>
    </row>
    <row r="2623" spans="28:30" x14ac:dyDescent="0.25">
      <c r="AB2623" s="207" t="s">
        <v>249</v>
      </c>
      <c r="AC2623" s="207" t="s">
        <v>2772</v>
      </c>
      <c r="AD2623" s="213">
        <v>6</v>
      </c>
    </row>
    <row r="2624" spans="28:30" x14ac:dyDescent="0.25">
      <c r="AB2624" s="207" t="s">
        <v>249</v>
      </c>
      <c r="AC2624" s="207" t="s">
        <v>2773</v>
      </c>
      <c r="AD2624" s="213">
        <v>6</v>
      </c>
    </row>
    <row r="2625" spans="28:30" x14ac:dyDescent="0.25">
      <c r="AB2625" s="207" t="s">
        <v>249</v>
      </c>
      <c r="AC2625" s="207" t="s">
        <v>2774</v>
      </c>
      <c r="AD2625" s="213">
        <v>3</v>
      </c>
    </row>
    <row r="2626" spans="28:30" x14ac:dyDescent="0.25">
      <c r="AB2626" s="207" t="s">
        <v>1715</v>
      </c>
      <c r="AC2626" s="207" t="s">
        <v>2775</v>
      </c>
      <c r="AD2626" s="213">
        <v>6</v>
      </c>
    </row>
    <row r="2627" spans="28:30" x14ac:dyDescent="0.25">
      <c r="AB2627" s="207" t="s">
        <v>1715</v>
      </c>
      <c r="AC2627" s="207" t="s">
        <v>2776</v>
      </c>
      <c r="AD2627" s="213">
        <v>6</v>
      </c>
    </row>
    <row r="2628" spans="28:30" x14ac:dyDescent="0.25">
      <c r="AB2628" s="207" t="s">
        <v>233</v>
      </c>
      <c r="AC2628" s="207" t="s">
        <v>2777</v>
      </c>
      <c r="AD2628" s="213">
        <v>6</v>
      </c>
    </row>
    <row r="2629" spans="28:30" x14ac:dyDescent="0.25">
      <c r="AB2629" s="207" t="s">
        <v>1715</v>
      </c>
      <c r="AC2629" s="207" t="s">
        <v>2301</v>
      </c>
      <c r="AD2629" s="213">
        <v>6</v>
      </c>
    </row>
    <row r="2630" spans="28:30" x14ac:dyDescent="0.25">
      <c r="AB2630" s="207" t="s">
        <v>249</v>
      </c>
      <c r="AC2630" s="207" t="s">
        <v>2778</v>
      </c>
      <c r="AD2630" s="213">
        <v>6</v>
      </c>
    </row>
    <row r="2631" spans="28:30" x14ac:dyDescent="0.25">
      <c r="AB2631" s="207" t="s">
        <v>1715</v>
      </c>
      <c r="AC2631" s="207" t="s">
        <v>2779</v>
      </c>
      <c r="AD2631" s="213">
        <v>6</v>
      </c>
    </row>
    <row r="2632" spans="28:30" x14ac:dyDescent="0.25">
      <c r="AB2632" s="207" t="s">
        <v>233</v>
      </c>
      <c r="AC2632" s="207" t="s">
        <v>2780</v>
      </c>
      <c r="AD2632" s="213">
        <v>6</v>
      </c>
    </row>
    <row r="2633" spans="28:30" x14ac:dyDescent="0.25">
      <c r="AB2633" s="207" t="s">
        <v>249</v>
      </c>
      <c r="AC2633" s="207" t="s">
        <v>2781</v>
      </c>
      <c r="AD2633" s="213">
        <v>6</v>
      </c>
    </row>
    <row r="2634" spans="28:30" x14ac:dyDescent="0.25">
      <c r="AB2634" s="207" t="s">
        <v>249</v>
      </c>
      <c r="AC2634" s="207" t="s">
        <v>2782</v>
      </c>
      <c r="AD2634" s="213">
        <v>6</v>
      </c>
    </row>
    <row r="2635" spans="28:30" x14ac:dyDescent="0.25">
      <c r="AB2635" s="207" t="s">
        <v>249</v>
      </c>
      <c r="AC2635" s="207" t="s">
        <v>2783</v>
      </c>
      <c r="AD2635" s="213">
        <v>4</v>
      </c>
    </row>
    <row r="2636" spans="28:30" x14ac:dyDescent="0.25">
      <c r="AB2636" s="207" t="s">
        <v>249</v>
      </c>
      <c r="AC2636" s="207" t="s">
        <v>2784</v>
      </c>
      <c r="AD2636" s="213">
        <v>6</v>
      </c>
    </row>
    <row r="2637" spans="28:30" x14ac:dyDescent="0.25">
      <c r="AB2637" s="207" t="s">
        <v>1715</v>
      </c>
      <c r="AC2637" s="207" t="s">
        <v>2785</v>
      </c>
      <c r="AD2637" s="213">
        <v>6</v>
      </c>
    </row>
    <row r="2638" spans="28:30" x14ac:dyDescent="0.25">
      <c r="AB2638" s="207" t="s">
        <v>249</v>
      </c>
      <c r="AC2638" s="207" t="s">
        <v>2786</v>
      </c>
      <c r="AD2638" s="213">
        <v>6</v>
      </c>
    </row>
    <row r="2639" spans="28:30" x14ac:dyDescent="0.25">
      <c r="AB2639" s="207" t="s">
        <v>249</v>
      </c>
      <c r="AC2639" s="207" t="s">
        <v>2787</v>
      </c>
      <c r="AD2639" s="213">
        <v>3</v>
      </c>
    </row>
    <row r="2640" spans="28:30" x14ac:dyDescent="0.25">
      <c r="AB2640" s="207" t="s">
        <v>249</v>
      </c>
      <c r="AC2640" s="207" t="s">
        <v>2788</v>
      </c>
      <c r="AD2640" s="213">
        <v>6</v>
      </c>
    </row>
    <row r="2641" spans="28:30" x14ac:dyDescent="0.25">
      <c r="AB2641" s="207" t="s">
        <v>1953</v>
      </c>
      <c r="AC2641" s="207" t="s">
        <v>1460</v>
      </c>
      <c r="AD2641" s="213">
        <v>6</v>
      </c>
    </row>
    <row r="2642" spans="28:30" x14ac:dyDescent="0.25">
      <c r="AB2642" s="207" t="s">
        <v>373</v>
      </c>
      <c r="AC2642" s="207" t="s">
        <v>2789</v>
      </c>
      <c r="AD2642" s="213">
        <v>6</v>
      </c>
    </row>
    <row r="2643" spans="28:30" x14ac:dyDescent="0.25">
      <c r="AB2643" s="207" t="s">
        <v>1715</v>
      </c>
      <c r="AC2643" s="207" t="s">
        <v>2790</v>
      </c>
      <c r="AD2643" s="213">
        <v>6</v>
      </c>
    </row>
    <row r="2644" spans="28:30" x14ac:dyDescent="0.25">
      <c r="AB2644" s="207" t="s">
        <v>1715</v>
      </c>
      <c r="AC2644" s="207" t="s">
        <v>2791</v>
      </c>
      <c r="AD2644" s="213">
        <v>6</v>
      </c>
    </row>
    <row r="2645" spans="28:30" x14ac:dyDescent="0.25">
      <c r="AB2645" s="207" t="s">
        <v>249</v>
      </c>
      <c r="AC2645" s="207" t="s">
        <v>2792</v>
      </c>
      <c r="AD2645" s="213">
        <v>6</v>
      </c>
    </row>
    <row r="2646" spans="28:30" x14ac:dyDescent="0.25">
      <c r="AB2646" s="207" t="s">
        <v>249</v>
      </c>
      <c r="AC2646" s="207" t="s">
        <v>2793</v>
      </c>
      <c r="AD2646" s="213">
        <v>6</v>
      </c>
    </row>
    <row r="2647" spans="28:30" x14ac:dyDescent="0.25">
      <c r="AB2647" s="207" t="s">
        <v>2160</v>
      </c>
      <c r="AC2647" s="207" t="s">
        <v>2794</v>
      </c>
      <c r="AD2647" s="213">
        <v>6</v>
      </c>
    </row>
    <row r="2648" spans="28:30" x14ac:dyDescent="0.25">
      <c r="AB2648" s="207" t="s">
        <v>249</v>
      </c>
      <c r="AC2648" s="207" t="s">
        <v>2795</v>
      </c>
      <c r="AD2648" s="213">
        <v>6</v>
      </c>
    </row>
    <row r="2649" spans="28:30" x14ac:dyDescent="0.25">
      <c r="AB2649" s="207" t="s">
        <v>2160</v>
      </c>
      <c r="AC2649" s="207" t="s">
        <v>2796</v>
      </c>
      <c r="AD2649" s="213">
        <v>6</v>
      </c>
    </row>
    <row r="2650" spans="28:30" x14ac:dyDescent="0.25">
      <c r="AB2650" s="207" t="s">
        <v>1715</v>
      </c>
      <c r="AC2650" s="207" t="s">
        <v>1991</v>
      </c>
      <c r="AD2650" s="213">
        <v>6</v>
      </c>
    </row>
    <row r="2651" spans="28:30" x14ac:dyDescent="0.25">
      <c r="AB2651" s="207" t="s">
        <v>233</v>
      </c>
      <c r="AC2651" s="207" t="s">
        <v>2797</v>
      </c>
      <c r="AD2651" s="213">
        <v>6</v>
      </c>
    </row>
    <row r="2652" spans="28:30" x14ac:dyDescent="0.25">
      <c r="AB2652" s="207" t="s">
        <v>249</v>
      </c>
      <c r="AC2652" s="207" t="s">
        <v>2798</v>
      </c>
      <c r="AD2652" s="213">
        <v>6</v>
      </c>
    </row>
    <row r="2653" spans="28:30" x14ac:dyDescent="0.25">
      <c r="AB2653" s="207" t="s">
        <v>1715</v>
      </c>
      <c r="AC2653" s="207" t="s">
        <v>2799</v>
      </c>
      <c r="AD2653" s="213">
        <v>6</v>
      </c>
    </row>
    <row r="2654" spans="28:30" x14ac:dyDescent="0.25">
      <c r="AB2654" s="207" t="s">
        <v>249</v>
      </c>
      <c r="AC2654" s="207" t="s">
        <v>2800</v>
      </c>
      <c r="AD2654" s="213">
        <v>6</v>
      </c>
    </row>
    <row r="2655" spans="28:30" x14ac:dyDescent="0.25">
      <c r="AB2655" s="207" t="s">
        <v>1715</v>
      </c>
      <c r="AC2655" s="207" t="s">
        <v>2801</v>
      </c>
      <c r="AD2655" s="213">
        <v>6</v>
      </c>
    </row>
    <row r="2656" spans="28:30" x14ac:dyDescent="0.25">
      <c r="AB2656" s="207" t="s">
        <v>233</v>
      </c>
      <c r="AC2656" s="207" t="s">
        <v>2802</v>
      </c>
      <c r="AD2656" s="213">
        <v>6</v>
      </c>
    </row>
    <row r="2657" spans="28:30" x14ac:dyDescent="0.25">
      <c r="AB2657" s="207" t="s">
        <v>1715</v>
      </c>
      <c r="AC2657" s="207" t="s">
        <v>2803</v>
      </c>
      <c r="AD2657" s="213">
        <v>6</v>
      </c>
    </row>
    <row r="2658" spans="28:30" x14ac:dyDescent="0.25">
      <c r="AB2658" s="207" t="s">
        <v>249</v>
      </c>
      <c r="AC2658" s="207" t="s">
        <v>2804</v>
      </c>
      <c r="AD2658" s="213">
        <v>6</v>
      </c>
    </row>
    <row r="2659" spans="28:30" x14ac:dyDescent="0.25">
      <c r="AB2659" s="207" t="s">
        <v>1715</v>
      </c>
      <c r="AC2659" s="207" t="s">
        <v>2805</v>
      </c>
      <c r="AD2659" s="213">
        <v>6</v>
      </c>
    </row>
    <row r="2660" spans="28:30" x14ac:dyDescent="0.25">
      <c r="AB2660" s="207" t="s">
        <v>249</v>
      </c>
      <c r="AC2660" s="207" t="s">
        <v>2806</v>
      </c>
      <c r="AD2660" s="213">
        <v>6</v>
      </c>
    </row>
    <row r="2661" spans="28:30" x14ac:dyDescent="0.25">
      <c r="AB2661" s="207" t="s">
        <v>249</v>
      </c>
      <c r="AC2661" s="207" t="s">
        <v>2807</v>
      </c>
      <c r="AD2661" s="213">
        <v>4</v>
      </c>
    </row>
    <row r="2662" spans="28:30" x14ac:dyDescent="0.25">
      <c r="AB2662" s="207" t="s">
        <v>1715</v>
      </c>
      <c r="AC2662" s="207" t="s">
        <v>2808</v>
      </c>
      <c r="AD2662" s="213">
        <v>6</v>
      </c>
    </row>
    <row r="2663" spans="28:30" x14ac:dyDescent="0.25">
      <c r="AB2663" s="207" t="s">
        <v>233</v>
      </c>
      <c r="AC2663" s="207" t="s">
        <v>2809</v>
      </c>
      <c r="AD2663" s="213">
        <v>6</v>
      </c>
    </row>
    <row r="2664" spans="28:30" x14ac:dyDescent="0.25">
      <c r="AB2664" s="207" t="s">
        <v>1715</v>
      </c>
      <c r="AC2664" s="207" t="s">
        <v>2810</v>
      </c>
      <c r="AD2664" s="213">
        <v>6</v>
      </c>
    </row>
    <row r="2665" spans="28:30" x14ac:dyDescent="0.25">
      <c r="AB2665" s="207" t="s">
        <v>1715</v>
      </c>
      <c r="AC2665" s="207" t="s">
        <v>2811</v>
      </c>
      <c r="AD2665" s="213">
        <v>6</v>
      </c>
    </row>
    <row r="2666" spans="28:30" x14ac:dyDescent="0.25">
      <c r="AB2666" s="207" t="s">
        <v>233</v>
      </c>
      <c r="AC2666" s="207" t="s">
        <v>1891</v>
      </c>
      <c r="AD2666" s="213">
        <v>6</v>
      </c>
    </row>
    <row r="2667" spans="28:30" x14ac:dyDescent="0.25">
      <c r="AB2667" s="207" t="s">
        <v>249</v>
      </c>
      <c r="AC2667" s="207" t="s">
        <v>2812</v>
      </c>
      <c r="AD2667" s="213">
        <v>6</v>
      </c>
    </row>
    <row r="2668" spans="28:30" x14ac:dyDescent="0.25">
      <c r="AB2668" s="207" t="s">
        <v>233</v>
      </c>
      <c r="AC2668" s="207" t="s">
        <v>2813</v>
      </c>
      <c r="AD2668" s="213">
        <v>3</v>
      </c>
    </row>
    <row r="2669" spans="28:30" x14ac:dyDescent="0.25">
      <c r="AB2669" s="207" t="s">
        <v>1715</v>
      </c>
      <c r="AC2669" s="207" t="s">
        <v>2814</v>
      </c>
      <c r="AD2669" s="213">
        <v>6</v>
      </c>
    </row>
    <row r="2670" spans="28:30" x14ac:dyDescent="0.25">
      <c r="AB2670" s="207" t="s">
        <v>2160</v>
      </c>
      <c r="AC2670" s="207" t="s">
        <v>2815</v>
      </c>
      <c r="AD2670" s="213">
        <v>8</v>
      </c>
    </row>
    <row r="2671" spans="28:30" x14ac:dyDescent="0.25">
      <c r="AB2671" s="207" t="s">
        <v>373</v>
      </c>
      <c r="AC2671" s="207" t="s">
        <v>2816</v>
      </c>
      <c r="AD2671" s="213">
        <v>6</v>
      </c>
    </row>
    <row r="2672" spans="28:30" x14ac:dyDescent="0.25">
      <c r="AB2672" s="207" t="s">
        <v>1715</v>
      </c>
      <c r="AC2672" s="207" t="s">
        <v>2817</v>
      </c>
      <c r="AD2672" s="213">
        <v>6</v>
      </c>
    </row>
    <row r="2673" spans="28:30" x14ac:dyDescent="0.25">
      <c r="AB2673" s="207" t="s">
        <v>1715</v>
      </c>
      <c r="AC2673" s="207" t="s">
        <v>2818</v>
      </c>
      <c r="AD2673" s="213">
        <v>6</v>
      </c>
    </row>
    <row r="2674" spans="28:30" x14ac:dyDescent="0.25">
      <c r="AB2674" s="207" t="s">
        <v>1715</v>
      </c>
      <c r="AC2674" s="207" t="s">
        <v>2819</v>
      </c>
      <c r="AD2674" s="213">
        <v>6</v>
      </c>
    </row>
    <row r="2675" spans="28:30" x14ac:dyDescent="0.25">
      <c r="AB2675" s="207" t="s">
        <v>1715</v>
      </c>
      <c r="AC2675" s="207" t="s">
        <v>2820</v>
      </c>
      <c r="AD2675" s="213">
        <v>6</v>
      </c>
    </row>
    <row r="2676" spans="28:30" x14ac:dyDescent="0.25">
      <c r="AB2676" s="207" t="s">
        <v>249</v>
      </c>
      <c r="AC2676" s="207" t="s">
        <v>2821</v>
      </c>
      <c r="AD2676" s="213">
        <v>6</v>
      </c>
    </row>
    <row r="2677" spans="28:30" x14ac:dyDescent="0.25">
      <c r="AB2677" s="207" t="s">
        <v>1738</v>
      </c>
      <c r="AC2677" s="207" t="s">
        <v>2822</v>
      </c>
      <c r="AD2677" s="213">
        <v>8</v>
      </c>
    </row>
    <row r="2678" spans="28:30" x14ac:dyDescent="0.25">
      <c r="AB2678" s="207" t="s">
        <v>249</v>
      </c>
      <c r="AC2678" s="207" t="s">
        <v>2823</v>
      </c>
      <c r="AD2678" s="213">
        <v>6</v>
      </c>
    </row>
    <row r="2679" spans="28:30" x14ac:dyDescent="0.25">
      <c r="AB2679" s="207" t="s">
        <v>1715</v>
      </c>
      <c r="AC2679" s="207" t="s">
        <v>2824</v>
      </c>
      <c r="AD2679" s="213">
        <v>6</v>
      </c>
    </row>
    <row r="2680" spans="28:30" x14ac:dyDescent="0.25">
      <c r="AB2680" s="207" t="s">
        <v>1953</v>
      </c>
      <c r="AC2680" s="207" t="s">
        <v>2825</v>
      </c>
      <c r="AD2680" s="213">
        <v>6</v>
      </c>
    </row>
    <row r="2681" spans="28:30" x14ac:dyDescent="0.25">
      <c r="AB2681" s="207" t="s">
        <v>373</v>
      </c>
      <c r="AC2681" s="207" t="s">
        <v>2826</v>
      </c>
      <c r="AD2681" s="213">
        <v>6</v>
      </c>
    </row>
    <row r="2682" spans="28:30" x14ac:dyDescent="0.25">
      <c r="AB2682" s="207" t="s">
        <v>249</v>
      </c>
      <c r="AC2682" s="207" t="s">
        <v>2827</v>
      </c>
      <c r="AD2682" s="213">
        <v>6</v>
      </c>
    </row>
    <row r="2683" spans="28:30" x14ac:dyDescent="0.25">
      <c r="AB2683" s="207" t="s">
        <v>1715</v>
      </c>
      <c r="AC2683" s="207" t="s">
        <v>2828</v>
      </c>
      <c r="AD2683" s="213">
        <v>6</v>
      </c>
    </row>
    <row r="2684" spans="28:30" x14ac:dyDescent="0.25">
      <c r="AB2684" s="207" t="s">
        <v>1715</v>
      </c>
      <c r="AC2684" s="207" t="s">
        <v>2829</v>
      </c>
      <c r="AD2684" s="213">
        <v>6</v>
      </c>
    </row>
    <row r="2685" spans="28:30" x14ac:dyDescent="0.25">
      <c r="AB2685" s="207" t="s">
        <v>1715</v>
      </c>
      <c r="AC2685" s="207" t="s">
        <v>2830</v>
      </c>
      <c r="AD2685" s="213">
        <v>6</v>
      </c>
    </row>
    <row r="2686" spans="28:30" x14ac:dyDescent="0.25">
      <c r="AB2686" s="207" t="s">
        <v>1715</v>
      </c>
      <c r="AC2686" s="207" t="s">
        <v>2831</v>
      </c>
      <c r="AD2686" s="213">
        <v>6</v>
      </c>
    </row>
    <row r="2687" spans="28:30" x14ac:dyDescent="0.25">
      <c r="AB2687" s="207" t="s">
        <v>249</v>
      </c>
      <c r="AC2687" s="207" t="s">
        <v>2832</v>
      </c>
      <c r="AD2687" s="213">
        <v>6</v>
      </c>
    </row>
    <row r="2688" spans="28:30" x14ac:dyDescent="0.25">
      <c r="AB2688" s="207" t="s">
        <v>373</v>
      </c>
      <c r="AC2688" s="207" t="s">
        <v>5868</v>
      </c>
      <c r="AD2688" s="213">
        <v>8</v>
      </c>
    </row>
    <row r="2689" spans="28:30" x14ac:dyDescent="0.25">
      <c r="AB2689" s="207" t="s">
        <v>2160</v>
      </c>
      <c r="AC2689" s="207" t="s">
        <v>2833</v>
      </c>
      <c r="AD2689" s="213">
        <v>6</v>
      </c>
    </row>
    <row r="2690" spans="28:30" x14ac:dyDescent="0.25">
      <c r="AB2690" s="207" t="s">
        <v>249</v>
      </c>
      <c r="AC2690" s="207" t="s">
        <v>2834</v>
      </c>
      <c r="AD2690" s="213">
        <v>6</v>
      </c>
    </row>
    <row r="2691" spans="28:30" x14ac:dyDescent="0.25">
      <c r="AB2691" s="207" t="s">
        <v>1953</v>
      </c>
      <c r="AC2691" s="207" t="s">
        <v>2835</v>
      </c>
      <c r="AD2691" s="213">
        <v>6</v>
      </c>
    </row>
    <row r="2692" spans="28:30" x14ac:dyDescent="0.25">
      <c r="AB2692" s="207" t="s">
        <v>1715</v>
      </c>
      <c r="AC2692" s="207" t="s">
        <v>2836</v>
      </c>
      <c r="AD2692" s="213">
        <v>6</v>
      </c>
    </row>
    <row r="2693" spans="28:30" x14ac:dyDescent="0.25">
      <c r="AB2693" s="207" t="s">
        <v>1715</v>
      </c>
      <c r="AC2693" s="207" t="s">
        <v>2837</v>
      </c>
      <c r="AD2693" s="213">
        <v>6</v>
      </c>
    </row>
    <row r="2694" spans="28:30" x14ac:dyDescent="0.25">
      <c r="AB2694" s="207" t="s">
        <v>2160</v>
      </c>
      <c r="AC2694" s="207" t="s">
        <v>2838</v>
      </c>
      <c r="AD2694" s="213">
        <v>6</v>
      </c>
    </row>
    <row r="2695" spans="28:30" x14ac:dyDescent="0.25">
      <c r="AB2695" s="207" t="s">
        <v>249</v>
      </c>
      <c r="AC2695" s="207" t="s">
        <v>2839</v>
      </c>
      <c r="AD2695" s="213">
        <v>6</v>
      </c>
    </row>
    <row r="2696" spans="28:30" x14ac:dyDescent="0.25">
      <c r="AB2696" s="207" t="s">
        <v>249</v>
      </c>
      <c r="AC2696" s="207" t="s">
        <v>2840</v>
      </c>
      <c r="AD2696" s="213">
        <v>6</v>
      </c>
    </row>
    <row r="2697" spans="28:30" x14ac:dyDescent="0.25">
      <c r="AB2697" s="207" t="s">
        <v>249</v>
      </c>
      <c r="AC2697" s="207" t="s">
        <v>2841</v>
      </c>
      <c r="AD2697" s="213">
        <v>6</v>
      </c>
    </row>
    <row r="2698" spans="28:30" x14ac:dyDescent="0.25">
      <c r="AB2698" s="207" t="s">
        <v>249</v>
      </c>
      <c r="AC2698" s="207" t="s">
        <v>2842</v>
      </c>
      <c r="AD2698" s="213">
        <v>4</v>
      </c>
    </row>
    <row r="2699" spans="28:30" x14ac:dyDescent="0.25">
      <c r="AB2699" s="207" t="s">
        <v>1715</v>
      </c>
      <c r="AC2699" s="207" t="s">
        <v>2843</v>
      </c>
      <c r="AD2699" s="213">
        <v>6</v>
      </c>
    </row>
    <row r="2700" spans="28:30" x14ac:dyDescent="0.25">
      <c r="AB2700" s="207" t="s">
        <v>249</v>
      </c>
      <c r="AC2700" s="207" t="s">
        <v>2844</v>
      </c>
      <c r="AD2700" s="213">
        <v>6</v>
      </c>
    </row>
    <row r="2701" spans="28:30" x14ac:dyDescent="0.25">
      <c r="AB2701" s="207" t="s">
        <v>1715</v>
      </c>
      <c r="AC2701" s="207" t="s">
        <v>2845</v>
      </c>
      <c r="AD2701" s="213">
        <v>6</v>
      </c>
    </row>
    <row r="2702" spans="28:30" x14ac:dyDescent="0.25">
      <c r="AB2702" s="207" t="s">
        <v>1953</v>
      </c>
      <c r="AC2702" s="207" t="s">
        <v>2846</v>
      </c>
      <c r="AD2702" s="213">
        <v>8</v>
      </c>
    </row>
    <row r="2703" spans="28:30" x14ac:dyDescent="0.25">
      <c r="AB2703" s="207" t="s">
        <v>2160</v>
      </c>
      <c r="AC2703" s="207" t="s">
        <v>2847</v>
      </c>
      <c r="AD2703" s="213">
        <v>6</v>
      </c>
    </row>
    <row r="2704" spans="28:30" x14ac:dyDescent="0.25">
      <c r="AB2704" s="207" t="s">
        <v>1715</v>
      </c>
      <c r="AC2704" s="207" t="s">
        <v>2848</v>
      </c>
      <c r="AD2704" s="213">
        <v>6</v>
      </c>
    </row>
    <row r="2705" spans="28:30" x14ac:dyDescent="0.25">
      <c r="AB2705" s="207" t="s">
        <v>1715</v>
      </c>
      <c r="AC2705" s="207" t="s">
        <v>2849</v>
      </c>
      <c r="AD2705" s="213">
        <v>6</v>
      </c>
    </row>
    <row r="2706" spans="28:30" x14ac:dyDescent="0.25">
      <c r="AB2706" s="207" t="s">
        <v>1715</v>
      </c>
      <c r="AC2706" s="207" t="s">
        <v>2850</v>
      </c>
      <c r="AD2706" s="213">
        <v>6</v>
      </c>
    </row>
    <row r="2707" spans="28:30" x14ac:dyDescent="0.25">
      <c r="AB2707" s="207" t="s">
        <v>2160</v>
      </c>
      <c r="AC2707" s="207" t="s">
        <v>2851</v>
      </c>
      <c r="AD2707" s="213">
        <v>6</v>
      </c>
    </row>
    <row r="2708" spans="28:30" x14ac:dyDescent="0.25">
      <c r="AB2708" s="207" t="s">
        <v>2160</v>
      </c>
      <c r="AC2708" s="207" t="s">
        <v>1552</v>
      </c>
      <c r="AD2708" s="213">
        <v>6</v>
      </c>
    </row>
    <row r="2709" spans="28:30" x14ac:dyDescent="0.25">
      <c r="AB2709" s="207" t="s">
        <v>373</v>
      </c>
      <c r="AC2709" s="207" t="s">
        <v>2852</v>
      </c>
      <c r="AD2709" s="213">
        <v>6</v>
      </c>
    </row>
    <row r="2710" spans="28:30" x14ac:dyDescent="0.25">
      <c r="AB2710" s="207" t="s">
        <v>1715</v>
      </c>
      <c r="AC2710" s="207" t="s">
        <v>2853</v>
      </c>
      <c r="AD2710" s="213">
        <v>6</v>
      </c>
    </row>
    <row r="2711" spans="28:30" x14ac:dyDescent="0.25">
      <c r="AB2711" s="207" t="s">
        <v>2160</v>
      </c>
      <c r="AC2711" s="207" t="s">
        <v>2854</v>
      </c>
      <c r="AD2711" s="213">
        <v>5</v>
      </c>
    </row>
    <row r="2712" spans="28:30" x14ac:dyDescent="0.25">
      <c r="AB2712" s="207" t="s">
        <v>2160</v>
      </c>
      <c r="AC2712" s="207" t="s">
        <v>2855</v>
      </c>
      <c r="AD2712" s="213">
        <v>6</v>
      </c>
    </row>
    <row r="2713" spans="28:30" x14ac:dyDescent="0.25">
      <c r="AB2713" s="207" t="s">
        <v>1715</v>
      </c>
      <c r="AC2713" s="207" t="s">
        <v>2856</v>
      </c>
      <c r="AD2713" s="213">
        <v>6</v>
      </c>
    </row>
    <row r="2714" spans="28:30" x14ac:dyDescent="0.25">
      <c r="AB2714" s="207" t="s">
        <v>207</v>
      </c>
      <c r="AC2714" s="207" t="s">
        <v>2857</v>
      </c>
      <c r="AD2714" s="213">
        <v>2</v>
      </c>
    </row>
    <row r="2715" spans="28:30" x14ac:dyDescent="0.25">
      <c r="AB2715" s="207" t="s">
        <v>207</v>
      </c>
      <c r="AC2715" s="207" t="s">
        <v>2858</v>
      </c>
      <c r="AD2715" s="213">
        <v>2</v>
      </c>
    </row>
    <row r="2716" spans="28:30" x14ac:dyDescent="0.25">
      <c r="AB2716" s="207" t="s">
        <v>27</v>
      </c>
      <c r="AC2716" s="207" t="s">
        <v>2859</v>
      </c>
      <c r="AD2716" s="213">
        <v>5</v>
      </c>
    </row>
    <row r="2717" spans="28:30" x14ac:dyDescent="0.25">
      <c r="AB2717" s="207" t="s">
        <v>207</v>
      </c>
      <c r="AC2717" s="207" t="s">
        <v>2860</v>
      </c>
      <c r="AD2717" s="213">
        <v>2</v>
      </c>
    </row>
    <row r="2718" spans="28:30" x14ac:dyDescent="0.25">
      <c r="AB2718" s="207" t="s">
        <v>214</v>
      </c>
      <c r="AC2718" s="207" t="s">
        <v>2861</v>
      </c>
      <c r="AD2718" s="213">
        <v>3</v>
      </c>
    </row>
    <row r="2719" spans="28:30" x14ac:dyDescent="0.25">
      <c r="AB2719" s="207" t="s">
        <v>207</v>
      </c>
      <c r="AC2719" s="207" t="s">
        <v>2862</v>
      </c>
      <c r="AD2719" s="213">
        <v>2</v>
      </c>
    </row>
    <row r="2720" spans="28:30" x14ac:dyDescent="0.25">
      <c r="AB2720" s="207" t="s">
        <v>27</v>
      </c>
      <c r="AC2720" s="207" t="s">
        <v>2863</v>
      </c>
      <c r="AD2720" s="213">
        <v>3</v>
      </c>
    </row>
    <row r="2721" spans="28:30" x14ac:dyDescent="0.25">
      <c r="AB2721" s="207" t="s">
        <v>27</v>
      </c>
      <c r="AC2721" s="207" t="s">
        <v>2864</v>
      </c>
      <c r="AD2721" s="213">
        <v>3</v>
      </c>
    </row>
    <row r="2722" spans="28:30" x14ac:dyDescent="0.25">
      <c r="AB2722" s="207" t="s">
        <v>1953</v>
      </c>
      <c r="AC2722" s="207" t="s">
        <v>1983</v>
      </c>
      <c r="AD2722" s="213">
        <v>3</v>
      </c>
    </row>
    <row r="2723" spans="28:30" x14ac:dyDescent="0.25">
      <c r="AB2723" s="207" t="s">
        <v>27</v>
      </c>
      <c r="AC2723" s="207" t="s">
        <v>2865</v>
      </c>
      <c r="AD2723" s="213">
        <v>3</v>
      </c>
    </row>
    <row r="2724" spans="28:30" x14ac:dyDescent="0.25">
      <c r="AB2724" s="207" t="s">
        <v>227</v>
      </c>
      <c r="AC2724" s="207" t="s">
        <v>2866</v>
      </c>
      <c r="AD2724" s="213">
        <v>8</v>
      </c>
    </row>
    <row r="2725" spans="28:30" x14ac:dyDescent="0.25">
      <c r="AB2725" s="207" t="s">
        <v>207</v>
      </c>
      <c r="AC2725" s="207" t="s">
        <v>2867</v>
      </c>
      <c r="AD2725" s="213">
        <v>2</v>
      </c>
    </row>
    <row r="2726" spans="28:30" x14ac:dyDescent="0.25">
      <c r="AB2726" s="207" t="s">
        <v>207</v>
      </c>
      <c r="AC2726" s="207" t="s">
        <v>2868</v>
      </c>
      <c r="AD2726" s="213">
        <v>2</v>
      </c>
    </row>
    <row r="2727" spans="28:30" x14ac:dyDescent="0.25">
      <c r="AB2727" s="207" t="s">
        <v>207</v>
      </c>
      <c r="AC2727" s="207" t="s">
        <v>2869</v>
      </c>
      <c r="AD2727" s="213">
        <v>2</v>
      </c>
    </row>
    <row r="2728" spans="28:30" x14ac:dyDescent="0.25">
      <c r="AB2728" s="207" t="s">
        <v>1953</v>
      </c>
      <c r="AC2728" s="207" t="s">
        <v>2870</v>
      </c>
      <c r="AD2728" s="213">
        <v>3</v>
      </c>
    </row>
    <row r="2729" spans="28:30" x14ac:dyDescent="0.25">
      <c r="AB2729" s="207" t="s">
        <v>27</v>
      </c>
      <c r="AC2729" s="207" t="s">
        <v>2871</v>
      </c>
      <c r="AD2729" s="213">
        <v>5</v>
      </c>
    </row>
    <row r="2730" spans="28:30" x14ac:dyDescent="0.25">
      <c r="AB2730" s="207" t="s">
        <v>1953</v>
      </c>
      <c r="AC2730" s="207" t="s">
        <v>2872</v>
      </c>
      <c r="AD2730" s="213">
        <v>3</v>
      </c>
    </row>
    <row r="2731" spans="28:30" x14ac:dyDescent="0.25">
      <c r="AB2731" s="207" t="s">
        <v>207</v>
      </c>
      <c r="AC2731" s="207" t="s">
        <v>2873</v>
      </c>
      <c r="AD2731" s="213">
        <v>2</v>
      </c>
    </row>
    <row r="2732" spans="28:30" x14ac:dyDescent="0.25">
      <c r="AB2732" s="207" t="s">
        <v>214</v>
      </c>
      <c r="AC2732" s="207" t="s">
        <v>2874</v>
      </c>
      <c r="AD2732" s="213">
        <v>3</v>
      </c>
    </row>
    <row r="2733" spans="28:30" x14ac:dyDescent="0.25">
      <c r="AB2733" s="207" t="s">
        <v>27</v>
      </c>
      <c r="AC2733" s="207" t="s">
        <v>2875</v>
      </c>
      <c r="AD2733" s="213">
        <v>3</v>
      </c>
    </row>
    <row r="2734" spans="28:30" x14ac:dyDescent="0.25">
      <c r="AB2734" s="207" t="s">
        <v>227</v>
      </c>
      <c r="AC2734" s="207" t="s">
        <v>2876</v>
      </c>
      <c r="AD2734" s="213">
        <v>5</v>
      </c>
    </row>
    <row r="2735" spans="28:30" x14ac:dyDescent="0.25">
      <c r="AB2735" s="207" t="s">
        <v>214</v>
      </c>
      <c r="AC2735" s="207" t="s">
        <v>2877</v>
      </c>
      <c r="AD2735" s="213">
        <v>3</v>
      </c>
    </row>
    <row r="2736" spans="28:30" x14ac:dyDescent="0.25">
      <c r="AB2736" s="207" t="s">
        <v>207</v>
      </c>
      <c r="AC2736" s="207" t="s">
        <v>2878</v>
      </c>
      <c r="AD2736" s="213">
        <v>2</v>
      </c>
    </row>
    <row r="2737" spans="28:30" x14ac:dyDescent="0.25">
      <c r="AB2737" s="207" t="s">
        <v>207</v>
      </c>
      <c r="AC2737" s="207" t="s">
        <v>2879</v>
      </c>
      <c r="AD2737" s="213">
        <v>2</v>
      </c>
    </row>
    <row r="2738" spans="28:30" x14ac:dyDescent="0.25">
      <c r="AB2738" s="207" t="s">
        <v>227</v>
      </c>
      <c r="AC2738" s="207" t="s">
        <v>2880</v>
      </c>
      <c r="AD2738" s="213">
        <v>5</v>
      </c>
    </row>
    <row r="2739" spans="28:30" x14ac:dyDescent="0.25">
      <c r="AB2739" s="207" t="s">
        <v>207</v>
      </c>
      <c r="AC2739" s="207" t="s">
        <v>2881</v>
      </c>
      <c r="AD2739" s="213">
        <v>2</v>
      </c>
    </row>
    <row r="2740" spans="28:30" x14ac:dyDescent="0.25">
      <c r="AB2740" s="207" t="s">
        <v>219</v>
      </c>
      <c r="AC2740" s="207" t="s">
        <v>2882</v>
      </c>
      <c r="AD2740" s="213">
        <v>8</v>
      </c>
    </row>
    <row r="2741" spans="28:30" x14ac:dyDescent="0.25">
      <c r="AB2741" s="207" t="s">
        <v>214</v>
      </c>
      <c r="AC2741" s="207" t="s">
        <v>2883</v>
      </c>
      <c r="AD2741" s="213">
        <v>3</v>
      </c>
    </row>
    <row r="2742" spans="28:30" x14ac:dyDescent="0.25">
      <c r="AB2742" s="207" t="s">
        <v>227</v>
      </c>
      <c r="AC2742" s="207" t="s">
        <v>2884</v>
      </c>
      <c r="AD2742" s="213">
        <v>3</v>
      </c>
    </row>
    <row r="2743" spans="28:30" x14ac:dyDescent="0.25">
      <c r="AB2743" s="207" t="s">
        <v>214</v>
      </c>
      <c r="AC2743" s="207" t="s">
        <v>2885</v>
      </c>
      <c r="AD2743" s="213">
        <v>3</v>
      </c>
    </row>
    <row r="2744" spans="28:30" x14ac:dyDescent="0.25">
      <c r="AB2744" s="207" t="s">
        <v>207</v>
      </c>
      <c r="AC2744" s="207" t="s">
        <v>2886</v>
      </c>
      <c r="AD2744" s="213">
        <v>2</v>
      </c>
    </row>
    <row r="2745" spans="28:30" x14ac:dyDescent="0.25">
      <c r="AB2745" s="207" t="s">
        <v>207</v>
      </c>
      <c r="AC2745" s="207" t="s">
        <v>2887</v>
      </c>
      <c r="AD2745" s="213">
        <v>2</v>
      </c>
    </row>
    <row r="2746" spans="28:30" x14ac:dyDescent="0.25">
      <c r="AB2746" s="207" t="s">
        <v>233</v>
      </c>
      <c r="AC2746" s="207" t="s">
        <v>2888</v>
      </c>
      <c r="AD2746" s="213">
        <v>3</v>
      </c>
    </row>
    <row r="2747" spans="28:30" x14ac:dyDescent="0.25">
      <c r="AB2747" s="207" t="s">
        <v>227</v>
      </c>
      <c r="AC2747" s="207" t="s">
        <v>2889</v>
      </c>
      <c r="AD2747" s="213">
        <v>8</v>
      </c>
    </row>
    <row r="2748" spans="28:30" x14ac:dyDescent="0.25">
      <c r="AB2748" s="207" t="s">
        <v>27</v>
      </c>
      <c r="AC2748" s="207" t="s">
        <v>2890</v>
      </c>
      <c r="AD2748" s="213">
        <v>3</v>
      </c>
    </row>
    <row r="2749" spans="28:30" x14ac:dyDescent="0.25">
      <c r="AB2749" s="207" t="s">
        <v>207</v>
      </c>
      <c r="AC2749" s="207" t="s">
        <v>2891</v>
      </c>
      <c r="AD2749" s="213">
        <v>2</v>
      </c>
    </row>
    <row r="2750" spans="28:30" x14ac:dyDescent="0.25">
      <c r="AB2750" s="207" t="s">
        <v>233</v>
      </c>
      <c r="AC2750" s="207" t="s">
        <v>2892</v>
      </c>
      <c r="AD2750" s="213">
        <v>3</v>
      </c>
    </row>
    <row r="2751" spans="28:30" x14ac:dyDescent="0.25">
      <c r="AB2751" s="207" t="s">
        <v>207</v>
      </c>
      <c r="AC2751" s="207" t="s">
        <v>2893</v>
      </c>
      <c r="AD2751" s="213">
        <v>2</v>
      </c>
    </row>
    <row r="2752" spans="28:30" x14ac:dyDescent="0.25">
      <c r="AB2752" s="207" t="s">
        <v>27</v>
      </c>
      <c r="AC2752" s="207" t="s">
        <v>2060</v>
      </c>
      <c r="AD2752" s="213">
        <v>3</v>
      </c>
    </row>
    <row r="2753" spans="28:30" x14ac:dyDescent="0.25">
      <c r="AB2753" s="207" t="s">
        <v>207</v>
      </c>
      <c r="AC2753" s="207" t="s">
        <v>2894</v>
      </c>
      <c r="AD2753" s="213">
        <v>2</v>
      </c>
    </row>
    <row r="2754" spans="28:30" x14ac:dyDescent="0.25">
      <c r="AB2754" s="207" t="s">
        <v>227</v>
      </c>
      <c r="AC2754" s="207" t="s">
        <v>2895</v>
      </c>
      <c r="AD2754" s="213">
        <v>8</v>
      </c>
    </row>
    <row r="2755" spans="28:30" x14ac:dyDescent="0.25">
      <c r="AB2755" s="207" t="s">
        <v>214</v>
      </c>
      <c r="AC2755" s="207" t="s">
        <v>821</v>
      </c>
      <c r="AD2755" s="213">
        <v>3</v>
      </c>
    </row>
    <row r="2756" spans="28:30" x14ac:dyDescent="0.25">
      <c r="AB2756" s="207" t="s">
        <v>207</v>
      </c>
      <c r="AC2756" s="207" t="s">
        <v>2896</v>
      </c>
      <c r="AD2756" s="213">
        <v>2</v>
      </c>
    </row>
    <row r="2757" spans="28:30" x14ac:dyDescent="0.25">
      <c r="AB2757" s="207" t="s">
        <v>207</v>
      </c>
      <c r="AC2757" s="207" t="s">
        <v>2897</v>
      </c>
      <c r="AD2757" s="213">
        <v>2</v>
      </c>
    </row>
    <row r="2758" spans="28:30" x14ac:dyDescent="0.25">
      <c r="AB2758" s="207" t="s">
        <v>27</v>
      </c>
      <c r="AC2758" s="207" t="s">
        <v>2898</v>
      </c>
      <c r="AD2758" s="213">
        <v>2</v>
      </c>
    </row>
    <row r="2759" spans="28:30" x14ac:dyDescent="0.25">
      <c r="AB2759" s="207" t="s">
        <v>207</v>
      </c>
      <c r="AC2759" s="207" t="s">
        <v>2899</v>
      </c>
      <c r="AD2759" s="213">
        <v>2</v>
      </c>
    </row>
    <row r="2760" spans="28:30" x14ac:dyDescent="0.25">
      <c r="AB2760" s="207" t="s">
        <v>227</v>
      </c>
      <c r="AC2760" s="207" t="s">
        <v>2900</v>
      </c>
      <c r="AD2760" s="213">
        <v>5</v>
      </c>
    </row>
    <row r="2761" spans="28:30" x14ac:dyDescent="0.25">
      <c r="AB2761" s="207" t="s">
        <v>214</v>
      </c>
      <c r="AC2761" s="207" t="s">
        <v>2901</v>
      </c>
      <c r="AD2761" s="213">
        <v>3</v>
      </c>
    </row>
    <row r="2762" spans="28:30" x14ac:dyDescent="0.25">
      <c r="AB2762" s="207" t="s">
        <v>227</v>
      </c>
      <c r="AC2762" s="207" t="s">
        <v>2902</v>
      </c>
      <c r="AD2762" s="213">
        <v>3</v>
      </c>
    </row>
    <row r="2763" spans="28:30" x14ac:dyDescent="0.25">
      <c r="AB2763" s="207" t="s">
        <v>214</v>
      </c>
      <c r="AC2763" s="207" t="s">
        <v>2903</v>
      </c>
      <c r="AD2763" s="213">
        <v>3</v>
      </c>
    </row>
    <row r="2764" spans="28:30" x14ac:dyDescent="0.25">
      <c r="AB2764" s="207" t="s">
        <v>207</v>
      </c>
      <c r="AC2764" s="207" t="s">
        <v>2904</v>
      </c>
      <c r="AD2764" s="213">
        <v>2</v>
      </c>
    </row>
    <row r="2765" spans="28:30" x14ac:dyDescent="0.25">
      <c r="AB2765" s="207" t="s">
        <v>233</v>
      </c>
      <c r="AC2765" s="207" t="s">
        <v>2905</v>
      </c>
      <c r="AD2765" s="213">
        <v>5</v>
      </c>
    </row>
    <row r="2766" spans="28:30" x14ac:dyDescent="0.25">
      <c r="AB2766" s="207" t="s">
        <v>227</v>
      </c>
      <c r="AC2766" s="207" t="s">
        <v>2906</v>
      </c>
      <c r="AD2766" s="213">
        <v>3</v>
      </c>
    </row>
    <row r="2767" spans="28:30" x14ac:dyDescent="0.25">
      <c r="AB2767" s="207" t="s">
        <v>227</v>
      </c>
      <c r="AC2767" s="207" t="s">
        <v>2907</v>
      </c>
      <c r="AD2767" s="213">
        <v>3</v>
      </c>
    </row>
    <row r="2768" spans="28:30" x14ac:dyDescent="0.25">
      <c r="AB2768" s="207" t="s">
        <v>214</v>
      </c>
      <c r="AC2768" s="207" t="s">
        <v>2908</v>
      </c>
      <c r="AD2768" s="213">
        <v>2</v>
      </c>
    </row>
    <row r="2769" spans="28:30" x14ac:dyDescent="0.25">
      <c r="AB2769" s="207" t="s">
        <v>207</v>
      </c>
      <c r="AC2769" s="207" t="s">
        <v>2909</v>
      </c>
      <c r="AD2769" s="213">
        <v>2</v>
      </c>
    </row>
    <row r="2770" spans="28:30" x14ac:dyDescent="0.25">
      <c r="AB2770" s="207" t="s">
        <v>214</v>
      </c>
      <c r="AC2770" s="207" t="s">
        <v>2910</v>
      </c>
      <c r="AD2770" s="213">
        <v>2</v>
      </c>
    </row>
    <row r="2771" spans="28:30" x14ac:dyDescent="0.25">
      <c r="AB2771" s="207" t="s">
        <v>207</v>
      </c>
      <c r="AC2771" s="207" t="s">
        <v>2911</v>
      </c>
      <c r="AD2771" s="213">
        <v>2</v>
      </c>
    </row>
    <row r="2772" spans="28:30" x14ac:dyDescent="0.25">
      <c r="AB2772" s="207" t="s">
        <v>207</v>
      </c>
      <c r="AC2772" s="207" t="s">
        <v>2912</v>
      </c>
      <c r="AD2772" s="213">
        <v>2</v>
      </c>
    </row>
    <row r="2773" spans="28:30" x14ac:dyDescent="0.25">
      <c r="AB2773" s="207" t="s">
        <v>219</v>
      </c>
      <c r="AC2773" s="207" t="s">
        <v>2913</v>
      </c>
      <c r="AD2773" s="213">
        <v>8</v>
      </c>
    </row>
    <row r="2774" spans="28:30" x14ac:dyDescent="0.25">
      <c r="AB2774" s="207" t="s">
        <v>227</v>
      </c>
      <c r="AC2774" s="207" t="s">
        <v>2914</v>
      </c>
      <c r="AD2774" s="213">
        <v>3</v>
      </c>
    </row>
    <row r="2775" spans="28:30" x14ac:dyDescent="0.25">
      <c r="AB2775" s="207" t="s">
        <v>207</v>
      </c>
      <c r="AC2775" s="207" t="s">
        <v>2915</v>
      </c>
      <c r="AD2775" s="213">
        <v>2</v>
      </c>
    </row>
    <row r="2776" spans="28:30" x14ac:dyDescent="0.25">
      <c r="AB2776" s="207" t="s">
        <v>207</v>
      </c>
      <c r="AC2776" s="207" t="s">
        <v>2916</v>
      </c>
      <c r="AD2776" s="213">
        <v>2</v>
      </c>
    </row>
    <row r="2777" spans="28:30" x14ac:dyDescent="0.25">
      <c r="AB2777" s="207" t="s">
        <v>233</v>
      </c>
      <c r="AC2777" s="207" t="s">
        <v>1087</v>
      </c>
      <c r="AD2777" s="213">
        <v>3</v>
      </c>
    </row>
    <row r="2778" spans="28:30" x14ac:dyDescent="0.25">
      <c r="AB2778" s="207" t="s">
        <v>227</v>
      </c>
      <c r="AC2778" s="207" t="s">
        <v>2917</v>
      </c>
      <c r="AD2778" s="213">
        <v>5</v>
      </c>
    </row>
    <row r="2779" spans="28:30" x14ac:dyDescent="0.25">
      <c r="AB2779" s="207" t="s">
        <v>214</v>
      </c>
      <c r="AC2779" s="207" t="s">
        <v>2918</v>
      </c>
      <c r="AD2779" s="213">
        <v>5</v>
      </c>
    </row>
    <row r="2780" spans="28:30" x14ac:dyDescent="0.25">
      <c r="AB2780" s="207" t="s">
        <v>207</v>
      </c>
      <c r="AC2780" s="207" t="s">
        <v>2919</v>
      </c>
      <c r="AD2780" s="213">
        <v>2</v>
      </c>
    </row>
    <row r="2781" spans="28:30" x14ac:dyDescent="0.25">
      <c r="AB2781" s="207" t="s">
        <v>1953</v>
      </c>
      <c r="AC2781" s="207" t="s">
        <v>2920</v>
      </c>
      <c r="AD2781" s="213">
        <v>3</v>
      </c>
    </row>
    <row r="2782" spans="28:30" x14ac:dyDescent="0.25">
      <c r="AB2782" s="207" t="s">
        <v>1953</v>
      </c>
      <c r="AC2782" s="207" t="s">
        <v>2921</v>
      </c>
      <c r="AD2782" s="213">
        <v>3</v>
      </c>
    </row>
    <row r="2783" spans="28:30" x14ac:dyDescent="0.25">
      <c r="AB2783" s="207" t="s">
        <v>214</v>
      </c>
      <c r="AC2783" s="207" t="s">
        <v>2922</v>
      </c>
      <c r="AD2783" s="213">
        <v>3</v>
      </c>
    </row>
    <row r="2784" spans="28:30" x14ac:dyDescent="0.25">
      <c r="AB2784" s="207" t="s">
        <v>27</v>
      </c>
      <c r="AC2784" s="207" t="s">
        <v>2923</v>
      </c>
      <c r="AD2784" s="213">
        <v>3</v>
      </c>
    </row>
    <row r="2785" spans="28:30" x14ac:dyDescent="0.25">
      <c r="AB2785" s="207" t="s">
        <v>207</v>
      </c>
      <c r="AC2785" s="207" t="s">
        <v>2924</v>
      </c>
      <c r="AD2785" s="213">
        <v>2</v>
      </c>
    </row>
    <row r="2786" spans="28:30" x14ac:dyDescent="0.25">
      <c r="AB2786" s="207" t="s">
        <v>214</v>
      </c>
      <c r="AC2786" s="207" t="s">
        <v>2925</v>
      </c>
      <c r="AD2786" s="213">
        <v>3</v>
      </c>
    </row>
    <row r="2787" spans="28:30" x14ac:dyDescent="0.25">
      <c r="AB2787" s="207" t="s">
        <v>207</v>
      </c>
      <c r="AC2787" s="207" t="s">
        <v>2926</v>
      </c>
      <c r="AD2787" s="213">
        <v>2</v>
      </c>
    </row>
    <row r="2788" spans="28:30" x14ac:dyDescent="0.25">
      <c r="AB2788" s="207" t="s">
        <v>214</v>
      </c>
      <c r="AC2788" s="207" t="s">
        <v>2927</v>
      </c>
      <c r="AD2788" s="213">
        <v>3</v>
      </c>
    </row>
    <row r="2789" spans="28:30" x14ac:dyDescent="0.25">
      <c r="AB2789" s="207" t="s">
        <v>207</v>
      </c>
      <c r="AC2789" s="207" t="s">
        <v>2928</v>
      </c>
      <c r="AD2789" s="213">
        <v>2</v>
      </c>
    </row>
    <row r="2790" spans="28:30" x14ac:dyDescent="0.25">
      <c r="AB2790" s="207" t="s">
        <v>207</v>
      </c>
      <c r="AC2790" s="207" t="s">
        <v>2929</v>
      </c>
      <c r="AD2790" s="213">
        <v>2</v>
      </c>
    </row>
    <row r="2791" spans="28:30" x14ac:dyDescent="0.25">
      <c r="AB2791" s="207" t="s">
        <v>27</v>
      </c>
      <c r="AC2791" s="207" t="s">
        <v>2930</v>
      </c>
      <c r="AD2791" s="213">
        <v>3</v>
      </c>
    </row>
    <row r="2792" spans="28:30" x14ac:dyDescent="0.25">
      <c r="AB2792" s="207" t="s">
        <v>227</v>
      </c>
      <c r="AC2792" s="207" t="s">
        <v>2931</v>
      </c>
      <c r="AD2792" s="213">
        <v>5</v>
      </c>
    </row>
    <row r="2793" spans="28:30" x14ac:dyDescent="0.25">
      <c r="AB2793" s="207" t="s">
        <v>27</v>
      </c>
      <c r="AC2793" s="207" t="s">
        <v>2932</v>
      </c>
      <c r="AD2793" s="213">
        <v>3</v>
      </c>
    </row>
    <row r="2794" spans="28:30" x14ac:dyDescent="0.25">
      <c r="AB2794" s="207" t="s">
        <v>214</v>
      </c>
      <c r="AC2794" s="207" t="s">
        <v>2933</v>
      </c>
      <c r="AD2794" s="213">
        <v>2</v>
      </c>
    </row>
    <row r="2795" spans="28:30" x14ac:dyDescent="0.25">
      <c r="AB2795" s="207" t="s">
        <v>207</v>
      </c>
      <c r="AC2795" s="207" t="s">
        <v>2934</v>
      </c>
      <c r="AD2795" s="213">
        <v>2</v>
      </c>
    </row>
    <row r="2796" spans="28:30" x14ac:dyDescent="0.25">
      <c r="AB2796" s="207" t="s">
        <v>214</v>
      </c>
      <c r="AC2796" s="207" t="s">
        <v>2935</v>
      </c>
      <c r="AD2796" s="213">
        <v>2</v>
      </c>
    </row>
    <row r="2797" spans="28:30" x14ac:dyDescent="0.25">
      <c r="AB2797" s="207" t="s">
        <v>214</v>
      </c>
      <c r="AC2797" s="207" t="s">
        <v>2936</v>
      </c>
      <c r="AD2797" s="213">
        <v>2</v>
      </c>
    </row>
    <row r="2798" spans="28:30" x14ac:dyDescent="0.25">
      <c r="AB2798" s="207" t="s">
        <v>207</v>
      </c>
      <c r="AC2798" s="207" t="s">
        <v>2937</v>
      </c>
      <c r="AD2798" s="213">
        <v>2</v>
      </c>
    </row>
    <row r="2799" spans="28:30" x14ac:dyDescent="0.25">
      <c r="AB2799" s="207" t="s">
        <v>27</v>
      </c>
      <c r="AC2799" s="207" t="s">
        <v>2938</v>
      </c>
      <c r="AD2799" s="213">
        <v>2</v>
      </c>
    </row>
    <row r="2800" spans="28:30" x14ac:dyDescent="0.25">
      <c r="AB2800" s="207" t="s">
        <v>227</v>
      </c>
      <c r="AC2800" s="207" t="s">
        <v>2939</v>
      </c>
      <c r="AD2800" s="213">
        <v>5</v>
      </c>
    </row>
    <row r="2801" spans="28:30" x14ac:dyDescent="0.25">
      <c r="AB2801" s="207" t="s">
        <v>207</v>
      </c>
      <c r="AC2801" s="207" t="s">
        <v>2940</v>
      </c>
      <c r="AD2801" s="213">
        <v>2</v>
      </c>
    </row>
    <row r="2802" spans="28:30" x14ac:dyDescent="0.25">
      <c r="AB2802" s="207" t="s">
        <v>214</v>
      </c>
      <c r="AC2802" s="207" t="s">
        <v>2941</v>
      </c>
      <c r="AD2802" s="213">
        <v>2</v>
      </c>
    </row>
    <row r="2803" spans="28:30" x14ac:dyDescent="0.25">
      <c r="AB2803" s="207" t="s">
        <v>27</v>
      </c>
      <c r="AC2803" s="207" t="s">
        <v>2942</v>
      </c>
      <c r="AD2803" s="213">
        <v>3</v>
      </c>
    </row>
    <row r="2804" spans="28:30" x14ac:dyDescent="0.25">
      <c r="AB2804" s="207" t="s">
        <v>27</v>
      </c>
      <c r="AC2804" s="207" t="s">
        <v>2943</v>
      </c>
      <c r="AD2804" s="213">
        <v>3</v>
      </c>
    </row>
    <row r="2805" spans="28:30" x14ac:dyDescent="0.25">
      <c r="AB2805" s="207" t="s">
        <v>214</v>
      </c>
      <c r="AC2805" s="207" t="s">
        <v>2944</v>
      </c>
      <c r="AD2805" s="213">
        <v>2</v>
      </c>
    </row>
    <row r="2806" spans="28:30" x14ac:dyDescent="0.25">
      <c r="AB2806" s="207" t="s">
        <v>207</v>
      </c>
      <c r="AC2806" s="207" t="s">
        <v>2945</v>
      </c>
      <c r="AD2806" s="213">
        <v>2</v>
      </c>
    </row>
    <row r="2807" spans="28:30" x14ac:dyDescent="0.25">
      <c r="AB2807" s="207" t="s">
        <v>219</v>
      </c>
      <c r="AC2807" s="207" t="s">
        <v>2946</v>
      </c>
      <c r="AD2807" s="213">
        <v>8</v>
      </c>
    </row>
    <row r="2808" spans="28:30" x14ac:dyDescent="0.25">
      <c r="AB2808" s="207" t="s">
        <v>214</v>
      </c>
      <c r="AC2808" s="207" t="s">
        <v>2947</v>
      </c>
      <c r="AD2808" s="213">
        <v>3</v>
      </c>
    </row>
    <row r="2809" spans="28:30" x14ac:dyDescent="0.25">
      <c r="AB2809" s="207" t="s">
        <v>214</v>
      </c>
      <c r="AC2809" s="207" t="s">
        <v>2948</v>
      </c>
      <c r="AD2809" s="213">
        <v>2</v>
      </c>
    </row>
    <row r="2810" spans="28:30" x14ac:dyDescent="0.25">
      <c r="AB2810" s="207" t="s">
        <v>207</v>
      </c>
      <c r="AC2810" s="207" t="s">
        <v>2949</v>
      </c>
      <c r="AD2810" s="213">
        <v>2</v>
      </c>
    </row>
    <row r="2811" spans="28:30" x14ac:dyDescent="0.25">
      <c r="AB2811" s="207" t="s">
        <v>214</v>
      </c>
      <c r="AC2811" s="207" t="s">
        <v>2950</v>
      </c>
      <c r="AD2811" s="213">
        <v>2</v>
      </c>
    </row>
    <row r="2812" spans="28:30" x14ac:dyDescent="0.25">
      <c r="AB2812" s="207" t="s">
        <v>227</v>
      </c>
      <c r="AC2812" s="207" t="s">
        <v>2951</v>
      </c>
      <c r="AD2812" s="213">
        <v>5</v>
      </c>
    </row>
    <row r="2813" spans="28:30" x14ac:dyDescent="0.25">
      <c r="AB2813" s="207" t="s">
        <v>227</v>
      </c>
      <c r="AC2813" s="207" t="s">
        <v>2952</v>
      </c>
      <c r="AD2813" s="213">
        <v>5</v>
      </c>
    </row>
    <row r="2814" spans="28:30" x14ac:dyDescent="0.25">
      <c r="AB2814" s="207" t="s">
        <v>214</v>
      </c>
      <c r="AC2814" s="207" t="s">
        <v>2953</v>
      </c>
      <c r="AD2814" s="213">
        <v>3</v>
      </c>
    </row>
    <row r="2815" spans="28:30" x14ac:dyDescent="0.25">
      <c r="AB2815" s="207" t="s">
        <v>227</v>
      </c>
      <c r="AC2815" s="207" t="s">
        <v>2954</v>
      </c>
      <c r="AD2815" s="213">
        <v>5</v>
      </c>
    </row>
    <row r="2816" spans="28:30" x14ac:dyDescent="0.25">
      <c r="AB2816" s="207" t="s">
        <v>214</v>
      </c>
      <c r="AC2816" s="207" t="s">
        <v>2955</v>
      </c>
      <c r="AD2816" s="213">
        <v>2</v>
      </c>
    </row>
    <row r="2817" spans="28:30" x14ac:dyDescent="0.25">
      <c r="AB2817" s="207" t="s">
        <v>207</v>
      </c>
      <c r="AC2817" s="207" t="s">
        <v>2956</v>
      </c>
      <c r="AD2817" s="213">
        <v>2</v>
      </c>
    </row>
    <row r="2818" spans="28:30" x14ac:dyDescent="0.25">
      <c r="AB2818" s="207" t="s">
        <v>214</v>
      </c>
      <c r="AC2818" s="207" t="s">
        <v>2957</v>
      </c>
      <c r="AD2818" s="213">
        <v>3</v>
      </c>
    </row>
    <row r="2819" spans="28:30" x14ac:dyDescent="0.25">
      <c r="AB2819" s="207" t="s">
        <v>214</v>
      </c>
      <c r="AC2819" s="207" t="s">
        <v>2958</v>
      </c>
      <c r="AD2819" s="213">
        <v>3</v>
      </c>
    </row>
    <row r="2820" spans="28:30" x14ac:dyDescent="0.25">
      <c r="AB2820" s="207" t="s">
        <v>207</v>
      </c>
      <c r="AC2820" s="207" t="s">
        <v>2959</v>
      </c>
      <c r="AD2820" s="213">
        <v>2</v>
      </c>
    </row>
    <row r="2821" spans="28:30" x14ac:dyDescent="0.25">
      <c r="AB2821" s="207" t="s">
        <v>249</v>
      </c>
      <c r="AC2821" s="207" t="s">
        <v>2960</v>
      </c>
      <c r="AD2821" s="213">
        <v>3</v>
      </c>
    </row>
    <row r="2822" spans="28:30" x14ac:dyDescent="0.25">
      <c r="AB2822" s="207" t="s">
        <v>214</v>
      </c>
      <c r="AC2822" s="207" t="s">
        <v>2961</v>
      </c>
      <c r="AD2822" s="213">
        <v>3</v>
      </c>
    </row>
    <row r="2823" spans="28:30" x14ac:dyDescent="0.25">
      <c r="AB2823" s="207" t="s">
        <v>214</v>
      </c>
      <c r="AC2823" s="207" t="s">
        <v>394</v>
      </c>
      <c r="AD2823" s="213">
        <v>3</v>
      </c>
    </row>
    <row r="2824" spans="28:30" x14ac:dyDescent="0.25">
      <c r="AB2824" s="207" t="s">
        <v>219</v>
      </c>
      <c r="AC2824" s="207" t="s">
        <v>2962</v>
      </c>
      <c r="AD2824" s="213">
        <v>8</v>
      </c>
    </row>
    <row r="2825" spans="28:30" x14ac:dyDescent="0.25">
      <c r="AB2825" s="207" t="s">
        <v>214</v>
      </c>
      <c r="AC2825" s="207" t="s">
        <v>1468</v>
      </c>
      <c r="AD2825" s="213">
        <v>3</v>
      </c>
    </row>
    <row r="2826" spans="28:30" x14ac:dyDescent="0.25">
      <c r="AB2826" s="207" t="s">
        <v>214</v>
      </c>
      <c r="AC2826" s="207" t="s">
        <v>2963</v>
      </c>
      <c r="AD2826" s="213">
        <v>3</v>
      </c>
    </row>
    <row r="2827" spans="28:30" x14ac:dyDescent="0.25">
      <c r="AB2827" s="207" t="s">
        <v>207</v>
      </c>
      <c r="AC2827" s="207" t="s">
        <v>2964</v>
      </c>
      <c r="AD2827" s="213">
        <v>2</v>
      </c>
    </row>
    <row r="2828" spans="28:30" x14ac:dyDescent="0.25">
      <c r="AB2828" s="207" t="s">
        <v>214</v>
      </c>
      <c r="AC2828" s="207" t="s">
        <v>2965</v>
      </c>
      <c r="AD2828" s="213">
        <v>3</v>
      </c>
    </row>
    <row r="2829" spans="28:30" x14ac:dyDescent="0.25">
      <c r="AB2829" s="207" t="s">
        <v>214</v>
      </c>
      <c r="AC2829" s="207" t="s">
        <v>2966</v>
      </c>
      <c r="AD2829" s="213">
        <v>2</v>
      </c>
    </row>
    <row r="2830" spans="28:30" x14ac:dyDescent="0.25">
      <c r="AB2830" s="207" t="s">
        <v>214</v>
      </c>
      <c r="AC2830" s="207" t="s">
        <v>2967</v>
      </c>
      <c r="AD2830" s="213">
        <v>2</v>
      </c>
    </row>
    <row r="2831" spans="28:30" x14ac:dyDescent="0.25">
      <c r="AB2831" s="207" t="s">
        <v>207</v>
      </c>
      <c r="AC2831" s="207" t="s">
        <v>2968</v>
      </c>
      <c r="AD2831" s="213">
        <v>2</v>
      </c>
    </row>
    <row r="2832" spans="28:30" x14ac:dyDescent="0.25">
      <c r="AB2832" s="207" t="s">
        <v>214</v>
      </c>
      <c r="AC2832" s="207" t="s">
        <v>2969</v>
      </c>
      <c r="AD2832" s="213">
        <v>3</v>
      </c>
    </row>
    <row r="2833" spans="28:30" x14ac:dyDescent="0.25">
      <c r="AB2833" s="207" t="s">
        <v>214</v>
      </c>
      <c r="AC2833" s="207" t="s">
        <v>2970</v>
      </c>
      <c r="AD2833" s="213">
        <v>2</v>
      </c>
    </row>
    <row r="2834" spans="28:30" x14ac:dyDescent="0.25">
      <c r="AB2834" s="207" t="s">
        <v>214</v>
      </c>
      <c r="AC2834" s="207" t="s">
        <v>2971</v>
      </c>
      <c r="AD2834" s="213">
        <v>3</v>
      </c>
    </row>
    <row r="2835" spans="28:30" x14ac:dyDescent="0.25">
      <c r="AB2835" s="207" t="s">
        <v>214</v>
      </c>
      <c r="AC2835" s="207" t="s">
        <v>2972</v>
      </c>
      <c r="AD2835" s="213">
        <v>3</v>
      </c>
    </row>
    <row r="2836" spans="28:30" x14ac:dyDescent="0.25">
      <c r="AB2836" s="207" t="s">
        <v>214</v>
      </c>
      <c r="AC2836" s="207" t="s">
        <v>2973</v>
      </c>
      <c r="AD2836" s="213">
        <v>3</v>
      </c>
    </row>
    <row r="2837" spans="28:30" x14ac:dyDescent="0.25">
      <c r="AB2837" s="207" t="s">
        <v>214</v>
      </c>
      <c r="AC2837" s="207" t="s">
        <v>2974</v>
      </c>
      <c r="AD2837" s="213">
        <v>3</v>
      </c>
    </row>
    <row r="2838" spans="28:30" x14ac:dyDescent="0.25">
      <c r="AB2838" s="207" t="s">
        <v>219</v>
      </c>
      <c r="AC2838" s="207" t="s">
        <v>5869</v>
      </c>
      <c r="AD2838" s="213">
        <v>8</v>
      </c>
    </row>
    <row r="2839" spans="28:30" x14ac:dyDescent="0.25">
      <c r="AB2839" s="207" t="s">
        <v>214</v>
      </c>
      <c r="AC2839" s="207" t="s">
        <v>2975</v>
      </c>
      <c r="AD2839" s="213">
        <v>3</v>
      </c>
    </row>
    <row r="2840" spans="28:30" x14ac:dyDescent="0.25">
      <c r="AB2840" s="207" t="s">
        <v>214</v>
      </c>
      <c r="AC2840" s="207" t="s">
        <v>2976</v>
      </c>
      <c r="AD2840" s="213">
        <v>3</v>
      </c>
    </row>
    <row r="2841" spans="28:30" x14ac:dyDescent="0.25">
      <c r="AB2841" s="207" t="s">
        <v>214</v>
      </c>
      <c r="AC2841" s="207" t="s">
        <v>2977</v>
      </c>
      <c r="AD2841" s="213">
        <v>3</v>
      </c>
    </row>
    <row r="2842" spans="28:30" x14ac:dyDescent="0.25">
      <c r="AB2842" s="207" t="s">
        <v>207</v>
      </c>
      <c r="AC2842" s="207" t="s">
        <v>2978</v>
      </c>
      <c r="AD2842" s="213">
        <v>2</v>
      </c>
    </row>
    <row r="2843" spans="28:30" x14ac:dyDescent="0.25">
      <c r="AB2843" s="207" t="s">
        <v>214</v>
      </c>
      <c r="AC2843" s="207" t="s">
        <v>2599</v>
      </c>
      <c r="AD2843" s="213">
        <v>3</v>
      </c>
    </row>
    <row r="2844" spans="28:30" x14ac:dyDescent="0.25">
      <c r="AB2844" s="207" t="s">
        <v>214</v>
      </c>
      <c r="AC2844" s="207" t="s">
        <v>2979</v>
      </c>
      <c r="AD2844" s="213">
        <v>3</v>
      </c>
    </row>
    <row r="2845" spans="28:30" x14ac:dyDescent="0.25">
      <c r="AB2845" s="207" t="s">
        <v>214</v>
      </c>
      <c r="AC2845" s="207" t="s">
        <v>2980</v>
      </c>
      <c r="AD2845" s="213">
        <v>3</v>
      </c>
    </row>
    <row r="2846" spans="28:30" x14ac:dyDescent="0.25">
      <c r="AB2846" s="207" t="s">
        <v>214</v>
      </c>
      <c r="AC2846" s="207" t="s">
        <v>2981</v>
      </c>
      <c r="AD2846" s="213">
        <v>3</v>
      </c>
    </row>
    <row r="2847" spans="28:30" x14ac:dyDescent="0.25">
      <c r="AB2847" s="207" t="s">
        <v>227</v>
      </c>
      <c r="AC2847" s="207" t="s">
        <v>2982</v>
      </c>
      <c r="AD2847" s="213">
        <v>5</v>
      </c>
    </row>
    <row r="2848" spans="28:30" x14ac:dyDescent="0.25">
      <c r="AB2848" s="207" t="s">
        <v>373</v>
      </c>
      <c r="AC2848" s="207" t="s">
        <v>2983</v>
      </c>
      <c r="AD2848" s="213">
        <v>8</v>
      </c>
    </row>
    <row r="2849" spans="28:30" x14ac:dyDescent="0.25">
      <c r="AB2849" s="207" t="s">
        <v>214</v>
      </c>
      <c r="AC2849" s="207" t="s">
        <v>2984</v>
      </c>
      <c r="AD2849" s="213">
        <v>3</v>
      </c>
    </row>
    <row r="2850" spans="28:30" x14ac:dyDescent="0.25">
      <c r="AB2850" s="207" t="s">
        <v>214</v>
      </c>
      <c r="AC2850" s="207" t="s">
        <v>2985</v>
      </c>
      <c r="AD2850" s="213">
        <v>3</v>
      </c>
    </row>
    <row r="2851" spans="28:30" x14ac:dyDescent="0.25">
      <c r="AB2851" s="207" t="s">
        <v>214</v>
      </c>
      <c r="AC2851" s="207" t="s">
        <v>2986</v>
      </c>
      <c r="AD2851" s="213">
        <v>3</v>
      </c>
    </row>
    <row r="2852" spans="28:30" x14ac:dyDescent="0.25">
      <c r="AB2852" s="207" t="s">
        <v>214</v>
      </c>
      <c r="AC2852" s="207" t="s">
        <v>2987</v>
      </c>
      <c r="AD2852" s="213">
        <v>3</v>
      </c>
    </row>
    <row r="2853" spans="28:30" x14ac:dyDescent="0.25">
      <c r="AB2853" s="207" t="s">
        <v>227</v>
      </c>
      <c r="AC2853" s="207" t="s">
        <v>2988</v>
      </c>
      <c r="AD2853" s="213">
        <v>3</v>
      </c>
    </row>
    <row r="2854" spans="28:30" x14ac:dyDescent="0.25">
      <c r="AB2854" s="207" t="s">
        <v>214</v>
      </c>
      <c r="AC2854" s="207" t="s">
        <v>2989</v>
      </c>
      <c r="AD2854" s="213">
        <v>3</v>
      </c>
    </row>
    <row r="2855" spans="28:30" x14ac:dyDescent="0.25">
      <c r="AB2855" s="207" t="s">
        <v>214</v>
      </c>
      <c r="AC2855" s="207" t="s">
        <v>2990</v>
      </c>
      <c r="AD2855" s="213">
        <v>3</v>
      </c>
    </row>
    <row r="2856" spans="28:30" x14ac:dyDescent="0.25">
      <c r="AB2856" s="207" t="s">
        <v>214</v>
      </c>
      <c r="AC2856" s="207" t="s">
        <v>2991</v>
      </c>
      <c r="AD2856" s="213">
        <v>2</v>
      </c>
    </row>
    <row r="2857" spans="28:30" x14ac:dyDescent="0.25">
      <c r="AB2857" s="207" t="s">
        <v>227</v>
      </c>
      <c r="AC2857" s="207" t="s">
        <v>2992</v>
      </c>
      <c r="AD2857" s="213">
        <v>5</v>
      </c>
    </row>
    <row r="2858" spans="28:30" x14ac:dyDescent="0.25">
      <c r="AB2858" s="207" t="s">
        <v>214</v>
      </c>
      <c r="AC2858" s="207" t="s">
        <v>2993</v>
      </c>
      <c r="AD2858" s="213">
        <v>3</v>
      </c>
    </row>
    <row r="2859" spans="28:30" x14ac:dyDescent="0.25">
      <c r="AB2859" s="207" t="s">
        <v>214</v>
      </c>
      <c r="AC2859" s="207" t="s">
        <v>2994</v>
      </c>
      <c r="AD2859" s="213">
        <v>3</v>
      </c>
    </row>
    <row r="2860" spans="28:30" x14ac:dyDescent="0.25">
      <c r="AB2860" s="207" t="s">
        <v>214</v>
      </c>
      <c r="AC2860" s="207" t="s">
        <v>2995</v>
      </c>
      <c r="AD2860" s="213">
        <v>3</v>
      </c>
    </row>
    <row r="2861" spans="28:30" x14ac:dyDescent="0.25">
      <c r="AB2861" s="207" t="s">
        <v>214</v>
      </c>
      <c r="AC2861" s="207" t="s">
        <v>2996</v>
      </c>
      <c r="AD2861" s="213">
        <v>3</v>
      </c>
    </row>
    <row r="2862" spans="28:30" x14ac:dyDescent="0.25">
      <c r="AB2862" s="207" t="s">
        <v>214</v>
      </c>
      <c r="AC2862" s="207" t="s">
        <v>2997</v>
      </c>
      <c r="AD2862" s="213">
        <v>4</v>
      </c>
    </row>
    <row r="2863" spans="28:30" x14ac:dyDescent="0.25">
      <c r="AB2863" s="207" t="s">
        <v>214</v>
      </c>
      <c r="AC2863" s="207" t="s">
        <v>2998</v>
      </c>
      <c r="AD2863" s="213">
        <v>3</v>
      </c>
    </row>
    <row r="2864" spans="28:30" x14ac:dyDescent="0.25">
      <c r="AB2864" s="207" t="s">
        <v>227</v>
      </c>
      <c r="AC2864" s="207" t="s">
        <v>2999</v>
      </c>
      <c r="AD2864" s="213">
        <v>5</v>
      </c>
    </row>
    <row r="2865" spans="28:30" x14ac:dyDescent="0.25">
      <c r="AB2865" s="207" t="s">
        <v>207</v>
      </c>
      <c r="AC2865" s="207" t="s">
        <v>3000</v>
      </c>
      <c r="AD2865" s="213">
        <v>2</v>
      </c>
    </row>
    <row r="2866" spans="28:30" x14ac:dyDescent="0.25">
      <c r="AB2866" s="207" t="s">
        <v>214</v>
      </c>
      <c r="AC2866" s="207" t="s">
        <v>3001</v>
      </c>
      <c r="AD2866" s="213">
        <v>2</v>
      </c>
    </row>
    <row r="2867" spans="28:30" x14ac:dyDescent="0.25">
      <c r="AB2867" s="207" t="s">
        <v>214</v>
      </c>
      <c r="AC2867" s="207" t="s">
        <v>2582</v>
      </c>
      <c r="AD2867" s="213">
        <v>3</v>
      </c>
    </row>
    <row r="2868" spans="28:30" x14ac:dyDescent="0.25">
      <c r="AB2868" s="207" t="s">
        <v>214</v>
      </c>
      <c r="AC2868" s="207" t="s">
        <v>3002</v>
      </c>
      <c r="AD2868" s="213">
        <v>3</v>
      </c>
    </row>
    <row r="2869" spans="28:30" x14ac:dyDescent="0.25">
      <c r="AB2869" s="207" t="s">
        <v>1953</v>
      </c>
      <c r="AC2869" s="207" t="s">
        <v>3003</v>
      </c>
      <c r="AD2869" s="213">
        <v>3</v>
      </c>
    </row>
    <row r="2870" spans="28:30" x14ac:dyDescent="0.25">
      <c r="AB2870" s="207" t="s">
        <v>214</v>
      </c>
      <c r="AC2870" s="207" t="s">
        <v>3004</v>
      </c>
      <c r="AD2870" s="213">
        <v>3</v>
      </c>
    </row>
    <row r="2871" spans="28:30" x14ac:dyDescent="0.25">
      <c r="AB2871" s="207" t="s">
        <v>249</v>
      </c>
      <c r="AC2871" s="207" t="s">
        <v>3005</v>
      </c>
      <c r="AD2871" s="213">
        <v>5</v>
      </c>
    </row>
    <row r="2872" spans="28:30" x14ac:dyDescent="0.25">
      <c r="AB2872" s="207" t="s">
        <v>214</v>
      </c>
      <c r="AC2872" s="207" t="s">
        <v>1752</v>
      </c>
      <c r="AD2872" s="213">
        <v>3</v>
      </c>
    </row>
    <row r="2873" spans="28:30" x14ac:dyDescent="0.25">
      <c r="AB2873" s="207" t="s">
        <v>214</v>
      </c>
      <c r="AC2873" s="207" t="s">
        <v>3006</v>
      </c>
      <c r="AD2873" s="213">
        <v>3</v>
      </c>
    </row>
    <row r="2874" spans="28:30" x14ac:dyDescent="0.25">
      <c r="AB2874" s="207" t="s">
        <v>249</v>
      </c>
      <c r="AC2874" s="207" t="s">
        <v>3007</v>
      </c>
      <c r="AD2874" s="213">
        <v>5</v>
      </c>
    </row>
    <row r="2875" spans="28:30" x14ac:dyDescent="0.25">
      <c r="AB2875" s="207" t="s">
        <v>214</v>
      </c>
      <c r="AC2875" s="207" t="s">
        <v>398</v>
      </c>
      <c r="AD2875" s="213">
        <v>3</v>
      </c>
    </row>
    <row r="2876" spans="28:30" x14ac:dyDescent="0.25">
      <c r="AB2876" s="207" t="s">
        <v>214</v>
      </c>
      <c r="AC2876" s="207" t="s">
        <v>3008</v>
      </c>
      <c r="AD2876" s="213">
        <v>2</v>
      </c>
    </row>
    <row r="2877" spans="28:30" x14ac:dyDescent="0.25">
      <c r="AB2877" s="207" t="s">
        <v>214</v>
      </c>
      <c r="AC2877" s="207" t="s">
        <v>3009</v>
      </c>
      <c r="AD2877" s="213">
        <v>3</v>
      </c>
    </row>
    <row r="2878" spans="28:30" x14ac:dyDescent="0.25">
      <c r="AB2878" s="207" t="s">
        <v>214</v>
      </c>
      <c r="AC2878" s="207" t="s">
        <v>3010</v>
      </c>
      <c r="AD2878" s="213">
        <v>3</v>
      </c>
    </row>
    <row r="2879" spans="28:30" x14ac:dyDescent="0.25">
      <c r="AB2879" s="207" t="s">
        <v>214</v>
      </c>
      <c r="AC2879" s="207" t="s">
        <v>3011</v>
      </c>
      <c r="AD2879" s="213">
        <v>3</v>
      </c>
    </row>
    <row r="2880" spans="28:30" x14ac:dyDescent="0.25">
      <c r="AB2880" s="207" t="s">
        <v>214</v>
      </c>
      <c r="AC2880" s="207" t="s">
        <v>3012</v>
      </c>
      <c r="AD2880" s="213">
        <v>3</v>
      </c>
    </row>
    <row r="2881" spans="28:30" x14ac:dyDescent="0.25">
      <c r="AB2881" s="207" t="s">
        <v>214</v>
      </c>
      <c r="AC2881" s="207" t="s">
        <v>3013</v>
      </c>
      <c r="AD2881" s="213">
        <v>3</v>
      </c>
    </row>
    <row r="2882" spans="28:30" x14ac:dyDescent="0.25">
      <c r="AB2882" s="207" t="s">
        <v>214</v>
      </c>
      <c r="AC2882" s="207" t="s">
        <v>3014</v>
      </c>
      <c r="AD2882" s="213">
        <v>3</v>
      </c>
    </row>
    <row r="2883" spans="28:30" x14ac:dyDescent="0.25">
      <c r="AB2883" s="207" t="s">
        <v>214</v>
      </c>
      <c r="AC2883" s="207" t="s">
        <v>3015</v>
      </c>
      <c r="AD2883" s="213">
        <v>3</v>
      </c>
    </row>
    <row r="2884" spans="28:30" x14ac:dyDescent="0.25">
      <c r="AB2884" s="207" t="s">
        <v>27</v>
      </c>
      <c r="AC2884" s="207" t="s">
        <v>3016</v>
      </c>
      <c r="AD2884" s="213">
        <v>3</v>
      </c>
    </row>
    <row r="2885" spans="28:30" x14ac:dyDescent="0.25">
      <c r="AB2885" s="207" t="s">
        <v>27</v>
      </c>
      <c r="AC2885" s="207" t="s">
        <v>3017</v>
      </c>
      <c r="AD2885" s="213">
        <v>3</v>
      </c>
    </row>
    <row r="2886" spans="28:30" x14ac:dyDescent="0.25">
      <c r="AB2886" s="207" t="s">
        <v>214</v>
      </c>
      <c r="AC2886" s="207" t="s">
        <v>3018</v>
      </c>
      <c r="AD2886" s="213">
        <v>3</v>
      </c>
    </row>
    <row r="2887" spans="28:30" x14ac:dyDescent="0.25">
      <c r="AB2887" s="207" t="s">
        <v>27</v>
      </c>
      <c r="AC2887" s="207" t="s">
        <v>3019</v>
      </c>
      <c r="AD2887" s="213">
        <v>2</v>
      </c>
    </row>
    <row r="2888" spans="28:30" x14ac:dyDescent="0.25">
      <c r="AB2888" s="207" t="s">
        <v>249</v>
      </c>
      <c r="AC2888" s="207" t="s">
        <v>3020</v>
      </c>
      <c r="AD2888" s="213">
        <v>5</v>
      </c>
    </row>
    <row r="2889" spans="28:30" x14ac:dyDescent="0.25">
      <c r="AB2889" s="207" t="s">
        <v>214</v>
      </c>
      <c r="AC2889" s="207" t="s">
        <v>3021</v>
      </c>
      <c r="AD2889" s="213">
        <v>2</v>
      </c>
    </row>
    <row r="2890" spans="28:30" x14ac:dyDescent="0.25">
      <c r="AB2890" s="207" t="s">
        <v>214</v>
      </c>
      <c r="AC2890" s="207" t="s">
        <v>3022</v>
      </c>
      <c r="AD2890" s="213">
        <v>3</v>
      </c>
    </row>
    <row r="2891" spans="28:30" x14ac:dyDescent="0.25">
      <c r="AB2891" s="207" t="s">
        <v>214</v>
      </c>
      <c r="AC2891" s="207" t="s">
        <v>3023</v>
      </c>
      <c r="AD2891" s="213">
        <v>3</v>
      </c>
    </row>
    <row r="2892" spans="28:30" x14ac:dyDescent="0.25">
      <c r="AB2892" s="207" t="s">
        <v>249</v>
      </c>
      <c r="AC2892" s="207" t="s">
        <v>3024</v>
      </c>
      <c r="AD2892" s="213">
        <v>3</v>
      </c>
    </row>
    <row r="2893" spans="28:30" x14ac:dyDescent="0.25">
      <c r="AB2893" s="207" t="s">
        <v>214</v>
      </c>
      <c r="AC2893" s="207" t="s">
        <v>3025</v>
      </c>
      <c r="AD2893" s="213">
        <v>3</v>
      </c>
    </row>
    <row r="2894" spans="28:30" x14ac:dyDescent="0.25">
      <c r="AB2894" s="207" t="s">
        <v>227</v>
      </c>
      <c r="AC2894" s="207" t="s">
        <v>3026</v>
      </c>
      <c r="AD2894" s="213">
        <v>5</v>
      </c>
    </row>
    <row r="2895" spans="28:30" x14ac:dyDescent="0.25">
      <c r="AB2895" s="207" t="s">
        <v>373</v>
      </c>
      <c r="AC2895" s="207" t="s">
        <v>3027</v>
      </c>
      <c r="AD2895" s="213">
        <v>8</v>
      </c>
    </row>
    <row r="2896" spans="28:30" x14ac:dyDescent="0.25">
      <c r="AB2896" s="207" t="s">
        <v>214</v>
      </c>
      <c r="AC2896" s="207" t="s">
        <v>3028</v>
      </c>
      <c r="AD2896" s="213">
        <v>3</v>
      </c>
    </row>
    <row r="2897" spans="28:30" x14ac:dyDescent="0.25">
      <c r="AB2897" s="207" t="s">
        <v>214</v>
      </c>
      <c r="AC2897" s="207" t="s">
        <v>3029</v>
      </c>
      <c r="AD2897" s="213">
        <v>3</v>
      </c>
    </row>
    <row r="2898" spans="28:30" x14ac:dyDescent="0.25">
      <c r="AB2898" s="207" t="s">
        <v>227</v>
      </c>
      <c r="AC2898" s="207" t="s">
        <v>3030</v>
      </c>
      <c r="AD2898" s="213">
        <v>3</v>
      </c>
    </row>
    <row r="2899" spans="28:30" x14ac:dyDescent="0.25">
      <c r="AB2899" s="207" t="s">
        <v>227</v>
      </c>
      <c r="AC2899" s="207" t="s">
        <v>3031</v>
      </c>
      <c r="AD2899" s="213">
        <v>5</v>
      </c>
    </row>
    <row r="2900" spans="28:30" x14ac:dyDescent="0.25">
      <c r="AB2900" s="207" t="s">
        <v>207</v>
      </c>
      <c r="AC2900" s="207" t="s">
        <v>3032</v>
      </c>
      <c r="AD2900" s="213">
        <v>2</v>
      </c>
    </row>
    <row r="2901" spans="28:30" x14ac:dyDescent="0.25">
      <c r="AB2901" s="207" t="s">
        <v>214</v>
      </c>
      <c r="AC2901" s="207" t="s">
        <v>3033</v>
      </c>
      <c r="AD2901" s="213">
        <v>3</v>
      </c>
    </row>
    <row r="2902" spans="28:30" x14ac:dyDescent="0.25">
      <c r="AB2902" s="207" t="s">
        <v>227</v>
      </c>
      <c r="AC2902" s="207" t="s">
        <v>3034</v>
      </c>
      <c r="AD2902" s="213">
        <v>3</v>
      </c>
    </row>
    <row r="2903" spans="28:30" x14ac:dyDescent="0.25">
      <c r="AB2903" s="207" t="s">
        <v>214</v>
      </c>
      <c r="AC2903" s="207" t="s">
        <v>3035</v>
      </c>
      <c r="AD2903" s="213">
        <v>3</v>
      </c>
    </row>
    <row r="2904" spans="28:30" x14ac:dyDescent="0.25">
      <c r="AB2904" s="207" t="s">
        <v>214</v>
      </c>
      <c r="AC2904" s="207" t="s">
        <v>3036</v>
      </c>
      <c r="AD2904" s="213">
        <v>3</v>
      </c>
    </row>
    <row r="2905" spans="28:30" x14ac:dyDescent="0.25">
      <c r="AB2905" s="207" t="s">
        <v>233</v>
      </c>
      <c r="AC2905" s="207" t="s">
        <v>3037</v>
      </c>
      <c r="AD2905" s="213">
        <v>3</v>
      </c>
    </row>
    <row r="2906" spans="28:30" x14ac:dyDescent="0.25">
      <c r="AB2906" s="207" t="s">
        <v>214</v>
      </c>
      <c r="AC2906" s="207" t="s">
        <v>3038</v>
      </c>
      <c r="AD2906" s="213">
        <v>3</v>
      </c>
    </row>
    <row r="2907" spans="28:30" x14ac:dyDescent="0.25">
      <c r="AB2907" s="207" t="s">
        <v>227</v>
      </c>
      <c r="AC2907" s="207" t="s">
        <v>3039</v>
      </c>
      <c r="AD2907" s="213">
        <v>5</v>
      </c>
    </row>
    <row r="2908" spans="28:30" x14ac:dyDescent="0.25">
      <c r="AB2908" s="207" t="s">
        <v>214</v>
      </c>
      <c r="AC2908" s="207" t="s">
        <v>3040</v>
      </c>
      <c r="AD2908" s="213">
        <v>3</v>
      </c>
    </row>
    <row r="2909" spans="28:30" x14ac:dyDescent="0.25">
      <c r="AB2909" s="207" t="s">
        <v>214</v>
      </c>
      <c r="AC2909" s="207" t="s">
        <v>3041</v>
      </c>
      <c r="AD2909" s="213">
        <v>3</v>
      </c>
    </row>
    <row r="2910" spans="28:30" x14ac:dyDescent="0.25">
      <c r="AB2910" s="207" t="s">
        <v>214</v>
      </c>
      <c r="AC2910" s="207" t="s">
        <v>2129</v>
      </c>
      <c r="AD2910" s="213">
        <v>3</v>
      </c>
    </row>
    <row r="2911" spans="28:30" x14ac:dyDescent="0.25">
      <c r="AB2911" s="207" t="s">
        <v>214</v>
      </c>
      <c r="AC2911" s="207" t="s">
        <v>3042</v>
      </c>
      <c r="AD2911" s="213">
        <v>2</v>
      </c>
    </row>
    <row r="2912" spans="28:30" x14ac:dyDescent="0.25">
      <c r="AB2912" s="207" t="s">
        <v>214</v>
      </c>
      <c r="AC2912" s="207" t="s">
        <v>3043</v>
      </c>
      <c r="AD2912" s="213">
        <v>1</v>
      </c>
    </row>
    <row r="2913" spans="28:30" x14ac:dyDescent="0.25">
      <c r="AB2913" s="207" t="s">
        <v>214</v>
      </c>
      <c r="AC2913" s="207" t="s">
        <v>3044</v>
      </c>
      <c r="AD2913" s="213">
        <v>3</v>
      </c>
    </row>
    <row r="2914" spans="28:30" x14ac:dyDescent="0.25">
      <c r="AB2914" s="207" t="s">
        <v>214</v>
      </c>
      <c r="AC2914" s="207" t="s">
        <v>3045</v>
      </c>
      <c r="AD2914" s="213">
        <v>3</v>
      </c>
    </row>
    <row r="2915" spans="28:30" x14ac:dyDescent="0.25">
      <c r="AB2915" s="207" t="s">
        <v>214</v>
      </c>
      <c r="AC2915" s="207" t="s">
        <v>3046</v>
      </c>
      <c r="AD2915" s="213">
        <v>4</v>
      </c>
    </row>
    <row r="2916" spans="28:30" x14ac:dyDescent="0.25">
      <c r="AB2916" s="207" t="s">
        <v>214</v>
      </c>
      <c r="AC2916" s="207" t="s">
        <v>3047</v>
      </c>
      <c r="AD2916" s="213">
        <v>3</v>
      </c>
    </row>
    <row r="2917" spans="28:30" x14ac:dyDescent="0.25">
      <c r="AB2917" s="207" t="s">
        <v>217</v>
      </c>
      <c r="AC2917" s="207" t="s">
        <v>3048</v>
      </c>
      <c r="AD2917" s="213">
        <v>7</v>
      </c>
    </row>
    <row r="2918" spans="28:30" x14ac:dyDescent="0.25">
      <c r="AB2918" s="207" t="s">
        <v>214</v>
      </c>
      <c r="AC2918" s="207" t="s">
        <v>3049</v>
      </c>
      <c r="AD2918" s="213">
        <v>3</v>
      </c>
    </row>
    <row r="2919" spans="28:30" x14ac:dyDescent="0.25">
      <c r="AB2919" s="207" t="s">
        <v>27</v>
      </c>
      <c r="AC2919" s="207" t="s">
        <v>3050</v>
      </c>
      <c r="AD2919" s="213">
        <v>2</v>
      </c>
    </row>
    <row r="2920" spans="28:30" x14ac:dyDescent="0.25">
      <c r="AB2920" s="207" t="s">
        <v>233</v>
      </c>
      <c r="AC2920" s="207" t="s">
        <v>3051</v>
      </c>
      <c r="AD2920" s="213">
        <v>3</v>
      </c>
    </row>
    <row r="2921" spans="28:30" x14ac:dyDescent="0.25">
      <c r="AB2921" s="207" t="s">
        <v>214</v>
      </c>
      <c r="AC2921" s="207" t="s">
        <v>3052</v>
      </c>
      <c r="AD2921" s="213">
        <v>3</v>
      </c>
    </row>
    <row r="2922" spans="28:30" x14ac:dyDescent="0.25">
      <c r="AB2922" s="207" t="s">
        <v>1953</v>
      </c>
      <c r="AC2922" s="207" t="s">
        <v>3053</v>
      </c>
      <c r="AD2922" s="213">
        <v>3</v>
      </c>
    </row>
    <row r="2923" spans="28:30" x14ac:dyDescent="0.25">
      <c r="AB2923" s="207" t="s">
        <v>214</v>
      </c>
      <c r="AC2923" s="207" t="s">
        <v>3054</v>
      </c>
      <c r="AD2923" s="213">
        <v>3</v>
      </c>
    </row>
    <row r="2924" spans="28:30" x14ac:dyDescent="0.25">
      <c r="AB2924" s="207" t="s">
        <v>214</v>
      </c>
      <c r="AC2924" s="207" t="s">
        <v>3055</v>
      </c>
      <c r="AD2924" s="213">
        <v>3</v>
      </c>
    </row>
    <row r="2925" spans="28:30" x14ac:dyDescent="0.25">
      <c r="AB2925" s="207" t="s">
        <v>214</v>
      </c>
      <c r="AC2925" s="207" t="s">
        <v>3056</v>
      </c>
      <c r="AD2925" s="213">
        <v>3</v>
      </c>
    </row>
    <row r="2926" spans="28:30" x14ac:dyDescent="0.25">
      <c r="AB2926" s="207" t="s">
        <v>214</v>
      </c>
      <c r="AC2926" s="207" t="s">
        <v>3057</v>
      </c>
      <c r="AD2926" s="213">
        <v>2</v>
      </c>
    </row>
    <row r="2927" spans="28:30" x14ac:dyDescent="0.25">
      <c r="AB2927" s="207" t="s">
        <v>1953</v>
      </c>
      <c r="AC2927" s="207" t="s">
        <v>3058</v>
      </c>
      <c r="AD2927" s="213">
        <v>3</v>
      </c>
    </row>
    <row r="2928" spans="28:30" x14ac:dyDescent="0.25">
      <c r="AB2928" s="207" t="s">
        <v>219</v>
      </c>
      <c r="AC2928" s="207" t="s">
        <v>3059</v>
      </c>
      <c r="AD2928" s="213">
        <v>8</v>
      </c>
    </row>
    <row r="2929" spans="28:30" x14ac:dyDescent="0.25">
      <c r="AB2929" s="207" t="s">
        <v>214</v>
      </c>
      <c r="AC2929" s="207" t="s">
        <v>1226</v>
      </c>
      <c r="AD2929" s="213">
        <v>4</v>
      </c>
    </row>
    <row r="2930" spans="28:30" x14ac:dyDescent="0.25">
      <c r="AB2930" s="207" t="s">
        <v>214</v>
      </c>
      <c r="AC2930" s="207" t="s">
        <v>3060</v>
      </c>
      <c r="AD2930" s="213">
        <v>4</v>
      </c>
    </row>
    <row r="2931" spans="28:30" x14ac:dyDescent="0.25">
      <c r="AB2931" s="207" t="s">
        <v>249</v>
      </c>
      <c r="AC2931" s="207" t="s">
        <v>3061</v>
      </c>
      <c r="AD2931" s="213">
        <v>3</v>
      </c>
    </row>
    <row r="2932" spans="28:30" x14ac:dyDescent="0.25">
      <c r="AB2932" s="207" t="s">
        <v>214</v>
      </c>
      <c r="AC2932" s="207" t="s">
        <v>1505</v>
      </c>
      <c r="AD2932" s="213">
        <v>3</v>
      </c>
    </row>
    <row r="2933" spans="28:30" x14ac:dyDescent="0.25">
      <c r="AB2933" s="207" t="s">
        <v>214</v>
      </c>
      <c r="AC2933" s="207" t="s">
        <v>3062</v>
      </c>
      <c r="AD2933" s="213">
        <v>3</v>
      </c>
    </row>
    <row r="2934" spans="28:30" x14ac:dyDescent="0.25">
      <c r="AB2934" s="207" t="s">
        <v>214</v>
      </c>
      <c r="AC2934" s="207" t="s">
        <v>3063</v>
      </c>
      <c r="AD2934" s="213">
        <v>3</v>
      </c>
    </row>
    <row r="2935" spans="28:30" x14ac:dyDescent="0.25">
      <c r="AB2935" s="207" t="s">
        <v>214</v>
      </c>
      <c r="AC2935" s="207" t="s">
        <v>3064</v>
      </c>
      <c r="AD2935" s="213">
        <v>2</v>
      </c>
    </row>
    <row r="2936" spans="28:30" x14ac:dyDescent="0.25">
      <c r="AB2936" s="207" t="s">
        <v>214</v>
      </c>
      <c r="AC2936" s="207" t="s">
        <v>3065</v>
      </c>
      <c r="AD2936" s="213">
        <v>3</v>
      </c>
    </row>
    <row r="2937" spans="28:30" x14ac:dyDescent="0.25">
      <c r="AB2937" s="207" t="s">
        <v>214</v>
      </c>
      <c r="AC2937" s="207" t="s">
        <v>3066</v>
      </c>
      <c r="AD2937" s="213">
        <v>3</v>
      </c>
    </row>
    <row r="2938" spans="28:30" x14ac:dyDescent="0.25">
      <c r="AB2938" s="207" t="s">
        <v>227</v>
      </c>
      <c r="AC2938" s="207" t="s">
        <v>3067</v>
      </c>
      <c r="AD2938" s="213">
        <v>5</v>
      </c>
    </row>
    <row r="2939" spans="28:30" x14ac:dyDescent="0.25">
      <c r="AB2939" s="207" t="s">
        <v>227</v>
      </c>
      <c r="AC2939" s="207" t="s">
        <v>600</v>
      </c>
      <c r="AD2939" s="213">
        <v>3</v>
      </c>
    </row>
    <row r="2940" spans="28:30" x14ac:dyDescent="0.25">
      <c r="AB2940" s="207" t="s">
        <v>207</v>
      </c>
      <c r="AC2940" s="207" t="s">
        <v>3068</v>
      </c>
      <c r="AD2940" s="213">
        <v>2</v>
      </c>
    </row>
    <row r="2941" spans="28:30" x14ac:dyDescent="0.25">
      <c r="AB2941" s="207" t="s">
        <v>214</v>
      </c>
      <c r="AC2941" s="207" t="s">
        <v>3069</v>
      </c>
      <c r="AD2941" s="213">
        <v>3</v>
      </c>
    </row>
    <row r="2942" spans="28:30" x14ac:dyDescent="0.25">
      <c r="AB2942" s="207" t="s">
        <v>214</v>
      </c>
      <c r="AC2942" s="207" t="s">
        <v>3070</v>
      </c>
      <c r="AD2942" s="213">
        <v>2</v>
      </c>
    </row>
    <row r="2943" spans="28:30" x14ac:dyDescent="0.25">
      <c r="AB2943" s="207" t="s">
        <v>1953</v>
      </c>
      <c r="AC2943" s="207" t="s">
        <v>3071</v>
      </c>
      <c r="AD2943" s="213">
        <v>5</v>
      </c>
    </row>
    <row r="2944" spans="28:30" x14ac:dyDescent="0.25">
      <c r="AB2944" s="207" t="s">
        <v>227</v>
      </c>
      <c r="AC2944" s="207" t="s">
        <v>3072</v>
      </c>
      <c r="AD2944" s="213">
        <v>5</v>
      </c>
    </row>
    <row r="2945" spans="28:30" x14ac:dyDescent="0.25">
      <c r="AB2945" s="207" t="s">
        <v>214</v>
      </c>
      <c r="AC2945" s="207" t="s">
        <v>3073</v>
      </c>
      <c r="AD2945" s="213">
        <v>3</v>
      </c>
    </row>
    <row r="2946" spans="28:30" x14ac:dyDescent="0.25">
      <c r="AB2946" s="207" t="s">
        <v>227</v>
      </c>
      <c r="AC2946" s="207" t="s">
        <v>3074</v>
      </c>
      <c r="AD2946" s="213">
        <v>5</v>
      </c>
    </row>
    <row r="2947" spans="28:30" x14ac:dyDescent="0.25">
      <c r="AB2947" s="207" t="s">
        <v>214</v>
      </c>
      <c r="AC2947" s="207" t="s">
        <v>3075</v>
      </c>
      <c r="AD2947" s="213">
        <v>3</v>
      </c>
    </row>
    <row r="2948" spans="28:30" x14ac:dyDescent="0.25">
      <c r="AB2948" s="207" t="s">
        <v>214</v>
      </c>
      <c r="AC2948" s="207" t="s">
        <v>3076</v>
      </c>
      <c r="AD2948" s="213">
        <v>3</v>
      </c>
    </row>
    <row r="2949" spans="28:30" x14ac:dyDescent="0.25">
      <c r="AB2949" s="207" t="s">
        <v>214</v>
      </c>
      <c r="AC2949" s="207" t="s">
        <v>3077</v>
      </c>
      <c r="AD2949" s="213">
        <v>3</v>
      </c>
    </row>
    <row r="2950" spans="28:30" x14ac:dyDescent="0.25">
      <c r="AB2950" s="207" t="s">
        <v>214</v>
      </c>
      <c r="AC2950" s="207" t="s">
        <v>3078</v>
      </c>
      <c r="AD2950" s="213">
        <v>3</v>
      </c>
    </row>
    <row r="2951" spans="28:30" x14ac:dyDescent="0.25">
      <c r="AB2951" s="207" t="s">
        <v>214</v>
      </c>
      <c r="AC2951" s="207" t="s">
        <v>2088</v>
      </c>
      <c r="AD2951" s="213">
        <v>1</v>
      </c>
    </row>
    <row r="2952" spans="28:30" x14ac:dyDescent="0.25">
      <c r="AB2952" s="207" t="s">
        <v>249</v>
      </c>
      <c r="AC2952" s="207" t="s">
        <v>3079</v>
      </c>
      <c r="AD2952" s="213">
        <v>3</v>
      </c>
    </row>
    <row r="2953" spans="28:30" x14ac:dyDescent="0.25">
      <c r="AB2953" s="207" t="s">
        <v>227</v>
      </c>
      <c r="AC2953" s="207" t="s">
        <v>3080</v>
      </c>
      <c r="AD2953" s="213">
        <v>5</v>
      </c>
    </row>
    <row r="2954" spans="28:30" x14ac:dyDescent="0.25">
      <c r="AB2954" s="207" t="s">
        <v>217</v>
      </c>
      <c r="AC2954" s="207" t="s">
        <v>3081</v>
      </c>
      <c r="AD2954" s="213">
        <v>6</v>
      </c>
    </row>
    <row r="2955" spans="28:30" x14ac:dyDescent="0.25">
      <c r="AB2955" s="207" t="s">
        <v>227</v>
      </c>
      <c r="AC2955" s="207" t="s">
        <v>3082</v>
      </c>
      <c r="AD2955" s="213">
        <v>3</v>
      </c>
    </row>
    <row r="2956" spans="28:30" x14ac:dyDescent="0.25">
      <c r="AB2956" s="207" t="s">
        <v>249</v>
      </c>
      <c r="AC2956" s="207" t="s">
        <v>3083</v>
      </c>
      <c r="AD2956" s="213">
        <v>3</v>
      </c>
    </row>
    <row r="2957" spans="28:30" x14ac:dyDescent="0.25">
      <c r="AB2957" s="207" t="s">
        <v>207</v>
      </c>
      <c r="AC2957" s="207" t="s">
        <v>3084</v>
      </c>
      <c r="AD2957" s="213">
        <v>2</v>
      </c>
    </row>
    <row r="2958" spans="28:30" x14ac:dyDescent="0.25">
      <c r="AB2958" s="207" t="s">
        <v>214</v>
      </c>
      <c r="AC2958" s="207" t="s">
        <v>3085</v>
      </c>
      <c r="AD2958" s="213">
        <v>1</v>
      </c>
    </row>
    <row r="2959" spans="28:30" x14ac:dyDescent="0.25">
      <c r="AB2959" s="207" t="s">
        <v>214</v>
      </c>
      <c r="AC2959" s="207" t="s">
        <v>3086</v>
      </c>
      <c r="AD2959" s="213">
        <v>3</v>
      </c>
    </row>
    <row r="2960" spans="28:30" x14ac:dyDescent="0.25">
      <c r="AB2960" s="207" t="s">
        <v>249</v>
      </c>
      <c r="AC2960" s="207" t="s">
        <v>3087</v>
      </c>
      <c r="AD2960" s="213">
        <v>3</v>
      </c>
    </row>
    <row r="2961" spans="28:30" x14ac:dyDescent="0.25">
      <c r="AB2961" s="207" t="s">
        <v>214</v>
      </c>
      <c r="AC2961" s="207" t="s">
        <v>3088</v>
      </c>
      <c r="AD2961" s="213">
        <v>4</v>
      </c>
    </row>
    <row r="2962" spans="28:30" x14ac:dyDescent="0.25">
      <c r="AB2962" s="207" t="s">
        <v>207</v>
      </c>
      <c r="AC2962" s="207" t="s">
        <v>3089</v>
      </c>
      <c r="AD2962" s="213">
        <v>2</v>
      </c>
    </row>
    <row r="2963" spans="28:30" x14ac:dyDescent="0.25">
      <c r="AB2963" s="207" t="s">
        <v>214</v>
      </c>
      <c r="AC2963" s="207" t="s">
        <v>3090</v>
      </c>
      <c r="AD2963" s="213">
        <v>3</v>
      </c>
    </row>
    <row r="2964" spans="28:30" x14ac:dyDescent="0.25">
      <c r="AB2964" s="207" t="s">
        <v>1953</v>
      </c>
      <c r="AC2964" s="207" t="s">
        <v>3091</v>
      </c>
      <c r="AD2964" s="213">
        <v>5</v>
      </c>
    </row>
    <row r="2965" spans="28:30" x14ac:dyDescent="0.25">
      <c r="AB2965" s="207" t="s">
        <v>249</v>
      </c>
      <c r="AC2965" s="207" t="s">
        <v>3092</v>
      </c>
      <c r="AD2965" s="213">
        <v>3</v>
      </c>
    </row>
    <row r="2966" spans="28:30" x14ac:dyDescent="0.25">
      <c r="AB2966" s="207" t="s">
        <v>249</v>
      </c>
      <c r="AC2966" s="207" t="s">
        <v>3093</v>
      </c>
      <c r="AD2966" s="213">
        <v>3</v>
      </c>
    </row>
    <row r="2967" spans="28:30" x14ac:dyDescent="0.25">
      <c r="AB2967" s="207" t="s">
        <v>249</v>
      </c>
      <c r="AC2967" s="207" t="s">
        <v>3094</v>
      </c>
      <c r="AD2967" s="213">
        <v>3</v>
      </c>
    </row>
    <row r="2968" spans="28:30" x14ac:dyDescent="0.25">
      <c r="AB2968" s="207" t="s">
        <v>214</v>
      </c>
      <c r="AC2968" s="207" t="s">
        <v>3095</v>
      </c>
      <c r="AD2968" s="213">
        <v>3</v>
      </c>
    </row>
    <row r="2969" spans="28:30" x14ac:dyDescent="0.25">
      <c r="AB2969" s="207" t="s">
        <v>249</v>
      </c>
      <c r="AC2969" s="207" t="s">
        <v>588</v>
      </c>
      <c r="AD2969" s="213">
        <v>5</v>
      </c>
    </row>
    <row r="2970" spans="28:30" x14ac:dyDescent="0.25">
      <c r="AB2970" s="207" t="s">
        <v>207</v>
      </c>
      <c r="AC2970" s="207" t="s">
        <v>3096</v>
      </c>
      <c r="AD2970" s="213">
        <v>2</v>
      </c>
    </row>
    <row r="2971" spans="28:30" x14ac:dyDescent="0.25">
      <c r="AB2971" s="207" t="s">
        <v>214</v>
      </c>
      <c r="AC2971" s="207" t="s">
        <v>3097</v>
      </c>
      <c r="AD2971" s="213">
        <v>2</v>
      </c>
    </row>
    <row r="2972" spans="28:30" x14ac:dyDescent="0.25">
      <c r="AB2972" s="207" t="s">
        <v>227</v>
      </c>
      <c r="AC2972" s="207" t="s">
        <v>3098</v>
      </c>
      <c r="AD2972" s="213">
        <v>5</v>
      </c>
    </row>
    <row r="2973" spans="28:30" x14ac:dyDescent="0.25">
      <c r="AB2973" s="207" t="s">
        <v>219</v>
      </c>
      <c r="AC2973" s="207" t="s">
        <v>3099</v>
      </c>
      <c r="AD2973" s="213">
        <v>5</v>
      </c>
    </row>
    <row r="2974" spans="28:30" x14ac:dyDescent="0.25">
      <c r="AB2974" s="207" t="s">
        <v>214</v>
      </c>
      <c r="AC2974" s="207" t="s">
        <v>3100</v>
      </c>
      <c r="AD2974" s="213">
        <v>1</v>
      </c>
    </row>
    <row r="2975" spans="28:30" x14ac:dyDescent="0.25">
      <c r="AB2975" s="207" t="s">
        <v>214</v>
      </c>
      <c r="AC2975" s="207" t="s">
        <v>3101</v>
      </c>
      <c r="AD2975" s="213">
        <v>1</v>
      </c>
    </row>
    <row r="2976" spans="28:30" x14ac:dyDescent="0.25">
      <c r="AB2976" s="207" t="s">
        <v>219</v>
      </c>
      <c r="AC2976" s="207" t="s">
        <v>3102</v>
      </c>
      <c r="AD2976" s="213">
        <v>5</v>
      </c>
    </row>
    <row r="2977" spans="28:30" x14ac:dyDescent="0.25">
      <c r="AB2977" s="207" t="s">
        <v>214</v>
      </c>
      <c r="AC2977" s="207" t="s">
        <v>213</v>
      </c>
      <c r="AD2977" s="213">
        <v>1</v>
      </c>
    </row>
    <row r="2978" spans="28:30" x14ac:dyDescent="0.25">
      <c r="AB2978" s="207" t="s">
        <v>214</v>
      </c>
      <c r="AC2978" s="207" t="s">
        <v>3103</v>
      </c>
      <c r="AD2978" s="213">
        <v>2</v>
      </c>
    </row>
    <row r="2979" spans="28:30" x14ac:dyDescent="0.25">
      <c r="AB2979" s="207" t="s">
        <v>249</v>
      </c>
      <c r="AC2979" s="207" t="s">
        <v>3104</v>
      </c>
      <c r="AD2979" s="213">
        <v>5</v>
      </c>
    </row>
    <row r="2980" spans="28:30" x14ac:dyDescent="0.25">
      <c r="AB2980" s="207" t="s">
        <v>249</v>
      </c>
      <c r="AC2980" s="207" t="s">
        <v>3105</v>
      </c>
      <c r="AD2980" s="213">
        <v>3</v>
      </c>
    </row>
    <row r="2981" spans="28:30" x14ac:dyDescent="0.25">
      <c r="AB2981" s="207" t="s">
        <v>214</v>
      </c>
      <c r="AC2981" s="207" t="s">
        <v>3106</v>
      </c>
      <c r="AD2981" s="213">
        <v>2</v>
      </c>
    </row>
    <row r="2982" spans="28:30" x14ac:dyDescent="0.25">
      <c r="AB2982" s="207" t="s">
        <v>219</v>
      </c>
      <c r="AC2982" s="207" t="s">
        <v>3107</v>
      </c>
      <c r="AD2982" s="213">
        <v>5</v>
      </c>
    </row>
    <row r="2983" spans="28:30" x14ac:dyDescent="0.25">
      <c r="AB2983" s="207" t="s">
        <v>1953</v>
      </c>
      <c r="AC2983" s="207" t="s">
        <v>3108</v>
      </c>
      <c r="AD2983" s="213">
        <v>3</v>
      </c>
    </row>
    <row r="2984" spans="28:30" x14ac:dyDescent="0.25">
      <c r="AB2984" s="207" t="s">
        <v>227</v>
      </c>
      <c r="AC2984" s="207" t="s">
        <v>2336</v>
      </c>
      <c r="AD2984" s="213">
        <v>5</v>
      </c>
    </row>
    <row r="2985" spans="28:30" x14ac:dyDescent="0.25">
      <c r="AB2985" s="207" t="s">
        <v>227</v>
      </c>
      <c r="AC2985" s="207" t="s">
        <v>3109</v>
      </c>
      <c r="AD2985" s="213">
        <v>5</v>
      </c>
    </row>
    <row r="2986" spans="28:30" x14ac:dyDescent="0.25">
      <c r="AB2986" s="207" t="s">
        <v>249</v>
      </c>
      <c r="AC2986" s="207" t="s">
        <v>3110</v>
      </c>
      <c r="AD2986" s="213">
        <v>5</v>
      </c>
    </row>
    <row r="2987" spans="28:30" x14ac:dyDescent="0.25">
      <c r="AB2987" s="207" t="s">
        <v>249</v>
      </c>
      <c r="AC2987" s="207" t="s">
        <v>3111</v>
      </c>
      <c r="AD2987" s="213">
        <v>3</v>
      </c>
    </row>
    <row r="2988" spans="28:30" x14ac:dyDescent="0.25">
      <c r="AB2988" s="207" t="s">
        <v>1953</v>
      </c>
      <c r="AC2988" s="207" t="s">
        <v>3112</v>
      </c>
      <c r="AD2988" s="213">
        <v>3</v>
      </c>
    </row>
    <row r="2989" spans="28:30" x14ac:dyDescent="0.25">
      <c r="AB2989" s="207" t="s">
        <v>233</v>
      </c>
      <c r="AC2989" s="207" t="s">
        <v>3113</v>
      </c>
      <c r="AD2989" s="213">
        <v>3</v>
      </c>
    </row>
    <row r="2990" spans="28:30" x14ac:dyDescent="0.25">
      <c r="AB2990" s="207" t="s">
        <v>214</v>
      </c>
      <c r="AC2990" s="207" t="s">
        <v>3114</v>
      </c>
      <c r="AD2990" s="213">
        <v>1</v>
      </c>
    </row>
    <row r="2991" spans="28:30" x14ac:dyDescent="0.25">
      <c r="AB2991" s="207" t="s">
        <v>227</v>
      </c>
      <c r="AC2991" s="207" t="s">
        <v>3115</v>
      </c>
      <c r="AD2991" s="213">
        <v>5</v>
      </c>
    </row>
    <row r="2992" spans="28:30" x14ac:dyDescent="0.25">
      <c r="AB2992" s="207" t="s">
        <v>249</v>
      </c>
      <c r="AC2992" s="207" t="s">
        <v>3116</v>
      </c>
      <c r="AD2992" s="213">
        <v>3</v>
      </c>
    </row>
    <row r="2993" spans="28:30" x14ac:dyDescent="0.25">
      <c r="AB2993" s="207" t="s">
        <v>214</v>
      </c>
      <c r="AC2993" s="207" t="s">
        <v>3117</v>
      </c>
      <c r="AD2993" s="213">
        <v>4</v>
      </c>
    </row>
    <row r="2994" spans="28:30" x14ac:dyDescent="0.25">
      <c r="AB2994" s="207" t="s">
        <v>214</v>
      </c>
      <c r="AC2994" s="207" t="s">
        <v>3118</v>
      </c>
      <c r="AD2994" s="213">
        <v>1</v>
      </c>
    </row>
    <row r="2995" spans="28:30" x14ac:dyDescent="0.25">
      <c r="AB2995" s="207" t="s">
        <v>214</v>
      </c>
      <c r="AC2995" s="207" t="s">
        <v>3119</v>
      </c>
      <c r="AD2995" s="213">
        <v>3</v>
      </c>
    </row>
    <row r="2996" spans="28:30" x14ac:dyDescent="0.25">
      <c r="AB2996" s="207" t="s">
        <v>249</v>
      </c>
      <c r="AC2996" s="207" t="s">
        <v>3120</v>
      </c>
      <c r="AD2996" s="213">
        <v>3</v>
      </c>
    </row>
    <row r="2997" spans="28:30" x14ac:dyDescent="0.25">
      <c r="AB2997" s="207" t="s">
        <v>1953</v>
      </c>
      <c r="AC2997" s="207" t="s">
        <v>3121</v>
      </c>
      <c r="AD2997" s="213">
        <v>6</v>
      </c>
    </row>
    <row r="2998" spans="28:30" x14ac:dyDescent="0.25">
      <c r="AB2998" s="207" t="s">
        <v>214</v>
      </c>
      <c r="AC2998" s="207" t="s">
        <v>3122</v>
      </c>
      <c r="AD2998" s="213">
        <v>3</v>
      </c>
    </row>
    <row r="2999" spans="28:30" x14ac:dyDescent="0.25">
      <c r="AB2999" s="207" t="s">
        <v>1953</v>
      </c>
      <c r="AC2999" s="207" t="s">
        <v>3123</v>
      </c>
      <c r="AD2999" s="213">
        <v>3</v>
      </c>
    </row>
    <row r="3000" spans="28:30" x14ac:dyDescent="0.25">
      <c r="AB3000" s="207" t="s">
        <v>214</v>
      </c>
      <c r="AC3000" s="207" t="s">
        <v>3124</v>
      </c>
      <c r="AD3000" s="213">
        <v>4</v>
      </c>
    </row>
    <row r="3001" spans="28:30" x14ac:dyDescent="0.25">
      <c r="AB3001" s="207" t="s">
        <v>227</v>
      </c>
      <c r="AC3001" s="207" t="s">
        <v>3125</v>
      </c>
      <c r="AD3001" s="213">
        <v>3</v>
      </c>
    </row>
    <row r="3002" spans="28:30" x14ac:dyDescent="0.25">
      <c r="AB3002" s="207" t="s">
        <v>249</v>
      </c>
      <c r="AC3002" s="207" t="s">
        <v>3126</v>
      </c>
      <c r="AD3002" s="213">
        <v>3</v>
      </c>
    </row>
    <row r="3003" spans="28:30" x14ac:dyDescent="0.25">
      <c r="AB3003" s="207" t="s">
        <v>214</v>
      </c>
      <c r="AC3003" s="207" t="s">
        <v>3127</v>
      </c>
      <c r="AD3003" s="213">
        <v>3</v>
      </c>
    </row>
    <row r="3004" spans="28:30" x14ac:dyDescent="0.25">
      <c r="AB3004" s="207" t="s">
        <v>207</v>
      </c>
      <c r="AC3004" s="207" t="s">
        <v>3128</v>
      </c>
      <c r="AD3004" s="213">
        <v>2</v>
      </c>
    </row>
    <row r="3005" spans="28:30" x14ac:dyDescent="0.25">
      <c r="AB3005" s="207" t="s">
        <v>214</v>
      </c>
      <c r="AC3005" s="207" t="s">
        <v>3129</v>
      </c>
      <c r="AD3005" s="213">
        <v>3</v>
      </c>
    </row>
    <row r="3006" spans="28:30" x14ac:dyDescent="0.25">
      <c r="AB3006" s="207" t="s">
        <v>249</v>
      </c>
      <c r="AC3006" s="207" t="s">
        <v>3130</v>
      </c>
      <c r="AD3006" s="213">
        <v>5</v>
      </c>
    </row>
    <row r="3007" spans="28:30" x14ac:dyDescent="0.25">
      <c r="AB3007" s="207" t="s">
        <v>214</v>
      </c>
      <c r="AC3007" s="207" t="s">
        <v>3131</v>
      </c>
      <c r="AD3007" s="213">
        <v>3</v>
      </c>
    </row>
    <row r="3008" spans="28:30" x14ac:dyDescent="0.25">
      <c r="AB3008" s="207" t="s">
        <v>249</v>
      </c>
      <c r="AC3008" s="207" t="s">
        <v>3132</v>
      </c>
      <c r="AD3008" s="213">
        <v>3</v>
      </c>
    </row>
    <row r="3009" spans="28:30" x14ac:dyDescent="0.25">
      <c r="AB3009" s="207" t="s">
        <v>1953</v>
      </c>
      <c r="AC3009" s="207" t="s">
        <v>3133</v>
      </c>
      <c r="AD3009" s="213">
        <v>5</v>
      </c>
    </row>
    <row r="3010" spans="28:30" x14ac:dyDescent="0.25">
      <c r="AB3010" s="207" t="s">
        <v>249</v>
      </c>
      <c r="AC3010" s="207" t="s">
        <v>3134</v>
      </c>
      <c r="AD3010" s="213">
        <v>3</v>
      </c>
    </row>
    <row r="3011" spans="28:30" x14ac:dyDescent="0.25">
      <c r="AB3011" s="207" t="s">
        <v>1953</v>
      </c>
      <c r="AC3011" s="207" t="s">
        <v>3135</v>
      </c>
      <c r="AD3011" s="213">
        <v>3</v>
      </c>
    </row>
    <row r="3012" spans="28:30" x14ac:dyDescent="0.25">
      <c r="AB3012" s="207" t="s">
        <v>214</v>
      </c>
      <c r="AC3012" s="207" t="s">
        <v>3136</v>
      </c>
      <c r="AD3012" s="213">
        <v>4</v>
      </c>
    </row>
    <row r="3013" spans="28:30" x14ac:dyDescent="0.25">
      <c r="AB3013" s="207" t="s">
        <v>214</v>
      </c>
      <c r="AC3013" s="207" t="s">
        <v>3137</v>
      </c>
      <c r="AD3013" s="213">
        <v>3</v>
      </c>
    </row>
    <row r="3014" spans="28:30" x14ac:dyDescent="0.25">
      <c r="AB3014" s="207" t="s">
        <v>214</v>
      </c>
      <c r="AC3014" s="207" t="s">
        <v>3138</v>
      </c>
      <c r="AD3014" s="213">
        <v>2</v>
      </c>
    </row>
    <row r="3015" spans="28:30" x14ac:dyDescent="0.25">
      <c r="AB3015" s="207" t="s">
        <v>1953</v>
      </c>
      <c r="AC3015" s="207" t="s">
        <v>3139</v>
      </c>
      <c r="AD3015" s="213">
        <v>5</v>
      </c>
    </row>
    <row r="3016" spans="28:30" x14ac:dyDescent="0.25">
      <c r="AB3016" s="207" t="s">
        <v>249</v>
      </c>
      <c r="AC3016" s="207" t="s">
        <v>3140</v>
      </c>
      <c r="AD3016" s="213">
        <v>3</v>
      </c>
    </row>
    <row r="3017" spans="28:30" x14ac:dyDescent="0.25">
      <c r="AB3017" s="207" t="s">
        <v>214</v>
      </c>
      <c r="AC3017" s="207" t="s">
        <v>3141</v>
      </c>
      <c r="AD3017" s="213">
        <v>3</v>
      </c>
    </row>
    <row r="3018" spans="28:30" x14ac:dyDescent="0.25">
      <c r="AB3018" s="207" t="s">
        <v>249</v>
      </c>
      <c r="AC3018" s="207" t="s">
        <v>3142</v>
      </c>
      <c r="AD3018" s="213">
        <v>3</v>
      </c>
    </row>
    <row r="3019" spans="28:30" x14ac:dyDescent="0.25">
      <c r="AB3019" s="207" t="s">
        <v>214</v>
      </c>
      <c r="AC3019" s="207" t="s">
        <v>3143</v>
      </c>
      <c r="AD3019" s="213">
        <v>1</v>
      </c>
    </row>
    <row r="3020" spans="28:30" x14ac:dyDescent="0.25">
      <c r="AB3020" s="207" t="s">
        <v>1715</v>
      </c>
      <c r="AC3020" s="207" t="s">
        <v>3144</v>
      </c>
      <c r="AD3020" s="213">
        <v>6</v>
      </c>
    </row>
    <row r="3021" spans="28:30" x14ac:dyDescent="0.25">
      <c r="AB3021" s="207" t="s">
        <v>249</v>
      </c>
      <c r="AC3021" s="207" t="s">
        <v>3145</v>
      </c>
      <c r="AD3021" s="213">
        <v>3</v>
      </c>
    </row>
    <row r="3022" spans="28:30" x14ac:dyDescent="0.25">
      <c r="AB3022" s="207" t="s">
        <v>227</v>
      </c>
      <c r="AC3022" s="207" t="s">
        <v>3146</v>
      </c>
      <c r="AD3022" s="213">
        <v>3</v>
      </c>
    </row>
    <row r="3023" spans="28:30" x14ac:dyDescent="0.25">
      <c r="AB3023" s="207" t="s">
        <v>249</v>
      </c>
      <c r="AC3023" s="207" t="s">
        <v>3147</v>
      </c>
      <c r="AD3023" s="213">
        <v>3</v>
      </c>
    </row>
    <row r="3024" spans="28:30" x14ac:dyDescent="0.25">
      <c r="AB3024" s="207" t="s">
        <v>249</v>
      </c>
      <c r="AC3024" s="207" t="s">
        <v>3148</v>
      </c>
      <c r="AD3024" s="213">
        <v>4</v>
      </c>
    </row>
    <row r="3025" spans="28:30" x14ac:dyDescent="0.25">
      <c r="AB3025" s="207" t="s">
        <v>249</v>
      </c>
      <c r="AC3025" s="207" t="s">
        <v>3149</v>
      </c>
      <c r="AD3025" s="213">
        <v>3</v>
      </c>
    </row>
    <row r="3026" spans="28:30" x14ac:dyDescent="0.25">
      <c r="AB3026" s="207" t="s">
        <v>219</v>
      </c>
      <c r="AC3026" s="207" t="s">
        <v>3150</v>
      </c>
      <c r="AD3026" s="213">
        <v>8</v>
      </c>
    </row>
    <row r="3027" spans="28:30" x14ac:dyDescent="0.25">
      <c r="AB3027" s="207" t="s">
        <v>214</v>
      </c>
      <c r="AC3027" s="207" t="s">
        <v>1421</v>
      </c>
      <c r="AD3027" s="213">
        <v>2</v>
      </c>
    </row>
    <row r="3028" spans="28:30" x14ac:dyDescent="0.25">
      <c r="AB3028" s="207" t="s">
        <v>249</v>
      </c>
      <c r="AC3028" s="207" t="s">
        <v>3151</v>
      </c>
      <c r="AD3028" s="213">
        <v>3</v>
      </c>
    </row>
    <row r="3029" spans="28:30" x14ac:dyDescent="0.25">
      <c r="AB3029" s="207" t="s">
        <v>227</v>
      </c>
      <c r="AC3029" s="207" t="s">
        <v>3152</v>
      </c>
      <c r="AD3029" s="213">
        <v>5</v>
      </c>
    </row>
    <row r="3030" spans="28:30" x14ac:dyDescent="0.25">
      <c r="AB3030" s="207" t="s">
        <v>214</v>
      </c>
      <c r="AC3030" s="207" t="s">
        <v>3153</v>
      </c>
      <c r="AD3030" s="213">
        <v>3</v>
      </c>
    </row>
    <row r="3031" spans="28:30" x14ac:dyDescent="0.25">
      <c r="AB3031" s="207" t="s">
        <v>214</v>
      </c>
      <c r="AC3031" s="207" t="s">
        <v>3154</v>
      </c>
      <c r="AD3031" s="213">
        <v>3</v>
      </c>
    </row>
    <row r="3032" spans="28:30" x14ac:dyDescent="0.25">
      <c r="AB3032" s="207" t="s">
        <v>1715</v>
      </c>
      <c r="AC3032" s="207" t="s">
        <v>3155</v>
      </c>
      <c r="AD3032" s="213">
        <v>6</v>
      </c>
    </row>
    <row r="3033" spans="28:30" x14ac:dyDescent="0.25">
      <c r="AB3033" s="207" t="s">
        <v>249</v>
      </c>
      <c r="AC3033" s="207" t="s">
        <v>3156</v>
      </c>
      <c r="AD3033" s="213">
        <v>3</v>
      </c>
    </row>
    <row r="3034" spans="28:30" x14ac:dyDescent="0.25">
      <c r="AB3034" s="207" t="s">
        <v>214</v>
      </c>
      <c r="AC3034" s="207" t="s">
        <v>3157</v>
      </c>
      <c r="AD3034" s="213">
        <v>1</v>
      </c>
    </row>
    <row r="3035" spans="28:30" x14ac:dyDescent="0.25">
      <c r="AB3035" s="207" t="s">
        <v>219</v>
      </c>
      <c r="AC3035" s="207" t="s">
        <v>3158</v>
      </c>
      <c r="AD3035" s="213">
        <v>8</v>
      </c>
    </row>
    <row r="3036" spans="28:30" x14ac:dyDescent="0.25">
      <c r="AB3036" s="207" t="s">
        <v>249</v>
      </c>
      <c r="AC3036" s="207" t="s">
        <v>3159</v>
      </c>
      <c r="AD3036" s="213">
        <v>3</v>
      </c>
    </row>
    <row r="3037" spans="28:30" x14ac:dyDescent="0.25">
      <c r="AB3037" s="207" t="s">
        <v>1953</v>
      </c>
      <c r="AC3037" s="207" t="s">
        <v>3160</v>
      </c>
      <c r="AD3037" s="213">
        <v>3</v>
      </c>
    </row>
    <row r="3038" spans="28:30" x14ac:dyDescent="0.25">
      <c r="AB3038" s="207" t="s">
        <v>1953</v>
      </c>
      <c r="AC3038" s="207" t="s">
        <v>3161</v>
      </c>
      <c r="AD3038" s="213">
        <v>5</v>
      </c>
    </row>
    <row r="3039" spans="28:30" x14ac:dyDescent="0.25">
      <c r="AB3039" s="207" t="s">
        <v>249</v>
      </c>
      <c r="AC3039" s="207" t="s">
        <v>3162</v>
      </c>
      <c r="AD3039" s="213">
        <v>3</v>
      </c>
    </row>
    <row r="3040" spans="28:30" x14ac:dyDescent="0.25">
      <c r="AB3040" s="207" t="s">
        <v>249</v>
      </c>
      <c r="AC3040" s="207" t="s">
        <v>3163</v>
      </c>
      <c r="AD3040" s="213">
        <v>3</v>
      </c>
    </row>
    <row r="3041" spans="28:30" x14ac:dyDescent="0.25">
      <c r="AB3041" s="207" t="s">
        <v>214</v>
      </c>
      <c r="AC3041" s="207" t="s">
        <v>3164</v>
      </c>
      <c r="AD3041" s="213">
        <v>3</v>
      </c>
    </row>
    <row r="3042" spans="28:30" x14ac:dyDescent="0.25">
      <c r="AB3042" s="207" t="s">
        <v>219</v>
      </c>
      <c r="AC3042" s="207" t="s">
        <v>3165</v>
      </c>
      <c r="AD3042" s="213">
        <v>5</v>
      </c>
    </row>
    <row r="3043" spans="28:30" x14ac:dyDescent="0.25">
      <c r="AB3043" s="207" t="s">
        <v>227</v>
      </c>
      <c r="AC3043" s="207" t="s">
        <v>3166</v>
      </c>
      <c r="AD3043" s="213">
        <v>5</v>
      </c>
    </row>
    <row r="3044" spans="28:30" x14ac:dyDescent="0.25">
      <c r="AB3044" s="207" t="s">
        <v>214</v>
      </c>
      <c r="AC3044" s="207" t="s">
        <v>3167</v>
      </c>
      <c r="AD3044" s="213">
        <v>3</v>
      </c>
    </row>
    <row r="3045" spans="28:30" x14ac:dyDescent="0.25">
      <c r="AB3045" s="207" t="s">
        <v>249</v>
      </c>
      <c r="AC3045" s="207" t="s">
        <v>3168</v>
      </c>
      <c r="AD3045" s="213">
        <v>4</v>
      </c>
    </row>
    <row r="3046" spans="28:30" x14ac:dyDescent="0.25">
      <c r="AB3046" s="207" t="s">
        <v>249</v>
      </c>
      <c r="AC3046" s="207" t="s">
        <v>3169</v>
      </c>
      <c r="AD3046" s="213">
        <v>3</v>
      </c>
    </row>
    <row r="3047" spans="28:30" x14ac:dyDescent="0.25">
      <c r="AB3047" s="207" t="s">
        <v>249</v>
      </c>
      <c r="AC3047" s="207" t="s">
        <v>3170</v>
      </c>
      <c r="AD3047" s="213">
        <v>4</v>
      </c>
    </row>
    <row r="3048" spans="28:30" x14ac:dyDescent="0.25">
      <c r="AB3048" s="207" t="s">
        <v>249</v>
      </c>
      <c r="AC3048" s="207" t="s">
        <v>3171</v>
      </c>
      <c r="AD3048" s="213">
        <v>5</v>
      </c>
    </row>
    <row r="3049" spans="28:30" x14ac:dyDescent="0.25">
      <c r="AB3049" s="207" t="s">
        <v>214</v>
      </c>
      <c r="AC3049" s="207" t="s">
        <v>3172</v>
      </c>
      <c r="AD3049" s="213">
        <v>3</v>
      </c>
    </row>
    <row r="3050" spans="28:30" x14ac:dyDescent="0.25">
      <c r="AB3050" s="207" t="s">
        <v>214</v>
      </c>
      <c r="AC3050" s="207" t="s">
        <v>2239</v>
      </c>
      <c r="AD3050" s="213">
        <v>3</v>
      </c>
    </row>
    <row r="3051" spans="28:30" x14ac:dyDescent="0.25">
      <c r="AB3051" s="207" t="s">
        <v>56</v>
      </c>
      <c r="AC3051" s="207" t="s">
        <v>628</v>
      </c>
      <c r="AD3051" s="213">
        <v>8</v>
      </c>
    </row>
    <row r="3052" spans="28:30" x14ac:dyDescent="0.25">
      <c r="AB3052" s="207" t="s">
        <v>249</v>
      </c>
      <c r="AC3052" s="207" t="s">
        <v>3173</v>
      </c>
      <c r="AD3052" s="213">
        <v>6</v>
      </c>
    </row>
    <row r="3053" spans="28:30" x14ac:dyDescent="0.25">
      <c r="AB3053" s="207" t="s">
        <v>233</v>
      </c>
      <c r="AC3053" s="207" t="s">
        <v>3174</v>
      </c>
      <c r="AD3053" s="213">
        <v>3</v>
      </c>
    </row>
    <row r="3054" spans="28:30" x14ac:dyDescent="0.25">
      <c r="AB3054" s="207" t="s">
        <v>249</v>
      </c>
      <c r="AC3054" s="207" t="s">
        <v>3175</v>
      </c>
      <c r="AD3054" s="213">
        <v>3</v>
      </c>
    </row>
    <row r="3055" spans="28:30" x14ac:dyDescent="0.25">
      <c r="AB3055" s="207" t="s">
        <v>249</v>
      </c>
      <c r="AC3055" s="207" t="s">
        <v>3176</v>
      </c>
      <c r="AD3055" s="213">
        <v>4</v>
      </c>
    </row>
    <row r="3056" spans="28:30" x14ac:dyDescent="0.25">
      <c r="AB3056" s="207" t="s">
        <v>249</v>
      </c>
      <c r="AC3056" s="207" t="s">
        <v>3177</v>
      </c>
      <c r="AD3056" s="213">
        <v>3</v>
      </c>
    </row>
    <row r="3057" spans="28:30" x14ac:dyDescent="0.25">
      <c r="AB3057" s="207" t="s">
        <v>214</v>
      </c>
      <c r="AC3057" s="207" t="s">
        <v>3178</v>
      </c>
      <c r="AD3057" s="213">
        <v>2</v>
      </c>
    </row>
    <row r="3058" spans="28:30" x14ac:dyDescent="0.25">
      <c r="AB3058" s="207" t="s">
        <v>249</v>
      </c>
      <c r="AC3058" s="207" t="s">
        <v>3179</v>
      </c>
      <c r="AD3058" s="213">
        <v>4</v>
      </c>
    </row>
    <row r="3059" spans="28:30" x14ac:dyDescent="0.25">
      <c r="AB3059" s="207" t="s">
        <v>214</v>
      </c>
      <c r="AC3059" s="207" t="s">
        <v>3180</v>
      </c>
      <c r="AD3059" s="213">
        <v>3</v>
      </c>
    </row>
    <row r="3060" spans="28:30" x14ac:dyDescent="0.25">
      <c r="AB3060" s="207" t="s">
        <v>249</v>
      </c>
      <c r="AC3060" s="207" t="s">
        <v>3181</v>
      </c>
      <c r="AD3060" s="213">
        <v>2</v>
      </c>
    </row>
    <row r="3061" spans="28:30" x14ac:dyDescent="0.25">
      <c r="AB3061" s="207" t="s">
        <v>249</v>
      </c>
      <c r="AC3061" s="207" t="s">
        <v>3182</v>
      </c>
      <c r="AD3061" s="213">
        <v>3</v>
      </c>
    </row>
    <row r="3062" spans="28:30" x14ac:dyDescent="0.25">
      <c r="AB3062" s="207" t="s">
        <v>227</v>
      </c>
      <c r="AC3062" s="207" t="s">
        <v>3183</v>
      </c>
      <c r="AD3062" s="213">
        <v>5</v>
      </c>
    </row>
    <row r="3063" spans="28:30" x14ac:dyDescent="0.25">
      <c r="AB3063" s="207" t="s">
        <v>214</v>
      </c>
      <c r="AC3063" s="207" t="s">
        <v>1382</v>
      </c>
      <c r="AD3063" s="213">
        <v>4</v>
      </c>
    </row>
    <row r="3064" spans="28:30" x14ac:dyDescent="0.25">
      <c r="AB3064" s="207" t="s">
        <v>214</v>
      </c>
      <c r="AC3064" s="207" t="s">
        <v>1141</v>
      </c>
      <c r="AD3064" s="213">
        <v>3</v>
      </c>
    </row>
    <row r="3065" spans="28:30" x14ac:dyDescent="0.25">
      <c r="AB3065" s="207" t="s">
        <v>249</v>
      </c>
      <c r="AC3065" s="207" t="s">
        <v>3184</v>
      </c>
      <c r="AD3065" s="213">
        <v>2</v>
      </c>
    </row>
    <row r="3066" spans="28:30" x14ac:dyDescent="0.25">
      <c r="AB3066" s="207" t="s">
        <v>227</v>
      </c>
      <c r="AC3066" s="207" t="s">
        <v>3185</v>
      </c>
      <c r="AD3066" s="213">
        <v>3</v>
      </c>
    </row>
    <row r="3067" spans="28:30" x14ac:dyDescent="0.25">
      <c r="AB3067" s="207" t="s">
        <v>214</v>
      </c>
      <c r="AC3067" s="207" t="s">
        <v>3186</v>
      </c>
      <c r="AD3067" s="213">
        <v>2</v>
      </c>
    </row>
    <row r="3068" spans="28:30" x14ac:dyDescent="0.25">
      <c r="AB3068" s="207" t="s">
        <v>214</v>
      </c>
      <c r="AC3068" s="207" t="s">
        <v>3187</v>
      </c>
      <c r="AD3068" s="213">
        <v>2</v>
      </c>
    </row>
    <row r="3069" spans="28:30" x14ac:dyDescent="0.25">
      <c r="AB3069" s="207" t="s">
        <v>249</v>
      </c>
      <c r="AC3069" s="207" t="s">
        <v>3188</v>
      </c>
      <c r="AD3069" s="213">
        <v>3</v>
      </c>
    </row>
    <row r="3070" spans="28:30" x14ac:dyDescent="0.25">
      <c r="AB3070" s="207" t="s">
        <v>249</v>
      </c>
      <c r="AC3070" s="207" t="s">
        <v>3189</v>
      </c>
      <c r="AD3070" s="213">
        <v>4</v>
      </c>
    </row>
    <row r="3071" spans="28:30" x14ac:dyDescent="0.25">
      <c r="AB3071" s="207" t="s">
        <v>233</v>
      </c>
      <c r="AC3071" s="207" t="s">
        <v>3190</v>
      </c>
      <c r="AD3071" s="213">
        <v>3</v>
      </c>
    </row>
    <row r="3072" spans="28:30" x14ac:dyDescent="0.25">
      <c r="AB3072" s="207" t="s">
        <v>249</v>
      </c>
      <c r="AC3072" s="207" t="s">
        <v>3191</v>
      </c>
      <c r="AD3072" s="213">
        <v>3</v>
      </c>
    </row>
    <row r="3073" spans="28:30" x14ac:dyDescent="0.25">
      <c r="AB3073" s="207" t="s">
        <v>1953</v>
      </c>
      <c r="AC3073" s="207" t="s">
        <v>3192</v>
      </c>
      <c r="AD3073" s="213">
        <v>5</v>
      </c>
    </row>
    <row r="3074" spans="28:30" x14ac:dyDescent="0.25">
      <c r="AB3074" s="207" t="s">
        <v>207</v>
      </c>
      <c r="AC3074" s="207" t="s">
        <v>3193</v>
      </c>
      <c r="AD3074" s="213">
        <v>2</v>
      </c>
    </row>
    <row r="3075" spans="28:30" x14ac:dyDescent="0.25">
      <c r="AB3075" s="207" t="s">
        <v>249</v>
      </c>
      <c r="AC3075" s="207" t="s">
        <v>3194</v>
      </c>
      <c r="AD3075" s="213">
        <v>3</v>
      </c>
    </row>
    <row r="3076" spans="28:30" x14ac:dyDescent="0.25">
      <c r="AB3076" s="207" t="s">
        <v>249</v>
      </c>
      <c r="AC3076" s="207" t="s">
        <v>3195</v>
      </c>
      <c r="AD3076" s="213">
        <v>3</v>
      </c>
    </row>
    <row r="3077" spans="28:30" x14ac:dyDescent="0.25">
      <c r="AB3077" s="207" t="s">
        <v>249</v>
      </c>
      <c r="AC3077" s="207" t="s">
        <v>3196</v>
      </c>
      <c r="AD3077" s="213">
        <v>3</v>
      </c>
    </row>
    <row r="3078" spans="28:30" x14ac:dyDescent="0.25">
      <c r="AB3078" s="207" t="s">
        <v>1953</v>
      </c>
      <c r="AC3078" s="207" t="s">
        <v>5870</v>
      </c>
      <c r="AD3078" s="213">
        <v>3</v>
      </c>
    </row>
    <row r="3079" spans="28:30" x14ac:dyDescent="0.25">
      <c r="AB3079" s="207" t="s">
        <v>249</v>
      </c>
      <c r="AC3079" s="207" t="s">
        <v>3197</v>
      </c>
      <c r="AD3079" s="213">
        <v>3</v>
      </c>
    </row>
    <row r="3080" spans="28:30" x14ac:dyDescent="0.25">
      <c r="AB3080" s="207" t="s">
        <v>249</v>
      </c>
      <c r="AC3080" s="207" t="s">
        <v>3198</v>
      </c>
      <c r="AD3080" s="213">
        <v>3</v>
      </c>
    </row>
    <row r="3081" spans="28:30" x14ac:dyDescent="0.25">
      <c r="AB3081" s="207" t="s">
        <v>219</v>
      </c>
      <c r="AC3081" s="207" t="s">
        <v>3199</v>
      </c>
      <c r="AD3081" s="213">
        <v>5</v>
      </c>
    </row>
    <row r="3082" spans="28:30" x14ac:dyDescent="0.25">
      <c r="AB3082" s="207" t="s">
        <v>249</v>
      </c>
      <c r="AC3082" s="207" t="s">
        <v>3200</v>
      </c>
      <c r="AD3082" s="213">
        <v>3</v>
      </c>
    </row>
    <row r="3083" spans="28:30" x14ac:dyDescent="0.25">
      <c r="AB3083" s="207" t="s">
        <v>227</v>
      </c>
      <c r="AC3083" s="207" t="s">
        <v>3201</v>
      </c>
      <c r="AD3083" s="213">
        <v>3</v>
      </c>
    </row>
    <row r="3084" spans="28:30" x14ac:dyDescent="0.25">
      <c r="AB3084" s="207" t="s">
        <v>214</v>
      </c>
      <c r="AC3084" s="207" t="s">
        <v>3202</v>
      </c>
      <c r="AD3084" s="213">
        <v>2</v>
      </c>
    </row>
    <row r="3085" spans="28:30" x14ac:dyDescent="0.25">
      <c r="AB3085" s="207" t="s">
        <v>214</v>
      </c>
      <c r="AC3085" s="207" t="s">
        <v>3203</v>
      </c>
      <c r="AD3085" s="213">
        <v>3</v>
      </c>
    </row>
    <row r="3086" spans="28:30" x14ac:dyDescent="0.25">
      <c r="AB3086" s="207" t="s">
        <v>249</v>
      </c>
      <c r="AC3086" s="207" t="s">
        <v>3204</v>
      </c>
      <c r="AD3086" s="213">
        <v>3</v>
      </c>
    </row>
    <row r="3087" spans="28:30" x14ac:dyDescent="0.25">
      <c r="AB3087" s="207" t="s">
        <v>1953</v>
      </c>
      <c r="AC3087" s="207" t="s">
        <v>3205</v>
      </c>
      <c r="AD3087" s="213">
        <v>5</v>
      </c>
    </row>
    <row r="3088" spans="28:30" x14ac:dyDescent="0.25">
      <c r="AB3088" s="207" t="s">
        <v>373</v>
      </c>
      <c r="AC3088" s="207" t="s">
        <v>3206</v>
      </c>
      <c r="AD3088" s="213">
        <v>8</v>
      </c>
    </row>
    <row r="3089" spans="28:30" x14ac:dyDescent="0.25">
      <c r="AB3089" s="207" t="s">
        <v>249</v>
      </c>
      <c r="AC3089" s="207" t="s">
        <v>1965</v>
      </c>
      <c r="AD3089" s="213">
        <v>6</v>
      </c>
    </row>
    <row r="3090" spans="28:30" x14ac:dyDescent="0.25">
      <c r="AB3090" s="207" t="s">
        <v>249</v>
      </c>
      <c r="AC3090" s="207" t="s">
        <v>3207</v>
      </c>
      <c r="AD3090" s="213">
        <v>3</v>
      </c>
    </row>
    <row r="3091" spans="28:30" x14ac:dyDescent="0.25">
      <c r="AB3091" s="207" t="s">
        <v>1953</v>
      </c>
      <c r="AC3091" s="207" t="s">
        <v>3208</v>
      </c>
      <c r="AD3091" s="213">
        <v>3</v>
      </c>
    </row>
    <row r="3092" spans="28:30" x14ac:dyDescent="0.25">
      <c r="AB3092" s="207" t="s">
        <v>214</v>
      </c>
      <c r="AC3092" s="207" t="s">
        <v>3209</v>
      </c>
      <c r="AD3092" s="213">
        <v>2</v>
      </c>
    </row>
    <row r="3093" spans="28:30" x14ac:dyDescent="0.25">
      <c r="AB3093" s="207" t="s">
        <v>214</v>
      </c>
      <c r="AC3093" s="207" t="s">
        <v>3210</v>
      </c>
      <c r="AD3093" s="213">
        <v>1</v>
      </c>
    </row>
    <row r="3094" spans="28:30" x14ac:dyDescent="0.25">
      <c r="AB3094" s="207" t="s">
        <v>219</v>
      </c>
      <c r="AC3094" s="207" t="s">
        <v>3211</v>
      </c>
      <c r="AD3094" s="213">
        <v>5</v>
      </c>
    </row>
    <row r="3095" spans="28:30" x14ac:dyDescent="0.25">
      <c r="AB3095" s="207" t="s">
        <v>1953</v>
      </c>
      <c r="AC3095" s="207" t="s">
        <v>3212</v>
      </c>
      <c r="AD3095" s="213">
        <v>3</v>
      </c>
    </row>
    <row r="3096" spans="28:30" x14ac:dyDescent="0.25">
      <c r="AB3096" s="207" t="s">
        <v>227</v>
      </c>
      <c r="AC3096" s="207" t="s">
        <v>3213</v>
      </c>
      <c r="AD3096" s="213">
        <v>5</v>
      </c>
    </row>
    <row r="3097" spans="28:30" x14ac:dyDescent="0.25">
      <c r="AB3097" s="207" t="s">
        <v>227</v>
      </c>
      <c r="AC3097" s="207" t="s">
        <v>3214</v>
      </c>
      <c r="AD3097" s="213">
        <v>8</v>
      </c>
    </row>
    <row r="3098" spans="28:30" x14ac:dyDescent="0.25">
      <c r="AB3098" s="207" t="s">
        <v>249</v>
      </c>
      <c r="AC3098" s="207" t="s">
        <v>3215</v>
      </c>
      <c r="AD3098" s="213">
        <v>3</v>
      </c>
    </row>
    <row r="3099" spans="28:30" x14ac:dyDescent="0.25">
      <c r="AB3099" s="207" t="s">
        <v>219</v>
      </c>
      <c r="AC3099" s="207" t="s">
        <v>3216</v>
      </c>
      <c r="AD3099" s="213">
        <v>5</v>
      </c>
    </row>
    <row r="3100" spans="28:30" x14ac:dyDescent="0.25">
      <c r="AB3100" s="207" t="s">
        <v>249</v>
      </c>
      <c r="AC3100" s="207" t="s">
        <v>3217</v>
      </c>
      <c r="AD3100" s="213">
        <v>3</v>
      </c>
    </row>
    <row r="3101" spans="28:30" x14ac:dyDescent="0.25">
      <c r="AB3101" s="207" t="s">
        <v>373</v>
      </c>
      <c r="AC3101" s="207" t="s">
        <v>3218</v>
      </c>
      <c r="AD3101" s="213">
        <v>8</v>
      </c>
    </row>
    <row r="3102" spans="28:30" x14ac:dyDescent="0.25">
      <c r="AB3102" s="207" t="s">
        <v>249</v>
      </c>
      <c r="AC3102" s="207" t="s">
        <v>3219</v>
      </c>
      <c r="AD3102" s="213">
        <v>3</v>
      </c>
    </row>
    <row r="3103" spans="28:30" x14ac:dyDescent="0.25">
      <c r="AB3103" s="207" t="s">
        <v>214</v>
      </c>
      <c r="AC3103" s="207" t="s">
        <v>3220</v>
      </c>
      <c r="AD3103" s="213">
        <v>2</v>
      </c>
    </row>
    <row r="3104" spans="28:30" x14ac:dyDescent="0.25">
      <c r="AB3104" s="207" t="s">
        <v>249</v>
      </c>
      <c r="AC3104" s="207" t="s">
        <v>3221</v>
      </c>
      <c r="AD3104" s="213">
        <v>5</v>
      </c>
    </row>
    <row r="3105" spans="28:30" x14ac:dyDescent="0.25">
      <c r="AB3105" s="207" t="s">
        <v>249</v>
      </c>
      <c r="AC3105" s="207" t="s">
        <v>3222</v>
      </c>
      <c r="AD3105" s="213">
        <v>3</v>
      </c>
    </row>
    <row r="3106" spans="28:30" x14ac:dyDescent="0.25">
      <c r="AB3106" s="207" t="s">
        <v>249</v>
      </c>
      <c r="AC3106" s="207" t="s">
        <v>3223</v>
      </c>
      <c r="AD3106" s="213">
        <v>3</v>
      </c>
    </row>
    <row r="3107" spans="28:30" x14ac:dyDescent="0.25">
      <c r="AB3107" s="207" t="s">
        <v>249</v>
      </c>
      <c r="AC3107" s="207" t="s">
        <v>3224</v>
      </c>
      <c r="AD3107" s="213">
        <v>3</v>
      </c>
    </row>
    <row r="3108" spans="28:30" x14ac:dyDescent="0.25">
      <c r="AB3108" s="207" t="s">
        <v>373</v>
      </c>
      <c r="AC3108" s="207" t="s">
        <v>3225</v>
      </c>
      <c r="AD3108" s="213">
        <v>8</v>
      </c>
    </row>
    <row r="3109" spans="28:30" x14ac:dyDescent="0.25">
      <c r="AB3109" s="207" t="s">
        <v>1953</v>
      </c>
      <c r="AC3109" s="207" t="s">
        <v>3226</v>
      </c>
      <c r="AD3109" s="213">
        <v>5</v>
      </c>
    </row>
    <row r="3110" spans="28:30" x14ac:dyDescent="0.25">
      <c r="AB3110" s="207" t="s">
        <v>249</v>
      </c>
      <c r="AC3110" s="207" t="s">
        <v>3227</v>
      </c>
      <c r="AD3110" s="213">
        <v>3</v>
      </c>
    </row>
    <row r="3111" spans="28:30" x14ac:dyDescent="0.25">
      <c r="AB3111" s="207" t="s">
        <v>249</v>
      </c>
      <c r="AC3111" s="207" t="s">
        <v>3228</v>
      </c>
      <c r="AD3111" s="213">
        <v>2</v>
      </c>
    </row>
    <row r="3112" spans="28:30" x14ac:dyDescent="0.25">
      <c r="AB3112" s="207" t="s">
        <v>249</v>
      </c>
      <c r="AC3112" s="207" t="s">
        <v>3229</v>
      </c>
      <c r="AD3112" s="213">
        <v>2</v>
      </c>
    </row>
    <row r="3113" spans="28:30" x14ac:dyDescent="0.25">
      <c r="AB3113" s="207" t="s">
        <v>249</v>
      </c>
      <c r="AC3113" s="207" t="s">
        <v>3230</v>
      </c>
      <c r="AD3113" s="213">
        <v>2</v>
      </c>
    </row>
    <row r="3114" spans="28:30" x14ac:dyDescent="0.25">
      <c r="AB3114" s="207" t="s">
        <v>249</v>
      </c>
      <c r="AC3114" s="207" t="s">
        <v>3231</v>
      </c>
      <c r="AD3114" s="213">
        <v>3</v>
      </c>
    </row>
    <row r="3115" spans="28:30" x14ac:dyDescent="0.25">
      <c r="AB3115" s="207" t="s">
        <v>214</v>
      </c>
      <c r="AC3115" s="207" t="s">
        <v>3232</v>
      </c>
      <c r="AD3115" s="213">
        <v>3</v>
      </c>
    </row>
    <row r="3116" spans="28:30" x14ac:dyDescent="0.25">
      <c r="AB3116" s="207" t="s">
        <v>219</v>
      </c>
      <c r="AC3116" s="207" t="s">
        <v>3233</v>
      </c>
      <c r="AD3116" s="213">
        <v>3</v>
      </c>
    </row>
    <row r="3117" spans="28:30" x14ac:dyDescent="0.25">
      <c r="AB3117" s="207" t="s">
        <v>249</v>
      </c>
      <c r="AC3117" s="207" t="s">
        <v>3234</v>
      </c>
      <c r="AD3117" s="213">
        <v>3</v>
      </c>
    </row>
    <row r="3118" spans="28:30" x14ac:dyDescent="0.25">
      <c r="AB3118" s="207" t="s">
        <v>249</v>
      </c>
      <c r="AC3118" s="207" t="s">
        <v>3235</v>
      </c>
      <c r="AD3118" s="213">
        <v>3</v>
      </c>
    </row>
    <row r="3119" spans="28:30" x14ac:dyDescent="0.25">
      <c r="AB3119" s="207" t="s">
        <v>214</v>
      </c>
      <c r="AC3119" s="207" t="s">
        <v>3236</v>
      </c>
      <c r="AD3119" s="213">
        <v>3</v>
      </c>
    </row>
    <row r="3120" spans="28:30" x14ac:dyDescent="0.25">
      <c r="AB3120" s="207" t="s">
        <v>249</v>
      </c>
      <c r="AC3120" s="207" t="s">
        <v>3237</v>
      </c>
      <c r="AD3120" s="213">
        <v>3</v>
      </c>
    </row>
    <row r="3121" spans="28:30" x14ac:dyDescent="0.25">
      <c r="AB3121" s="207" t="s">
        <v>233</v>
      </c>
      <c r="AC3121" s="207" t="s">
        <v>3238</v>
      </c>
      <c r="AD3121" s="213">
        <v>3</v>
      </c>
    </row>
    <row r="3122" spans="28:30" x14ac:dyDescent="0.25">
      <c r="AB3122" s="207" t="s">
        <v>1953</v>
      </c>
      <c r="AC3122" s="207" t="s">
        <v>3239</v>
      </c>
      <c r="AD3122" s="213">
        <v>3</v>
      </c>
    </row>
    <row r="3123" spans="28:30" x14ac:dyDescent="0.25">
      <c r="AB3123" s="207" t="s">
        <v>373</v>
      </c>
      <c r="AC3123" s="207" t="s">
        <v>3240</v>
      </c>
      <c r="AD3123" s="213">
        <v>5</v>
      </c>
    </row>
    <row r="3124" spans="28:30" x14ac:dyDescent="0.25">
      <c r="AB3124" s="207" t="s">
        <v>1953</v>
      </c>
      <c r="AC3124" s="207" t="s">
        <v>3241</v>
      </c>
      <c r="AD3124" s="213">
        <v>5</v>
      </c>
    </row>
    <row r="3125" spans="28:30" x14ac:dyDescent="0.25">
      <c r="AB3125" s="207" t="s">
        <v>249</v>
      </c>
      <c r="AC3125" s="207" t="s">
        <v>3242</v>
      </c>
      <c r="AD3125" s="213">
        <v>3</v>
      </c>
    </row>
    <row r="3126" spans="28:30" x14ac:dyDescent="0.25">
      <c r="AB3126" s="207" t="s">
        <v>1953</v>
      </c>
      <c r="AC3126" s="207" t="s">
        <v>3243</v>
      </c>
      <c r="AD3126" s="213">
        <v>3</v>
      </c>
    </row>
    <row r="3127" spans="28:30" x14ac:dyDescent="0.25">
      <c r="AB3127" s="207" t="s">
        <v>249</v>
      </c>
      <c r="AC3127" s="207" t="s">
        <v>3244</v>
      </c>
      <c r="AD3127" s="213">
        <v>2</v>
      </c>
    </row>
    <row r="3128" spans="28:30" x14ac:dyDescent="0.25">
      <c r="AB3128" s="207" t="s">
        <v>1953</v>
      </c>
      <c r="AC3128" s="207" t="s">
        <v>3245</v>
      </c>
      <c r="AD3128" s="213">
        <v>3</v>
      </c>
    </row>
    <row r="3129" spans="28:30" x14ac:dyDescent="0.25">
      <c r="AB3129" s="207" t="s">
        <v>373</v>
      </c>
      <c r="AC3129" s="207" t="s">
        <v>482</v>
      </c>
      <c r="AD3129" s="213">
        <v>8</v>
      </c>
    </row>
    <row r="3130" spans="28:30" x14ac:dyDescent="0.25">
      <c r="AB3130" s="207" t="s">
        <v>219</v>
      </c>
      <c r="AC3130" s="207" t="s">
        <v>3246</v>
      </c>
      <c r="AD3130" s="213">
        <v>5</v>
      </c>
    </row>
    <row r="3131" spans="28:30" x14ac:dyDescent="0.25">
      <c r="AB3131" s="207" t="s">
        <v>249</v>
      </c>
      <c r="AC3131" s="207" t="s">
        <v>3247</v>
      </c>
      <c r="AD3131" s="213">
        <v>3</v>
      </c>
    </row>
    <row r="3132" spans="28:30" x14ac:dyDescent="0.25">
      <c r="AB3132" s="207" t="s">
        <v>249</v>
      </c>
      <c r="AC3132" s="207" t="s">
        <v>3248</v>
      </c>
      <c r="AD3132" s="213">
        <v>3</v>
      </c>
    </row>
    <row r="3133" spans="28:30" x14ac:dyDescent="0.25">
      <c r="AB3133" s="207" t="s">
        <v>233</v>
      </c>
      <c r="AC3133" s="207" t="s">
        <v>3249</v>
      </c>
      <c r="AD3133" s="213">
        <v>6</v>
      </c>
    </row>
    <row r="3134" spans="28:30" x14ac:dyDescent="0.25">
      <c r="AB3134" s="207" t="s">
        <v>249</v>
      </c>
      <c r="AC3134" s="207" t="s">
        <v>3250</v>
      </c>
      <c r="AD3134" s="213">
        <v>2</v>
      </c>
    </row>
    <row r="3135" spans="28:30" x14ac:dyDescent="0.25">
      <c r="AB3135" s="207" t="s">
        <v>249</v>
      </c>
      <c r="AC3135" s="207" t="s">
        <v>3251</v>
      </c>
      <c r="AD3135" s="213">
        <v>5</v>
      </c>
    </row>
    <row r="3136" spans="28:30" x14ac:dyDescent="0.25">
      <c r="AB3136" s="207" t="s">
        <v>249</v>
      </c>
      <c r="AC3136" s="207" t="s">
        <v>3252</v>
      </c>
      <c r="AD3136" s="213">
        <v>3</v>
      </c>
    </row>
    <row r="3137" spans="28:30" x14ac:dyDescent="0.25">
      <c r="AB3137" s="207" t="s">
        <v>249</v>
      </c>
      <c r="AC3137" s="207" t="s">
        <v>3253</v>
      </c>
      <c r="AD3137" s="213">
        <v>5</v>
      </c>
    </row>
    <row r="3138" spans="28:30" x14ac:dyDescent="0.25">
      <c r="AB3138" s="207" t="s">
        <v>219</v>
      </c>
      <c r="AC3138" s="207" t="s">
        <v>3254</v>
      </c>
      <c r="AD3138" s="213">
        <v>5</v>
      </c>
    </row>
    <row r="3139" spans="28:30" x14ac:dyDescent="0.25">
      <c r="AB3139" s="207" t="s">
        <v>249</v>
      </c>
      <c r="AC3139" s="207" t="s">
        <v>3255</v>
      </c>
      <c r="AD3139" s="213">
        <v>3</v>
      </c>
    </row>
    <row r="3140" spans="28:30" x14ac:dyDescent="0.25">
      <c r="AB3140" s="207" t="s">
        <v>249</v>
      </c>
      <c r="AC3140" s="207" t="s">
        <v>3256</v>
      </c>
      <c r="AD3140" s="213">
        <v>3</v>
      </c>
    </row>
    <row r="3141" spans="28:30" x14ac:dyDescent="0.25">
      <c r="AB3141" s="207" t="s">
        <v>249</v>
      </c>
      <c r="AC3141" s="207" t="s">
        <v>3257</v>
      </c>
      <c r="AD3141" s="213">
        <v>2</v>
      </c>
    </row>
    <row r="3142" spans="28:30" x14ac:dyDescent="0.25">
      <c r="AB3142" s="207" t="s">
        <v>249</v>
      </c>
      <c r="AC3142" s="207" t="s">
        <v>3258</v>
      </c>
      <c r="AD3142" s="213">
        <v>2</v>
      </c>
    </row>
    <row r="3143" spans="28:30" x14ac:dyDescent="0.25">
      <c r="AB3143" s="207" t="s">
        <v>249</v>
      </c>
      <c r="AC3143" s="207" t="s">
        <v>3259</v>
      </c>
      <c r="AD3143" s="213">
        <v>3</v>
      </c>
    </row>
    <row r="3144" spans="28:30" x14ac:dyDescent="0.25">
      <c r="AB3144" s="207" t="s">
        <v>373</v>
      </c>
      <c r="AC3144" s="207" t="s">
        <v>3260</v>
      </c>
      <c r="AD3144" s="213">
        <v>8</v>
      </c>
    </row>
    <row r="3145" spans="28:30" x14ac:dyDescent="0.25">
      <c r="AB3145" s="207" t="s">
        <v>227</v>
      </c>
      <c r="AC3145" s="207" t="s">
        <v>3261</v>
      </c>
      <c r="AD3145" s="213">
        <v>3</v>
      </c>
    </row>
    <row r="3146" spans="28:30" x14ac:dyDescent="0.25">
      <c r="AB3146" s="207" t="s">
        <v>219</v>
      </c>
      <c r="AC3146" s="207" t="s">
        <v>3262</v>
      </c>
      <c r="AD3146" s="213">
        <v>3</v>
      </c>
    </row>
    <row r="3147" spans="28:30" x14ac:dyDescent="0.25">
      <c r="AB3147" s="207" t="s">
        <v>249</v>
      </c>
      <c r="AC3147" s="207" t="s">
        <v>3263</v>
      </c>
      <c r="AD3147" s="213">
        <v>3</v>
      </c>
    </row>
    <row r="3148" spans="28:30" x14ac:dyDescent="0.25">
      <c r="AB3148" s="207" t="s">
        <v>249</v>
      </c>
      <c r="AC3148" s="207" t="s">
        <v>3264</v>
      </c>
      <c r="AD3148" s="213">
        <v>3</v>
      </c>
    </row>
    <row r="3149" spans="28:30" x14ac:dyDescent="0.25">
      <c r="AB3149" s="207" t="s">
        <v>249</v>
      </c>
      <c r="AC3149" s="207" t="s">
        <v>3265</v>
      </c>
      <c r="AD3149" s="213">
        <v>3</v>
      </c>
    </row>
    <row r="3150" spans="28:30" x14ac:dyDescent="0.25">
      <c r="AB3150" s="207" t="s">
        <v>214</v>
      </c>
      <c r="AC3150" s="207" t="s">
        <v>3266</v>
      </c>
      <c r="AD3150" s="213">
        <v>3</v>
      </c>
    </row>
    <row r="3151" spans="28:30" x14ac:dyDescent="0.25">
      <c r="AB3151" s="207" t="s">
        <v>249</v>
      </c>
      <c r="AC3151" s="207" t="s">
        <v>3267</v>
      </c>
      <c r="AD3151" s="213">
        <v>3</v>
      </c>
    </row>
    <row r="3152" spans="28:30" x14ac:dyDescent="0.25">
      <c r="AB3152" s="207" t="s">
        <v>233</v>
      </c>
      <c r="AC3152" s="207" t="s">
        <v>3268</v>
      </c>
      <c r="AD3152" s="213">
        <v>5</v>
      </c>
    </row>
    <row r="3153" spans="28:30" x14ac:dyDescent="0.25">
      <c r="AB3153" s="207" t="s">
        <v>233</v>
      </c>
      <c r="AC3153" s="207" t="s">
        <v>3269</v>
      </c>
      <c r="AD3153" s="213">
        <v>5</v>
      </c>
    </row>
    <row r="3154" spans="28:30" x14ac:dyDescent="0.25">
      <c r="AB3154" s="207" t="s">
        <v>373</v>
      </c>
      <c r="AC3154" s="207" t="s">
        <v>3270</v>
      </c>
      <c r="AD3154" s="213">
        <v>8</v>
      </c>
    </row>
    <row r="3155" spans="28:30" x14ac:dyDescent="0.25">
      <c r="AB3155" s="207" t="s">
        <v>249</v>
      </c>
      <c r="AC3155" s="207" t="s">
        <v>3271</v>
      </c>
      <c r="AD3155" s="213">
        <v>3</v>
      </c>
    </row>
    <row r="3156" spans="28:30" x14ac:dyDescent="0.25">
      <c r="AB3156" s="207" t="s">
        <v>249</v>
      </c>
      <c r="AC3156" s="207" t="s">
        <v>3272</v>
      </c>
      <c r="AD3156" s="213">
        <v>2</v>
      </c>
    </row>
    <row r="3157" spans="28:30" x14ac:dyDescent="0.25">
      <c r="AB3157" s="207" t="s">
        <v>249</v>
      </c>
      <c r="AC3157" s="207" t="s">
        <v>3273</v>
      </c>
      <c r="AD3157" s="213">
        <v>3</v>
      </c>
    </row>
    <row r="3158" spans="28:30" x14ac:dyDescent="0.25">
      <c r="AB3158" s="207" t="s">
        <v>249</v>
      </c>
      <c r="AC3158" s="207" t="s">
        <v>3274</v>
      </c>
      <c r="AD3158" s="213">
        <v>3</v>
      </c>
    </row>
    <row r="3159" spans="28:30" x14ac:dyDescent="0.25">
      <c r="AB3159" s="207" t="s">
        <v>249</v>
      </c>
      <c r="AC3159" s="207" t="s">
        <v>3275</v>
      </c>
      <c r="AD3159" s="213">
        <v>2</v>
      </c>
    </row>
    <row r="3160" spans="28:30" x14ac:dyDescent="0.25">
      <c r="AB3160" s="207" t="s">
        <v>249</v>
      </c>
      <c r="AC3160" s="207" t="s">
        <v>3276</v>
      </c>
      <c r="AD3160" s="213">
        <v>2</v>
      </c>
    </row>
    <row r="3161" spans="28:30" x14ac:dyDescent="0.25">
      <c r="AB3161" s="207" t="s">
        <v>227</v>
      </c>
      <c r="AC3161" s="207" t="s">
        <v>3277</v>
      </c>
      <c r="AD3161" s="213">
        <v>3</v>
      </c>
    </row>
    <row r="3162" spans="28:30" x14ac:dyDescent="0.25">
      <c r="AB3162" s="207" t="s">
        <v>373</v>
      </c>
      <c r="AC3162" s="207" t="s">
        <v>3278</v>
      </c>
      <c r="AD3162" s="213">
        <v>8</v>
      </c>
    </row>
    <row r="3163" spans="28:30" x14ac:dyDescent="0.25">
      <c r="AB3163" s="207" t="s">
        <v>219</v>
      </c>
      <c r="AC3163" s="207" t="s">
        <v>3279</v>
      </c>
      <c r="AD3163" s="213">
        <v>3</v>
      </c>
    </row>
    <row r="3164" spans="28:30" x14ac:dyDescent="0.25">
      <c r="AB3164" s="207" t="s">
        <v>1953</v>
      </c>
      <c r="AC3164" s="207" t="s">
        <v>3280</v>
      </c>
      <c r="AD3164" s="213">
        <v>5</v>
      </c>
    </row>
    <row r="3165" spans="28:30" x14ac:dyDescent="0.25">
      <c r="AB3165" s="207" t="s">
        <v>249</v>
      </c>
      <c r="AC3165" s="207" t="s">
        <v>3281</v>
      </c>
      <c r="AD3165" s="213">
        <v>3</v>
      </c>
    </row>
    <row r="3166" spans="28:30" x14ac:dyDescent="0.25">
      <c r="AB3166" s="207" t="s">
        <v>373</v>
      </c>
      <c r="AC3166" s="207" t="s">
        <v>3282</v>
      </c>
      <c r="AD3166" s="213">
        <v>8</v>
      </c>
    </row>
    <row r="3167" spans="28:30" x14ac:dyDescent="0.25">
      <c r="AB3167" s="207" t="s">
        <v>219</v>
      </c>
      <c r="AC3167" s="207" t="s">
        <v>3283</v>
      </c>
      <c r="AD3167" s="213">
        <v>3</v>
      </c>
    </row>
    <row r="3168" spans="28:30" x14ac:dyDescent="0.25">
      <c r="AB3168" s="207" t="s">
        <v>249</v>
      </c>
      <c r="AC3168" s="207" t="s">
        <v>3284</v>
      </c>
      <c r="AD3168" s="213">
        <v>3</v>
      </c>
    </row>
    <row r="3169" spans="28:30" x14ac:dyDescent="0.25">
      <c r="AB3169" s="207" t="s">
        <v>233</v>
      </c>
      <c r="AC3169" s="207" t="s">
        <v>1894</v>
      </c>
      <c r="AD3169" s="213">
        <v>3</v>
      </c>
    </row>
    <row r="3170" spans="28:30" x14ac:dyDescent="0.25">
      <c r="AB3170" s="207" t="s">
        <v>373</v>
      </c>
      <c r="AC3170" s="207" t="s">
        <v>3285</v>
      </c>
      <c r="AD3170" s="213">
        <v>8</v>
      </c>
    </row>
    <row r="3171" spans="28:30" x14ac:dyDescent="0.25">
      <c r="AB3171" s="207" t="s">
        <v>227</v>
      </c>
      <c r="AC3171" s="207" t="s">
        <v>3286</v>
      </c>
      <c r="AD3171" s="213">
        <v>3</v>
      </c>
    </row>
    <row r="3172" spans="28:30" x14ac:dyDescent="0.25">
      <c r="AB3172" s="207" t="s">
        <v>1953</v>
      </c>
      <c r="AC3172" s="207" t="s">
        <v>3287</v>
      </c>
      <c r="AD3172" s="213">
        <v>3</v>
      </c>
    </row>
    <row r="3173" spans="28:30" x14ac:dyDescent="0.25">
      <c r="AB3173" s="207" t="s">
        <v>233</v>
      </c>
      <c r="AC3173" s="207" t="s">
        <v>3288</v>
      </c>
      <c r="AD3173" s="213">
        <v>4</v>
      </c>
    </row>
    <row r="3174" spans="28:30" x14ac:dyDescent="0.25">
      <c r="AB3174" s="207" t="s">
        <v>219</v>
      </c>
      <c r="AC3174" s="207" t="s">
        <v>3289</v>
      </c>
      <c r="AD3174" s="213">
        <v>3</v>
      </c>
    </row>
    <row r="3175" spans="28:30" x14ac:dyDescent="0.25">
      <c r="AB3175" s="207" t="s">
        <v>249</v>
      </c>
      <c r="AC3175" s="207" t="s">
        <v>3290</v>
      </c>
      <c r="AD3175" s="213">
        <v>3</v>
      </c>
    </row>
    <row r="3176" spans="28:30" x14ac:dyDescent="0.25">
      <c r="AB3176" s="207" t="s">
        <v>249</v>
      </c>
      <c r="AC3176" s="207" t="s">
        <v>3291</v>
      </c>
      <c r="AD3176" s="213">
        <v>3</v>
      </c>
    </row>
    <row r="3177" spans="28:30" x14ac:dyDescent="0.25">
      <c r="AB3177" s="207" t="s">
        <v>373</v>
      </c>
      <c r="AC3177" s="207" t="s">
        <v>3292</v>
      </c>
      <c r="AD3177" s="213">
        <v>8</v>
      </c>
    </row>
    <row r="3178" spans="28:30" x14ac:dyDescent="0.25">
      <c r="AB3178" s="207" t="s">
        <v>227</v>
      </c>
      <c r="AC3178" s="207" t="s">
        <v>3293</v>
      </c>
      <c r="AD3178" s="213">
        <v>3</v>
      </c>
    </row>
    <row r="3179" spans="28:30" x14ac:dyDescent="0.25">
      <c r="AB3179" s="207" t="s">
        <v>233</v>
      </c>
      <c r="AC3179" s="207" t="s">
        <v>3294</v>
      </c>
      <c r="AD3179" s="213">
        <v>4</v>
      </c>
    </row>
    <row r="3180" spans="28:30" x14ac:dyDescent="0.25">
      <c r="AB3180" s="207" t="s">
        <v>1953</v>
      </c>
      <c r="AC3180" s="207" t="s">
        <v>3295</v>
      </c>
      <c r="AD3180" s="213">
        <v>3</v>
      </c>
    </row>
    <row r="3181" spans="28:30" x14ac:dyDescent="0.25">
      <c r="AB3181" s="207" t="s">
        <v>1953</v>
      </c>
      <c r="AC3181" s="207" t="s">
        <v>3296</v>
      </c>
      <c r="AD3181" s="213">
        <v>3</v>
      </c>
    </row>
    <row r="3182" spans="28:30" x14ac:dyDescent="0.25">
      <c r="AB3182" s="207" t="s">
        <v>373</v>
      </c>
      <c r="AC3182" s="207" t="s">
        <v>3297</v>
      </c>
      <c r="AD3182" s="213">
        <v>8</v>
      </c>
    </row>
    <row r="3183" spans="28:30" x14ac:dyDescent="0.25">
      <c r="AB3183" s="207" t="s">
        <v>233</v>
      </c>
      <c r="AC3183" s="207" t="s">
        <v>3298</v>
      </c>
      <c r="AD3183" s="213">
        <v>6</v>
      </c>
    </row>
    <row r="3184" spans="28:30" x14ac:dyDescent="0.25">
      <c r="AB3184" s="207" t="s">
        <v>233</v>
      </c>
      <c r="AC3184" s="207" t="s">
        <v>3299</v>
      </c>
      <c r="AD3184" s="213">
        <v>3</v>
      </c>
    </row>
    <row r="3185" spans="28:30" x14ac:dyDescent="0.25">
      <c r="AB3185" s="207" t="s">
        <v>373</v>
      </c>
      <c r="AC3185" s="207" t="s">
        <v>3300</v>
      </c>
      <c r="AD3185" s="213">
        <v>8</v>
      </c>
    </row>
    <row r="3186" spans="28:30" x14ac:dyDescent="0.25">
      <c r="AB3186" s="207" t="s">
        <v>373</v>
      </c>
      <c r="AC3186" s="207" t="s">
        <v>3301</v>
      </c>
      <c r="AD3186" s="213">
        <v>8</v>
      </c>
    </row>
    <row r="3187" spans="28:30" x14ac:dyDescent="0.25">
      <c r="AB3187" s="207" t="s">
        <v>56</v>
      </c>
      <c r="AC3187" s="207" t="s">
        <v>3302</v>
      </c>
      <c r="AD3187" s="213">
        <v>8</v>
      </c>
    </row>
    <row r="3188" spans="28:30" x14ac:dyDescent="0.25">
      <c r="AB3188" s="207" t="s">
        <v>233</v>
      </c>
      <c r="AC3188" s="207" t="s">
        <v>3303</v>
      </c>
      <c r="AD3188" s="213">
        <v>6</v>
      </c>
    </row>
    <row r="3189" spans="28:30" x14ac:dyDescent="0.25">
      <c r="AB3189" s="207" t="s">
        <v>249</v>
      </c>
      <c r="AC3189" s="207" t="s">
        <v>3304</v>
      </c>
      <c r="AD3189" s="213">
        <v>3</v>
      </c>
    </row>
    <row r="3190" spans="28:30" x14ac:dyDescent="0.25">
      <c r="AB3190" s="207" t="s">
        <v>233</v>
      </c>
      <c r="AC3190" s="207" t="s">
        <v>3305</v>
      </c>
      <c r="AD3190" s="213">
        <v>4</v>
      </c>
    </row>
    <row r="3191" spans="28:30" x14ac:dyDescent="0.25">
      <c r="AB3191" s="207" t="s">
        <v>373</v>
      </c>
      <c r="AC3191" s="207" t="s">
        <v>3306</v>
      </c>
      <c r="AD3191" s="213">
        <v>8</v>
      </c>
    </row>
    <row r="3192" spans="28:30" x14ac:dyDescent="0.25">
      <c r="AB3192" s="207" t="s">
        <v>227</v>
      </c>
      <c r="AC3192" s="207" t="s">
        <v>5871</v>
      </c>
      <c r="AD3192" s="213">
        <v>3</v>
      </c>
    </row>
    <row r="3193" spans="28:30" x14ac:dyDescent="0.25">
      <c r="AB3193" s="207" t="s">
        <v>214</v>
      </c>
      <c r="AC3193" s="207" t="s">
        <v>3307</v>
      </c>
      <c r="AD3193" s="213">
        <v>3</v>
      </c>
    </row>
    <row r="3194" spans="28:30" x14ac:dyDescent="0.25">
      <c r="AB3194" s="207" t="s">
        <v>373</v>
      </c>
      <c r="AC3194" s="207" t="s">
        <v>3308</v>
      </c>
      <c r="AD3194" s="213">
        <v>8</v>
      </c>
    </row>
    <row r="3195" spans="28:30" x14ac:dyDescent="0.25">
      <c r="AB3195" s="207" t="s">
        <v>249</v>
      </c>
      <c r="AC3195" s="207" t="s">
        <v>3309</v>
      </c>
      <c r="AD3195" s="213">
        <v>3</v>
      </c>
    </row>
    <row r="3196" spans="28:30" x14ac:dyDescent="0.25">
      <c r="AB3196" s="207" t="s">
        <v>1953</v>
      </c>
      <c r="AC3196" s="207" t="s">
        <v>3310</v>
      </c>
      <c r="AD3196" s="213">
        <v>3</v>
      </c>
    </row>
    <row r="3197" spans="28:30" x14ac:dyDescent="0.25">
      <c r="AB3197" s="207" t="s">
        <v>249</v>
      </c>
      <c r="AC3197" s="207" t="s">
        <v>3311</v>
      </c>
      <c r="AD3197" s="213">
        <v>3</v>
      </c>
    </row>
    <row r="3198" spans="28:30" x14ac:dyDescent="0.25">
      <c r="AB3198" s="207" t="s">
        <v>373</v>
      </c>
      <c r="AC3198" s="207" t="s">
        <v>3312</v>
      </c>
      <c r="AD3198" s="213">
        <v>8</v>
      </c>
    </row>
    <row r="3199" spans="28:30" x14ac:dyDescent="0.25">
      <c r="AB3199" s="207" t="s">
        <v>1953</v>
      </c>
      <c r="AC3199" s="207" t="s">
        <v>3313</v>
      </c>
      <c r="AD3199" s="213">
        <v>3</v>
      </c>
    </row>
    <row r="3200" spans="28:30" x14ac:dyDescent="0.25">
      <c r="AB3200" s="207" t="s">
        <v>56</v>
      </c>
      <c r="AC3200" s="207" t="s">
        <v>3314</v>
      </c>
      <c r="AD3200" s="213">
        <v>8</v>
      </c>
    </row>
    <row r="3201" spans="28:30" x14ac:dyDescent="0.25">
      <c r="AB3201" s="207" t="s">
        <v>219</v>
      </c>
      <c r="AC3201" s="207" t="s">
        <v>3315</v>
      </c>
      <c r="AD3201" s="213">
        <v>3</v>
      </c>
    </row>
    <row r="3202" spans="28:30" x14ac:dyDescent="0.25">
      <c r="AB3202" s="207" t="s">
        <v>249</v>
      </c>
      <c r="AC3202" s="207" t="s">
        <v>3316</v>
      </c>
      <c r="AD3202" s="213">
        <v>3</v>
      </c>
    </row>
    <row r="3203" spans="28:30" x14ac:dyDescent="0.25">
      <c r="AB3203" s="207" t="s">
        <v>233</v>
      </c>
      <c r="AC3203" s="207" t="s">
        <v>3317</v>
      </c>
      <c r="AD3203" s="213">
        <v>6</v>
      </c>
    </row>
    <row r="3204" spans="28:30" x14ac:dyDescent="0.25">
      <c r="AB3204" s="207" t="s">
        <v>1953</v>
      </c>
      <c r="AC3204" s="207" t="s">
        <v>3318</v>
      </c>
      <c r="AD3204" s="213">
        <v>3</v>
      </c>
    </row>
    <row r="3205" spans="28:30" x14ac:dyDescent="0.25">
      <c r="AB3205" s="207" t="s">
        <v>1953</v>
      </c>
      <c r="AC3205" s="207" t="s">
        <v>3319</v>
      </c>
      <c r="AD3205" s="213">
        <v>5</v>
      </c>
    </row>
    <row r="3206" spans="28:30" x14ac:dyDescent="0.25">
      <c r="AB3206" s="207" t="s">
        <v>227</v>
      </c>
      <c r="AC3206" s="207" t="s">
        <v>3320</v>
      </c>
      <c r="AD3206" s="213">
        <v>5</v>
      </c>
    </row>
    <row r="3207" spans="28:30" x14ac:dyDescent="0.25">
      <c r="AB3207" s="207" t="s">
        <v>249</v>
      </c>
      <c r="AC3207" s="207" t="s">
        <v>3321</v>
      </c>
      <c r="AD3207" s="213">
        <v>3</v>
      </c>
    </row>
    <row r="3208" spans="28:30" x14ac:dyDescent="0.25">
      <c r="AB3208" s="207" t="s">
        <v>233</v>
      </c>
      <c r="AC3208" s="207" t="s">
        <v>3322</v>
      </c>
      <c r="AD3208" s="213">
        <v>3</v>
      </c>
    </row>
    <row r="3209" spans="28:30" x14ac:dyDescent="0.25">
      <c r="AB3209" s="207" t="s">
        <v>1953</v>
      </c>
      <c r="AC3209" s="207" t="s">
        <v>3323</v>
      </c>
      <c r="AD3209" s="213">
        <v>3</v>
      </c>
    </row>
    <row r="3210" spans="28:30" x14ac:dyDescent="0.25">
      <c r="AB3210" s="207" t="s">
        <v>233</v>
      </c>
      <c r="AC3210" s="207" t="s">
        <v>3324</v>
      </c>
      <c r="AD3210" s="213">
        <v>3</v>
      </c>
    </row>
    <row r="3211" spans="28:30" x14ac:dyDescent="0.25">
      <c r="AB3211" s="207" t="s">
        <v>227</v>
      </c>
      <c r="AC3211" s="207" t="s">
        <v>3325</v>
      </c>
      <c r="AD3211" s="213">
        <v>8</v>
      </c>
    </row>
    <row r="3212" spans="28:30" x14ac:dyDescent="0.25">
      <c r="AB3212" s="207" t="s">
        <v>373</v>
      </c>
      <c r="AC3212" s="207" t="s">
        <v>3326</v>
      </c>
      <c r="AD3212" s="213">
        <v>8</v>
      </c>
    </row>
    <row r="3213" spans="28:30" x14ac:dyDescent="0.25">
      <c r="AB3213" s="207" t="s">
        <v>249</v>
      </c>
      <c r="AC3213" s="207" t="s">
        <v>3327</v>
      </c>
      <c r="AD3213" s="213">
        <v>3</v>
      </c>
    </row>
    <row r="3214" spans="28:30" x14ac:dyDescent="0.25">
      <c r="AB3214" s="207" t="s">
        <v>249</v>
      </c>
      <c r="AC3214" s="207" t="s">
        <v>3328</v>
      </c>
      <c r="AD3214" s="213">
        <v>3</v>
      </c>
    </row>
    <row r="3215" spans="28:30" x14ac:dyDescent="0.25">
      <c r="AB3215" s="207" t="s">
        <v>233</v>
      </c>
      <c r="AC3215" s="207" t="s">
        <v>3329</v>
      </c>
      <c r="AD3215" s="213">
        <v>3</v>
      </c>
    </row>
    <row r="3216" spans="28:30" x14ac:dyDescent="0.25">
      <c r="AB3216" s="207" t="s">
        <v>249</v>
      </c>
      <c r="AC3216" s="207" t="s">
        <v>3330</v>
      </c>
      <c r="AD3216" s="213">
        <v>3</v>
      </c>
    </row>
    <row r="3217" spans="28:30" x14ac:dyDescent="0.25">
      <c r="AB3217" s="207" t="s">
        <v>227</v>
      </c>
      <c r="AC3217" s="207" t="s">
        <v>2081</v>
      </c>
      <c r="AD3217" s="213">
        <v>3</v>
      </c>
    </row>
    <row r="3218" spans="28:30" x14ac:dyDescent="0.25">
      <c r="AB3218" s="207" t="s">
        <v>233</v>
      </c>
      <c r="AC3218" s="207" t="s">
        <v>3331</v>
      </c>
      <c r="AD3218" s="213">
        <v>3</v>
      </c>
    </row>
    <row r="3219" spans="28:30" x14ac:dyDescent="0.25">
      <c r="AB3219" s="207" t="s">
        <v>233</v>
      </c>
      <c r="AC3219" s="207" t="s">
        <v>3332</v>
      </c>
      <c r="AD3219" s="213">
        <v>6</v>
      </c>
    </row>
    <row r="3220" spans="28:30" x14ac:dyDescent="0.25">
      <c r="AB3220" s="207" t="s">
        <v>233</v>
      </c>
      <c r="AC3220" s="207" t="s">
        <v>2973</v>
      </c>
      <c r="AD3220" s="213">
        <v>3</v>
      </c>
    </row>
    <row r="3221" spans="28:30" x14ac:dyDescent="0.25">
      <c r="AB3221" s="207" t="s">
        <v>233</v>
      </c>
      <c r="AC3221" s="207" t="s">
        <v>3333</v>
      </c>
      <c r="AD3221" s="213">
        <v>3</v>
      </c>
    </row>
    <row r="3222" spans="28:30" x14ac:dyDescent="0.25">
      <c r="AB3222" s="207" t="s">
        <v>233</v>
      </c>
      <c r="AC3222" s="207" t="s">
        <v>472</v>
      </c>
      <c r="AD3222" s="213">
        <v>6</v>
      </c>
    </row>
    <row r="3223" spans="28:30" x14ac:dyDescent="0.25">
      <c r="AB3223" s="207" t="s">
        <v>219</v>
      </c>
      <c r="AC3223" s="207" t="s">
        <v>3334</v>
      </c>
      <c r="AD3223" s="213">
        <v>5</v>
      </c>
    </row>
    <row r="3224" spans="28:30" x14ac:dyDescent="0.25">
      <c r="AB3224" s="207" t="s">
        <v>233</v>
      </c>
      <c r="AC3224" s="207" t="s">
        <v>3335</v>
      </c>
      <c r="AD3224" s="213">
        <v>3</v>
      </c>
    </row>
    <row r="3225" spans="28:30" x14ac:dyDescent="0.25">
      <c r="AB3225" s="207" t="s">
        <v>233</v>
      </c>
      <c r="AC3225" s="207" t="s">
        <v>3336</v>
      </c>
      <c r="AD3225" s="213">
        <v>3</v>
      </c>
    </row>
    <row r="3226" spans="28:30" x14ac:dyDescent="0.25">
      <c r="AB3226" s="207" t="s">
        <v>233</v>
      </c>
      <c r="AC3226" s="207" t="s">
        <v>3337</v>
      </c>
      <c r="AD3226" s="213">
        <v>3</v>
      </c>
    </row>
    <row r="3227" spans="28:30" x14ac:dyDescent="0.25">
      <c r="AB3227" s="207" t="s">
        <v>249</v>
      </c>
      <c r="AC3227" s="207" t="s">
        <v>3338</v>
      </c>
      <c r="AD3227" s="213">
        <v>3</v>
      </c>
    </row>
    <row r="3228" spans="28:30" x14ac:dyDescent="0.25">
      <c r="AB3228" s="207" t="s">
        <v>233</v>
      </c>
      <c r="AC3228" s="207" t="s">
        <v>3339</v>
      </c>
      <c r="AD3228" s="213">
        <v>6</v>
      </c>
    </row>
    <row r="3229" spans="28:30" x14ac:dyDescent="0.25">
      <c r="AB3229" s="207" t="s">
        <v>214</v>
      </c>
      <c r="AC3229" s="207" t="s">
        <v>3340</v>
      </c>
      <c r="AD3229" s="213">
        <v>2</v>
      </c>
    </row>
    <row r="3230" spans="28:30" x14ac:dyDescent="0.25">
      <c r="AB3230" s="207" t="s">
        <v>373</v>
      </c>
      <c r="AC3230" s="207" t="s">
        <v>3341</v>
      </c>
      <c r="AD3230" s="213">
        <v>7</v>
      </c>
    </row>
    <row r="3231" spans="28:30" x14ac:dyDescent="0.25">
      <c r="AB3231" s="207" t="s">
        <v>233</v>
      </c>
      <c r="AC3231" s="207" t="s">
        <v>3342</v>
      </c>
      <c r="AD3231" s="213">
        <v>6</v>
      </c>
    </row>
    <row r="3232" spans="28:30" x14ac:dyDescent="0.25">
      <c r="AB3232" s="207" t="s">
        <v>249</v>
      </c>
      <c r="AC3232" s="207" t="s">
        <v>3343</v>
      </c>
      <c r="AD3232" s="213">
        <v>2</v>
      </c>
    </row>
    <row r="3233" spans="28:30" x14ac:dyDescent="0.25">
      <c r="AB3233" s="207" t="s">
        <v>249</v>
      </c>
      <c r="AC3233" s="207" t="s">
        <v>3344</v>
      </c>
      <c r="AD3233" s="213">
        <v>3</v>
      </c>
    </row>
    <row r="3234" spans="28:30" x14ac:dyDescent="0.25">
      <c r="AB3234" s="207" t="s">
        <v>1953</v>
      </c>
      <c r="AC3234" s="207" t="s">
        <v>3345</v>
      </c>
      <c r="AD3234" s="213">
        <v>5</v>
      </c>
    </row>
    <row r="3235" spans="28:30" x14ac:dyDescent="0.25">
      <c r="AB3235" s="207" t="s">
        <v>1953</v>
      </c>
      <c r="AC3235" s="207" t="s">
        <v>3346</v>
      </c>
      <c r="AD3235" s="213">
        <v>6</v>
      </c>
    </row>
    <row r="3236" spans="28:30" x14ac:dyDescent="0.25">
      <c r="AB3236" s="207" t="s">
        <v>233</v>
      </c>
      <c r="AC3236" s="207" t="s">
        <v>3347</v>
      </c>
      <c r="AD3236" s="213">
        <v>2</v>
      </c>
    </row>
    <row r="3237" spans="28:30" x14ac:dyDescent="0.25">
      <c r="AB3237" s="207" t="s">
        <v>233</v>
      </c>
      <c r="AC3237" s="207" t="s">
        <v>3348</v>
      </c>
      <c r="AD3237" s="213">
        <v>3</v>
      </c>
    </row>
    <row r="3238" spans="28:30" x14ac:dyDescent="0.25">
      <c r="AB3238" s="207" t="s">
        <v>1953</v>
      </c>
      <c r="AC3238" s="207" t="s">
        <v>3349</v>
      </c>
      <c r="AD3238" s="213">
        <v>3</v>
      </c>
    </row>
    <row r="3239" spans="28:30" x14ac:dyDescent="0.25">
      <c r="AB3239" s="207" t="s">
        <v>233</v>
      </c>
      <c r="AC3239" s="207" t="s">
        <v>3350</v>
      </c>
      <c r="AD3239" s="213">
        <v>3</v>
      </c>
    </row>
    <row r="3240" spans="28:30" x14ac:dyDescent="0.25">
      <c r="AB3240" s="207" t="s">
        <v>233</v>
      </c>
      <c r="AC3240" s="207" t="s">
        <v>3351</v>
      </c>
      <c r="AD3240" s="213">
        <v>4</v>
      </c>
    </row>
    <row r="3241" spans="28:30" x14ac:dyDescent="0.25">
      <c r="AB3241" s="207" t="s">
        <v>233</v>
      </c>
      <c r="AC3241" s="207" t="s">
        <v>3352</v>
      </c>
      <c r="AD3241" s="213">
        <v>3</v>
      </c>
    </row>
    <row r="3242" spans="28:30" x14ac:dyDescent="0.25">
      <c r="AB3242" s="207" t="s">
        <v>233</v>
      </c>
      <c r="AC3242" s="207" t="s">
        <v>3353</v>
      </c>
      <c r="AD3242" s="213">
        <v>3</v>
      </c>
    </row>
    <row r="3243" spans="28:30" x14ac:dyDescent="0.25">
      <c r="AB3243" s="207" t="s">
        <v>233</v>
      </c>
      <c r="AC3243" s="207" t="s">
        <v>3354</v>
      </c>
      <c r="AD3243" s="213">
        <v>3</v>
      </c>
    </row>
    <row r="3244" spans="28:30" x14ac:dyDescent="0.25">
      <c r="AB3244" s="207" t="s">
        <v>233</v>
      </c>
      <c r="AC3244" s="207" t="s">
        <v>3355</v>
      </c>
      <c r="AD3244" s="213">
        <v>6</v>
      </c>
    </row>
    <row r="3245" spans="28:30" x14ac:dyDescent="0.25">
      <c r="AB3245" s="207" t="s">
        <v>233</v>
      </c>
      <c r="AC3245" s="207" t="s">
        <v>3356</v>
      </c>
      <c r="AD3245" s="213">
        <v>3</v>
      </c>
    </row>
    <row r="3246" spans="28:30" x14ac:dyDescent="0.25">
      <c r="AB3246" s="207" t="s">
        <v>233</v>
      </c>
      <c r="AC3246" s="207" t="s">
        <v>3357</v>
      </c>
      <c r="AD3246" s="213">
        <v>3</v>
      </c>
    </row>
    <row r="3247" spans="28:30" x14ac:dyDescent="0.25">
      <c r="AB3247" s="207" t="s">
        <v>233</v>
      </c>
      <c r="AC3247" s="207" t="s">
        <v>3358</v>
      </c>
      <c r="AD3247" s="213">
        <v>3</v>
      </c>
    </row>
    <row r="3248" spans="28:30" x14ac:dyDescent="0.25">
      <c r="AB3248" s="207" t="s">
        <v>249</v>
      </c>
      <c r="AC3248" s="207" t="s">
        <v>3359</v>
      </c>
      <c r="AD3248" s="213">
        <v>6</v>
      </c>
    </row>
    <row r="3249" spans="28:30" x14ac:dyDescent="0.25">
      <c r="AB3249" s="207" t="s">
        <v>233</v>
      </c>
      <c r="AC3249" s="207" t="s">
        <v>3360</v>
      </c>
      <c r="AD3249" s="213">
        <v>6</v>
      </c>
    </row>
    <row r="3250" spans="28:30" x14ac:dyDescent="0.25">
      <c r="AB3250" s="207" t="s">
        <v>233</v>
      </c>
      <c r="AC3250" s="207" t="s">
        <v>3361</v>
      </c>
      <c r="AD3250" s="213">
        <v>3</v>
      </c>
    </row>
    <row r="3251" spans="28:30" x14ac:dyDescent="0.25">
      <c r="AB3251" s="207" t="s">
        <v>233</v>
      </c>
      <c r="AC3251" s="207" t="s">
        <v>3362</v>
      </c>
      <c r="AD3251" s="213">
        <v>6</v>
      </c>
    </row>
    <row r="3252" spans="28:30" x14ac:dyDescent="0.25">
      <c r="AB3252" s="207" t="s">
        <v>233</v>
      </c>
      <c r="AC3252" s="207" t="s">
        <v>3363</v>
      </c>
      <c r="AD3252" s="213">
        <v>6</v>
      </c>
    </row>
    <row r="3253" spans="28:30" x14ac:dyDescent="0.25">
      <c r="AB3253" s="207" t="s">
        <v>249</v>
      </c>
      <c r="AC3253" s="207" t="s">
        <v>3364</v>
      </c>
      <c r="AD3253" s="213">
        <v>6</v>
      </c>
    </row>
    <row r="3254" spans="28:30" x14ac:dyDescent="0.25">
      <c r="AB3254" s="207" t="s">
        <v>233</v>
      </c>
      <c r="AC3254" s="207" t="s">
        <v>3365</v>
      </c>
      <c r="AD3254" s="213">
        <v>6</v>
      </c>
    </row>
    <row r="3255" spans="28:30" x14ac:dyDescent="0.25">
      <c r="AB3255" s="207" t="s">
        <v>233</v>
      </c>
      <c r="AC3255" s="207" t="s">
        <v>3366</v>
      </c>
      <c r="AD3255" s="213">
        <v>4</v>
      </c>
    </row>
    <row r="3256" spans="28:30" x14ac:dyDescent="0.25">
      <c r="AB3256" s="207" t="s">
        <v>233</v>
      </c>
      <c r="AC3256" s="207" t="s">
        <v>3367</v>
      </c>
      <c r="AD3256" s="213">
        <v>6</v>
      </c>
    </row>
    <row r="3257" spans="28:30" x14ac:dyDescent="0.25">
      <c r="AB3257" s="207" t="s">
        <v>233</v>
      </c>
      <c r="AC3257" s="207" t="s">
        <v>3368</v>
      </c>
      <c r="AD3257" s="213">
        <v>6</v>
      </c>
    </row>
    <row r="3258" spans="28:30" x14ac:dyDescent="0.25">
      <c r="AB3258" s="207" t="s">
        <v>233</v>
      </c>
      <c r="AC3258" s="207" t="s">
        <v>3369</v>
      </c>
      <c r="AD3258" s="213">
        <v>6</v>
      </c>
    </row>
    <row r="3259" spans="28:30" x14ac:dyDescent="0.25">
      <c r="AB3259" s="207" t="s">
        <v>233</v>
      </c>
      <c r="AC3259" s="207" t="s">
        <v>3370</v>
      </c>
      <c r="AD3259" s="213">
        <v>6</v>
      </c>
    </row>
    <row r="3260" spans="28:30" x14ac:dyDescent="0.25">
      <c r="AB3260" s="207" t="s">
        <v>233</v>
      </c>
      <c r="AC3260" s="207" t="s">
        <v>3371</v>
      </c>
      <c r="AD3260" s="213">
        <v>6</v>
      </c>
    </row>
    <row r="3261" spans="28:30" x14ac:dyDescent="0.25">
      <c r="AB3261" s="207" t="s">
        <v>233</v>
      </c>
      <c r="AC3261" s="207" t="s">
        <v>3372</v>
      </c>
      <c r="AD3261" s="213">
        <v>6</v>
      </c>
    </row>
    <row r="3262" spans="28:30" x14ac:dyDescent="0.25">
      <c r="AB3262" s="207" t="s">
        <v>233</v>
      </c>
      <c r="AC3262" s="207" t="s">
        <v>3373</v>
      </c>
      <c r="AD3262" s="213">
        <v>6</v>
      </c>
    </row>
    <row r="3263" spans="28:30" x14ac:dyDescent="0.25">
      <c r="AB3263" s="207" t="s">
        <v>233</v>
      </c>
      <c r="AC3263" s="207" t="s">
        <v>3374</v>
      </c>
      <c r="AD3263" s="213">
        <v>6</v>
      </c>
    </row>
    <row r="3264" spans="28:30" x14ac:dyDescent="0.25">
      <c r="AB3264" s="207" t="s">
        <v>233</v>
      </c>
      <c r="AC3264" s="207" t="s">
        <v>3375</v>
      </c>
      <c r="AD3264" s="213">
        <v>3</v>
      </c>
    </row>
    <row r="3265" spans="28:30" x14ac:dyDescent="0.25">
      <c r="AB3265" s="207" t="s">
        <v>233</v>
      </c>
      <c r="AC3265" s="207" t="s">
        <v>3376</v>
      </c>
      <c r="AD3265" s="213">
        <v>6</v>
      </c>
    </row>
    <row r="3266" spans="28:30" x14ac:dyDescent="0.25">
      <c r="AB3266" s="207" t="s">
        <v>233</v>
      </c>
      <c r="AC3266" s="207" t="s">
        <v>3377</v>
      </c>
      <c r="AD3266" s="213">
        <v>4</v>
      </c>
    </row>
    <row r="3267" spans="28:30" x14ac:dyDescent="0.25">
      <c r="AB3267" s="207" t="s">
        <v>233</v>
      </c>
      <c r="AC3267" s="207" t="s">
        <v>3378</v>
      </c>
      <c r="AD3267" s="213">
        <v>4</v>
      </c>
    </row>
    <row r="3268" spans="28:30" x14ac:dyDescent="0.25">
      <c r="AB3268" s="207" t="s">
        <v>207</v>
      </c>
      <c r="AC3268" s="207" t="s">
        <v>3379</v>
      </c>
      <c r="AD3268" s="213">
        <v>2</v>
      </c>
    </row>
    <row r="3269" spans="28:30" x14ac:dyDescent="0.25">
      <c r="AB3269" s="207" t="s">
        <v>214</v>
      </c>
      <c r="AC3269" s="207" t="s">
        <v>3380</v>
      </c>
      <c r="AD3269" s="213">
        <v>3</v>
      </c>
    </row>
    <row r="3270" spans="28:30" x14ac:dyDescent="0.25">
      <c r="AB3270" s="207" t="s">
        <v>214</v>
      </c>
      <c r="AC3270" s="207" t="s">
        <v>3381</v>
      </c>
      <c r="AD3270" s="213">
        <v>3</v>
      </c>
    </row>
    <row r="3271" spans="28:30" x14ac:dyDescent="0.25">
      <c r="AB3271" s="207" t="s">
        <v>214</v>
      </c>
      <c r="AC3271" s="207" t="s">
        <v>3382</v>
      </c>
      <c r="AD3271" s="213">
        <v>3</v>
      </c>
    </row>
    <row r="3272" spans="28:30" x14ac:dyDescent="0.25">
      <c r="AB3272" s="207" t="s">
        <v>219</v>
      </c>
      <c r="AC3272" s="207" t="s">
        <v>3383</v>
      </c>
      <c r="AD3272" s="213">
        <v>8</v>
      </c>
    </row>
    <row r="3273" spans="28:30" x14ac:dyDescent="0.25">
      <c r="AB3273" s="207" t="s">
        <v>214</v>
      </c>
      <c r="AC3273" s="207" t="s">
        <v>3384</v>
      </c>
      <c r="AD3273" s="213">
        <v>3</v>
      </c>
    </row>
    <row r="3274" spans="28:30" x14ac:dyDescent="0.25">
      <c r="AB3274" s="207" t="s">
        <v>207</v>
      </c>
      <c r="AC3274" s="207" t="s">
        <v>3385</v>
      </c>
      <c r="AD3274" s="213">
        <v>3</v>
      </c>
    </row>
    <row r="3275" spans="28:30" x14ac:dyDescent="0.25">
      <c r="AB3275" s="207" t="s">
        <v>214</v>
      </c>
      <c r="AC3275" s="207" t="s">
        <v>3386</v>
      </c>
      <c r="AD3275" s="213">
        <v>3</v>
      </c>
    </row>
    <row r="3276" spans="28:30" x14ac:dyDescent="0.25">
      <c r="AB3276" s="207" t="s">
        <v>214</v>
      </c>
      <c r="AC3276" s="207" t="s">
        <v>3387</v>
      </c>
      <c r="AD3276" s="213">
        <v>3</v>
      </c>
    </row>
    <row r="3277" spans="28:30" x14ac:dyDescent="0.25">
      <c r="AB3277" s="207" t="s">
        <v>214</v>
      </c>
      <c r="AC3277" s="207" t="s">
        <v>3388</v>
      </c>
      <c r="AD3277" s="213">
        <v>3</v>
      </c>
    </row>
    <row r="3278" spans="28:30" x14ac:dyDescent="0.25">
      <c r="AB3278" s="207" t="s">
        <v>214</v>
      </c>
      <c r="AC3278" s="207" t="s">
        <v>3389</v>
      </c>
      <c r="AD3278" s="213">
        <v>3</v>
      </c>
    </row>
    <row r="3279" spans="28:30" x14ac:dyDescent="0.25">
      <c r="AB3279" s="207" t="s">
        <v>214</v>
      </c>
      <c r="AC3279" s="207" t="s">
        <v>3390</v>
      </c>
      <c r="AD3279" s="213">
        <v>3</v>
      </c>
    </row>
    <row r="3280" spans="28:30" x14ac:dyDescent="0.25">
      <c r="AB3280" s="207" t="s">
        <v>214</v>
      </c>
      <c r="AC3280" s="207" t="s">
        <v>3391</v>
      </c>
      <c r="AD3280" s="213">
        <v>3</v>
      </c>
    </row>
    <row r="3281" spans="28:30" x14ac:dyDescent="0.25">
      <c r="AB3281" s="207" t="s">
        <v>207</v>
      </c>
      <c r="AC3281" s="207" t="s">
        <v>3392</v>
      </c>
      <c r="AD3281" s="213">
        <v>2</v>
      </c>
    </row>
    <row r="3282" spans="28:30" x14ac:dyDescent="0.25">
      <c r="AB3282" s="207" t="s">
        <v>214</v>
      </c>
      <c r="AC3282" s="207" t="s">
        <v>3393</v>
      </c>
      <c r="AD3282" s="213">
        <v>3</v>
      </c>
    </row>
    <row r="3283" spans="28:30" x14ac:dyDescent="0.25">
      <c r="AB3283" s="207" t="s">
        <v>207</v>
      </c>
      <c r="AC3283" s="207" t="s">
        <v>3394</v>
      </c>
      <c r="AD3283" s="213">
        <v>2</v>
      </c>
    </row>
    <row r="3284" spans="28:30" x14ac:dyDescent="0.25">
      <c r="AB3284" s="207" t="s">
        <v>214</v>
      </c>
      <c r="AC3284" s="207" t="s">
        <v>3395</v>
      </c>
      <c r="AD3284" s="213">
        <v>3</v>
      </c>
    </row>
    <row r="3285" spans="28:30" x14ac:dyDescent="0.25">
      <c r="AB3285" s="207" t="s">
        <v>207</v>
      </c>
      <c r="AC3285" s="207" t="s">
        <v>3396</v>
      </c>
      <c r="AD3285" s="213">
        <v>2</v>
      </c>
    </row>
    <row r="3286" spans="28:30" x14ac:dyDescent="0.25">
      <c r="AB3286" s="207" t="s">
        <v>27</v>
      </c>
      <c r="AC3286" s="207" t="s">
        <v>3397</v>
      </c>
      <c r="AD3286" s="213">
        <v>2</v>
      </c>
    </row>
    <row r="3287" spans="28:30" x14ac:dyDescent="0.25">
      <c r="AB3287" s="207" t="s">
        <v>214</v>
      </c>
      <c r="AC3287" s="207" t="s">
        <v>3398</v>
      </c>
      <c r="AD3287" s="213">
        <v>3</v>
      </c>
    </row>
    <row r="3288" spans="28:30" x14ac:dyDescent="0.25">
      <c r="AB3288" s="207" t="s">
        <v>214</v>
      </c>
      <c r="AC3288" s="207" t="s">
        <v>3399</v>
      </c>
      <c r="AD3288" s="213">
        <v>3</v>
      </c>
    </row>
    <row r="3289" spans="28:30" x14ac:dyDescent="0.25">
      <c r="AB3289" s="207" t="s">
        <v>27</v>
      </c>
      <c r="AC3289" s="207" t="s">
        <v>3400</v>
      </c>
      <c r="AD3289" s="213">
        <v>2</v>
      </c>
    </row>
    <row r="3290" spans="28:30" x14ac:dyDescent="0.25">
      <c r="AB3290" s="207" t="s">
        <v>214</v>
      </c>
      <c r="AC3290" s="207" t="s">
        <v>3401</v>
      </c>
      <c r="AD3290" s="213">
        <v>2</v>
      </c>
    </row>
    <row r="3291" spans="28:30" x14ac:dyDescent="0.25">
      <c r="AB3291" s="207" t="s">
        <v>214</v>
      </c>
      <c r="AC3291" s="207" t="s">
        <v>3402</v>
      </c>
      <c r="AD3291" s="213">
        <v>3</v>
      </c>
    </row>
    <row r="3292" spans="28:30" x14ac:dyDescent="0.25">
      <c r="AB3292" s="207" t="s">
        <v>214</v>
      </c>
      <c r="AC3292" s="207" t="s">
        <v>3403</v>
      </c>
      <c r="AD3292" s="213">
        <v>3</v>
      </c>
    </row>
    <row r="3293" spans="28:30" x14ac:dyDescent="0.25">
      <c r="AB3293" s="207" t="s">
        <v>214</v>
      </c>
      <c r="AC3293" s="207" t="s">
        <v>3404</v>
      </c>
      <c r="AD3293" s="213">
        <v>3</v>
      </c>
    </row>
    <row r="3294" spans="28:30" x14ac:dyDescent="0.25">
      <c r="AB3294" s="207" t="s">
        <v>214</v>
      </c>
      <c r="AC3294" s="207" t="s">
        <v>3405</v>
      </c>
      <c r="AD3294" s="213">
        <v>2</v>
      </c>
    </row>
    <row r="3295" spans="28:30" x14ac:dyDescent="0.25">
      <c r="AB3295" s="207" t="s">
        <v>214</v>
      </c>
      <c r="AC3295" s="207" t="s">
        <v>3406</v>
      </c>
      <c r="AD3295" s="213">
        <v>3</v>
      </c>
    </row>
    <row r="3296" spans="28:30" x14ac:dyDescent="0.25">
      <c r="AB3296" s="207" t="s">
        <v>214</v>
      </c>
      <c r="AC3296" s="207" t="s">
        <v>3407</v>
      </c>
      <c r="AD3296" s="213">
        <v>4</v>
      </c>
    </row>
    <row r="3297" spans="28:30" x14ac:dyDescent="0.25">
      <c r="AB3297" s="207" t="s">
        <v>214</v>
      </c>
      <c r="AC3297" s="207" t="s">
        <v>2384</v>
      </c>
      <c r="AD3297" s="213">
        <v>3</v>
      </c>
    </row>
    <row r="3298" spans="28:30" x14ac:dyDescent="0.25">
      <c r="AB3298" s="207" t="s">
        <v>214</v>
      </c>
      <c r="AC3298" s="207" t="s">
        <v>3408</v>
      </c>
      <c r="AD3298" s="213">
        <v>3</v>
      </c>
    </row>
    <row r="3299" spans="28:30" x14ac:dyDescent="0.25">
      <c r="AB3299" s="207" t="s">
        <v>214</v>
      </c>
      <c r="AC3299" s="207" t="s">
        <v>3409</v>
      </c>
      <c r="AD3299" s="213">
        <v>3</v>
      </c>
    </row>
    <row r="3300" spans="28:30" x14ac:dyDescent="0.25">
      <c r="AB3300" s="207" t="s">
        <v>214</v>
      </c>
      <c r="AC3300" s="207" t="s">
        <v>3410</v>
      </c>
      <c r="AD3300" s="213">
        <v>3</v>
      </c>
    </row>
    <row r="3301" spans="28:30" x14ac:dyDescent="0.25">
      <c r="AB3301" s="207" t="s">
        <v>214</v>
      </c>
      <c r="AC3301" s="207" t="s">
        <v>3411</v>
      </c>
      <c r="AD3301" s="213">
        <v>3</v>
      </c>
    </row>
    <row r="3302" spans="28:30" x14ac:dyDescent="0.25">
      <c r="AB3302" s="207" t="s">
        <v>214</v>
      </c>
      <c r="AC3302" s="207" t="s">
        <v>3412</v>
      </c>
      <c r="AD3302" s="213">
        <v>2</v>
      </c>
    </row>
    <row r="3303" spans="28:30" x14ac:dyDescent="0.25">
      <c r="AB3303" s="207" t="s">
        <v>214</v>
      </c>
      <c r="AC3303" s="207" t="s">
        <v>3413</v>
      </c>
      <c r="AD3303" s="213">
        <v>3</v>
      </c>
    </row>
    <row r="3304" spans="28:30" x14ac:dyDescent="0.25">
      <c r="AB3304" s="207" t="s">
        <v>214</v>
      </c>
      <c r="AC3304" s="207" t="s">
        <v>3414</v>
      </c>
      <c r="AD3304" s="213">
        <v>3</v>
      </c>
    </row>
    <row r="3305" spans="28:30" x14ac:dyDescent="0.25">
      <c r="AB3305" s="207" t="s">
        <v>249</v>
      </c>
      <c r="AC3305" s="207" t="s">
        <v>3415</v>
      </c>
      <c r="AD3305" s="213">
        <v>3</v>
      </c>
    </row>
    <row r="3306" spans="28:30" x14ac:dyDescent="0.25">
      <c r="AB3306" s="207" t="s">
        <v>214</v>
      </c>
      <c r="AC3306" s="207" t="s">
        <v>5872</v>
      </c>
      <c r="AD3306" s="213">
        <v>2</v>
      </c>
    </row>
    <row r="3307" spans="28:30" x14ac:dyDescent="0.25">
      <c r="AB3307" s="207" t="s">
        <v>227</v>
      </c>
      <c r="AC3307" s="207" t="s">
        <v>3416</v>
      </c>
      <c r="AD3307" s="213">
        <v>3</v>
      </c>
    </row>
    <row r="3308" spans="28:30" x14ac:dyDescent="0.25">
      <c r="AB3308" s="207" t="s">
        <v>233</v>
      </c>
      <c r="AC3308" s="207" t="s">
        <v>3417</v>
      </c>
      <c r="AD3308" s="213">
        <v>3</v>
      </c>
    </row>
    <row r="3309" spans="28:30" x14ac:dyDescent="0.25">
      <c r="AB3309" s="207" t="s">
        <v>214</v>
      </c>
      <c r="AC3309" s="207" t="s">
        <v>3418</v>
      </c>
      <c r="AD3309" s="213">
        <v>2</v>
      </c>
    </row>
    <row r="3310" spans="28:30" x14ac:dyDescent="0.25">
      <c r="AB3310" s="207" t="s">
        <v>249</v>
      </c>
      <c r="AC3310" s="207" t="s">
        <v>3419</v>
      </c>
      <c r="AD3310" s="213">
        <v>3</v>
      </c>
    </row>
    <row r="3311" spans="28:30" x14ac:dyDescent="0.25">
      <c r="AB3311" s="207" t="s">
        <v>214</v>
      </c>
      <c r="AC3311" s="207" t="s">
        <v>3420</v>
      </c>
      <c r="AD3311" s="213">
        <v>3</v>
      </c>
    </row>
    <row r="3312" spans="28:30" x14ac:dyDescent="0.25">
      <c r="AB3312" s="207" t="s">
        <v>233</v>
      </c>
      <c r="AC3312" s="207" t="s">
        <v>3421</v>
      </c>
      <c r="AD3312" s="213">
        <v>3</v>
      </c>
    </row>
    <row r="3313" spans="28:30" x14ac:dyDescent="0.25">
      <c r="AB3313" s="207" t="s">
        <v>214</v>
      </c>
      <c r="AC3313" s="207" t="s">
        <v>2139</v>
      </c>
      <c r="AD3313" s="213">
        <v>3</v>
      </c>
    </row>
    <row r="3314" spans="28:30" x14ac:dyDescent="0.25">
      <c r="AB3314" s="207" t="s">
        <v>249</v>
      </c>
      <c r="AC3314" s="207" t="s">
        <v>3422</v>
      </c>
      <c r="AD3314" s="213">
        <v>3</v>
      </c>
    </row>
    <row r="3315" spans="28:30" x14ac:dyDescent="0.25">
      <c r="AB3315" s="207" t="s">
        <v>214</v>
      </c>
      <c r="AC3315" s="207" t="s">
        <v>3423</v>
      </c>
      <c r="AD3315" s="213">
        <v>3</v>
      </c>
    </row>
    <row r="3316" spans="28:30" x14ac:dyDescent="0.25">
      <c r="AB3316" s="207" t="s">
        <v>1953</v>
      </c>
      <c r="AC3316" s="207" t="s">
        <v>3424</v>
      </c>
      <c r="AD3316" s="213">
        <v>3</v>
      </c>
    </row>
    <row r="3317" spans="28:30" x14ac:dyDescent="0.25">
      <c r="AB3317" s="207" t="s">
        <v>233</v>
      </c>
      <c r="AC3317" s="207" t="s">
        <v>3425</v>
      </c>
      <c r="AD3317" s="213">
        <v>3</v>
      </c>
    </row>
    <row r="3318" spans="28:30" x14ac:dyDescent="0.25">
      <c r="AB3318" s="207" t="s">
        <v>227</v>
      </c>
      <c r="AC3318" s="207" t="s">
        <v>3426</v>
      </c>
      <c r="AD3318" s="213">
        <v>3</v>
      </c>
    </row>
    <row r="3319" spans="28:30" x14ac:dyDescent="0.25">
      <c r="AB3319" s="207" t="s">
        <v>214</v>
      </c>
      <c r="AC3319" s="207" t="s">
        <v>3427</v>
      </c>
      <c r="AD3319" s="213">
        <v>3</v>
      </c>
    </row>
    <row r="3320" spans="28:30" x14ac:dyDescent="0.25">
      <c r="AB3320" s="207" t="s">
        <v>214</v>
      </c>
      <c r="AC3320" s="207" t="s">
        <v>3428</v>
      </c>
      <c r="AD3320" s="213">
        <v>3</v>
      </c>
    </row>
    <row r="3321" spans="28:30" x14ac:dyDescent="0.25">
      <c r="AB3321" s="207" t="s">
        <v>233</v>
      </c>
      <c r="AC3321" s="207" t="s">
        <v>3429</v>
      </c>
      <c r="AD3321" s="213">
        <v>3</v>
      </c>
    </row>
    <row r="3322" spans="28:30" x14ac:dyDescent="0.25">
      <c r="AB3322" s="207" t="s">
        <v>233</v>
      </c>
      <c r="AC3322" s="207" t="s">
        <v>3430</v>
      </c>
      <c r="AD3322" s="213">
        <v>3</v>
      </c>
    </row>
    <row r="3323" spans="28:30" x14ac:dyDescent="0.25">
      <c r="AB3323" s="207" t="s">
        <v>233</v>
      </c>
      <c r="AC3323" s="207" t="s">
        <v>3431</v>
      </c>
      <c r="AD3323" s="213">
        <v>3</v>
      </c>
    </row>
    <row r="3324" spans="28:30" x14ac:dyDescent="0.25">
      <c r="AB3324" s="207" t="s">
        <v>214</v>
      </c>
      <c r="AC3324" s="207" t="s">
        <v>3432</v>
      </c>
      <c r="AD3324" s="213">
        <v>3</v>
      </c>
    </row>
    <row r="3325" spans="28:30" x14ac:dyDescent="0.25">
      <c r="AB3325" s="207" t="s">
        <v>214</v>
      </c>
      <c r="AC3325" s="207" t="s">
        <v>3433</v>
      </c>
      <c r="AD3325" s="213">
        <v>3</v>
      </c>
    </row>
    <row r="3326" spans="28:30" x14ac:dyDescent="0.25">
      <c r="AB3326" s="207" t="s">
        <v>214</v>
      </c>
      <c r="AC3326" s="207" t="s">
        <v>3434</v>
      </c>
      <c r="AD3326" s="213">
        <v>3</v>
      </c>
    </row>
    <row r="3327" spans="28:30" x14ac:dyDescent="0.25">
      <c r="AB3327" s="207" t="s">
        <v>233</v>
      </c>
      <c r="AC3327" s="207" t="s">
        <v>3435</v>
      </c>
      <c r="AD3327" s="213">
        <v>2</v>
      </c>
    </row>
    <row r="3328" spans="28:30" x14ac:dyDescent="0.25">
      <c r="AB3328" s="207" t="s">
        <v>219</v>
      </c>
      <c r="AC3328" s="207" t="s">
        <v>3436</v>
      </c>
      <c r="AD3328" s="213">
        <v>5</v>
      </c>
    </row>
    <row r="3329" spans="28:30" x14ac:dyDescent="0.25">
      <c r="AB3329" s="207" t="s">
        <v>214</v>
      </c>
      <c r="AC3329" s="207" t="s">
        <v>3437</v>
      </c>
      <c r="AD3329" s="213">
        <v>3</v>
      </c>
    </row>
    <row r="3330" spans="28:30" x14ac:dyDescent="0.25">
      <c r="AB3330" s="207" t="s">
        <v>249</v>
      </c>
      <c r="AC3330" s="207" t="s">
        <v>3438</v>
      </c>
      <c r="AD3330" s="213">
        <v>5</v>
      </c>
    </row>
    <row r="3331" spans="28:30" x14ac:dyDescent="0.25">
      <c r="AB3331" s="207" t="s">
        <v>214</v>
      </c>
      <c r="AC3331" s="207" t="s">
        <v>2675</v>
      </c>
      <c r="AD3331" s="213">
        <v>3</v>
      </c>
    </row>
    <row r="3332" spans="28:30" x14ac:dyDescent="0.25">
      <c r="AB3332" s="207" t="s">
        <v>233</v>
      </c>
      <c r="AC3332" s="207" t="s">
        <v>3439</v>
      </c>
      <c r="AD3332" s="213">
        <v>3</v>
      </c>
    </row>
    <row r="3333" spans="28:30" x14ac:dyDescent="0.25">
      <c r="AB3333" s="207" t="s">
        <v>1953</v>
      </c>
      <c r="AC3333" s="207" t="s">
        <v>3440</v>
      </c>
      <c r="AD3333" s="213">
        <v>3</v>
      </c>
    </row>
    <row r="3334" spans="28:30" x14ac:dyDescent="0.25">
      <c r="AB3334" s="207" t="s">
        <v>233</v>
      </c>
      <c r="AC3334" s="207" t="s">
        <v>3441</v>
      </c>
      <c r="AD3334" s="213">
        <v>3</v>
      </c>
    </row>
    <row r="3335" spans="28:30" x14ac:dyDescent="0.25">
      <c r="AB3335" s="207" t="s">
        <v>227</v>
      </c>
      <c r="AC3335" s="207" t="s">
        <v>3442</v>
      </c>
      <c r="AD3335" s="213">
        <v>3</v>
      </c>
    </row>
    <row r="3336" spans="28:30" x14ac:dyDescent="0.25">
      <c r="AB3336" s="207" t="s">
        <v>233</v>
      </c>
      <c r="AC3336" s="207" t="s">
        <v>3443</v>
      </c>
      <c r="AD3336" s="213">
        <v>3</v>
      </c>
    </row>
    <row r="3337" spans="28:30" x14ac:dyDescent="0.25">
      <c r="AB3337" s="207" t="s">
        <v>233</v>
      </c>
      <c r="AC3337" s="207" t="s">
        <v>3444</v>
      </c>
      <c r="AD3337" s="213">
        <v>2</v>
      </c>
    </row>
    <row r="3338" spans="28:30" x14ac:dyDescent="0.25">
      <c r="AB3338" s="207" t="s">
        <v>233</v>
      </c>
      <c r="AC3338" s="207" t="s">
        <v>3445</v>
      </c>
      <c r="AD3338" s="213">
        <v>2</v>
      </c>
    </row>
    <row r="3339" spans="28:30" x14ac:dyDescent="0.25">
      <c r="AB3339" s="207" t="s">
        <v>233</v>
      </c>
      <c r="AC3339" s="207" t="s">
        <v>3446</v>
      </c>
      <c r="AD3339" s="213">
        <v>2</v>
      </c>
    </row>
    <row r="3340" spans="28:30" x14ac:dyDescent="0.25">
      <c r="AB3340" s="207" t="s">
        <v>249</v>
      </c>
      <c r="AC3340" s="207" t="s">
        <v>3447</v>
      </c>
      <c r="AD3340" s="213">
        <v>5</v>
      </c>
    </row>
    <row r="3341" spans="28:30" x14ac:dyDescent="0.25">
      <c r="AB3341" s="207" t="s">
        <v>233</v>
      </c>
      <c r="AC3341" s="207" t="s">
        <v>3448</v>
      </c>
      <c r="AD3341" s="213">
        <v>3</v>
      </c>
    </row>
    <row r="3342" spans="28:30" x14ac:dyDescent="0.25">
      <c r="AB3342" s="207" t="s">
        <v>233</v>
      </c>
      <c r="AC3342" s="207" t="s">
        <v>3449</v>
      </c>
      <c r="AD3342" s="213">
        <v>6</v>
      </c>
    </row>
    <row r="3343" spans="28:30" x14ac:dyDescent="0.25">
      <c r="AB3343" s="207" t="s">
        <v>233</v>
      </c>
      <c r="AC3343" s="207" t="s">
        <v>3450</v>
      </c>
      <c r="AD3343" s="213">
        <v>2</v>
      </c>
    </row>
    <row r="3344" spans="28:30" x14ac:dyDescent="0.25">
      <c r="AB3344" s="207" t="s">
        <v>233</v>
      </c>
      <c r="AC3344" s="207" t="s">
        <v>3451</v>
      </c>
      <c r="AD3344" s="213">
        <v>3</v>
      </c>
    </row>
    <row r="3345" spans="28:30" x14ac:dyDescent="0.25">
      <c r="AB3345" s="207" t="s">
        <v>214</v>
      </c>
      <c r="AC3345" s="207" t="s">
        <v>3452</v>
      </c>
      <c r="AD3345" s="213">
        <v>3</v>
      </c>
    </row>
    <row r="3346" spans="28:30" x14ac:dyDescent="0.25">
      <c r="AB3346" s="207" t="s">
        <v>233</v>
      </c>
      <c r="AC3346" s="207" t="s">
        <v>1169</v>
      </c>
      <c r="AD3346" s="213">
        <v>3</v>
      </c>
    </row>
    <row r="3347" spans="28:30" x14ac:dyDescent="0.25">
      <c r="AB3347" s="207" t="s">
        <v>233</v>
      </c>
      <c r="AC3347" s="207" t="s">
        <v>3453</v>
      </c>
      <c r="AD3347" s="213">
        <v>3</v>
      </c>
    </row>
    <row r="3348" spans="28:30" x14ac:dyDescent="0.25">
      <c r="AB3348" s="207" t="s">
        <v>214</v>
      </c>
      <c r="AC3348" s="207" t="s">
        <v>3454</v>
      </c>
      <c r="AD3348" s="213">
        <v>3</v>
      </c>
    </row>
    <row r="3349" spans="28:30" x14ac:dyDescent="0.25">
      <c r="AB3349" s="207" t="s">
        <v>233</v>
      </c>
      <c r="AC3349" s="207" t="s">
        <v>3455</v>
      </c>
      <c r="AD3349" s="213">
        <v>4</v>
      </c>
    </row>
    <row r="3350" spans="28:30" x14ac:dyDescent="0.25">
      <c r="AB3350" s="207" t="s">
        <v>233</v>
      </c>
      <c r="AC3350" s="207" t="s">
        <v>3456</v>
      </c>
      <c r="AD3350" s="213">
        <v>3</v>
      </c>
    </row>
    <row r="3351" spans="28:30" x14ac:dyDescent="0.25">
      <c r="AB3351" s="207" t="s">
        <v>219</v>
      </c>
      <c r="AC3351" s="207" t="s">
        <v>3457</v>
      </c>
      <c r="AD3351" s="213">
        <v>8</v>
      </c>
    </row>
    <row r="3352" spans="28:30" x14ac:dyDescent="0.25">
      <c r="AB3352" s="207" t="s">
        <v>233</v>
      </c>
      <c r="AC3352" s="207" t="s">
        <v>3458</v>
      </c>
      <c r="AD3352" s="213">
        <v>3</v>
      </c>
    </row>
    <row r="3353" spans="28:30" x14ac:dyDescent="0.25">
      <c r="AB3353" s="207" t="s">
        <v>214</v>
      </c>
      <c r="AC3353" s="207" t="s">
        <v>3459</v>
      </c>
      <c r="AD3353" s="213">
        <v>3</v>
      </c>
    </row>
    <row r="3354" spans="28:30" x14ac:dyDescent="0.25">
      <c r="AB3354" s="207" t="s">
        <v>233</v>
      </c>
      <c r="AC3354" s="207" t="s">
        <v>3460</v>
      </c>
      <c r="AD3354" s="213">
        <v>3</v>
      </c>
    </row>
    <row r="3355" spans="28:30" x14ac:dyDescent="0.25">
      <c r="AB3355" s="207" t="s">
        <v>233</v>
      </c>
      <c r="AC3355" s="207" t="s">
        <v>3461</v>
      </c>
      <c r="AD3355" s="213">
        <v>2</v>
      </c>
    </row>
    <row r="3356" spans="28:30" x14ac:dyDescent="0.25">
      <c r="AB3356" s="207" t="s">
        <v>233</v>
      </c>
      <c r="AC3356" s="207" t="s">
        <v>3462</v>
      </c>
      <c r="AD3356" s="213">
        <v>6</v>
      </c>
    </row>
    <row r="3357" spans="28:30" x14ac:dyDescent="0.25">
      <c r="AB3357" s="207" t="s">
        <v>233</v>
      </c>
      <c r="AC3357" s="207" t="s">
        <v>3442</v>
      </c>
      <c r="AD3357" s="213">
        <v>4</v>
      </c>
    </row>
    <row r="3358" spans="28:30" x14ac:dyDescent="0.25">
      <c r="AB3358" s="207" t="s">
        <v>249</v>
      </c>
      <c r="AC3358" s="207" t="s">
        <v>3463</v>
      </c>
      <c r="AD3358" s="213">
        <v>3</v>
      </c>
    </row>
    <row r="3359" spans="28:30" x14ac:dyDescent="0.25">
      <c r="AB3359" s="207" t="s">
        <v>233</v>
      </c>
      <c r="AC3359" s="207" t="s">
        <v>3464</v>
      </c>
      <c r="AD3359" s="213">
        <v>4</v>
      </c>
    </row>
    <row r="3360" spans="28:30" x14ac:dyDescent="0.25">
      <c r="AB3360" s="207" t="s">
        <v>233</v>
      </c>
      <c r="AC3360" s="207" t="s">
        <v>3465</v>
      </c>
      <c r="AD3360" s="213">
        <v>3</v>
      </c>
    </row>
    <row r="3361" spans="28:30" x14ac:dyDescent="0.25">
      <c r="AB3361" s="207" t="s">
        <v>214</v>
      </c>
      <c r="AC3361" s="207" t="s">
        <v>3466</v>
      </c>
      <c r="AD3361" s="213">
        <v>3</v>
      </c>
    </row>
    <row r="3362" spans="28:30" x14ac:dyDescent="0.25">
      <c r="AB3362" s="207" t="s">
        <v>233</v>
      </c>
      <c r="AC3362" s="207" t="s">
        <v>3467</v>
      </c>
      <c r="AD3362" s="213">
        <v>6</v>
      </c>
    </row>
    <row r="3363" spans="28:30" x14ac:dyDescent="0.25">
      <c r="AB3363" s="207" t="s">
        <v>249</v>
      </c>
      <c r="AC3363" s="207" t="s">
        <v>600</v>
      </c>
      <c r="AD3363" s="213">
        <v>3</v>
      </c>
    </row>
    <row r="3364" spans="28:30" x14ac:dyDescent="0.25">
      <c r="AB3364" s="207" t="s">
        <v>249</v>
      </c>
      <c r="AC3364" s="207" t="s">
        <v>3468</v>
      </c>
      <c r="AD3364" s="213">
        <v>5</v>
      </c>
    </row>
    <row r="3365" spans="28:30" x14ac:dyDescent="0.25">
      <c r="AB3365" s="207" t="s">
        <v>233</v>
      </c>
      <c r="AC3365" s="207" t="s">
        <v>5873</v>
      </c>
      <c r="AD3365" s="213">
        <v>3</v>
      </c>
    </row>
    <row r="3366" spans="28:30" x14ac:dyDescent="0.25">
      <c r="AB3366" s="207" t="s">
        <v>233</v>
      </c>
      <c r="AC3366" s="207" t="s">
        <v>3469</v>
      </c>
      <c r="AD3366" s="213">
        <v>3</v>
      </c>
    </row>
    <row r="3367" spans="28:30" x14ac:dyDescent="0.25">
      <c r="AB3367" s="207" t="s">
        <v>233</v>
      </c>
      <c r="AC3367" s="207" t="s">
        <v>3470</v>
      </c>
      <c r="AD3367" s="213">
        <v>3</v>
      </c>
    </row>
    <row r="3368" spans="28:30" x14ac:dyDescent="0.25">
      <c r="AB3368" s="207" t="s">
        <v>249</v>
      </c>
      <c r="AC3368" s="207" t="s">
        <v>5874</v>
      </c>
      <c r="AD3368" s="213">
        <v>5</v>
      </c>
    </row>
    <row r="3369" spans="28:30" x14ac:dyDescent="0.25">
      <c r="AB3369" s="207" t="s">
        <v>227</v>
      </c>
      <c r="AC3369" s="207" t="s">
        <v>3471</v>
      </c>
      <c r="AD3369" s="213">
        <v>3</v>
      </c>
    </row>
    <row r="3370" spans="28:30" x14ac:dyDescent="0.25">
      <c r="AB3370" s="207" t="s">
        <v>227</v>
      </c>
      <c r="AC3370" s="207" t="s">
        <v>3472</v>
      </c>
      <c r="AD3370" s="213">
        <v>3</v>
      </c>
    </row>
    <row r="3371" spans="28:30" x14ac:dyDescent="0.25">
      <c r="AB3371" s="207" t="s">
        <v>233</v>
      </c>
      <c r="AC3371" s="207" t="s">
        <v>3473</v>
      </c>
      <c r="AD3371" s="213">
        <v>5</v>
      </c>
    </row>
    <row r="3372" spans="28:30" x14ac:dyDescent="0.25">
      <c r="AB3372" s="207" t="s">
        <v>249</v>
      </c>
      <c r="AC3372" s="207" t="s">
        <v>3474</v>
      </c>
      <c r="AD3372" s="213">
        <v>4</v>
      </c>
    </row>
    <row r="3373" spans="28:30" x14ac:dyDescent="0.25">
      <c r="AB3373" s="207" t="s">
        <v>1953</v>
      </c>
      <c r="AC3373" s="207" t="s">
        <v>3475</v>
      </c>
      <c r="AD3373" s="213">
        <v>3</v>
      </c>
    </row>
    <row r="3374" spans="28:30" x14ac:dyDescent="0.25">
      <c r="AB3374" s="207" t="s">
        <v>233</v>
      </c>
      <c r="AC3374" s="207" t="s">
        <v>3476</v>
      </c>
      <c r="AD3374" s="213">
        <v>3</v>
      </c>
    </row>
    <row r="3375" spans="28:30" x14ac:dyDescent="0.25">
      <c r="AB3375" s="207" t="s">
        <v>233</v>
      </c>
      <c r="AC3375" s="207" t="s">
        <v>3477</v>
      </c>
      <c r="AD3375" s="213">
        <v>6</v>
      </c>
    </row>
    <row r="3376" spans="28:30" x14ac:dyDescent="0.25">
      <c r="AB3376" s="207" t="s">
        <v>233</v>
      </c>
      <c r="AC3376" s="207" t="s">
        <v>3478</v>
      </c>
      <c r="AD3376" s="213">
        <v>4</v>
      </c>
    </row>
    <row r="3377" spans="28:30" x14ac:dyDescent="0.25">
      <c r="AB3377" s="207" t="s">
        <v>233</v>
      </c>
      <c r="AC3377" s="207" t="s">
        <v>3479</v>
      </c>
      <c r="AD3377" s="213">
        <v>6</v>
      </c>
    </row>
    <row r="3378" spans="28:30" x14ac:dyDescent="0.25">
      <c r="AB3378" s="207" t="s">
        <v>233</v>
      </c>
      <c r="AC3378" s="207" t="s">
        <v>3480</v>
      </c>
      <c r="AD3378" s="213">
        <v>3</v>
      </c>
    </row>
    <row r="3379" spans="28:30" x14ac:dyDescent="0.25">
      <c r="AB3379" s="207" t="s">
        <v>249</v>
      </c>
      <c r="AC3379" s="207" t="s">
        <v>3481</v>
      </c>
      <c r="AD3379" s="213">
        <v>5</v>
      </c>
    </row>
    <row r="3380" spans="28:30" x14ac:dyDescent="0.25">
      <c r="AB3380" s="207" t="s">
        <v>249</v>
      </c>
      <c r="AC3380" s="207" t="s">
        <v>3482</v>
      </c>
      <c r="AD3380" s="213">
        <v>3</v>
      </c>
    </row>
    <row r="3381" spans="28:30" x14ac:dyDescent="0.25">
      <c r="AB3381" s="207" t="s">
        <v>214</v>
      </c>
      <c r="AC3381" s="207" t="s">
        <v>3483</v>
      </c>
      <c r="AD3381" s="213">
        <v>3</v>
      </c>
    </row>
    <row r="3382" spans="28:30" x14ac:dyDescent="0.25">
      <c r="AB3382" s="207" t="s">
        <v>233</v>
      </c>
      <c r="AC3382" s="207" t="s">
        <v>3484</v>
      </c>
      <c r="AD3382" s="213">
        <v>3</v>
      </c>
    </row>
    <row r="3383" spans="28:30" x14ac:dyDescent="0.25">
      <c r="AB3383" s="207" t="s">
        <v>214</v>
      </c>
      <c r="AC3383" s="207" t="s">
        <v>3485</v>
      </c>
      <c r="AD3383" s="213">
        <v>3</v>
      </c>
    </row>
    <row r="3384" spans="28:30" x14ac:dyDescent="0.25">
      <c r="AB3384" s="207" t="s">
        <v>249</v>
      </c>
      <c r="AC3384" s="207" t="s">
        <v>3486</v>
      </c>
      <c r="AD3384" s="213">
        <v>3</v>
      </c>
    </row>
    <row r="3385" spans="28:30" x14ac:dyDescent="0.25">
      <c r="AB3385" s="207" t="s">
        <v>249</v>
      </c>
      <c r="AC3385" s="207" t="s">
        <v>3487</v>
      </c>
      <c r="AD3385" s="213">
        <v>3</v>
      </c>
    </row>
    <row r="3386" spans="28:30" x14ac:dyDescent="0.25">
      <c r="AB3386" s="207" t="s">
        <v>214</v>
      </c>
      <c r="AC3386" s="207" t="s">
        <v>3488</v>
      </c>
      <c r="AD3386" s="213">
        <v>3</v>
      </c>
    </row>
    <row r="3387" spans="28:30" x14ac:dyDescent="0.25">
      <c r="AB3387" s="207" t="s">
        <v>249</v>
      </c>
      <c r="AC3387" s="207" t="s">
        <v>3489</v>
      </c>
      <c r="AD3387" s="213">
        <v>5</v>
      </c>
    </row>
    <row r="3388" spans="28:30" x14ac:dyDescent="0.25">
      <c r="AB3388" s="207" t="s">
        <v>233</v>
      </c>
      <c r="AC3388" s="207" t="s">
        <v>3490</v>
      </c>
      <c r="AD3388" s="213">
        <v>6</v>
      </c>
    </row>
    <row r="3389" spans="28:30" x14ac:dyDescent="0.25">
      <c r="AB3389" s="207" t="s">
        <v>214</v>
      </c>
      <c r="AC3389" s="207" t="s">
        <v>1613</v>
      </c>
      <c r="AD3389" s="213">
        <v>3</v>
      </c>
    </row>
    <row r="3390" spans="28:30" x14ac:dyDescent="0.25">
      <c r="AB3390" s="207" t="s">
        <v>233</v>
      </c>
      <c r="AC3390" s="207" t="s">
        <v>3491</v>
      </c>
      <c r="AD3390" s="213">
        <v>3</v>
      </c>
    </row>
    <row r="3391" spans="28:30" x14ac:dyDescent="0.25">
      <c r="AB3391" s="207" t="s">
        <v>233</v>
      </c>
      <c r="AC3391" s="207" t="s">
        <v>3492</v>
      </c>
      <c r="AD3391" s="213">
        <v>3</v>
      </c>
    </row>
    <row r="3392" spans="28:30" x14ac:dyDescent="0.25">
      <c r="AB3392" s="207" t="s">
        <v>233</v>
      </c>
      <c r="AC3392" s="207" t="s">
        <v>5875</v>
      </c>
      <c r="AD3392" s="213">
        <v>4</v>
      </c>
    </row>
    <row r="3393" spans="28:30" x14ac:dyDescent="0.25">
      <c r="AB3393" s="207" t="s">
        <v>233</v>
      </c>
      <c r="AC3393" s="207" t="s">
        <v>3493</v>
      </c>
      <c r="AD3393" s="213">
        <v>3</v>
      </c>
    </row>
    <row r="3394" spans="28:30" x14ac:dyDescent="0.25">
      <c r="AB3394" s="207" t="s">
        <v>233</v>
      </c>
      <c r="AC3394" s="207" t="s">
        <v>3494</v>
      </c>
      <c r="AD3394" s="213">
        <v>6</v>
      </c>
    </row>
    <row r="3395" spans="28:30" x14ac:dyDescent="0.25">
      <c r="AB3395" s="207" t="s">
        <v>233</v>
      </c>
      <c r="AC3395" s="207" t="s">
        <v>3495</v>
      </c>
      <c r="AD3395" s="213">
        <v>4</v>
      </c>
    </row>
    <row r="3396" spans="28:30" x14ac:dyDescent="0.25">
      <c r="AB3396" s="207" t="s">
        <v>233</v>
      </c>
      <c r="AC3396" s="207" t="s">
        <v>3496</v>
      </c>
      <c r="AD3396" s="213">
        <v>3</v>
      </c>
    </row>
    <row r="3397" spans="28:30" x14ac:dyDescent="0.25">
      <c r="AB3397" s="207" t="s">
        <v>233</v>
      </c>
      <c r="AC3397" s="207" t="s">
        <v>3497</v>
      </c>
      <c r="AD3397" s="213">
        <v>6</v>
      </c>
    </row>
    <row r="3398" spans="28:30" x14ac:dyDescent="0.25">
      <c r="AB3398" s="207" t="s">
        <v>233</v>
      </c>
      <c r="AC3398" s="207" t="s">
        <v>3498</v>
      </c>
      <c r="AD3398" s="213">
        <v>4</v>
      </c>
    </row>
    <row r="3399" spans="28:30" x14ac:dyDescent="0.25">
      <c r="AB3399" s="207" t="s">
        <v>233</v>
      </c>
      <c r="AC3399" s="207" t="s">
        <v>3499</v>
      </c>
      <c r="AD3399" s="213">
        <v>4</v>
      </c>
    </row>
    <row r="3400" spans="28:30" x14ac:dyDescent="0.25">
      <c r="AB3400" s="207" t="s">
        <v>249</v>
      </c>
      <c r="AC3400" s="207" t="s">
        <v>3500</v>
      </c>
      <c r="AD3400" s="213">
        <v>3</v>
      </c>
    </row>
    <row r="3401" spans="28:30" x14ac:dyDescent="0.25">
      <c r="AB3401" s="207" t="s">
        <v>1953</v>
      </c>
      <c r="AC3401" s="207" t="s">
        <v>3501</v>
      </c>
      <c r="AD3401" s="213">
        <v>5</v>
      </c>
    </row>
    <row r="3402" spans="28:30" x14ac:dyDescent="0.25">
      <c r="AB3402" s="207" t="s">
        <v>233</v>
      </c>
      <c r="AC3402" s="207" t="s">
        <v>3502</v>
      </c>
      <c r="AD3402" s="213">
        <v>4</v>
      </c>
    </row>
    <row r="3403" spans="28:30" x14ac:dyDescent="0.25">
      <c r="AB3403" s="207" t="s">
        <v>233</v>
      </c>
      <c r="AC3403" s="207" t="s">
        <v>3503</v>
      </c>
      <c r="AD3403" s="213">
        <v>4</v>
      </c>
    </row>
    <row r="3404" spans="28:30" x14ac:dyDescent="0.25">
      <c r="AB3404" s="207" t="s">
        <v>233</v>
      </c>
      <c r="AC3404" s="207" t="s">
        <v>3504</v>
      </c>
      <c r="AD3404" s="213">
        <v>3</v>
      </c>
    </row>
    <row r="3405" spans="28:30" x14ac:dyDescent="0.25">
      <c r="AB3405" s="207" t="s">
        <v>233</v>
      </c>
      <c r="AC3405" s="207" t="s">
        <v>3505</v>
      </c>
      <c r="AD3405" s="213">
        <v>4</v>
      </c>
    </row>
    <row r="3406" spans="28:30" x14ac:dyDescent="0.25">
      <c r="AB3406" s="207" t="s">
        <v>249</v>
      </c>
      <c r="AC3406" s="207" t="s">
        <v>3506</v>
      </c>
      <c r="AD3406" s="213">
        <v>3</v>
      </c>
    </row>
    <row r="3407" spans="28:30" x14ac:dyDescent="0.25">
      <c r="AB3407" s="207" t="s">
        <v>233</v>
      </c>
      <c r="AC3407" s="207" t="s">
        <v>3507</v>
      </c>
      <c r="AD3407" s="213">
        <v>4</v>
      </c>
    </row>
    <row r="3408" spans="28:30" x14ac:dyDescent="0.25">
      <c r="AB3408" s="207" t="s">
        <v>233</v>
      </c>
      <c r="AC3408" s="207" t="s">
        <v>3508</v>
      </c>
      <c r="AD3408" s="213">
        <v>4</v>
      </c>
    </row>
    <row r="3409" spans="28:30" x14ac:dyDescent="0.25">
      <c r="AB3409" s="207" t="s">
        <v>249</v>
      </c>
      <c r="AC3409" s="207" t="s">
        <v>3509</v>
      </c>
      <c r="AD3409" s="213">
        <v>3</v>
      </c>
    </row>
    <row r="3410" spans="28:30" x14ac:dyDescent="0.25">
      <c r="AB3410" s="207" t="s">
        <v>233</v>
      </c>
      <c r="AC3410" s="207" t="s">
        <v>3510</v>
      </c>
      <c r="AD3410" s="213">
        <v>6</v>
      </c>
    </row>
    <row r="3411" spans="28:30" x14ac:dyDescent="0.25">
      <c r="AB3411" s="207" t="s">
        <v>249</v>
      </c>
      <c r="AC3411" s="207" t="s">
        <v>3511</v>
      </c>
      <c r="AD3411" s="213">
        <v>3</v>
      </c>
    </row>
    <row r="3412" spans="28:30" x14ac:dyDescent="0.25">
      <c r="AB3412" s="207" t="s">
        <v>233</v>
      </c>
      <c r="AC3412" s="207" t="s">
        <v>3512</v>
      </c>
      <c r="AD3412" s="213">
        <v>3</v>
      </c>
    </row>
    <row r="3413" spans="28:30" x14ac:dyDescent="0.25">
      <c r="AB3413" s="207" t="s">
        <v>249</v>
      </c>
      <c r="AC3413" s="207" t="s">
        <v>3513</v>
      </c>
      <c r="AD3413" s="213">
        <v>3</v>
      </c>
    </row>
    <row r="3414" spans="28:30" x14ac:dyDescent="0.25">
      <c r="AB3414" s="207" t="s">
        <v>233</v>
      </c>
      <c r="AC3414" s="207" t="s">
        <v>3514</v>
      </c>
      <c r="AD3414" s="213">
        <v>6</v>
      </c>
    </row>
    <row r="3415" spans="28:30" x14ac:dyDescent="0.25">
      <c r="AB3415" s="207" t="s">
        <v>233</v>
      </c>
      <c r="AC3415" s="207" t="s">
        <v>3515</v>
      </c>
      <c r="AD3415" s="213">
        <v>4</v>
      </c>
    </row>
    <row r="3416" spans="28:30" x14ac:dyDescent="0.25">
      <c r="AB3416" s="207" t="s">
        <v>233</v>
      </c>
      <c r="AC3416" s="207" t="s">
        <v>3516</v>
      </c>
      <c r="AD3416" s="213">
        <v>4</v>
      </c>
    </row>
    <row r="3417" spans="28:30" x14ac:dyDescent="0.25">
      <c r="AB3417" s="207" t="s">
        <v>249</v>
      </c>
      <c r="AC3417" s="207" t="s">
        <v>3517</v>
      </c>
      <c r="AD3417" s="213">
        <v>3</v>
      </c>
    </row>
    <row r="3418" spans="28:30" x14ac:dyDescent="0.25">
      <c r="AB3418" s="207" t="s">
        <v>1953</v>
      </c>
      <c r="AC3418" s="207" t="s">
        <v>2989</v>
      </c>
      <c r="AD3418" s="213">
        <v>3</v>
      </c>
    </row>
    <row r="3419" spans="28:30" x14ac:dyDescent="0.25">
      <c r="AB3419" s="207" t="s">
        <v>249</v>
      </c>
      <c r="AC3419" s="207" t="s">
        <v>3518</v>
      </c>
      <c r="AD3419" s="213">
        <v>3</v>
      </c>
    </row>
    <row r="3420" spans="28:30" x14ac:dyDescent="0.25">
      <c r="AB3420" s="207" t="s">
        <v>233</v>
      </c>
      <c r="AC3420" s="207" t="s">
        <v>2436</v>
      </c>
      <c r="AD3420" s="213">
        <v>3</v>
      </c>
    </row>
    <row r="3421" spans="28:30" x14ac:dyDescent="0.25">
      <c r="AB3421" s="207" t="s">
        <v>249</v>
      </c>
      <c r="AC3421" s="207" t="s">
        <v>3519</v>
      </c>
      <c r="AD3421" s="213">
        <v>3</v>
      </c>
    </row>
    <row r="3422" spans="28:30" x14ac:dyDescent="0.25">
      <c r="AB3422" s="207" t="s">
        <v>233</v>
      </c>
      <c r="AC3422" s="207" t="s">
        <v>3520</v>
      </c>
      <c r="AD3422" s="213">
        <v>3</v>
      </c>
    </row>
    <row r="3423" spans="28:30" x14ac:dyDescent="0.25">
      <c r="AB3423" s="207" t="s">
        <v>249</v>
      </c>
      <c r="AC3423" s="207" t="s">
        <v>3521</v>
      </c>
      <c r="AD3423" s="213">
        <v>3</v>
      </c>
    </row>
    <row r="3424" spans="28:30" x14ac:dyDescent="0.25">
      <c r="AB3424" s="207" t="s">
        <v>233</v>
      </c>
      <c r="AC3424" s="207" t="s">
        <v>3522</v>
      </c>
      <c r="AD3424" s="213">
        <v>4</v>
      </c>
    </row>
    <row r="3425" spans="28:30" x14ac:dyDescent="0.25">
      <c r="AB3425" s="207" t="s">
        <v>249</v>
      </c>
      <c r="AC3425" s="207" t="s">
        <v>3523</v>
      </c>
      <c r="AD3425" s="213">
        <v>4</v>
      </c>
    </row>
    <row r="3426" spans="28:30" x14ac:dyDescent="0.25">
      <c r="AB3426" s="207" t="s">
        <v>233</v>
      </c>
      <c r="AC3426" s="207" t="s">
        <v>3524</v>
      </c>
      <c r="AD3426" s="213">
        <v>5</v>
      </c>
    </row>
    <row r="3427" spans="28:30" x14ac:dyDescent="0.25">
      <c r="AB3427" s="207" t="s">
        <v>233</v>
      </c>
      <c r="AC3427" s="207" t="s">
        <v>3525</v>
      </c>
      <c r="AD3427" s="213">
        <v>4</v>
      </c>
    </row>
    <row r="3428" spans="28:30" x14ac:dyDescent="0.25">
      <c r="AB3428" s="207" t="s">
        <v>233</v>
      </c>
      <c r="AC3428" s="207" t="s">
        <v>3526</v>
      </c>
      <c r="AD3428" s="213">
        <v>4</v>
      </c>
    </row>
    <row r="3429" spans="28:30" x14ac:dyDescent="0.25">
      <c r="AB3429" s="207" t="s">
        <v>249</v>
      </c>
      <c r="AC3429" s="207" t="s">
        <v>3527</v>
      </c>
      <c r="AD3429" s="213">
        <v>4</v>
      </c>
    </row>
    <row r="3430" spans="28:30" x14ac:dyDescent="0.25">
      <c r="AB3430" s="207" t="s">
        <v>233</v>
      </c>
      <c r="AC3430" s="207" t="s">
        <v>3528</v>
      </c>
      <c r="AD3430" s="213">
        <v>4</v>
      </c>
    </row>
    <row r="3431" spans="28:30" x14ac:dyDescent="0.25">
      <c r="AB3431" s="207" t="s">
        <v>233</v>
      </c>
      <c r="AC3431" s="207" t="s">
        <v>3529</v>
      </c>
      <c r="AD3431" s="213">
        <v>4</v>
      </c>
    </row>
    <row r="3432" spans="28:30" x14ac:dyDescent="0.25">
      <c r="AB3432" s="207" t="s">
        <v>233</v>
      </c>
      <c r="AC3432" s="207" t="s">
        <v>3530</v>
      </c>
      <c r="AD3432" s="213">
        <v>3</v>
      </c>
    </row>
    <row r="3433" spans="28:30" x14ac:dyDescent="0.25">
      <c r="AB3433" s="207" t="s">
        <v>214</v>
      </c>
      <c r="AC3433" s="207" t="s">
        <v>3531</v>
      </c>
      <c r="AD3433" s="213">
        <v>3</v>
      </c>
    </row>
    <row r="3434" spans="28:30" x14ac:dyDescent="0.25">
      <c r="AB3434" s="207" t="s">
        <v>233</v>
      </c>
      <c r="AC3434" s="207" t="s">
        <v>3532</v>
      </c>
      <c r="AD3434" s="213">
        <v>4</v>
      </c>
    </row>
    <row r="3435" spans="28:30" x14ac:dyDescent="0.25">
      <c r="AB3435" s="207" t="s">
        <v>233</v>
      </c>
      <c r="AC3435" s="207" t="s">
        <v>3533</v>
      </c>
      <c r="AD3435" s="213">
        <v>3</v>
      </c>
    </row>
    <row r="3436" spans="28:30" x14ac:dyDescent="0.25">
      <c r="AB3436" s="207" t="s">
        <v>233</v>
      </c>
      <c r="AC3436" s="207" t="s">
        <v>3534</v>
      </c>
      <c r="AD3436" s="213">
        <v>3</v>
      </c>
    </row>
    <row r="3437" spans="28:30" x14ac:dyDescent="0.25">
      <c r="AB3437" s="207" t="s">
        <v>233</v>
      </c>
      <c r="AC3437" s="207" t="s">
        <v>2692</v>
      </c>
      <c r="AD3437" s="213">
        <v>4</v>
      </c>
    </row>
    <row r="3438" spans="28:30" x14ac:dyDescent="0.25">
      <c r="AB3438" s="207" t="s">
        <v>249</v>
      </c>
      <c r="AC3438" s="207" t="s">
        <v>3535</v>
      </c>
      <c r="AD3438" s="213">
        <v>4</v>
      </c>
    </row>
    <row r="3439" spans="28:30" x14ac:dyDescent="0.25">
      <c r="AB3439" s="207" t="s">
        <v>233</v>
      </c>
      <c r="AC3439" s="207" t="s">
        <v>3536</v>
      </c>
      <c r="AD3439" s="213">
        <v>4</v>
      </c>
    </row>
    <row r="3440" spans="28:30" x14ac:dyDescent="0.25">
      <c r="AB3440" s="207" t="s">
        <v>249</v>
      </c>
      <c r="AC3440" s="207" t="s">
        <v>3537</v>
      </c>
      <c r="AD3440" s="213">
        <v>4</v>
      </c>
    </row>
    <row r="3441" spans="28:30" x14ac:dyDescent="0.25">
      <c r="AB3441" s="207" t="s">
        <v>233</v>
      </c>
      <c r="AC3441" s="207" t="s">
        <v>3538</v>
      </c>
      <c r="AD3441" s="213">
        <v>4</v>
      </c>
    </row>
    <row r="3442" spans="28:30" x14ac:dyDescent="0.25">
      <c r="AB3442" s="207" t="s">
        <v>249</v>
      </c>
      <c r="AC3442" s="207" t="s">
        <v>3539</v>
      </c>
      <c r="AD3442" s="213">
        <v>3</v>
      </c>
    </row>
    <row r="3443" spans="28:30" x14ac:dyDescent="0.25">
      <c r="AB3443" s="207" t="s">
        <v>233</v>
      </c>
      <c r="AC3443" s="207" t="s">
        <v>3540</v>
      </c>
      <c r="AD3443" s="213">
        <v>3</v>
      </c>
    </row>
    <row r="3444" spans="28:30" x14ac:dyDescent="0.25">
      <c r="AB3444" s="207" t="s">
        <v>233</v>
      </c>
      <c r="AC3444" s="207" t="s">
        <v>3541</v>
      </c>
      <c r="AD3444" s="213">
        <v>6</v>
      </c>
    </row>
    <row r="3445" spans="28:30" x14ac:dyDescent="0.25">
      <c r="AB3445" s="207" t="s">
        <v>233</v>
      </c>
      <c r="AC3445" s="207" t="s">
        <v>3542</v>
      </c>
      <c r="AD3445" s="213">
        <v>4</v>
      </c>
    </row>
    <row r="3446" spans="28:30" x14ac:dyDescent="0.25">
      <c r="AB3446" s="207" t="s">
        <v>233</v>
      </c>
      <c r="AC3446" s="207" t="s">
        <v>3543</v>
      </c>
      <c r="AD3446" s="213">
        <v>3</v>
      </c>
    </row>
    <row r="3447" spans="28:30" x14ac:dyDescent="0.25">
      <c r="AB3447" s="207" t="s">
        <v>233</v>
      </c>
      <c r="AC3447" s="207" t="s">
        <v>3544</v>
      </c>
      <c r="AD3447" s="213">
        <v>3</v>
      </c>
    </row>
    <row r="3448" spans="28:30" x14ac:dyDescent="0.25">
      <c r="AB3448" s="207" t="s">
        <v>233</v>
      </c>
      <c r="AC3448" s="207" t="s">
        <v>2870</v>
      </c>
      <c r="AD3448" s="213">
        <v>5</v>
      </c>
    </row>
    <row r="3449" spans="28:30" x14ac:dyDescent="0.25">
      <c r="AB3449" s="207" t="s">
        <v>233</v>
      </c>
      <c r="AC3449" s="207" t="s">
        <v>3545</v>
      </c>
      <c r="AD3449" s="213">
        <v>4</v>
      </c>
    </row>
    <row r="3450" spans="28:30" x14ac:dyDescent="0.25">
      <c r="AB3450" s="207" t="s">
        <v>233</v>
      </c>
      <c r="AC3450" s="207" t="s">
        <v>3546</v>
      </c>
      <c r="AD3450" s="213">
        <v>6</v>
      </c>
    </row>
    <row r="3451" spans="28:30" x14ac:dyDescent="0.25">
      <c r="AB3451" s="207" t="s">
        <v>214</v>
      </c>
      <c r="AC3451" s="207" t="s">
        <v>3547</v>
      </c>
      <c r="AD3451" s="213">
        <v>3</v>
      </c>
    </row>
    <row r="3452" spans="28:30" x14ac:dyDescent="0.25">
      <c r="AB3452" s="207" t="s">
        <v>233</v>
      </c>
      <c r="AC3452" s="207" t="s">
        <v>3548</v>
      </c>
      <c r="AD3452" s="213">
        <v>6</v>
      </c>
    </row>
    <row r="3453" spans="28:30" x14ac:dyDescent="0.25">
      <c r="AB3453" s="207" t="s">
        <v>233</v>
      </c>
      <c r="AC3453" s="207" t="s">
        <v>3549</v>
      </c>
      <c r="AD3453" s="213">
        <v>6</v>
      </c>
    </row>
    <row r="3454" spans="28:30" x14ac:dyDescent="0.25">
      <c r="AB3454" s="207" t="s">
        <v>233</v>
      </c>
      <c r="AC3454" s="207" t="s">
        <v>3550</v>
      </c>
      <c r="AD3454" s="213">
        <v>4</v>
      </c>
    </row>
    <row r="3455" spans="28:30" x14ac:dyDescent="0.25">
      <c r="AB3455" s="207" t="s">
        <v>233</v>
      </c>
      <c r="AC3455" s="207" t="s">
        <v>3551</v>
      </c>
      <c r="AD3455" s="213">
        <v>6</v>
      </c>
    </row>
    <row r="3456" spans="28:30" x14ac:dyDescent="0.25">
      <c r="AB3456" s="207" t="s">
        <v>249</v>
      </c>
      <c r="AC3456" s="207" t="s">
        <v>3552</v>
      </c>
      <c r="AD3456" s="213">
        <v>3</v>
      </c>
    </row>
    <row r="3457" spans="28:30" x14ac:dyDescent="0.25">
      <c r="AB3457" s="207" t="s">
        <v>233</v>
      </c>
      <c r="AC3457" s="207" t="s">
        <v>3553</v>
      </c>
      <c r="AD3457" s="213">
        <v>6</v>
      </c>
    </row>
    <row r="3458" spans="28:30" x14ac:dyDescent="0.25">
      <c r="AB3458" s="207" t="s">
        <v>233</v>
      </c>
      <c r="AC3458" s="207" t="s">
        <v>3554</v>
      </c>
      <c r="AD3458" s="213">
        <v>4</v>
      </c>
    </row>
    <row r="3459" spans="28:30" x14ac:dyDescent="0.25">
      <c r="AB3459" s="207" t="s">
        <v>233</v>
      </c>
      <c r="AC3459" s="207" t="s">
        <v>3555</v>
      </c>
      <c r="AD3459" s="213">
        <v>6</v>
      </c>
    </row>
    <row r="3460" spans="28:30" x14ac:dyDescent="0.25">
      <c r="AB3460" s="207" t="s">
        <v>233</v>
      </c>
      <c r="AC3460" s="207" t="s">
        <v>282</v>
      </c>
      <c r="AD3460" s="213">
        <v>4</v>
      </c>
    </row>
    <row r="3461" spans="28:30" x14ac:dyDescent="0.25">
      <c r="AB3461" s="207" t="s">
        <v>249</v>
      </c>
      <c r="AC3461" s="207" t="s">
        <v>3556</v>
      </c>
      <c r="AD3461" s="213">
        <v>3</v>
      </c>
    </row>
    <row r="3462" spans="28:30" x14ac:dyDescent="0.25">
      <c r="AB3462" s="207" t="s">
        <v>233</v>
      </c>
      <c r="AC3462" s="207" t="s">
        <v>3557</v>
      </c>
      <c r="AD3462" s="213">
        <v>4</v>
      </c>
    </row>
    <row r="3463" spans="28:30" x14ac:dyDescent="0.25">
      <c r="AB3463" s="207" t="s">
        <v>233</v>
      </c>
      <c r="AC3463" s="207" t="s">
        <v>3558</v>
      </c>
      <c r="AD3463" s="213">
        <v>4</v>
      </c>
    </row>
    <row r="3464" spans="28:30" x14ac:dyDescent="0.25">
      <c r="AB3464" s="207" t="s">
        <v>233</v>
      </c>
      <c r="AC3464" s="207" t="s">
        <v>3559</v>
      </c>
      <c r="AD3464" s="213">
        <v>3</v>
      </c>
    </row>
    <row r="3465" spans="28:30" x14ac:dyDescent="0.25">
      <c r="AB3465" s="207" t="s">
        <v>233</v>
      </c>
      <c r="AC3465" s="207" t="s">
        <v>3560</v>
      </c>
      <c r="AD3465" s="213">
        <v>3</v>
      </c>
    </row>
    <row r="3466" spans="28:30" x14ac:dyDescent="0.25">
      <c r="AB3466" s="207" t="s">
        <v>214</v>
      </c>
      <c r="AC3466" s="207" t="s">
        <v>3561</v>
      </c>
      <c r="AD3466" s="213">
        <v>3</v>
      </c>
    </row>
    <row r="3467" spans="28:30" x14ac:dyDescent="0.25">
      <c r="AB3467" s="207" t="s">
        <v>1953</v>
      </c>
      <c r="AC3467" s="207" t="s">
        <v>3562</v>
      </c>
      <c r="AD3467" s="213">
        <v>6</v>
      </c>
    </row>
    <row r="3468" spans="28:30" x14ac:dyDescent="0.25">
      <c r="AB3468" s="207" t="s">
        <v>233</v>
      </c>
      <c r="AC3468" s="207" t="s">
        <v>3563</v>
      </c>
      <c r="AD3468" s="213">
        <v>4</v>
      </c>
    </row>
    <row r="3469" spans="28:30" x14ac:dyDescent="0.25">
      <c r="AB3469" s="207" t="s">
        <v>214</v>
      </c>
      <c r="AC3469" s="207" t="s">
        <v>3564</v>
      </c>
      <c r="AD3469" s="213">
        <v>3</v>
      </c>
    </row>
    <row r="3470" spans="28:30" x14ac:dyDescent="0.25">
      <c r="AB3470" s="207" t="s">
        <v>233</v>
      </c>
      <c r="AC3470" s="207" t="s">
        <v>3565</v>
      </c>
      <c r="AD3470" s="213">
        <v>4</v>
      </c>
    </row>
    <row r="3471" spans="28:30" x14ac:dyDescent="0.25">
      <c r="AB3471" s="207" t="s">
        <v>233</v>
      </c>
      <c r="AC3471" s="207" t="s">
        <v>3566</v>
      </c>
      <c r="AD3471" s="213">
        <v>3</v>
      </c>
    </row>
    <row r="3472" spans="28:30" x14ac:dyDescent="0.25">
      <c r="AB3472" s="207" t="s">
        <v>233</v>
      </c>
      <c r="AC3472" s="207" t="s">
        <v>3567</v>
      </c>
      <c r="AD3472" s="213">
        <v>4</v>
      </c>
    </row>
    <row r="3473" spans="28:30" x14ac:dyDescent="0.25">
      <c r="AB3473" s="207" t="s">
        <v>249</v>
      </c>
      <c r="AC3473" s="207" t="s">
        <v>3568</v>
      </c>
      <c r="AD3473" s="213">
        <v>3</v>
      </c>
    </row>
    <row r="3474" spans="28:30" x14ac:dyDescent="0.25">
      <c r="AB3474" s="207" t="s">
        <v>233</v>
      </c>
      <c r="AC3474" s="207" t="s">
        <v>3569</v>
      </c>
      <c r="AD3474" s="213">
        <v>4</v>
      </c>
    </row>
    <row r="3475" spans="28:30" x14ac:dyDescent="0.25">
      <c r="AB3475" s="207" t="s">
        <v>249</v>
      </c>
      <c r="AC3475" s="207" t="s">
        <v>3570</v>
      </c>
      <c r="AD3475" s="213">
        <v>3</v>
      </c>
    </row>
    <row r="3476" spans="28:30" x14ac:dyDescent="0.25">
      <c r="AB3476" s="207" t="s">
        <v>214</v>
      </c>
      <c r="AC3476" s="207" t="s">
        <v>3571</v>
      </c>
      <c r="AD3476" s="213">
        <v>3</v>
      </c>
    </row>
    <row r="3477" spans="28:30" x14ac:dyDescent="0.25">
      <c r="AB3477" s="207" t="s">
        <v>233</v>
      </c>
      <c r="AC3477" s="207" t="s">
        <v>3572</v>
      </c>
      <c r="AD3477" s="213">
        <v>4</v>
      </c>
    </row>
    <row r="3478" spans="28:30" x14ac:dyDescent="0.25">
      <c r="AB3478" s="207" t="s">
        <v>233</v>
      </c>
      <c r="AC3478" s="207" t="s">
        <v>3573</v>
      </c>
      <c r="AD3478" s="213">
        <v>6</v>
      </c>
    </row>
    <row r="3479" spans="28:30" x14ac:dyDescent="0.25">
      <c r="AB3479" s="207" t="s">
        <v>249</v>
      </c>
      <c r="AC3479" s="207" t="s">
        <v>3574</v>
      </c>
      <c r="AD3479" s="213">
        <v>2</v>
      </c>
    </row>
    <row r="3480" spans="28:30" x14ac:dyDescent="0.25">
      <c r="AB3480" s="207" t="s">
        <v>233</v>
      </c>
      <c r="AC3480" s="207" t="s">
        <v>3575</v>
      </c>
      <c r="AD3480" s="213">
        <v>3</v>
      </c>
    </row>
    <row r="3481" spans="28:30" x14ac:dyDescent="0.25">
      <c r="AB3481" s="207" t="s">
        <v>233</v>
      </c>
      <c r="AC3481" s="207" t="s">
        <v>3576</v>
      </c>
      <c r="AD3481" s="213">
        <v>6</v>
      </c>
    </row>
    <row r="3482" spans="28:30" x14ac:dyDescent="0.25">
      <c r="AB3482" s="207" t="s">
        <v>233</v>
      </c>
      <c r="AC3482" s="207" t="s">
        <v>3577</v>
      </c>
      <c r="AD3482" s="213">
        <v>4</v>
      </c>
    </row>
    <row r="3483" spans="28:30" x14ac:dyDescent="0.25">
      <c r="AB3483" s="207" t="s">
        <v>233</v>
      </c>
      <c r="AC3483" s="207" t="s">
        <v>3578</v>
      </c>
      <c r="AD3483" s="213">
        <v>4</v>
      </c>
    </row>
    <row r="3484" spans="28:30" x14ac:dyDescent="0.25">
      <c r="AB3484" s="207" t="s">
        <v>214</v>
      </c>
      <c r="AC3484" s="207" t="s">
        <v>3579</v>
      </c>
      <c r="AD3484" s="213">
        <v>3</v>
      </c>
    </row>
    <row r="3485" spans="28:30" x14ac:dyDescent="0.25">
      <c r="AB3485" s="207" t="s">
        <v>249</v>
      </c>
      <c r="AC3485" s="207" t="s">
        <v>3580</v>
      </c>
      <c r="AD3485" s="213">
        <v>4</v>
      </c>
    </row>
    <row r="3486" spans="28:30" x14ac:dyDescent="0.25">
      <c r="AB3486" s="207" t="s">
        <v>233</v>
      </c>
      <c r="AC3486" s="207" t="s">
        <v>3581</v>
      </c>
      <c r="AD3486" s="213">
        <v>4</v>
      </c>
    </row>
    <row r="3487" spans="28:30" x14ac:dyDescent="0.25">
      <c r="AB3487" s="207" t="s">
        <v>233</v>
      </c>
      <c r="AC3487" s="207" t="s">
        <v>3582</v>
      </c>
      <c r="AD3487" s="213">
        <v>4</v>
      </c>
    </row>
    <row r="3488" spans="28:30" x14ac:dyDescent="0.25">
      <c r="AB3488" s="207" t="s">
        <v>214</v>
      </c>
      <c r="AC3488" s="207" t="s">
        <v>3583</v>
      </c>
      <c r="AD3488" s="213">
        <v>3</v>
      </c>
    </row>
    <row r="3489" spans="28:30" x14ac:dyDescent="0.25">
      <c r="AB3489" s="207" t="s">
        <v>249</v>
      </c>
      <c r="AC3489" s="207" t="s">
        <v>3584</v>
      </c>
      <c r="AD3489" s="213">
        <v>6</v>
      </c>
    </row>
    <row r="3490" spans="28:30" x14ac:dyDescent="0.25">
      <c r="AB3490" s="207" t="s">
        <v>233</v>
      </c>
      <c r="AC3490" s="207" t="s">
        <v>3585</v>
      </c>
      <c r="AD3490" s="213">
        <v>3</v>
      </c>
    </row>
    <row r="3491" spans="28:30" x14ac:dyDescent="0.25">
      <c r="AB3491" s="207" t="s">
        <v>233</v>
      </c>
      <c r="AC3491" s="207" t="s">
        <v>3586</v>
      </c>
      <c r="AD3491" s="213">
        <v>6</v>
      </c>
    </row>
    <row r="3492" spans="28:30" x14ac:dyDescent="0.25">
      <c r="AB3492" s="207" t="s">
        <v>249</v>
      </c>
      <c r="AC3492" s="207" t="s">
        <v>3587</v>
      </c>
      <c r="AD3492" s="213">
        <v>2</v>
      </c>
    </row>
    <row r="3493" spans="28:30" x14ac:dyDescent="0.25">
      <c r="AB3493" s="207" t="s">
        <v>233</v>
      </c>
      <c r="AC3493" s="207" t="s">
        <v>3588</v>
      </c>
      <c r="AD3493" s="213">
        <v>6</v>
      </c>
    </row>
    <row r="3494" spans="28:30" x14ac:dyDescent="0.25">
      <c r="AB3494" s="207" t="s">
        <v>249</v>
      </c>
      <c r="AC3494" s="207" t="s">
        <v>3589</v>
      </c>
      <c r="AD3494" s="213">
        <v>3</v>
      </c>
    </row>
    <row r="3495" spans="28:30" x14ac:dyDescent="0.25">
      <c r="AB3495" s="207" t="s">
        <v>233</v>
      </c>
      <c r="AC3495" s="207" t="s">
        <v>3590</v>
      </c>
      <c r="AD3495" s="213">
        <v>6</v>
      </c>
    </row>
    <row r="3496" spans="28:30" x14ac:dyDescent="0.25">
      <c r="AB3496" s="207" t="s">
        <v>214</v>
      </c>
      <c r="AC3496" s="207" t="s">
        <v>3591</v>
      </c>
      <c r="AD3496" s="213">
        <v>3</v>
      </c>
    </row>
    <row r="3497" spans="28:30" x14ac:dyDescent="0.25">
      <c r="AB3497" s="207" t="s">
        <v>233</v>
      </c>
      <c r="AC3497" s="207" t="s">
        <v>3592</v>
      </c>
      <c r="AD3497" s="213">
        <v>5</v>
      </c>
    </row>
    <row r="3498" spans="28:30" x14ac:dyDescent="0.25">
      <c r="AB3498" s="207" t="s">
        <v>233</v>
      </c>
      <c r="AC3498" s="207" t="s">
        <v>3593</v>
      </c>
      <c r="AD3498" s="213">
        <v>3</v>
      </c>
    </row>
    <row r="3499" spans="28:30" x14ac:dyDescent="0.25">
      <c r="AB3499" s="207" t="s">
        <v>233</v>
      </c>
      <c r="AC3499" s="207" t="s">
        <v>3594</v>
      </c>
      <c r="AD3499" s="213">
        <v>6</v>
      </c>
    </row>
    <row r="3500" spans="28:30" x14ac:dyDescent="0.25">
      <c r="AB3500" s="207" t="s">
        <v>214</v>
      </c>
      <c r="AC3500" s="207" t="s">
        <v>3595</v>
      </c>
      <c r="AD3500" s="213">
        <v>3</v>
      </c>
    </row>
    <row r="3501" spans="28:30" x14ac:dyDescent="0.25">
      <c r="AB3501" s="207" t="s">
        <v>233</v>
      </c>
      <c r="AC3501" s="207" t="s">
        <v>3596</v>
      </c>
      <c r="AD3501" s="213">
        <v>6</v>
      </c>
    </row>
    <row r="3502" spans="28:30" x14ac:dyDescent="0.25">
      <c r="AB3502" s="207" t="s">
        <v>249</v>
      </c>
      <c r="AC3502" s="207" t="s">
        <v>3597</v>
      </c>
      <c r="AD3502" s="213">
        <v>3</v>
      </c>
    </row>
    <row r="3503" spans="28:30" x14ac:dyDescent="0.25">
      <c r="AB3503" s="207" t="s">
        <v>233</v>
      </c>
      <c r="AC3503" s="207" t="s">
        <v>3598</v>
      </c>
      <c r="AD3503" s="213">
        <v>3</v>
      </c>
    </row>
    <row r="3504" spans="28:30" x14ac:dyDescent="0.25">
      <c r="AB3504" s="207" t="s">
        <v>233</v>
      </c>
      <c r="AC3504" s="207" t="s">
        <v>3599</v>
      </c>
      <c r="AD3504" s="213">
        <v>4</v>
      </c>
    </row>
    <row r="3505" spans="28:30" x14ac:dyDescent="0.25">
      <c r="AB3505" s="207" t="s">
        <v>233</v>
      </c>
      <c r="AC3505" s="207" t="s">
        <v>922</v>
      </c>
      <c r="AD3505" s="213">
        <v>4</v>
      </c>
    </row>
    <row r="3506" spans="28:30" x14ac:dyDescent="0.25">
      <c r="AB3506" s="207" t="s">
        <v>233</v>
      </c>
      <c r="AC3506" s="207" t="s">
        <v>3600</v>
      </c>
      <c r="AD3506" s="213">
        <v>4</v>
      </c>
    </row>
    <row r="3507" spans="28:30" x14ac:dyDescent="0.25">
      <c r="AB3507" s="207" t="s">
        <v>233</v>
      </c>
      <c r="AC3507" s="207" t="s">
        <v>904</v>
      </c>
      <c r="AD3507" s="213">
        <v>3</v>
      </c>
    </row>
    <row r="3508" spans="28:30" x14ac:dyDescent="0.25">
      <c r="AB3508" s="207" t="s">
        <v>233</v>
      </c>
      <c r="AC3508" s="207" t="s">
        <v>3601</v>
      </c>
      <c r="AD3508" s="213">
        <v>4</v>
      </c>
    </row>
    <row r="3509" spans="28:30" x14ac:dyDescent="0.25">
      <c r="AB3509" s="207" t="s">
        <v>233</v>
      </c>
      <c r="AC3509" s="207" t="s">
        <v>3602</v>
      </c>
      <c r="AD3509" s="213">
        <v>4</v>
      </c>
    </row>
    <row r="3510" spans="28:30" x14ac:dyDescent="0.25">
      <c r="AB3510" s="207" t="s">
        <v>233</v>
      </c>
      <c r="AC3510" s="207" t="s">
        <v>3603</v>
      </c>
      <c r="AD3510" s="213">
        <v>6</v>
      </c>
    </row>
    <row r="3511" spans="28:30" x14ac:dyDescent="0.25">
      <c r="AB3511" s="207" t="s">
        <v>233</v>
      </c>
      <c r="AC3511" s="207" t="s">
        <v>3604</v>
      </c>
      <c r="AD3511" s="213">
        <v>4</v>
      </c>
    </row>
    <row r="3512" spans="28:30" x14ac:dyDescent="0.25">
      <c r="AB3512" s="207" t="s">
        <v>233</v>
      </c>
      <c r="AC3512" s="207" t="s">
        <v>3605</v>
      </c>
      <c r="AD3512" s="213">
        <v>3</v>
      </c>
    </row>
    <row r="3513" spans="28:30" x14ac:dyDescent="0.25">
      <c r="AB3513" s="207" t="s">
        <v>233</v>
      </c>
      <c r="AC3513" s="207" t="s">
        <v>3606</v>
      </c>
      <c r="AD3513" s="213">
        <v>3</v>
      </c>
    </row>
    <row r="3514" spans="28:30" x14ac:dyDescent="0.25">
      <c r="AB3514" s="207" t="s">
        <v>233</v>
      </c>
      <c r="AC3514" s="207" t="s">
        <v>3607</v>
      </c>
      <c r="AD3514" s="213">
        <v>4</v>
      </c>
    </row>
    <row r="3515" spans="28:30" x14ac:dyDescent="0.25">
      <c r="AB3515" s="207" t="s">
        <v>233</v>
      </c>
      <c r="AC3515" s="207" t="s">
        <v>3608</v>
      </c>
      <c r="AD3515" s="213">
        <v>4</v>
      </c>
    </row>
    <row r="3516" spans="28:30" x14ac:dyDescent="0.25">
      <c r="AB3516" s="207" t="s">
        <v>233</v>
      </c>
      <c r="AC3516" s="207" t="s">
        <v>3609</v>
      </c>
      <c r="AD3516" s="213">
        <v>3</v>
      </c>
    </row>
    <row r="3517" spans="28:30" x14ac:dyDescent="0.25">
      <c r="AB3517" s="207" t="s">
        <v>233</v>
      </c>
      <c r="AC3517" s="207" t="s">
        <v>3610</v>
      </c>
      <c r="AD3517" s="213">
        <v>6</v>
      </c>
    </row>
    <row r="3518" spans="28:30" x14ac:dyDescent="0.25">
      <c r="AB3518" s="207" t="s">
        <v>233</v>
      </c>
      <c r="AC3518" s="207" t="s">
        <v>3611</v>
      </c>
      <c r="AD3518" s="213">
        <v>6</v>
      </c>
    </row>
    <row r="3519" spans="28:30" x14ac:dyDescent="0.25">
      <c r="AB3519" s="207" t="s">
        <v>233</v>
      </c>
      <c r="AC3519" s="207" t="s">
        <v>3612</v>
      </c>
      <c r="AD3519" s="213">
        <v>4</v>
      </c>
    </row>
    <row r="3520" spans="28:30" x14ac:dyDescent="0.25">
      <c r="AB3520" s="207" t="s">
        <v>214</v>
      </c>
      <c r="AC3520" s="207" t="s">
        <v>3613</v>
      </c>
      <c r="AD3520" s="213">
        <v>3</v>
      </c>
    </row>
    <row r="3521" spans="28:30" x14ac:dyDescent="0.25">
      <c r="AB3521" s="207" t="s">
        <v>249</v>
      </c>
      <c r="AC3521" s="207" t="s">
        <v>3614</v>
      </c>
      <c r="AD3521" s="213">
        <v>4</v>
      </c>
    </row>
    <row r="3522" spans="28:30" x14ac:dyDescent="0.25">
      <c r="AB3522" s="207" t="s">
        <v>233</v>
      </c>
      <c r="AC3522" s="207" t="s">
        <v>3615</v>
      </c>
      <c r="AD3522" s="213">
        <v>6</v>
      </c>
    </row>
    <row r="3523" spans="28:30" x14ac:dyDescent="0.25">
      <c r="AB3523" s="207" t="s">
        <v>233</v>
      </c>
      <c r="AC3523" s="207" t="s">
        <v>3616</v>
      </c>
      <c r="AD3523" s="213">
        <v>6</v>
      </c>
    </row>
    <row r="3524" spans="28:30" x14ac:dyDescent="0.25">
      <c r="AB3524" s="207" t="s">
        <v>233</v>
      </c>
      <c r="AC3524" s="207" t="s">
        <v>3617</v>
      </c>
      <c r="AD3524" s="213">
        <v>6</v>
      </c>
    </row>
    <row r="3525" spans="28:30" x14ac:dyDescent="0.25">
      <c r="AB3525" s="207" t="s">
        <v>233</v>
      </c>
      <c r="AC3525" s="207" t="s">
        <v>3618</v>
      </c>
      <c r="AD3525" s="213">
        <v>4</v>
      </c>
    </row>
    <row r="3526" spans="28:30" x14ac:dyDescent="0.25">
      <c r="AB3526" s="207" t="s">
        <v>233</v>
      </c>
      <c r="AC3526" s="207" t="s">
        <v>3619</v>
      </c>
      <c r="AD3526" s="213">
        <v>4</v>
      </c>
    </row>
    <row r="3527" spans="28:30" x14ac:dyDescent="0.25">
      <c r="AB3527" s="207" t="s">
        <v>233</v>
      </c>
      <c r="AC3527" s="207" t="s">
        <v>3620</v>
      </c>
      <c r="AD3527" s="213">
        <v>6</v>
      </c>
    </row>
    <row r="3528" spans="28:30" x14ac:dyDescent="0.25">
      <c r="AB3528" s="207" t="s">
        <v>233</v>
      </c>
      <c r="AC3528" s="207" t="s">
        <v>3621</v>
      </c>
      <c r="AD3528" s="213">
        <v>4</v>
      </c>
    </row>
    <row r="3529" spans="28:30" x14ac:dyDescent="0.25">
      <c r="AB3529" s="207" t="s">
        <v>233</v>
      </c>
      <c r="AC3529" s="207" t="s">
        <v>3622</v>
      </c>
      <c r="AD3529" s="213">
        <v>4</v>
      </c>
    </row>
    <row r="3530" spans="28:30" x14ac:dyDescent="0.25">
      <c r="AB3530" s="207" t="s">
        <v>233</v>
      </c>
      <c r="AC3530" s="207" t="s">
        <v>3623</v>
      </c>
      <c r="AD3530" s="213">
        <v>6</v>
      </c>
    </row>
    <row r="3531" spans="28:30" x14ac:dyDescent="0.25">
      <c r="AB3531" s="207" t="s">
        <v>233</v>
      </c>
      <c r="AC3531" s="207" t="s">
        <v>3624</v>
      </c>
      <c r="AD3531" s="213">
        <v>4</v>
      </c>
    </row>
    <row r="3532" spans="28:30" x14ac:dyDescent="0.25">
      <c r="AB3532" s="207" t="s">
        <v>233</v>
      </c>
      <c r="AC3532" s="207" t="s">
        <v>3625</v>
      </c>
      <c r="AD3532" s="213">
        <v>6</v>
      </c>
    </row>
    <row r="3533" spans="28:30" x14ac:dyDescent="0.25">
      <c r="AB3533" s="207" t="s">
        <v>233</v>
      </c>
      <c r="AC3533" s="207" t="s">
        <v>3626</v>
      </c>
      <c r="AD3533" s="213">
        <v>5</v>
      </c>
    </row>
    <row r="3534" spans="28:30" x14ac:dyDescent="0.25">
      <c r="AB3534" s="207" t="s">
        <v>233</v>
      </c>
      <c r="AC3534" s="207" t="s">
        <v>3627</v>
      </c>
      <c r="AD3534" s="213">
        <v>3</v>
      </c>
    </row>
    <row r="3535" spans="28:30" x14ac:dyDescent="0.25">
      <c r="AB3535" s="207" t="s">
        <v>233</v>
      </c>
      <c r="AC3535" s="207" t="s">
        <v>3628</v>
      </c>
      <c r="AD3535" s="213">
        <v>4</v>
      </c>
    </row>
    <row r="3536" spans="28:30" x14ac:dyDescent="0.25">
      <c r="AB3536" s="207" t="s">
        <v>233</v>
      </c>
      <c r="AC3536" s="207" t="s">
        <v>3629</v>
      </c>
      <c r="AD3536" s="213">
        <v>6</v>
      </c>
    </row>
    <row r="3537" spans="28:30" x14ac:dyDescent="0.25">
      <c r="AB3537" s="207" t="s">
        <v>233</v>
      </c>
      <c r="AC3537" s="207" t="s">
        <v>3630</v>
      </c>
      <c r="AD3537" s="213">
        <v>3</v>
      </c>
    </row>
    <row r="3538" spans="28:30" x14ac:dyDescent="0.25">
      <c r="AB3538" s="207" t="s">
        <v>233</v>
      </c>
      <c r="AC3538" s="207" t="s">
        <v>3631</v>
      </c>
      <c r="AD3538" s="213">
        <v>4</v>
      </c>
    </row>
    <row r="3539" spans="28:30" x14ac:dyDescent="0.25">
      <c r="AB3539" s="207" t="s">
        <v>233</v>
      </c>
      <c r="AC3539" s="207" t="s">
        <v>3632</v>
      </c>
      <c r="AD3539" s="213">
        <v>3</v>
      </c>
    </row>
    <row r="3540" spans="28:30" x14ac:dyDescent="0.25">
      <c r="AB3540" s="207" t="s">
        <v>233</v>
      </c>
      <c r="AC3540" s="207" t="s">
        <v>3633</v>
      </c>
      <c r="AD3540" s="213">
        <v>6</v>
      </c>
    </row>
    <row r="3541" spans="28:30" x14ac:dyDescent="0.25">
      <c r="AB3541" s="207" t="s">
        <v>233</v>
      </c>
      <c r="AC3541" s="207" t="s">
        <v>3634</v>
      </c>
      <c r="AD3541" s="213">
        <v>6</v>
      </c>
    </row>
    <row r="3542" spans="28:30" x14ac:dyDescent="0.25">
      <c r="AB3542" s="207" t="s">
        <v>233</v>
      </c>
      <c r="AC3542" s="207" t="s">
        <v>3635</v>
      </c>
      <c r="AD3542" s="213">
        <v>5</v>
      </c>
    </row>
    <row r="3543" spans="28:30" x14ac:dyDescent="0.25">
      <c r="AB3543" s="207" t="s">
        <v>233</v>
      </c>
      <c r="AC3543" s="207" t="s">
        <v>3636</v>
      </c>
      <c r="AD3543" s="213">
        <v>3</v>
      </c>
    </row>
    <row r="3544" spans="28:30" x14ac:dyDescent="0.25">
      <c r="AB3544" s="207" t="s">
        <v>233</v>
      </c>
      <c r="AC3544" s="207" t="s">
        <v>3637</v>
      </c>
      <c r="AD3544" s="213">
        <v>3</v>
      </c>
    </row>
    <row r="3545" spans="28:30" x14ac:dyDescent="0.25">
      <c r="AB3545" s="207" t="s">
        <v>233</v>
      </c>
      <c r="AC3545" s="207" t="s">
        <v>3638</v>
      </c>
      <c r="AD3545" s="213">
        <v>5</v>
      </c>
    </row>
    <row r="3546" spans="28:30" x14ac:dyDescent="0.25">
      <c r="AB3546" s="207" t="s">
        <v>233</v>
      </c>
      <c r="AC3546" s="207" t="s">
        <v>3639</v>
      </c>
      <c r="AD3546" s="213">
        <v>6</v>
      </c>
    </row>
    <row r="3547" spans="28:30" x14ac:dyDescent="0.25">
      <c r="AB3547" s="207" t="s">
        <v>233</v>
      </c>
      <c r="AC3547" s="207" t="s">
        <v>3640</v>
      </c>
      <c r="AD3547" s="213">
        <v>6</v>
      </c>
    </row>
    <row r="3548" spans="28:30" x14ac:dyDescent="0.25">
      <c r="AB3548" s="207" t="s">
        <v>233</v>
      </c>
      <c r="AC3548" s="207" t="s">
        <v>2754</v>
      </c>
      <c r="AD3548" s="213">
        <v>4</v>
      </c>
    </row>
    <row r="3549" spans="28:30" x14ac:dyDescent="0.25">
      <c r="AB3549" s="207" t="s">
        <v>233</v>
      </c>
      <c r="AC3549" s="207" t="s">
        <v>3641</v>
      </c>
      <c r="AD3549" s="213">
        <v>3</v>
      </c>
    </row>
    <row r="3550" spans="28:30" x14ac:dyDescent="0.25">
      <c r="AB3550" s="207" t="s">
        <v>233</v>
      </c>
      <c r="AC3550" s="207" t="s">
        <v>3642</v>
      </c>
      <c r="AD3550" s="213">
        <v>6</v>
      </c>
    </row>
    <row r="3551" spans="28:30" x14ac:dyDescent="0.25">
      <c r="AB3551" s="207" t="s">
        <v>249</v>
      </c>
      <c r="AC3551" s="207" t="s">
        <v>3643</v>
      </c>
      <c r="AD3551" s="213">
        <v>3</v>
      </c>
    </row>
    <row r="3552" spans="28:30" x14ac:dyDescent="0.25">
      <c r="AB3552" s="207" t="s">
        <v>233</v>
      </c>
      <c r="AC3552" s="207" t="s">
        <v>3644</v>
      </c>
      <c r="AD3552" s="213">
        <v>3</v>
      </c>
    </row>
    <row r="3553" spans="28:30" x14ac:dyDescent="0.25">
      <c r="AB3553" s="207" t="s">
        <v>1953</v>
      </c>
      <c r="AC3553" s="207" t="s">
        <v>3645</v>
      </c>
      <c r="AD3553" s="213">
        <v>3</v>
      </c>
    </row>
    <row r="3554" spans="28:30" x14ac:dyDescent="0.25">
      <c r="AB3554" s="207" t="s">
        <v>233</v>
      </c>
      <c r="AC3554" s="207" t="s">
        <v>3646</v>
      </c>
      <c r="AD3554" s="213">
        <v>3</v>
      </c>
    </row>
    <row r="3555" spans="28:30" x14ac:dyDescent="0.25">
      <c r="AB3555" s="207" t="s">
        <v>214</v>
      </c>
      <c r="AC3555" s="207" t="s">
        <v>3647</v>
      </c>
      <c r="AD3555" s="213">
        <v>3</v>
      </c>
    </row>
    <row r="3556" spans="28:30" x14ac:dyDescent="0.25">
      <c r="AB3556" s="207" t="s">
        <v>249</v>
      </c>
      <c r="AC3556" s="207" t="s">
        <v>3648</v>
      </c>
      <c r="AD3556" s="213">
        <v>3</v>
      </c>
    </row>
    <row r="3557" spans="28:30" x14ac:dyDescent="0.25">
      <c r="AB3557" s="207" t="s">
        <v>233</v>
      </c>
      <c r="AC3557" s="207" t="s">
        <v>3649</v>
      </c>
      <c r="AD3557" s="213">
        <v>6</v>
      </c>
    </row>
    <row r="3558" spans="28:30" x14ac:dyDescent="0.25">
      <c r="AB3558" s="207" t="s">
        <v>233</v>
      </c>
      <c r="AC3558" s="207" t="s">
        <v>3650</v>
      </c>
      <c r="AD3558" s="213">
        <v>4</v>
      </c>
    </row>
    <row r="3559" spans="28:30" x14ac:dyDescent="0.25">
      <c r="AB3559" s="207" t="s">
        <v>233</v>
      </c>
      <c r="AC3559" s="207" t="s">
        <v>3651</v>
      </c>
      <c r="AD3559" s="213">
        <v>6</v>
      </c>
    </row>
    <row r="3560" spans="28:30" x14ac:dyDescent="0.25">
      <c r="AB3560" s="207" t="s">
        <v>249</v>
      </c>
      <c r="AC3560" s="207" t="s">
        <v>3652</v>
      </c>
      <c r="AD3560" s="213">
        <v>3</v>
      </c>
    </row>
    <row r="3561" spans="28:30" x14ac:dyDescent="0.25">
      <c r="AB3561" s="207" t="s">
        <v>249</v>
      </c>
      <c r="AC3561" s="207" t="s">
        <v>3653</v>
      </c>
      <c r="AD3561" s="213">
        <v>4</v>
      </c>
    </row>
    <row r="3562" spans="28:30" x14ac:dyDescent="0.25">
      <c r="AB3562" s="207" t="s">
        <v>249</v>
      </c>
      <c r="AC3562" s="207" t="s">
        <v>3654</v>
      </c>
      <c r="AD3562" s="213">
        <v>2</v>
      </c>
    </row>
    <row r="3563" spans="28:30" x14ac:dyDescent="0.25">
      <c r="AB3563" s="207" t="s">
        <v>233</v>
      </c>
      <c r="AC3563" s="207" t="s">
        <v>3655</v>
      </c>
      <c r="AD3563" s="213">
        <v>3</v>
      </c>
    </row>
    <row r="3564" spans="28:30" x14ac:dyDescent="0.25">
      <c r="AB3564" s="207" t="s">
        <v>233</v>
      </c>
      <c r="AC3564" s="207" t="s">
        <v>3656</v>
      </c>
      <c r="AD3564" s="213">
        <v>3</v>
      </c>
    </row>
    <row r="3565" spans="28:30" x14ac:dyDescent="0.25">
      <c r="AB3565" s="207" t="s">
        <v>233</v>
      </c>
      <c r="AC3565" s="207" t="s">
        <v>3657</v>
      </c>
      <c r="AD3565" s="213">
        <v>6</v>
      </c>
    </row>
    <row r="3566" spans="28:30" x14ac:dyDescent="0.25">
      <c r="AB3566" s="207" t="s">
        <v>233</v>
      </c>
      <c r="AC3566" s="207" t="s">
        <v>3658</v>
      </c>
      <c r="AD3566" s="213">
        <v>3</v>
      </c>
    </row>
    <row r="3567" spans="28:30" x14ac:dyDescent="0.25">
      <c r="AB3567" s="207" t="s">
        <v>233</v>
      </c>
      <c r="AC3567" s="207" t="s">
        <v>3659</v>
      </c>
      <c r="AD3567" s="213">
        <v>6</v>
      </c>
    </row>
    <row r="3568" spans="28:30" x14ac:dyDescent="0.25">
      <c r="AB3568" s="207" t="s">
        <v>233</v>
      </c>
      <c r="AC3568" s="207" t="s">
        <v>3660</v>
      </c>
      <c r="AD3568" s="213">
        <v>6</v>
      </c>
    </row>
    <row r="3569" spans="28:30" x14ac:dyDescent="0.25">
      <c r="AB3569" s="207" t="s">
        <v>233</v>
      </c>
      <c r="AC3569" s="207" t="s">
        <v>3661</v>
      </c>
      <c r="AD3569" s="213">
        <v>5</v>
      </c>
    </row>
    <row r="3570" spans="28:30" x14ac:dyDescent="0.25">
      <c r="AB3570" s="207" t="s">
        <v>233</v>
      </c>
      <c r="AC3570" s="207" t="s">
        <v>3662</v>
      </c>
      <c r="AD3570" s="213">
        <v>3</v>
      </c>
    </row>
    <row r="3571" spans="28:30" x14ac:dyDescent="0.25">
      <c r="AB3571" s="207" t="s">
        <v>233</v>
      </c>
      <c r="AC3571" s="207" t="s">
        <v>3663</v>
      </c>
      <c r="AD3571" s="213">
        <v>6</v>
      </c>
    </row>
    <row r="3572" spans="28:30" x14ac:dyDescent="0.25">
      <c r="AB3572" s="207" t="s">
        <v>233</v>
      </c>
      <c r="AC3572" s="207" t="s">
        <v>3664</v>
      </c>
      <c r="AD3572" s="213">
        <v>6</v>
      </c>
    </row>
    <row r="3573" spans="28:30" x14ac:dyDescent="0.25">
      <c r="AB3573" s="207" t="s">
        <v>233</v>
      </c>
      <c r="AC3573" s="207" t="s">
        <v>3665</v>
      </c>
      <c r="AD3573" s="213">
        <v>6</v>
      </c>
    </row>
    <row r="3574" spans="28:30" x14ac:dyDescent="0.25">
      <c r="AB3574" s="207" t="s">
        <v>233</v>
      </c>
      <c r="AC3574" s="207" t="s">
        <v>3666</v>
      </c>
      <c r="AD3574" s="213">
        <v>4</v>
      </c>
    </row>
    <row r="3575" spans="28:30" x14ac:dyDescent="0.25">
      <c r="AB3575" s="207" t="s">
        <v>214</v>
      </c>
      <c r="AC3575" s="207" t="s">
        <v>3667</v>
      </c>
      <c r="AD3575" s="213">
        <v>2</v>
      </c>
    </row>
    <row r="3576" spans="28:30" x14ac:dyDescent="0.25">
      <c r="AB3576" s="207" t="s">
        <v>233</v>
      </c>
      <c r="AC3576" s="207" t="s">
        <v>3668</v>
      </c>
      <c r="AD3576" s="213">
        <v>2</v>
      </c>
    </row>
    <row r="3577" spans="28:30" x14ac:dyDescent="0.25">
      <c r="AB3577" s="207" t="s">
        <v>233</v>
      </c>
      <c r="AC3577" s="207" t="s">
        <v>3669</v>
      </c>
      <c r="AD3577" s="213">
        <v>6</v>
      </c>
    </row>
    <row r="3578" spans="28:30" x14ac:dyDescent="0.25">
      <c r="AB3578" s="207" t="s">
        <v>249</v>
      </c>
      <c r="AC3578" s="207" t="s">
        <v>3670</v>
      </c>
      <c r="AD3578" s="213">
        <v>2</v>
      </c>
    </row>
    <row r="3579" spans="28:30" x14ac:dyDescent="0.25">
      <c r="AB3579" s="207" t="s">
        <v>233</v>
      </c>
      <c r="AC3579" s="207" t="s">
        <v>3437</v>
      </c>
      <c r="AD3579" s="213">
        <v>4</v>
      </c>
    </row>
    <row r="3580" spans="28:30" x14ac:dyDescent="0.25">
      <c r="AB3580" s="207" t="s">
        <v>233</v>
      </c>
      <c r="AC3580" s="207" t="s">
        <v>3671</v>
      </c>
      <c r="AD3580" s="213">
        <v>4</v>
      </c>
    </row>
    <row r="3581" spans="28:30" x14ac:dyDescent="0.25">
      <c r="AB3581" s="207" t="s">
        <v>233</v>
      </c>
      <c r="AC3581" s="207" t="s">
        <v>3672</v>
      </c>
      <c r="AD3581" s="213">
        <v>3</v>
      </c>
    </row>
    <row r="3582" spans="28:30" x14ac:dyDescent="0.25">
      <c r="AB3582" s="207" t="s">
        <v>233</v>
      </c>
      <c r="AC3582" s="207" t="s">
        <v>3673</v>
      </c>
      <c r="AD3582" s="213">
        <v>3</v>
      </c>
    </row>
    <row r="3583" spans="28:30" x14ac:dyDescent="0.25">
      <c r="AB3583" s="207" t="s">
        <v>233</v>
      </c>
      <c r="AC3583" s="207" t="s">
        <v>3674</v>
      </c>
      <c r="AD3583" s="213">
        <v>4</v>
      </c>
    </row>
    <row r="3584" spans="28:30" x14ac:dyDescent="0.25">
      <c r="AB3584" s="207" t="s">
        <v>233</v>
      </c>
      <c r="AC3584" s="207" t="s">
        <v>3675</v>
      </c>
      <c r="AD3584" s="213">
        <v>6</v>
      </c>
    </row>
    <row r="3585" spans="28:30" x14ac:dyDescent="0.25">
      <c r="AB3585" s="207" t="s">
        <v>249</v>
      </c>
      <c r="AC3585" s="207" t="s">
        <v>3676</v>
      </c>
      <c r="AD3585" s="213">
        <v>3</v>
      </c>
    </row>
    <row r="3586" spans="28:30" x14ac:dyDescent="0.25">
      <c r="AB3586" s="207" t="s">
        <v>233</v>
      </c>
      <c r="AC3586" s="207" t="s">
        <v>3677</v>
      </c>
      <c r="AD3586" s="213">
        <v>3</v>
      </c>
    </row>
    <row r="3587" spans="28:30" x14ac:dyDescent="0.25">
      <c r="AB3587" s="207" t="s">
        <v>233</v>
      </c>
      <c r="AC3587" s="207" t="s">
        <v>3678</v>
      </c>
      <c r="AD3587" s="213">
        <v>6</v>
      </c>
    </row>
    <row r="3588" spans="28:30" x14ac:dyDescent="0.25">
      <c r="AB3588" s="207" t="s">
        <v>233</v>
      </c>
      <c r="AC3588" s="207" t="s">
        <v>3679</v>
      </c>
      <c r="AD3588" s="213">
        <v>3</v>
      </c>
    </row>
    <row r="3589" spans="28:30" x14ac:dyDescent="0.25">
      <c r="AB3589" s="207" t="s">
        <v>233</v>
      </c>
      <c r="AC3589" s="207" t="s">
        <v>3680</v>
      </c>
      <c r="AD3589" s="213">
        <v>4</v>
      </c>
    </row>
    <row r="3590" spans="28:30" x14ac:dyDescent="0.25">
      <c r="AB3590" s="207" t="s">
        <v>233</v>
      </c>
      <c r="AC3590" s="207" t="s">
        <v>3681</v>
      </c>
      <c r="AD3590" s="213">
        <v>5</v>
      </c>
    </row>
    <row r="3591" spans="28:30" x14ac:dyDescent="0.25">
      <c r="AB3591" s="207" t="s">
        <v>233</v>
      </c>
      <c r="AC3591" s="207" t="s">
        <v>3682</v>
      </c>
      <c r="AD3591" s="213">
        <v>3</v>
      </c>
    </row>
    <row r="3592" spans="28:30" x14ac:dyDescent="0.25">
      <c r="AB3592" s="207" t="s">
        <v>233</v>
      </c>
      <c r="AC3592" s="207" t="s">
        <v>3683</v>
      </c>
      <c r="AD3592" s="213">
        <v>4</v>
      </c>
    </row>
    <row r="3593" spans="28:30" x14ac:dyDescent="0.25">
      <c r="AB3593" s="207" t="s">
        <v>233</v>
      </c>
      <c r="AC3593" s="207" t="s">
        <v>3684</v>
      </c>
      <c r="AD3593" s="213">
        <v>6</v>
      </c>
    </row>
    <row r="3594" spans="28:30" x14ac:dyDescent="0.25">
      <c r="AB3594" s="207" t="s">
        <v>249</v>
      </c>
      <c r="AC3594" s="207" t="s">
        <v>3685</v>
      </c>
      <c r="AD3594" s="213">
        <v>3</v>
      </c>
    </row>
    <row r="3595" spans="28:30" x14ac:dyDescent="0.25">
      <c r="AB3595" s="207" t="s">
        <v>233</v>
      </c>
      <c r="AC3595" s="207" t="s">
        <v>3686</v>
      </c>
      <c r="AD3595" s="213">
        <v>5</v>
      </c>
    </row>
    <row r="3596" spans="28:30" x14ac:dyDescent="0.25">
      <c r="AB3596" s="207" t="s">
        <v>233</v>
      </c>
      <c r="AC3596" s="207" t="s">
        <v>3687</v>
      </c>
      <c r="AD3596" s="213">
        <v>3</v>
      </c>
    </row>
    <row r="3597" spans="28:30" x14ac:dyDescent="0.25">
      <c r="AB3597" s="207" t="s">
        <v>233</v>
      </c>
      <c r="AC3597" s="207" t="s">
        <v>3688</v>
      </c>
      <c r="AD3597" s="213">
        <v>3</v>
      </c>
    </row>
    <row r="3598" spans="28:30" x14ac:dyDescent="0.25">
      <c r="AB3598" s="207" t="s">
        <v>233</v>
      </c>
      <c r="AC3598" s="207" t="s">
        <v>3689</v>
      </c>
      <c r="AD3598" s="213">
        <v>6</v>
      </c>
    </row>
    <row r="3599" spans="28:30" x14ac:dyDescent="0.25">
      <c r="AB3599" s="207" t="s">
        <v>233</v>
      </c>
      <c r="AC3599" s="207" t="s">
        <v>3690</v>
      </c>
      <c r="AD3599" s="213">
        <v>6</v>
      </c>
    </row>
    <row r="3600" spans="28:30" x14ac:dyDescent="0.25">
      <c r="AB3600" s="207" t="s">
        <v>249</v>
      </c>
      <c r="AC3600" s="207" t="s">
        <v>3691</v>
      </c>
      <c r="AD3600" s="213">
        <v>3</v>
      </c>
    </row>
    <row r="3601" spans="28:30" x14ac:dyDescent="0.25">
      <c r="AB3601" s="207" t="s">
        <v>233</v>
      </c>
      <c r="AC3601" s="207" t="s">
        <v>3692</v>
      </c>
      <c r="AD3601" s="213">
        <v>3</v>
      </c>
    </row>
    <row r="3602" spans="28:30" x14ac:dyDescent="0.25">
      <c r="AB3602" s="207" t="s">
        <v>233</v>
      </c>
      <c r="AC3602" s="207" t="s">
        <v>3693</v>
      </c>
      <c r="AD3602" s="213">
        <v>6</v>
      </c>
    </row>
    <row r="3603" spans="28:30" x14ac:dyDescent="0.25">
      <c r="AB3603" s="207" t="s">
        <v>233</v>
      </c>
      <c r="AC3603" s="207" t="s">
        <v>3694</v>
      </c>
      <c r="AD3603" s="213">
        <v>6</v>
      </c>
    </row>
    <row r="3604" spans="28:30" x14ac:dyDescent="0.25">
      <c r="AB3604" s="207" t="s">
        <v>233</v>
      </c>
      <c r="AC3604" s="207" t="s">
        <v>1156</v>
      </c>
      <c r="AD3604" s="213">
        <v>4</v>
      </c>
    </row>
    <row r="3605" spans="28:30" x14ac:dyDescent="0.25">
      <c r="AB3605" s="207" t="s">
        <v>233</v>
      </c>
      <c r="AC3605" s="207" t="s">
        <v>2927</v>
      </c>
      <c r="AD3605" s="213">
        <v>4</v>
      </c>
    </row>
    <row r="3606" spans="28:30" x14ac:dyDescent="0.25">
      <c r="AB3606" s="207" t="s">
        <v>233</v>
      </c>
      <c r="AC3606" s="207" t="s">
        <v>3695</v>
      </c>
      <c r="AD3606" s="213">
        <v>3</v>
      </c>
    </row>
    <row r="3607" spans="28:30" x14ac:dyDescent="0.25">
      <c r="AB3607" s="207" t="s">
        <v>233</v>
      </c>
      <c r="AC3607" s="207" t="s">
        <v>3696</v>
      </c>
      <c r="AD3607" s="213">
        <v>5</v>
      </c>
    </row>
    <row r="3608" spans="28:30" x14ac:dyDescent="0.25">
      <c r="AB3608" s="207" t="s">
        <v>233</v>
      </c>
      <c r="AC3608" s="207" t="s">
        <v>3697</v>
      </c>
      <c r="AD3608" s="213">
        <v>6</v>
      </c>
    </row>
    <row r="3609" spans="28:30" x14ac:dyDescent="0.25">
      <c r="AB3609" s="207" t="s">
        <v>233</v>
      </c>
      <c r="AC3609" s="207" t="s">
        <v>3698</v>
      </c>
      <c r="AD3609" s="213">
        <v>4</v>
      </c>
    </row>
    <row r="3610" spans="28:30" x14ac:dyDescent="0.25">
      <c r="AB3610" s="207" t="s">
        <v>233</v>
      </c>
      <c r="AC3610" s="207" t="s">
        <v>3699</v>
      </c>
      <c r="AD3610" s="213">
        <v>6</v>
      </c>
    </row>
    <row r="3611" spans="28:30" x14ac:dyDescent="0.25">
      <c r="AB3611" s="207" t="s">
        <v>233</v>
      </c>
      <c r="AC3611" s="207" t="s">
        <v>3700</v>
      </c>
      <c r="AD3611" s="213">
        <v>3</v>
      </c>
    </row>
    <row r="3612" spans="28:30" x14ac:dyDescent="0.25">
      <c r="AB3612" s="207" t="s">
        <v>233</v>
      </c>
      <c r="AC3612" s="207" t="s">
        <v>3701</v>
      </c>
      <c r="AD3612" s="213">
        <v>6</v>
      </c>
    </row>
    <row r="3613" spans="28:30" x14ac:dyDescent="0.25">
      <c r="AB3613" s="207" t="s">
        <v>233</v>
      </c>
      <c r="AC3613" s="207" t="s">
        <v>3702</v>
      </c>
      <c r="AD3613" s="213">
        <v>4</v>
      </c>
    </row>
    <row r="3614" spans="28:30" x14ac:dyDescent="0.25">
      <c r="AB3614" s="207" t="s">
        <v>233</v>
      </c>
      <c r="AC3614" s="207" t="s">
        <v>3703</v>
      </c>
      <c r="AD3614" s="213">
        <v>4</v>
      </c>
    </row>
    <row r="3615" spans="28:30" x14ac:dyDescent="0.25">
      <c r="AB3615" s="207" t="s">
        <v>233</v>
      </c>
      <c r="AC3615" s="207" t="s">
        <v>3704</v>
      </c>
      <c r="AD3615" s="213">
        <v>4</v>
      </c>
    </row>
    <row r="3616" spans="28:30" x14ac:dyDescent="0.25">
      <c r="AB3616" s="207" t="s">
        <v>233</v>
      </c>
      <c r="AC3616" s="207" t="s">
        <v>3705</v>
      </c>
      <c r="AD3616" s="213">
        <v>6</v>
      </c>
    </row>
    <row r="3617" spans="28:30" x14ac:dyDescent="0.25">
      <c r="AB3617" s="207" t="s">
        <v>249</v>
      </c>
      <c r="AC3617" s="207" t="s">
        <v>3706</v>
      </c>
      <c r="AD3617" s="213">
        <v>3</v>
      </c>
    </row>
    <row r="3618" spans="28:30" x14ac:dyDescent="0.25">
      <c r="AB3618" s="207" t="s">
        <v>233</v>
      </c>
      <c r="AC3618" s="207" t="s">
        <v>1421</v>
      </c>
      <c r="AD3618" s="213">
        <v>6</v>
      </c>
    </row>
    <row r="3619" spans="28:30" x14ac:dyDescent="0.25">
      <c r="AB3619" s="207" t="s">
        <v>1953</v>
      </c>
      <c r="AC3619" s="207" t="s">
        <v>3707</v>
      </c>
      <c r="AD3619" s="213">
        <v>6</v>
      </c>
    </row>
    <row r="3620" spans="28:30" x14ac:dyDescent="0.25">
      <c r="AB3620" s="207" t="s">
        <v>233</v>
      </c>
      <c r="AC3620" s="207" t="s">
        <v>3708</v>
      </c>
      <c r="AD3620" s="213">
        <v>3</v>
      </c>
    </row>
    <row r="3621" spans="28:30" x14ac:dyDescent="0.25">
      <c r="AB3621" s="207" t="s">
        <v>233</v>
      </c>
      <c r="AC3621" s="207" t="s">
        <v>3709</v>
      </c>
      <c r="AD3621" s="213">
        <v>5</v>
      </c>
    </row>
    <row r="3622" spans="28:30" x14ac:dyDescent="0.25">
      <c r="AB3622" s="207" t="s">
        <v>233</v>
      </c>
      <c r="AC3622" s="207" t="s">
        <v>914</v>
      </c>
      <c r="AD3622" s="213">
        <v>3</v>
      </c>
    </row>
    <row r="3623" spans="28:30" x14ac:dyDescent="0.25">
      <c r="AB3623" s="207" t="s">
        <v>249</v>
      </c>
      <c r="AC3623" s="207" t="s">
        <v>3710</v>
      </c>
      <c r="AD3623" s="213">
        <v>3</v>
      </c>
    </row>
    <row r="3624" spans="28:30" x14ac:dyDescent="0.25">
      <c r="AB3624" s="207" t="s">
        <v>233</v>
      </c>
      <c r="AC3624" s="207" t="s">
        <v>3711</v>
      </c>
      <c r="AD3624" s="213">
        <v>4</v>
      </c>
    </row>
    <row r="3625" spans="28:30" x14ac:dyDescent="0.25">
      <c r="AB3625" s="207" t="s">
        <v>249</v>
      </c>
      <c r="AC3625" s="207" t="s">
        <v>3712</v>
      </c>
      <c r="AD3625" s="213">
        <v>3</v>
      </c>
    </row>
    <row r="3626" spans="28:30" x14ac:dyDescent="0.25">
      <c r="AB3626" s="207" t="s">
        <v>233</v>
      </c>
      <c r="AC3626" s="207" t="s">
        <v>3713</v>
      </c>
      <c r="AD3626" s="213">
        <v>4</v>
      </c>
    </row>
    <row r="3627" spans="28:30" x14ac:dyDescent="0.25">
      <c r="AB3627" s="207" t="s">
        <v>233</v>
      </c>
      <c r="AC3627" s="207" t="s">
        <v>3714</v>
      </c>
      <c r="AD3627" s="213">
        <v>6</v>
      </c>
    </row>
    <row r="3628" spans="28:30" x14ac:dyDescent="0.25">
      <c r="AB3628" s="207" t="s">
        <v>233</v>
      </c>
      <c r="AC3628" s="207" t="s">
        <v>3715</v>
      </c>
      <c r="AD3628" s="213">
        <v>4</v>
      </c>
    </row>
    <row r="3629" spans="28:30" x14ac:dyDescent="0.25">
      <c r="AB3629" s="207" t="s">
        <v>233</v>
      </c>
      <c r="AC3629" s="207" t="s">
        <v>3716</v>
      </c>
      <c r="AD3629" s="213">
        <v>6</v>
      </c>
    </row>
    <row r="3630" spans="28:30" x14ac:dyDescent="0.25">
      <c r="AB3630" s="207" t="s">
        <v>233</v>
      </c>
      <c r="AC3630" s="207" t="s">
        <v>3717</v>
      </c>
      <c r="AD3630" s="213">
        <v>4</v>
      </c>
    </row>
    <row r="3631" spans="28:30" x14ac:dyDescent="0.25">
      <c r="AB3631" s="207" t="s">
        <v>233</v>
      </c>
      <c r="AC3631" s="207" t="s">
        <v>3718</v>
      </c>
      <c r="AD3631" s="213">
        <v>3</v>
      </c>
    </row>
    <row r="3632" spans="28:30" x14ac:dyDescent="0.25">
      <c r="AB3632" s="207" t="s">
        <v>233</v>
      </c>
      <c r="AC3632" s="207" t="s">
        <v>3719</v>
      </c>
      <c r="AD3632" s="213">
        <v>3</v>
      </c>
    </row>
    <row r="3633" spans="28:30" x14ac:dyDescent="0.25">
      <c r="AB3633" s="207" t="s">
        <v>233</v>
      </c>
      <c r="AC3633" s="207" t="s">
        <v>3720</v>
      </c>
      <c r="AD3633" s="213">
        <v>3</v>
      </c>
    </row>
    <row r="3634" spans="28:30" x14ac:dyDescent="0.25">
      <c r="AB3634" s="207" t="s">
        <v>233</v>
      </c>
      <c r="AC3634" s="207" t="s">
        <v>3721</v>
      </c>
      <c r="AD3634" s="213">
        <v>4</v>
      </c>
    </row>
    <row r="3635" spans="28:30" x14ac:dyDescent="0.25">
      <c r="AB3635" s="207" t="s">
        <v>233</v>
      </c>
      <c r="AC3635" s="207" t="s">
        <v>3722</v>
      </c>
      <c r="AD3635" s="213">
        <v>4</v>
      </c>
    </row>
    <row r="3636" spans="28:30" x14ac:dyDescent="0.25">
      <c r="AB3636" s="207" t="s">
        <v>233</v>
      </c>
      <c r="AC3636" s="207" t="s">
        <v>3723</v>
      </c>
      <c r="AD3636" s="213">
        <v>3</v>
      </c>
    </row>
    <row r="3637" spans="28:30" x14ac:dyDescent="0.25">
      <c r="AB3637" s="207" t="s">
        <v>233</v>
      </c>
      <c r="AC3637" s="207" t="s">
        <v>3724</v>
      </c>
      <c r="AD3637" s="213">
        <v>6</v>
      </c>
    </row>
    <row r="3638" spans="28:30" x14ac:dyDescent="0.25">
      <c r="AB3638" s="207" t="s">
        <v>233</v>
      </c>
      <c r="AC3638" s="207" t="s">
        <v>3725</v>
      </c>
      <c r="AD3638" s="213">
        <v>6</v>
      </c>
    </row>
    <row r="3639" spans="28:30" x14ac:dyDescent="0.25">
      <c r="AB3639" s="207" t="s">
        <v>1953</v>
      </c>
      <c r="AC3639" s="207" t="s">
        <v>3726</v>
      </c>
      <c r="AD3639" s="213">
        <v>6</v>
      </c>
    </row>
    <row r="3640" spans="28:30" x14ac:dyDescent="0.25">
      <c r="AB3640" s="207" t="s">
        <v>233</v>
      </c>
      <c r="AC3640" s="207" t="s">
        <v>3727</v>
      </c>
      <c r="AD3640" s="213">
        <v>3</v>
      </c>
    </row>
    <row r="3641" spans="28:30" x14ac:dyDescent="0.25">
      <c r="AB3641" s="207" t="s">
        <v>233</v>
      </c>
      <c r="AC3641" s="207" t="s">
        <v>3728</v>
      </c>
      <c r="AD3641" s="213">
        <v>6</v>
      </c>
    </row>
    <row r="3642" spans="28:30" x14ac:dyDescent="0.25">
      <c r="AB3642" s="207" t="s">
        <v>233</v>
      </c>
      <c r="AC3642" s="207" t="s">
        <v>3729</v>
      </c>
      <c r="AD3642" s="213">
        <v>4</v>
      </c>
    </row>
    <row r="3643" spans="28:30" x14ac:dyDescent="0.25">
      <c r="AB3643" s="207" t="s">
        <v>233</v>
      </c>
      <c r="AC3643" s="207" t="s">
        <v>3730</v>
      </c>
      <c r="AD3643" s="213">
        <v>3</v>
      </c>
    </row>
    <row r="3644" spans="28:30" x14ac:dyDescent="0.25">
      <c r="AB3644" s="207" t="s">
        <v>233</v>
      </c>
      <c r="AC3644" s="207" t="s">
        <v>3731</v>
      </c>
      <c r="AD3644" s="213">
        <v>4</v>
      </c>
    </row>
    <row r="3645" spans="28:30" x14ac:dyDescent="0.25">
      <c r="AB3645" s="207" t="s">
        <v>233</v>
      </c>
      <c r="AC3645" s="207" t="s">
        <v>3732</v>
      </c>
      <c r="AD3645" s="213">
        <v>6</v>
      </c>
    </row>
    <row r="3646" spans="28:30" x14ac:dyDescent="0.25">
      <c r="AB3646" s="207" t="s">
        <v>233</v>
      </c>
      <c r="AC3646" s="207" t="s">
        <v>3733</v>
      </c>
      <c r="AD3646" s="213">
        <v>3</v>
      </c>
    </row>
    <row r="3647" spans="28:30" x14ac:dyDescent="0.25">
      <c r="AB3647" s="207" t="s">
        <v>233</v>
      </c>
      <c r="AC3647" s="207" t="s">
        <v>3734</v>
      </c>
      <c r="AD3647" s="213">
        <v>3</v>
      </c>
    </row>
    <row r="3648" spans="28:30" x14ac:dyDescent="0.25">
      <c r="AB3648" s="207" t="s">
        <v>233</v>
      </c>
      <c r="AC3648" s="207" t="s">
        <v>3735</v>
      </c>
      <c r="AD3648" s="213">
        <v>3</v>
      </c>
    </row>
    <row r="3649" spans="28:30" x14ac:dyDescent="0.25">
      <c r="AB3649" s="207" t="s">
        <v>233</v>
      </c>
      <c r="AC3649" s="207" t="s">
        <v>3736</v>
      </c>
      <c r="AD3649" s="213">
        <v>5</v>
      </c>
    </row>
    <row r="3650" spans="28:30" x14ac:dyDescent="0.25">
      <c r="AB3650" s="207" t="s">
        <v>233</v>
      </c>
      <c r="AC3650" s="207" t="s">
        <v>3737</v>
      </c>
      <c r="AD3650" s="213">
        <v>6</v>
      </c>
    </row>
    <row r="3651" spans="28:30" x14ac:dyDescent="0.25">
      <c r="AB3651" s="207" t="s">
        <v>233</v>
      </c>
      <c r="AC3651" s="207" t="s">
        <v>3738</v>
      </c>
      <c r="AD3651" s="213">
        <v>6</v>
      </c>
    </row>
    <row r="3652" spans="28:30" x14ac:dyDescent="0.25">
      <c r="AB3652" s="207" t="s">
        <v>233</v>
      </c>
      <c r="AC3652" s="207" t="s">
        <v>3739</v>
      </c>
      <c r="AD3652" s="213">
        <v>6</v>
      </c>
    </row>
    <row r="3653" spans="28:30" x14ac:dyDescent="0.25">
      <c r="AB3653" s="207" t="s">
        <v>233</v>
      </c>
      <c r="AC3653" s="207" t="s">
        <v>3740</v>
      </c>
      <c r="AD3653" s="213">
        <v>6</v>
      </c>
    </row>
    <row r="3654" spans="28:30" x14ac:dyDescent="0.25">
      <c r="AB3654" s="207" t="s">
        <v>233</v>
      </c>
      <c r="AC3654" s="207" t="s">
        <v>3741</v>
      </c>
      <c r="AD3654" s="213">
        <v>6</v>
      </c>
    </row>
    <row r="3655" spans="28:30" x14ac:dyDescent="0.25">
      <c r="AB3655" s="207" t="s">
        <v>233</v>
      </c>
      <c r="AC3655" s="207" t="s">
        <v>3742</v>
      </c>
      <c r="AD3655" s="213">
        <v>6</v>
      </c>
    </row>
    <row r="3656" spans="28:30" x14ac:dyDescent="0.25">
      <c r="AB3656" s="207" t="s">
        <v>233</v>
      </c>
      <c r="AC3656" s="207" t="s">
        <v>3743</v>
      </c>
      <c r="AD3656" s="213">
        <v>6</v>
      </c>
    </row>
    <row r="3657" spans="28:30" x14ac:dyDescent="0.25">
      <c r="AB3657" s="207" t="s">
        <v>233</v>
      </c>
      <c r="AC3657" s="207" t="s">
        <v>3744</v>
      </c>
      <c r="AD3657" s="213">
        <v>6</v>
      </c>
    </row>
    <row r="3658" spans="28:30" x14ac:dyDescent="0.25">
      <c r="AB3658" s="207" t="s">
        <v>233</v>
      </c>
      <c r="AC3658" s="207" t="s">
        <v>3745</v>
      </c>
      <c r="AD3658" s="213">
        <v>4</v>
      </c>
    </row>
    <row r="3659" spans="28:30" x14ac:dyDescent="0.25">
      <c r="AB3659" s="207" t="s">
        <v>233</v>
      </c>
      <c r="AC3659" s="207" t="s">
        <v>3746</v>
      </c>
      <c r="AD3659" s="213">
        <v>6</v>
      </c>
    </row>
    <row r="3660" spans="28:30" x14ac:dyDescent="0.25">
      <c r="AB3660" s="207" t="s">
        <v>233</v>
      </c>
      <c r="AC3660" s="207" t="s">
        <v>3747</v>
      </c>
      <c r="AD3660" s="213">
        <v>6</v>
      </c>
    </row>
    <row r="3661" spans="28:30" x14ac:dyDescent="0.25">
      <c r="AB3661" s="207" t="s">
        <v>233</v>
      </c>
      <c r="AC3661" s="207" t="s">
        <v>3748</v>
      </c>
      <c r="AD3661" s="213">
        <v>3</v>
      </c>
    </row>
    <row r="3662" spans="28:30" x14ac:dyDescent="0.25">
      <c r="AB3662" s="207" t="s">
        <v>233</v>
      </c>
      <c r="AC3662" s="207" t="s">
        <v>3749</v>
      </c>
      <c r="AD3662" s="213">
        <v>6</v>
      </c>
    </row>
    <row r="3663" spans="28:30" x14ac:dyDescent="0.25">
      <c r="AB3663" s="207" t="s">
        <v>233</v>
      </c>
      <c r="AC3663" s="207" t="s">
        <v>3750</v>
      </c>
      <c r="AD3663" s="213">
        <v>6</v>
      </c>
    </row>
    <row r="3664" spans="28:30" x14ac:dyDescent="0.25">
      <c r="AB3664" s="207" t="s">
        <v>233</v>
      </c>
      <c r="AC3664" s="207" t="s">
        <v>3751</v>
      </c>
      <c r="AD3664" s="213">
        <v>3</v>
      </c>
    </row>
    <row r="3665" spans="28:30" x14ac:dyDescent="0.25">
      <c r="AB3665" s="207" t="s">
        <v>233</v>
      </c>
      <c r="AC3665" s="207" t="s">
        <v>3752</v>
      </c>
      <c r="AD3665" s="213">
        <v>3</v>
      </c>
    </row>
    <row r="3666" spans="28:30" x14ac:dyDescent="0.25">
      <c r="AB3666" s="207" t="s">
        <v>233</v>
      </c>
      <c r="AC3666" s="207" t="s">
        <v>3753</v>
      </c>
      <c r="AD3666" s="213">
        <v>6</v>
      </c>
    </row>
    <row r="3667" spans="28:30" x14ac:dyDescent="0.25">
      <c r="AB3667" s="207" t="s">
        <v>233</v>
      </c>
      <c r="AC3667" s="207" t="s">
        <v>3754</v>
      </c>
      <c r="AD3667" s="213">
        <v>6</v>
      </c>
    </row>
    <row r="3668" spans="28:30" x14ac:dyDescent="0.25">
      <c r="AB3668" s="207" t="s">
        <v>233</v>
      </c>
      <c r="AC3668" s="207" t="s">
        <v>3755</v>
      </c>
      <c r="AD3668" s="213">
        <v>4</v>
      </c>
    </row>
    <row r="3669" spans="28:30" x14ac:dyDescent="0.25">
      <c r="AB3669" s="207" t="s">
        <v>233</v>
      </c>
      <c r="AC3669" s="207" t="s">
        <v>3756</v>
      </c>
      <c r="AD3669" s="213">
        <v>3</v>
      </c>
    </row>
    <row r="3670" spans="28:30" x14ac:dyDescent="0.25">
      <c r="AB3670" s="207" t="s">
        <v>233</v>
      </c>
      <c r="AC3670" s="207" t="s">
        <v>3757</v>
      </c>
      <c r="AD3670" s="213">
        <v>6</v>
      </c>
    </row>
    <row r="3671" spans="28:30" x14ac:dyDescent="0.25">
      <c r="AB3671" s="207" t="s">
        <v>233</v>
      </c>
      <c r="AC3671" s="207" t="s">
        <v>3758</v>
      </c>
      <c r="AD3671" s="213">
        <v>4</v>
      </c>
    </row>
    <row r="3672" spans="28:30" x14ac:dyDescent="0.25">
      <c r="AB3672" s="207" t="s">
        <v>233</v>
      </c>
      <c r="AC3672" s="207" t="s">
        <v>1358</v>
      </c>
      <c r="AD3672" s="213">
        <v>3</v>
      </c>
    </row>
    <row r="3673" spans="28:30" x14ac:dyDescent="0.25">
      <c r="AB3673" s="207" t="s">
        <v>233</v>
      </c>
      <c r="AC3673" s="207" t="s">
        <v>3759</v>
      </c>
      <c r="AD3673" s="213">
        <v>6</v>
      </c>
    </row>
    <row r="3674" spans="28:30" x14ac:dyDescent="0.25">
      <c r="AB3674" s="207" t="s">
        <v>233</v>
      </c>
      <c r="AC3674" s="207" t="s">
        <v>3760</v>
      </c>
      <c r="AD3674" s="213">
        <v>3</v>
      </c>
    </row>
    <row r="3675" spans="28:30" x14ac:dyDescent="0.25">
      <c r="AB3675" s="207" t="s">
        <v>233</v>
      </c>
      <c r="AC3675" s="207" t="s">
        <v>3761</v>
      </c>
      <c r="AD3675" s="213">
        <v>6</v>
      </c>
    </row>
    <row r="3676" spans="28:30" x14ac:dyDescent="0.25">
      <c r="AB3676" s="207" t="s">
        <v>233</v>
      </c>
      <c r="AC3676" s="207" t="s">
        <v>3762</v>
      </c>
      <c r="AD3676" s="213">
        <v>6</v>
      </c>
    </row>
    <row r="3677" spans="28:30" x14ac:dyDescent="0.25">
      <c r="AB3677" s="207" t="s">
        <v>233</v>
      </c>
      <c r="AC3677" s="207" t="s">
        <v>3763</v>
      </c>
      <c r="AD3677" s="213">
        <v>6</v>
      </c>
    </row>
    <row r="3678" spans="28:30" x14ac:dyDescent="0.25">
      <c r="AB3678" s="207" t="s">
        <v>233</v>
      </c>
      <c r="AC3678" s="207" t="s">
        <v>3764</v>
      </c>
      <c r="AD3678" s="213">
        <v>6</v>
      </c>
    </row>
    <row r="3679" spans="28:30" x14ac:dyDescent="0.25">
      <c r="AB3679" s="207" t="s">
        <v>233</v>
      </c>
      <c r="AC3679" s="207" t="s">
        <v>3765</v>
      </c>
      <c r="AD3679" s="213">
        <v>6</v>
      </c>
    </row>
    <row r="3680" spans="28:30" x14ac:dyDescent="0.25">
      <c r="AB3680" s="207" t="s">
        <v>233</v>
      </c>
      <c r="AC3680" s="207" t="s">
        <v>3766</v>
      </c>
      <c r="AD3680" s="213">
        <v>6</v>
      </c>
    </row>
    <row r="3681" spans="28:30" x14ac:dyDescent="0.25">
      <c r="AB3681" s="207" t="s">
        <v>233</v>
      </c>
      <c r="AC3681" s="207" t="s">
        <v>3767</v>
      </c>
      <c r="AD3681" s="213">
        <v>6</v>
      </c>
    </row>
    <row r="3682" spans="28:30" x14ac:dyDescent="0.25">
      <c r="AB3682" s="207" t="s">
        <v>233</v>
      </c>
      <c r="AC3682" s="207" t="s">
        <v>3768</v>
      </c>
      <c r="AD3682" s="213">
        <v>6</v>
      </c>
    </row>
    <row r="3683" spans="28:30" x14ac:dyDescent="0.25">
      <c r="AB3683" s="207" t="s">
        <v>233</v>
      </c>
      <c r="AC3683" s="207" t="s">
        <v>3769</v>
      </c>
      <c r="AD3683" s="213">
        <v>6</v>
      </c>
    </row>
    <row r="3684" spans="28:30" x14ac:dyDescent="0.25">
      <c r="AB3684" s="207" t="s">
        <v>233</v>
      </c>
      <c r="AC3684" s="207" t="s">
        <v>3770</v>
      </c>
      <c r="AD3684" s="213">
        <v>6</v>
      </c>
    </row>
    <row r="3685" spans="28:30" x14ac:dyDescent="0.25">
      <c r="AB3685" s="207" t="s">
        <v>233</v>
      </c>
      <c r="AC3685" s="207" t="s">
        <v>3771</v>
      </c>
      <c r="AD3685" s="213">
        <v>6</v>
      </c>
    </row>
    <row r="3686" spans="28:30" x14ac:dyDescent="0.25">
      <c r="AB3686" s="207" t="s">
        <v>233</v>
      </c>
      <c r="AC3686" s="207" t="s">
        <v>3772</v>
      </c>
      <c r="AD3686" s="213">
        <v>6</v>
      </c>
    </row>
    <row r="3687" spans="28:30" x14ac:dyDescent="0.25">
      <c r="AB3687" s="207" t="s">
        <v>233</v>
      </c>
      <c r="AC3687" s="207" t="s">
        <v>3773</v>
      </c>
      <c r="AD3687" s="213">
        <v>4</v>
      </c>
    </row>
    <row r="3688" spans="28:30" x14ac:dyDescent="0.25">
      <c r="AB3688" s="207" t="s">
        <v>233</v>
      </c>
      <c r="AC3688" s="207" t="s">
        <v>3774</v>
      </c>
      <c r="AD3688" s="213">
        <v>4</v>
      </c>
    </row>
    <row r="3689" spans="28:30" x14ac:dyDescent="0.25">
      <c r="AB3689" s="207" t="s">
        <v>233</v>
      </c>
      <c r="AC3689" s="207" t="s">
        <v>3775</v>
      </c>
      <c r="AD3689" s="213">
        <v>6</v>
      </c>
    </row>
    <row r="3690" spans="28:30" x14ac:dyDescent="0.25">
      <c r="AB3690" s="207" t="s">
        <v>233</v>
      </c>
      <c r="AC3690" s="207" t="s">
        <v>3776</v>
      </c>
      <c r="AD3690" s="213">
        <v>3</v>
      </c>
    </row>
    <row r="3691" spans="28:30" x14ac:dyDescent="0.25">
      <c r="AB3691" s="207" t="s">
        <v>233</v>
      </c>
      <c r="AC3691" s="207" t="s">
        <v>3777</v>
      </c>
      <c r="AD3691" s="213">
        <v>6</v>
      </c>
    </row>
    <row r="3692" spans="28:30" x14ac:dyDescent="0.25">
      <c r="AB3692" s="207" t="s">
        <v>233</v>
      </c>
      <c r="AC3692" s="207" t="s">
        <v>3778</v>
      </c>
      <c r="AD3692" s="213">
        <v>6</v>
      </c>
    </row>
    <row r="3693" spans="28:30" x14ac:dyDescent="0.25">
      <c r="AB3693" s="207" t="s">
        <v>233</v>
      </c>
      <c r="AC3693" s="207" t="s">
        <v>3779</v>
      </c>
      <c r="AD3693" s="213">
        <v>6</v>
      </c>
    </row>
    <row r="3694" spans="28:30" x14ac:dyDescent="0.25">
      <c r="AB3694" s="207" t="s">
        <v>233</v>
      </c>
      <c r="AC3694" s="207" t="s">
        <v>3780</v>
      </c>
      <c r="AD3694" s="213">
        <v>6</v>
      </c>
    </row>
    <row r="3695" spans="28:30" x14ac:dyDescent="0.25">
      <c r="AB3695" s="207" t="s">
        <v>249</v>
      </c>
      <c r="AC3695" s="207" t="s">
        <v>3781</v>
      </c>
      <c r="AD3695" s="213">
        <v>2</v>
      </c>
    </row>
    <row r="3696" spans="28:30" x14ac:dyDescent="0.25">
      <c r="AB3696" s="207" t="s">
        <v>233</v>
      </c>
      <c r="AC3696" s="207" t="s">
        <v>3782</v>
      </c>
      <c r="AD3696" s="213">
        <v>6</v>
      </c>
    </row>
    <row r="3697" spans="28:30" x14ac:dyDescent="0.25">
      <c r="AB3697" s="207" t="s">
        <v>233</v>
      </c>
      <c r="AC3697" s="207" t="s">
        <v>3783</v>
      </c>
      <c r="AD3697" s="213">
        <v>6</v>
      </c>
    </row>
    <row r="3698" spans="28:30" x14ac:dyDescent="0.25">
      <c r="AB3698" s="207" t="s">
        <v>233</v>
      </c>
      <c r="AC3698" s="207" t="s">
        <v>3784</v>
      </c>
      <c r="AD3698" s="213">
        <v>3</v>
      </c>
    </row>
    <row r="3699" spans="28:30" x14ac:dyDescent="0.25">
      <c r="AB3699" s="207" t="s">
        <v>233</v>
      </c>
      <c r="AC3699" s="207" t="s">
        <v>3785</v>
      </c>
      <c r="AD3699" s="213">
        <v>4</v>
      </c>
    </row>
    <row r="3700" spans="28:30" x14ac:dyDescent="0.25">
      <c r="AB3700" s="207" t="s">
        <v>233</v>
      </c>
      <c r="AC3700" s="207" t="s">
        <v>3786</v>
      </c>
      <c r="AD3700" s="213">
        <v>6</v>
      </c>
    </row>
    <row r="3701" spans="28:30" x14ac:dyDescent="0.25">
      <c r="AB3701" s="207" t="s">
        <v>233</v>
      </c>
      <c r="AC3701" s="207" t="s">
        <v>3787</v>
      </c>
      <c r="AD3701" s="213">
        <v>6</v>
      </c>
    </row>
    <row r="3702" spans="28:30" x14ac:dyDescent="0.25">
      <c r="AB3702" s="207" t="s">
        <v>233</v>
      </c>
      <c r="AC3702" s="207" t="s">
        <v>2901</v>
      </c>
      <c r="AD3702" s="213">
        <v>4</v>
      </c>
    </row>
    <row r="3703" spans="28:30" x14ac:dyDescent="0.25">
      <c r="AB3703" s="207" t="s">
        <v>249</v>
      </c>
      <c r="AC3703" s="207" t="s">
        <v>3788</v>
      </c>
      <c r="AD3703" s="213">
        <v>6</v>
      </c>
    </row>
    <row r="3704" spans="28:30" x14ac:dyDescent="0.25">
      <c r="AB3704" s="207" t="s">
        <v>233</v>
      </c>
      <c r="AC3704" s="207" t="s">
        <v>1177</v>
      </c>
      <c r="AD3704" s="213">
        <v>6</v>
      </c>
    </row>
    <row r="3705" spans="28:30" x14ac:dyDescent="0.25">
      <c r="AB3705" s="207" t="s">
        <v>233</v>
      </c>
      <c r="AC3705" s="207" t="s">
        <v>2576</v>
      </c>
      <c r="AD3705" s="213">
        <v>3</v>
      </c>
    </row>
    <row r="3706" spans="28:30" x14ac:dyDescent="0.25">
      <c r="AB3706" s="207" t="s">
        <v>233</v>
      </c>
      <c r="AC3706" s="207" t="s">
        <v>3789</v>
      </c>
      <c r="AD3706" s="213">
        <v>6</v>
      </c>
    </row>
    <row r="3707" spans="28:30" x14ac:dyDescent="0.25">
      <c r="AB3707" s="207" t="s">
        <v>233</v>
      </c>
      <c r="AC3707" s="207" t="s">
        <v>3790</v>
      </c>
      <c r="AD3707" s="213">
        <v>6</v>
      </c>
    </row>
    <row r="3708" spans="28:30" x14ac:dyDescent="0.25">
      <c r="AB3708" s="207" t="s">
        <v>233</v>
      </c>
      <c r="AC3708" s="207" t="s">
        <v>3791</v>
      </c>
      <c r="AD3708" s="213">
        <v>6</v>
      </c>
    </row>
    <row r="3709" spans="28:30" x14ac:dyDescent="0.25">
      <c r="AB3709" s="207" t="s">
        <v>233</v>
      </c>
      <c r="AC3709" s="207" t="s">
        <v>3792</v>
      </c>
      <c r="AD3709" s="213">
        <v>3</v>
      </c>
    </row>
    <row r="3710" spans="28:30" x14ac:dyDescent="0.25">
      <c r="AB3710" s="207" t="s">
        <v>233</v>
      </c>
      <c r="AC3710" s="207" t="s">
        <v>3793</v>
      </c>
      <c r="AD3710" s="213">
        <v>3</v>
      </c>
    </row>
    <row r="3711" spans="28:30" x14ac:dyDescent="0.25">
      <c r="AB3711" s="207" t="s">
        <v>233</v>
      </c>
      <c r="AC3711" s="207" t="s">
        <v>3794</v>
      </c>
      <c r="AD3711" s="213">
        <v>3</v>
      </c>
    </row>
    <row r="3712" spans="28:30" x14ac:dyDescent="0.25">
      <c r="AB3712" s="207" t="s">
        <v>233</v>
      </c>
      <c r="AC3712" s="207" t="s">
        <v>3795</v>
      </c>
      <c r="AD3712" s="213">
        <v>6</v>
      </c>
    </row>
    <row r="3713" spans="28:30" x14ac:dyDescent="0.25">
      <c r="AB3713" s="207" t="s">
        <v>233</v>
      </c>
      <c r="AC3713" s="207" t="s">
        <v>3796</v>
      </c>
      <c r="AD3713" s="213">
        <v>6</v>
      </c>
    </row>
    <row r="3714" spans="28:30" x14ac:dyDescent="0.25">
      <c r="AB3714" s="207" t="s">
        <v>233</v>
      </c>
      <c r="AC3714" s="207" t="s">
        <v>3797</v>
      </c>
      <c r="AD3714" s="213">
        <v>6</v>
      </c>
    </row>
    <row r="3715" spans="28:30" x14ac:dyDescent="0.25">
      <c r="AB3715" s="207" t="s">
        <v>233</v>
      </c>
      <c r="AC3715" s="207" t="s">
        <v>3798</v>
      </c>
      <c r="AD3715" s="213">
        <v>6</v>
      </c>
    </row>
    <row r="3716" spans="28:30" x14ac:dyDescent="0.25">
      <c r="AB3716" s="207" t="s">
        <v>233</v>
      </c>
      <c r="AC3716" s="207" t="s">
        <v>3799</v>
      </c>
      <c r="AD3716" s="213">
        <v>6</v>
      </c>
    </row>
    <row r="3717" spans="28:30" x14ac:dyDescent="0.25">
      <c r="AB3717" s="207" t="s">
        <v>233</v>
      </c>
      <c r="AC3717" s="207" t="s">
        <v>3800</v>
      </c>
      <c r="AD3717" s="213">
        <v>6</v>
      </c>
    </row>
    <row r="3718" spans="28:30" x14ac:dyDescent="0.25">
      <c r="AB3718" s="207" t="s">
        <v>233</v>
      </c>
      <c r="AC3718" s="207" t="s">
        <v>1337</v>
      </c>
      <c r="AD3718" s="213">
        <v>6</v>
      </c>
    </row>
    <row r="3719" spans="28:30" x14ac:dyDescent="0.25">
      <c r="AB3719" s="207" t="s">
        <v>233</v>
      </c>
      <c r="AC3719" s="207" t="s">
        <v>3801</v>
      </c>
      <c r="AD3719" s="213">
        <v>6</v>
      </c>
    </row>
    <row r="3720" spans="28:30" x14ac:dyDescent="0.25">
      <c r="AB3720" s="207" t="s">
        <v>233</v>
      </c>
      <c r="AC3720" s="207" t="s">
        <v>3802</v>
      </c>
      <c r="AD3720" s="213">
        <v>6</v>
      </c>
    </row>
    <row r="3721" spans="28:30" x14ac:dyDescent="0.25">
      <c r="AB3721" s="207" t="s">
        <v>233</v>
      </c>
      <c r="AC3721" s="207" t="s">
        <v>3803</v>
      </c>
      <c r="AD3721" s="213">
        <v>4</v>
      </c>
    </row>
    <row r="3722" spans="28:30" x14ac:dyDescent="0.25">
      <c r="AB3722" s="207" t="s">
        <v>233</v>
      </c>
      <c r="AC3722" s="207" t="s">
        <v>3804</v>
      </c>
      <c r="AD3722" s="213">
        <v>3</v>
      </c>
    </row>
    <row r="3723" spans="28:30" x14ac:dyDescent="0.25">
      <c r="AB3723" s="207" t="s">
        <v>233</v>
      </c>
      <c r="AC3723" s="207" t="s">
        <v>3805</v>
      </c>
      <c r="AD3723" s="213">
        <v>6</v>
      </c>
    </row>
    <row r="3724" spans="28:30" x14ac:dyDescent="0.25">
      <c r="AB3724" s="207" t="s">
        <v>233</v>
      </c>
      <c r="AC3724" s="207" t="s">
        <v>3806</v>
      </c>
      <c r="AD3724" s="213">
        <v>6</v>
      </c>
    </row>
    <row r="3725" spans="28:30" x14ac:dyDescent="0.25">
      <c r="AB3725" s="207" t="s">
        <v>233</v>
      </c>
      <c r="AC3725" s="207" t="s">
        <v>3807</v>
      </c>
      <c r="AD3725" s="213">
        <v>6</v>
      </c>
    </row>
    <row r="3726" spans="28:30" x14ac:dyDescent="0.25">
      <c r="AB3726" s="207" t="s">
        <v>233</v>
      </c>
      <c r="AC3726" s="207" t="s">
        <v>3808</v>
      </c>
      <c r="AD3726" s="213">
        <v>6</v>
      </c>
    </row>
    <row r="3727" spans="28:30" x14ac:dyDescent="0.25">
      <c r="AB3727" s="207" t="s">
        <v>233</v>
      </c>
      <c r="AC3727" s="207" t="s">
        <v>3809</v>
      </c>
      <c r="AD3727" s="213">
        <v>6</v>
      </c>
    </row>
    <row r="3728" spans="28:30" x14ac:dyDescent="0.25">
      <c r="AB3728" s="207" t="s">
        <v>233</v>
      </c>
      <c r="AC3728" s="207" t="s">
        <v>3810</v>
      </c>
      <c r="AD3728" s="213">
        <v>6</v>
      </c>
    </row>
    <row r="3729" spans="28:30" x14ac:dyDescent="0.25">
      <c r="AB3729" s="207" t="s">
        <v>233</v>
      </c>
      <c r="AC3729" s="207" t="s">
        <v>3811</v>
      </c>
      <c r="AD3729" s="213">
        <v>6</v>
      </c>
    </row>
    <row r="3730" spans="28:30" x14ac:dyDescent="0.25">
      <c r="AB3730" s="207" t="s">
        <v>233</v>
      </c>
      <c r="AC3730" s="207" t="s">
        <v>3812</v>
      </c>
      <c r="AD3730" s="213">
        <v>6</v>
      </c>
    </row>
    <row r="3731" spans="28:30" x14ac:dyDescent="0.25">
      <c r="AB3731" s="207" t="s">
        <v>233</v>
      </c>
      <c r="AC3731" s="207" t="s">
        <v>3813</v>
      </c>
      <c r="AD3731" s="213">
        <v>6</v>
      </c>
    </row>
    <row r="3732" spans="28:30" x14ac:dyDescent="0.25">
      <c r="AB3732" s="207" t="s">
        <v>233</v>
      </c>
      <c r="AC3732" s="207" t="s">
        <v>3814</v>
      </c>
      <c r="AD3732" s="213">
        <v>3</v>
      </c>
    </row>
    <row r="3733" spans="28:30" x14ac:dyDescent="0.25">
      <c r="AB3733" s="207" t="s">
        <v>233</v>
      </c>
      <c r="AC3733" s="207" t="s">
        <v>3815</v>
      </c>
      <c r="AD3733" s="213">
        <v>3</v>
      </c>
    </row>
    <row r="3734" spans="28:30" x14ac:dyDescent="0.25">
      <c r="AB3734" s="207" t="s">
        <v>233</v>
      </c>
      <c r="AC3734" s="207" t="s">
        <v>3816</v>
      </c>
      <c r="AD3734" s="213">
        <v>6</v>
      </c>
    </row>
    <row r="3735" spans="28:30" x14ac:dyDescent="0.25">
      <c r="AB3735" s="207" t="s">
        <v>214</v>
      </c>
      <c r="AC3735" s="207" t="s">
        <v>3817</v>
      </c>
      <c r="AD3735" s="213">
        <v>3</v>
      </c>
    </row>
    <row r="3736" spans="28:30" x14ac:dyDescent="0.25">
      <c r="AB3736" s="207" t="s">
        <v>233</v>
      </c>
      <c r="AC3736" s="207" t="s">
        <v>3818</v>
      </c>
      <c r="AD3736" s="213">
        <v>6</v>
      </c>
    </row>
    <row r="3737" spans="28:30" x14ac:dyDescent="0.25">
      <c r="AB3737" s="207" t="s">
        <v>233</v>
      </c>
      <c r="AC3737" s="207" t="s">
        <v>3819</v>
      </c>
      <c r="AD3737" s="213">
        <v>6</v>
      </c>
    </row>
    <row r="3738" spans="28:30" x14ac:dyDescent="0.25">
      <c r="AB3738" s="207" t="s">
        <v>233</v>
      </c>
      <c r="AC3738" s="207" t="s">
        <v>3820</v>
      </c>
      <c r="AD3738" s="213">
        <v>6</v>
      </c>
    </row>
    <row r="3739" spans="28:30" x14ac:dyDescent="0.25">
      <c r="AB3739" s="207" t="s">
        <v>233</v>
      </c>
      <c r="AC3739" s="207" t="s">
        <v>3821</v>
      </c>
      <c r="AD3739" s="213">
        <v>6</v>
      </c>
    </row>
    <row r="3740" spans="28:30" x14ac:dyDescent="0.25">
      <c r="AB3740" s="207" t="s">
        <v>233</v>
      </c>
      <c r="AC3740" s="207" t="s">
        <v>3822</v>
      </c>
      <c r="AD3740" s="213">
        <v>3</v>
      </c>
    </row>
    <row r="3741" spans="28:30" x14ac:dyDescent="0.25">
      <c r="AB3741" s="207" t="s">
        <v>233</v>
      </c>
      <c r="AC3741" s="207" t="s">
        <v>3823</v>
      </c>
      <c r="AD3741" s="213">
        <v>6</v>
      </c>
    </row>
    <row r="3742" spans="28:30" x14ac:dyDescent="0.25">
      <c r="AB3742" s="207" t="s">
        <v>233</v>
      </c>
      <c r="AC3742" s="207" t="s">
        <v>3824</v>
      </c>
      <c r="AD3742" s="213">
        <v>6</v>
      </c>
    </row>
    <row r="3743" spans="28:30" x14ac:dyDescent="0.25">
      <c r="AB3743" s="207" t="s">
        <v>233</v>
      </c>
      <c r="AC3743" s="207" t="s">
        <v>3825</v>
      </c>
      <c r="AD3743" s="213">
        <v>4</v>
      </c>
    </row>
    <row r="3744" spans="28:30" x14ac:dyDescent="0.25">
      <c r="AB3744" s="207" t="s">
        <v>233</v>
      </c>
      <c r="AC3744" s="207" t="s">
        <v>3826</v>
      </c>
      <c r="AD3744" s="213">
        <v>4</v>
      </c>
    </row>
    <row r="3745" spans="28:30" x14ac:dyDescent="0.25">
      <c r="AB3745" s="207" t="s">
        <v>233</v>
      </c>
      <c r="AC3745" s="207" t="s">
        <v>3827</v>
      </c>
      <c r="AD3745" s="213">
        <v>3</v>
      </c>
    </row>
    <row r="3746" spans="28:30" x14ac:dyDescent="0.25">
      <c r="AB3746" s="207" t="s">
        <v>233</v>
      </c>
      <c r="AC3746" s="207" t="s">
        <v>3828</v>
      </c>
      <c r="AD3746" s="213">
        <v>6</v>
      </c>
    </row>
    <row r="3747" spans="28:30" x14ac:dyDescent="0.25">
      <c r="AB3747" s="207" t="s">
        <v>233</v>
      </c>
      <c r="AC3747" s="207" t="s">
        <v>3829</v>
      </c>
      <c r="AD3747" s="213">
        <v>6</v>
      </c>
    </row>
    <row r="3748" spans="28:30" x14ac:dyDescent="0.25">
      <c r="AB3748" s="207" t="s">
        <v>233</v>
      </c>
      <c r="AC3748" s="207" t="s">
        <v>3830</v>
      </c>
      <c r="AD3748" s="213">
        <v>6</v>
      </c>
    </row>
    <row r="3749" spans="28:30" x14ac:dyDescent="0.25">
      <c r="AB3749" s="207" t="s">
        <v>233</v>
      </c>
      <c r="AC3749" s="207" t="s">
        <v>2075</v>
      </c>
      <c r="AD3749" s="213">
        <v>3</v>
      </c>
    </row>
    <row r="3750" spans="28:30" x14ac:dyDescent="0.25">
      <c r="AB3750" s="207" t="s">
        <v>233</v>
      </c>
      <c r="AC3750" s="207" t="s">
        <v>3831</v>
      </c>
      <c r="AD3750" s="213">
        <v>3</v>
      </c>
    </row>
    <row r="3751" spans="28:30" x14ac:dyDescent="0.25">
      <c r="AB3751" s="207" t="s">
        <v>233</v>
      </c>
      <c r="AC3751" s="207" t="s">
        <v>3832</v>
      </c>
      <c r="AD3751" s="213">
        <v>6</v>
      </c>
    </row>
    <row r="3752" spans="28:30" x14ac:dyDescent="0.25">
      <c r="AB3752" s="207" t="s">
        <v>233</v>
      </c>
      <c r="AC3752" s="207" t="s">
        <v>3833</v>
      </c>
      <c r="AD3752" s="213">
        <v>6</v>
      </c>
    </row>
    <row r="3753" spans="28:30" x14ac:dyDescent="0.25">
      <c r="AB3753" s="207" t="s">
        <v>233</v>
      </c>
      <c r="AC3753" s="207" t="s">
        <v>3834</v>
      </c>
      <c r="AD3753" s="213">
        <v>5</v>
      </c>
    </row>
    <row r="3754" spans="28:30" x14ac:dyDescent="0.25">
      <c r="AB3754" s="207" t="s">
        <v>233</v>
      </c>
      <c r="AC3754" s="207" t="s">
        <v>3835</v>
      </c>
      <c r="AD3754" s="213">
        <v>3</v>
      </c>
    </row>
    <row r="3755" spans="28:30" x14ac:dyDescent="0.25">
      <c r="AB3755" s="207" t="s">
        <v>233</v>
      </c>
      <c r="AC3755" s="207" t="s">
        <v>3836</v>
      </c>
      <c r="AD3755" s="213">
        <v>6</v>
      </c>
    </row>
    <row r="3756" spans="28:30" x14ac:dyDescent="0.25">
      <c r="AB3756" s="207" t="s">
        <v>233</v>
      </c>
      <c r="AC3756" s="207" t="s">
        <v>3837</v>
      </c>
      <c r="AD3756" s="213">
        <v>3</v>
      </c>
    </row>
    <row r="3757" spans="28:30" x14ac:dyDescent="0.25">
      <c r="AB3757" s="207" t="s">
        <v>233</v>
      </c>
      <c r="AC3757" s="207" t="s">
        <v>318</v>
      </c>
      <c r="AD3757" s="213">
        <v>3</v>
      </c>
    </row>
    <row r="3758" spans="28:30" x14ac:dyDescent="0.25">
      <c r="AB3758" s="207" t="s">
        <v>233</v>
      </c>
      <c r="AC3758" s="207" t="s">
        <v>3838</v>
      </c>
      <c r="AD3758" s="213">
        <v>6</v>
      </c>
    </row>
    <row r="3759" spans="28:30" x14ac:dyDescent="0.25">
      <c r="AB3759" s="207" t="s">
        <v>233</v>
      </c>
      <c r="AC3759" s="207" t="s">
        <v>3839</v>
      </c>
      <c r="AD3759" s="213">
        <v>3</v>
      </c>
    </row>
    <row r="3760" spans="28:30" x14ac:dyDescent="0.25">
      <c r="AB3760" s="207" t="s">
        <v>233</v>
      </c>
      <c r="AC3760" s="207" t="s">
        <v>3840</v>
      </c>
      <c r="AD3760" s="213">
        <v>3</v>
      </c>
    </row>
    <row r="3761" spans="28:30" x14ac:dyDescent="0.25">
      <c r="AB3761" s="207" t="s">
        <v>29</v>
      </c>
      <c r="AC3761" s="207" t="s">
        <v>3841</v>
      </c>
      <c r="AD3761" s="213">
        <v>8</v>
      </c>
    </row>
    <row r="3762" spans="28:30" x14ac:dyDescent="0.25">
      <c r="AB3762" s="207" t="s">
        <v>29</v>
      </c>
      <c r="AC3762" s="207" t="s">
        <v>3842</v>
      </c>
      <c r="AD3762" s="213">
        <v>8</v>
      </c>
    </row>
    <row r="3763" spans="28:30" x14ac:dyDescent="0.25">
      <c r="AB3763" s="207" t="s">
        <v>1642</v>
      </c>
      <c r="AC3763" s="207" t="s">
        <v>3843</v>
      </c>
      <c r="AD3763" s="213">
        <v>8</v>
      </c>
    </row>
    <row r="3764" spans="28:30" x14ac:dyDescent="0.25">
      <c r="AB3764" s="207" t="s">
        <v>217</v>
      </c>
      <c r="AC3764" s="207" t="s">
        <v>3844</v>
      </c>
      <c r="AD3764" s="213">
        <v>8</v>
      </c>
    </row>
    <row r="3765" spans="28:30" x14ac:dyDescent="0.25">
      <c r="AB3765" s="207" t="s">
        <v>3845</v>
      </c>
      <c r="AC3765" s="207" t="s">
        <v>3846</v>
      </c>
      <c r="AD3765" s="213">
        <v>6</v>
      </c>
    </row>
    <row r="3766" spans="28:30" x14ac:dyDescent="0.25">
      <c r="AB3766" s="207" t="s">
        <v>3847</v>
      </c>
      <c r="AC3766" s="207" t="s">
        <v>3848</v>
      </c>
      <c r="AD3766" s="213">
        <v>8</v>
      </c>
    </row>
    <row r="3767" spans="28:30" x14ac:dyDescent="0.25">
      <c r="AB3767" s="207" t="s">
        <v>29</v>
      </c>
      <c r="AC3767" s="207" t="s">
        <v>3849</v>
      </c>
      <c r="AD3767" s="213">
        <v>8</v>
      </c>
    </row>
    <row r="3768" spans="28:30" x14ac:dyDescent="0.25">
      <c r="AB3768" s="207" t="s">
        <v>1642</v>
      </c>
      <c r="AC3768" s="207" t="s">
        <v>3850</v>
      </c>
      <c r="AD3768" s="213">
        <v>8</v>
      </c>
    </row>
    <row r="3769" spans="28:30" x14ac:dyDescent="0.25">
      <c r="AB3769" s="207" t="s">
        <v>217</v>
      </c>
      <c r="AC3769" s="207" t="s">
        <v>3851</v>
      </c>
      <c r="AD3769" s="213">
        <v>8</v>
      </c>
    </row>
    <row r="3770" spans="28:30" x14ac:dyDescent="0.25">
      <c r="AB3770" s="207" t="s">
        <v>217</v>
      </c>
      <c r="AC3770" s="207" t="s">
        <v>3852</v>
      </c>
      <c r="AD3770" s="213">
        <v>8</v>
      </c>
    </row>
    <row r="3771" spans="28:30" x14ac:dyDescent="0.25">
      <c r="AB3771" s="207" t="s">
        <v>29</v>
      </c>
      <c r="AC3771" s="207" t="s">
        <v>3853</v>
      </c>
      <c r="AD3771" s="213">
        <v>8</v>
      </c>
    </row>
    <row r="3772" spans="28:30" x14ac:dyDescent="0.25">
      <c r="AB3772" s="207" t="s">
        <v>217</v>
      </c>
      <c r="AC3772" s="207" t="s">
        <v>3854</v>
      </c>
      <c r="AD3772" s="213">
        <v>8</v>
      </c>
    </row>
    <row r="3773" spans="28:30" x14ac:dyDescent="0.25">
      <c r="AB3773" s="207" t="s">
        <v>3847</v>
      </c>
      <c r="AC3773" s="207" t="s">
        <v>3855</v>
      </c>
      <c r="AD3773" s="213">
        <v>8</v>
      </c>
    </row>
    <row r="3774" spans="28:30" x14ac:dyDescent="0.25">
      <c r="AB3774" s="207" t="s">
        <v>29</v>
      </c>
      <c r="AC3774" s="207" t="s">
        <v>3856</v>
      </c>
      <c r="AD3774" s="213">
        <v>8</v>
      </c>
    </row>
    <row r="3775" spans="28:30" x14ac:dyDescent="0.25">
      <c r="AB3775" s="207" t="s">
        <v>3847</v>
      </c>
      <c r="AC3775" s="207" t="s">
        <v>3857</v>
      </c>
      <c r="AD3775" s="213">
        <v>8</v>
      </c>
    </row>
    <row r="3776" spans="28:30" x14ac:dyDescent="0.25">
      <c r="AB3776" s="207" t="s">
        <v>1738</v>
      </c>
      <c r="AC3776" s="207" t="s">
        <v>3858</v>
      </c>
      <c r="AD3776" s="213">
        <v>8</v>
      </c>
    </row>
    <row r="3777" spans="28:30" x14ac:dyDescent="0.25">
      <c r="AB3777" s="207" t="s">
        <v>29</v>
      </c>
      <c r="AC3777" s="207" t="s">
        <v>3859</v>
      </c>
      <c r="AD3777" s="213">
        <v>8</v>
      </c>
    </row>
    <row r="3778" spans="28:30" x14ac:dyDescent="0.25">
      <c r="AB3778" s="207" t="s">
        <v>29</v>
      </c>
      <c r="AC3778" s="207" t="s">
        <v>3860</v>
      </c>
      <c r="AD3778" s="213">
        <v>8</v>
      </c>
    </row>
    <row r="3779" spans="28:30" x14ac:dyDescent="0.25">
      <c r="AB3779" s="207" t="s">
        <v>1642</v>
      </c>
      <c r="AC3779" s="207" t="s">
        <v>3861</v>
      </c>
      <c r="AD3779" s="213">
        <v>8</v>
      </c>
    </row>
    <row r="3780" spans="28:30" x14ac:dyDescent="0.25">
      <c r="AB3780" s="207" t="s">
        <v>1738</v>
      </c>
      <c r="AC3780" s="207" t="s">
        <v>3862</v>
      </c>
      <c r="AD3780" s="213">
        <v>8</v>
      </c>
    </row>
    <row r="3781" spans="28:30" x14ac:dyDescent="0.25">
      <c r="AB3781" s="207" t="s">
        <v>29</v>
      </c>
      <c r="AC3781" s="207" t="s">
        <v>3863</v>
      </c>
      <c r="AD3781" s="213">
        <v>8</v>
      </c>
    </row>
    <row r="3782" spans="28:30" x14ac:dyDescent="0.25">
      <c r="AB3782" s="207" t="s">
        <v>29</v>
      </c>
      <c r="AC3782" s="207" t="s">
        <v>3864</v>
      </c>
      <c r="AD3782" s="213">
        <v>8</v>
      </c>
    </row>
    <row r="3783" spans="28:30" x14ac:dyDescent="0.25">
      <c r="AB3783" s="207" t="s">
        <v>29</v>
      </c>
      <c r="AC3783" s="207" t="s">
        <v>3865</v>
      </c>
      <c r="AD3783" s="213">
        <v>8</v>
      </c>
    </row>
    <row r="3784" spans="28:30" x14ac:dyDescent="0.25">
      <c r="AB3784" s="207" t="s">
        <v>3847</v>
      </c>
      <c r="AC3784" s="207" t="s">
        <v>3866</v>
      </c>
      <c r="AD3784" s="213">
        <v>8</v>
      </c>
    </row>
    <row r="3785" spans="28:30" x14ac:dyDescent="0.25">
      <c r="AB3785" s="207" t="s">
        <v>3847</v>
      </c>
      <c r="AC3785" s="207" t="s">
        <v>3867</v>
      </c>
      <c r="AD3785" s="213">
        <v>8</v>
      </c>
    </row>
    <row r="3786" spans="28:30" x14ac:dyDescent="0.25">
      <c r="AB3786" s="207" t="s">
        <v>29</v>
      </c>
      <c r="AC3786" s="207" t="s">
        <v>3868</v>
      </c>
      <c r="AD3786" s="213">
        <v>8</v>
      </c>
    </row>
    <row r="3787" spans="28:30" x14ac:dyDescent="0.25">
      <c r="AB3787" s="207" t="s">
        <v>373</v>
      </c>
      <c r="AC3787" s="207" t="s">
        <v>3869</v>
      </c>
      <c r="AD3787" s="213">
        <v>8</v>
      </c>
    </row>
    <row r="3788" spans="28:30" x14ac:dyDescent="0.25">
      <c r="AB3788" s="207" t="s">
        <v>3847</v>
      </c>
      <c r="AC3788" s="207" t="s">
        <v>3870</v>
      </c>
      <c r="AD3788" s="213">
        <v>8</v>
      </c>
    </row>
    <row r="3789" spans="28:30" x14ac:dyDescent="0.25">
      <c r="AB3789" s="207" t="s">
        <v>29</v>
      </c>
      <c r="AC3789" s="207" t="s">
        <v>3871</v>
      </c>
      <c r="AD3789" s="213">
        <v>8</v>
      </c>
    </row>
    <row r="3790" spans="28:30" x14ac:dyDescent="0.25">
      <c r="AB3790" s="207" t="s">
        <v>3847</v>
      </c>
      <c r="AC3790" s="207" t="s">
        <v>3872</v>
      </c>
      <c r="AD3790" s="213">
        <v>8</v>
      </c>
    </row>
    <row r="3791" spans="28:30" x14ac:dyDescent="0.25">
      <c r="AB3791" s="207" t="s">
        <v>217</v>
      </c>
      <c r="AC3791" s="207" t="s">
        <v>3873</v>
      </c>
      <c r="AD3791" s="213">
        <v>8</v>
      </c>
    </row>
    <row r="3792" spans="28:30" x14ac:dyDescent="0.25">
      <c r="AB3792" s="207" t="s">
        <v>1738</v>
      </c>
      <c r="AC3792" s="207" t="s">
        <v>3874</v>
      </c>
      <c r="AD3792" s="213">
        <v>8</v>
      </c>
    </row>
    <row r="3793" spans="28:30" x14ac:dyDescent="0.25">
      <c r="AB3793" s="207" t="s">
        <v>217</v>
      </c>
      <c r="AC3793" s="207" t="s">
        <v>3875</v>
      </c>
      <c r="AD3793" s="213">
        <v>8</v>
      </c>
    </row>
    <row r="3794" spans="28:30" x14ac:dyDescent="0.25">
      <c r="AB3794" s="207" t="s">
        <v>1642</v>
      </c>
      <c r="AC3794" s="207" t="s">
        <v>3876</v>
      </c>
      <c r="AD3794" s="213">
        <v>8</v>
      </c>
    </row>
    <row r="3795" spans="28:30" x14ac:dyDescent="0.25">
      <c r="AB3795" s="207" t="s">
        <v>3847</v>
      </c>
      <c r="AC3795" s="207" t="s">
        <v>3877</v>
      </c>
      <c r="AD3795" s="213">
        <v>8</v>
      </c>
    </row>
    <row r="3796" spans="28:30" x14ac:dyDescent="0.25">
      <c r="AB3796" s="207" t="s">
        <v>1642</v>
      </c>
      <c r="AC3796" s="207" t="s">
        <v>3878</v>
      </c>
      <c r="AD3796" s="213">
        <v>8</v>
      </c>
    </row>
    <row r="3797" spans="28:30" x14ac:dyDescent="0.25">
      <c r="AB3797" s="207" t="s">
        <v>1642</v>
      </c>
      <c r="AC3797" s="207" t="s">
        <v>3879</v>
      </c>
      <c r="AD3797" s="213">
        <v>8</v>
      </c>
    </row>
    <row r="3798" spans="28:30" x14ac:dyDescent="0.25">
      <c r="AB3798" s="207" t="s">
        <v>1642</v>
      </c>
      <c r="AC3798" s="207" t="s">
        <v>3880</v>
      </c>
      <c r="AD3798" s="213">
        <v>8</v>
      </c>
    </row>
    <row r="3799" spans="28:30" x14ac:dyDescent="0.25">
      <c r="AB3799" s="207" t="s">
        <v>29</v>
      </c>
      <c r="AC3799" s="207" t="s">
        <v>3881</v>
      </c>
      <c r="AD3799" s="213">
        <v>8</v>
      </c>
    </row>
    <row r="3800" spans="28:30" x14ac:dyDescent="0.25">
      <c r="AB3800" s="207" t="s">
        <v>3847</v>
      </c>
      <c r="AC3800" s="207" t="s">
        <v>3882</v>
      </c>
      <c r="AD3800" s="213">
        <v>8</v>
      </c>
    </row>
    <row r="3801" spans="28:30" x14ac:dyDescent="0.25">
      <c r="AB3801" s="207" t="s">
        <v>1918</v>
      </c>
      <c r="AC3801" s="207" t="s">
        <v>259</v>
      </c>
      <c r="AD3801" s="213">
        <v>8</v>
      </c>
    </row>
    <row r="3802" spans="28:30" x14ac:dyDescent="0.25">
      <c r="AB3802" s="207" t="s">
        <v>3847</v>
      </c>
      <c r="AC3802" s="207" t="s">
        <v>3883</v>
      </c>
      <c r="AD3802" s="213">
        <v>8</v>
      </c>
    </row>
    <row r="3803" spans="28:30" x14ac:dyDescent="0.25">
      <c r="AB3803" s="207" t="s">
        <v>3847</v>
      </c>
      <c r="AC3803" s="207" t="s">
        <v>3553</v>
      </c>
      <c r="AD3803" s="213">
        <v>8</v>
      </c>
    </row>
    <row r="3804" spans="28:30" x14ac:dyDescent="0.25">
      <c r="AB3804" s="207" t="s">
        <v>1918</v>
      </c>
      <c r="AC3804" s="207" t="s">
        <v>3884</v>
      </c>
      <c r="AD3804" s="213">
        <v>8</v>
      </c>
    </row>
    <row r="3805" spans="28:30" x14ac:dyDescent="0.25">
      <c r="AB3805" s="207" t="s">
        <v>1642</v>
      </c>
      <c r="AC3805" s="207" t="s">
        <v>3885</v>
      </c>
      <c r="AD3805" s="213">
        <v>8</v>
      </c>
    </row>
    <row r="3806" spans="28:30" x14ac:dyDescent="0.25">
      <c r="AB3806" s="207" t="s">
        <v>1642</v>
      </c>
      <c r="AC3806" s="207" t="s">
        <v>3886</v>
      </c>
      <c r="AD3806" s="213">
        <v>8</v>
      </c>
    </row>
    <row r="3807" spans="28:30" x14ac:dyDescent="0.25">
      <c r="AB3807" s="207" t="s">
        <v>1642</v>
      </c>
      <c r="AC3807" s="207" t="s">
        <v>1624</v>
      </c>
      <c r="AD3807" s="213">
        <v>8</v>
      </c>
    </row>
    <row r="3808" spans="28:30" x14ac:dyDescent="0.25">
      <c r="AB3808" s="207" t="s">
        <v>3847</v>
      </c>
      <c r="AC3808" s="207" t="s">
        <v>3887</v>
      </c>
      <c r="AD3808" s="213">
        <v>8</v>
      </c>
    </row>
    <row r="3809" spans="28:30" x14ac:dyDescent="0.25">
      <c r="AB3809" s="207" t="s">
        <v>1642</v>
      </c>
      <c r="AC3809" s="207" t="s">
        <v>3888</v>
      </c>
      <c r="AD3809" s="213">
        <v>8</v>
      </c>
    </row>
    <row r="3810" spans="28:30" x14ac:dyDescent="0.25">
      <c r="AB3810" s="207" t="s">
        <v>29</v>
      </c>
      <c r="AC3810" s="207" t="s">
        <v>3889</v>
      </c>
      <c r="AD3810" s="213">
        <v>8</v>
      </c>
    </row>
    <row r="3811" spans="28:30" x14ac:dyDescent="0.25">
      <c r="AB3811" s="207" t="s">
        <v>1642</v>
      </c>
      <c r="AC3811" s="207" t="s">
        <v>3890</v>
      </c>
      <c r="AD3811" s="213">
        <v>8</v>
      </c>
    </row>
    <row r="3812" spans="28:30" x14ac:dyDescent="0.25">
      <c r="AB3812" s="207" t="s">
        <v>1642</v>
      </c>
      <c r="AC3812" s="207" t="s">
        <v>3891</v>
      </c>
      <c r="AD3812" s="213">
        <v>8</v>
      </c>
    </row>
    <row r="3813" spans="28:30" x14ac:dyDescent="0.25">
      <c r="AB3813" s="207" t="s">
        <v>1738</v>
      </c>
      <c r="AC3813" s="207" t="s">
        <v>3892</v>
      </c>
      <c r="AD3813" s="213">
        <v>8</v>
      </c>
    </row>
    <row r="3814" spans="28:30" x14ac:dyDescent="0.25">
      <c r="AB3814" s="207" t="s">
        <v>29</v>
      </c>
      <c r="AC3814" s="207" t="s">
        <v>3893</v>
      </c>
      <c r="AD3814" s="213">
        <v>8</v>
      </c>
    </row>
    <row r="3815" spans="28:30" x14ac:dyDescent="0.25">
      <c r="AB3815" s="207" t="s">
        <v>29</v>
      </c>
      <c r="AC3815" s="207" t="s">
        <v>3894</v>
      </c>
      <c r="AD3815" s="213">
        <v>8</v>
      </c>
    </row>
    <row r="3816" spans="28:30" x14ac:dyDescent="0.25">
      <c r="AB3816" s="207" t="s">
        <v>1642</v>
      </c>
      <c r="AC3816" s="207" t="s">
        <v>3895</v>
      </c>
      <c r="AD3816" s="213">
        <v>8</v>
      </c>
    </row>
    <row r="3817" spans="28:30" x14ac:dyDescent="0.25">
      <c r="AB3817" s="207" t="s">
        <v>1918</v>
      </c>
      <c r="AC3817" s="207" t="s">
        <v>3896</v>
      </c>
      <c r="AD3817" s="213">
        <v>8</v>
      </c>
    </row>
    <row r="3818" spans="28:30" x14ac:dyDescent="0.25">
      <c r="AB3818" s="207" t="s">
        <v>3847</v>
      </c>
      <c r="AC3818" s="207" t="s">
        <v>3897</v>
      </c>
      <c r="AD3818" s="213">
        <v>8</v>
      </c>
    </row>
    <row r="3819" spans="28:30" x14ac:dyDescent="0.25">
      <c r="AB3819" s="207" t="s">
        <v>1642</v>
      </c>
      <c r="AC3819" s="207" t="s">
        <v>3898</v>
      </c>
      <c r="AD3819" s="213">
        <v>8</v>
      </c>
    </row>
    <row r="3820" spans="28:30" x14ac:dyDescent="0.25">
      <c r="AB3820" s="207" t="s">
        <v>1642</v>
      </c>
      <c r="AC3820" s="207" t="s">
        <v>3899</v>
      </c>
      <c r="AD3820" s="213">
        <v>8</v>
      </c>
    </row>
    <row r="3821" spans="28:30" x14ac:dyDescent="0.25">
      <c r="AB3821" s="207" t="s">
        <v>373</v>
      </c>
      <c r="AC3821" s="207" t="s">
        <v>3900</v>
      </c>
      <c r="AD3821" s="213">
        <v>8</v>
      </c>
    </row>
    <row r="3822" spans="28:30" x14ac:dyDescent="0.25">
      <c r="AB3822" s="207" t="s">
        <v>1642</v>
      </c>
      <c r="AC3822" s="207" t="s">
        <v>3901</v>
      </c>
      <c r="AD3822" s="213">
        <v>8</v>
      </c>
    </row>
    <row r="3823" spans="28:30" x14ac:dyDescent="0.25">
      <c r="AB3823" s="207" t="s">
        <v>1918</v>
      </c>
      <c r="AC3823" s="207" t="s">
        <v>3902</v>
      </c>
      <c r="AD3823" s="213">
        <v>8</v>
      </c>
    </row>
    <row r="3824" spans="28:30" x14ac:dyDescent="0.25">
      <c r="AB3824" s="207" t="s">
        <v>217</v>
      </c>
      <c r="AC3824" s="207" t="s">
        <v>3903</v>
      </c>
      <c r="AD3824" s="213">
        <v>8</v>
      </c>
    </row>
    <row r="3825" spans="28:30" x14ac:dyDescent="0.25">
      <c r="AB3825" s="207" t="s">
        <v>29</v>
      </c>
      <c r="AC3825" s="207" t="s">
        <v>3904</v>
      </c>
      <c r="AD3825" s="213">
        <v>8</v>
      </c>
    </row>
    <row r="3826" spans="28:30" x14ac:dyDescent="0.25">
      <c r="AB3826" s="207" t="s">
        <v>1642</v>
      </c>
      <c r="AC3826" s="207" t="s">
        <v>3905</v>
      </c>
      <c r="AD3826" s="213">
        <v>8</v>
      </c>
    </row>
    <row r="3827" spans="28:30" x14ac:dyDescent="0.25">
      <c r="AB3827" s="207" t="s">
        <v>29</v>
      </c>
      <c r="AC3827" s="207" t="s">
        <v>28</v>
      </c>
      <c r="AD3827" s="213">
        <v>8</v>
      </c>
    </row>
    <row r="3828" spans="28:30" x14ac:dyDescent="0.25">
      <c r="AB3828" s="207" t="s">
        <v>1918</v>
      </c>
      <c r="AC3828" s="207" t="s">
        <v>3906</v>
      </c>
      <c r="AD3828" s="213">
        <v>8</v>
      </c>
    </row>
    <row r="3829" spans="28:30" x14ac:dyDescent="0.25">
      <c r="AB3829" s="207" t="s">
        <v>29</v>
      </c>
      <c r="AC3829" s="207" t="s">
        <v>3907</v>
      </c>
      <c r="AD3829" s="213">
        <v>8</v>
      </c>
    </row>
    <row r="3830" spans="28:30" x14ac:dyDescent="0.25">
      <c r="AB3830" s="207" t="s">
        <v>3847</v>
      </c>
      <c r="AC3830" s="207" t="s">
        <v>3908</v>
      </c>
      <c r="AD3830" s="213">
        <v>8</v>
      </c>
    </row>
    <row r="3831" spans="28:30" x14ac:dyDescent="0.25">
      <c r="AB3831" s="207" t="s">
        <v>3847</v>
      </c>
      <c r="AC3831" s="207" t="s">
        <v>3909</v>
      </c>
      <c r="AD3831" s="213">
        <v>8</v>
      </c>
    </row>
    <row r="3832" spans="28:30" x14ac:dyDescent="0.25">
      <c r="AB3832" s="207" t="s">
        <v>29</v>
      </c>
      <c r="AC3832" s="207" t="s">
        <v>3910</v>
      </c>
      <c r="AD3832" s="213">
        <v>8</v>
      </c>
    </row>
    <row r="3833" spans="28:30" x14ac:dyDescent="0.25">
      <c r="AB3833" s="207" t="s">
        <v>1738</v>
      </c>
      <c r="AC3833" s="207" t="s">
        <v>3911</v>
      </c>
      <c r="AD3833" s="213">
        <v>8</v>
      </c>
    </row>
    <row r="3834" spans="28:30" x14ac:dyDescent="0.25">
      <c r="AB3834" s="207" t="s">
        <v>1642</v>
      </c>
      <c r="AC3834" s="207" t="s">
        <v>3912</v>
      </c>
      <c r="AD3834" s="213">
        <v>8</v>
      </c>
    </row>
    <row r="3835" spans="28:30" x14ac:dyDescent="0.25">
      <c r="AB3835" s="207" t="s">
        <v>1642</v>
      </c>
      <c r="AC3835" s="207" t="s">
        <v>3913</v>
      </c>
      <c r="AD3835" s="213">
        <v>8</v>
      </c>
    </row>
    <row r="3836" spans="28:30" x14ac:dyDescent="0.25">
      <c r="AB3836" s="207" t="s">
        <v>29</v>
      </c>
      <c r="AC3836" s="207" t="s">
        <v>3914</v>
      </c>
      <c r="AD3836" s="213">
        <v>8</v>
      </c>
    </row>
    <row r="3837" spans="28:30" x14ac:dyDescent="0.25">
      <c r="AB3837" s="207" t="s">
        <v>29</v>
      </c>
      <c r="AC3837" s="207" t="s">
        <v>3915</v>
      </c>
      <c r="AD3837" s="213">
        <v>8</v>
      </c>
    </row>
    <row r="3838" spans="28:30" x14ac:dyDescent="0.25">
      <c r="AB3838" s="207" t="s">
        <v>29</v>
      </c>
      <c r="AC3838" s="207" t="s">
        <v>3916</v>
      </c>
      <c r="AD3838" s="213">
        <v>8</v>
      </c>
    </row>
    <row r="3839" spans="28:30" x14ac:dyDescent="0.25">
      <c r="AB3839" s="207" t="s">
        <v>29</v>
      </c>
      <c r="AC3839" s="207" t="s">
        <v>3917</v>
      </c>
      <c r="AD3839" s="213">
        <v>8</v>
      </c>
    </row>
    <row r="3840" spans="28:30" x14ac:dyDescent="0.25">
      <c r="AB3840" s="207" t="s">
        <v>29</v>
      </c>
      <c r="AC3840" s="207" t="s">
        <v>3918</v>
      </c>
      <c r="AD3840" s="213">
        <v>8</v>
      </c>
    </row>
    <row r="3841" spans="28:30" x14ac:dyDescent="0.25">
      <c r="AB3841" s="207" t="s">
        <v>1918</v>
      </c>
      <c r="AC3841" s="207" t="s">
        <v>3919</v>
      </c>
      <c r="AD3841" s="213">
        <v>8</v>
      </c>
    </row>
    <row r="3842" spans="28:30" x14ac:dyDescent="0.25">
      <c r="AB3842" s="207" t="s">
        <v>1918</v>
      </c>
      <c r="AC3842" s="207" t="s">
        <v>3920</v>
      </c>
      <c r="AD3842" s="213">
        <v>8</v>
      </c>
    </row>
    <row r="3843" spans="28:30" x14ac:dyDescent="0.25">
      <c r="AB3843" s="207" t="s">
        <v>29</v>
      </c>
      <c r="AC3843" s="207" t="s">
        <v>3921</v>
      </c>
      <c r="AD3843" s="213">
        <v>8</v>
      </c>
    </row>
    <row r="3844" spans="28:30" x14ac:dyDescent="0.25">
      <c r="AB3844" s="207" t="s">
        <v>1642</v>
      </c>
      <c r="AC3844" s="207" t="s">
        <v>3922</v>
      </c>
      <c r="AD3844" s="213">
        <v>8</v>
      </c>
    </row>
    <row r="3845" spans="28:30" x14ac:dyDescent="0.25">
      <c r="AB3845" s="207" t="s">
        <v>217</v>
      </c>
      <c r="AC3845" s="207" t="s">
        <v>3923</v>
      </c>
      <c r="AD3845" s="213">
        <v>8</v>
      </c>
    </row>
    <row r="3846" spans="28:30" x14ac:dyDescent="0.25">
      <c r="AB3846" s="207" t="s">
        <v>1918</v>
      </c>
      <c r="AC3846" s="207" t="s">
        <v>3924</v>
      </c>
      <c r="AD3846" s="213">
        <v>8</v>
      </c>
    </row>
    <row r="3847" spans="28:30" x14ac:dyDescent="0.25">
      <c r="AB3847" s="207" t="s">
        <v>3847</v>
      </c>
      <c r="AC3847" s="207" t="s">
        <v>3925</v>
      </c>
      <c r="AD3847" s="213">
        <v>8</v>
      </c>
    </row>
    <row r="3848" spans="28:30" x14ac:dyDescent="0.25">
      <c r="AB3848" s="207" t="s">
        <v>1642</v>
      </c>
      <c r="AC3848" s="207" t="s">
        <v>3926</v>
      </c>
      <c r="AD3848" s="213">
        <v>8</v>
      </c>
    </row>
    <row r="3849" spans="28:30" x14ac:dyDescent="0.25">
      <c r="AB3849" s="207" t="s">
        <v>206</v>
      </c>
      <c r="AC3849" s="207" t="s">
        <v>3927</v>
      </c>
      <c r="AD3849" s="213">
        <v>8</v>
      </c>
    </row>
    <row r="3850" spans="28:30" x14ac:dyDescent="0.25">
      <c r="AB3850" s="207" t="s">
        <v>1642</v>
      </c>
      <c r="AC3850" s="207" t="s">
        <v>3928</v>
      </c>
      <c r="AD3850" s="213">
        <v>8</v>
      </c>
    </row>
    <row r="3851" spans="28:30" x14ac:dyDescent="0.25">
      <c r="AB3851" s="207" t="s">
        <v>1951</v>
      </c>
      <c r="AC3851" s="207" t="s">
        <v>3929</v>
      </c>
      <c r="AD3851" s="213">
        <v>7</v>
      </c>
    </row>
    <row r="3852" spans="28:30" x14ac:dyDescent="0.25">
      <c r="AB3852" s="207" t="s">
        <v>29</v>
      </c>
      <c r="AC3852" s="207" t="s">
        <v>3930</v>
      </c>
      <c r="AD3852" s="213">
        <v>8</v>
      </c>
    </row>
    <row r="3853" spans="28:30" x14ac:dyDescent="0.25">
      <c r="AB3853" s="207" t="s">
        <v>3847</v>
      </c>
      <c r="AC3853" s="207" t="s">
        <v>3931</v>
      </c>
      <c r="AD3853" s="213">
        <v>8</v>
      </c>
    </row>
    <row r="3854" spans="28:30" x14ac:dyDescent="0.25">
      <c r="AB3854" s="207" t="s">
        <v>1738</v>
      </c>
      <c r="AC3854" s="207" t="s">
        <v>3932</v>
      </c>
      <c r="AD3854" s="213">
        <v>8</v>
      </c>
    </row>
    <row r="3855" spans="28:30" x14ac:dyDescent="0.25">
      <c r="AB3855" s="207" t="s">
        <v>1642</v>
      </c>
      <c r="AC3855" s="207" t="s">
        <v>3933</v>
      </c>
      <c r="AD3855" s="213">
        <v>8</v>
      </c>
    </row>
    <row r="3856" spans="28:30" x14ac:dyDescent="0.25">
      <c r="AB3856" s="207" t="s">
        <v>3847</v>
      </c>
      <c r="AC3856" s="207" t="s">
        <v>3934</v>
      </c>
      <c r="AD3856" s="213">
        <v>8</v>
      </c>
    </row>
    <row r="3857" spans="28:30" x14ac:dyDescent="0.25">
      <c r="AB3857" s="207" t="s">
        <v>29</v>
      </c>
      <c r="AC3857" s="207" t="s">
        <v>3935</v>
      </c>
      <c r="AD3857" s="213">
        <v>8</v>
      </c>
    </row>
    <row r="3858" spans="28:30" x14ac:dyDescent="0.25">
      <c r="AB3858" s="207" t="s">
        <v>1642</v>
      </c>
      <c r="AC3858" s="207" t="s">
        <v>3936</v>
      </c>
      <c r="AD3858" s="213">
        <v>8</v>
      </c>
    </row>
    <row r="3859" spans="28:30" x14ac:dyDescent="0.25">
      <c r="AB3859" s="207" t="s">
        <v>373</v>
      </c>
      <c r="AC3859" s="207" t="s">
        <v>3937</v>
      </c>
      <c r="AD3859" s="213">
        <v>8</v>
      </c>
    </row>
    <row r="3860" spans="28:30" x14ac:dyDescent="0.25">
      <c r="AB3860" s="207" t="s">
        <v>206</v>
      </c>
      <c r="AC3860" s="207" t="s">
        <v>3938</v>
      </c>
      <c r="AD3860" s="213">
        <v>8</v>
      </c>
    </row>
    <row r="3861" spans="28:30" x14ac:dyDescent="0.25">
      <c r="AB3861" s="207" t="s">
        <v>3847</v>
      </c>
      <c r="AC3861" s="207" t="s">
        <v>3939</v>
      </c>
      <c r="AD3861" s="213">
        <v>8</v>
      </c>
    </row>
    <row r="3862" spans="28:30" x14ac:dyDescent="0.25">
      <c r="AB3862" s="207" t="s">
        <v>1918</v>
      </c>
      <c r="AC3862" s="207" t="s">
        <v>3940</v>
      </c>
      <c r="AD3862" s="213">
        <v>8</v>
      </c>
    </row>
    <row r="3863" spans="28:30" x14ac:dyDescent="0.25">
      <c r="AB3863" s="207" t="s">
        <v>1642</v>
      </c>
      <c r="AC3863" s="207" t="s">
        <v>3941</v>
      </c>
      <c r="AD3863" s="213">
        <v>8</v>
      </c>
    </row>
    <row r="3864" spans="28:30" x14ac:dyDescent="0.25">
      <c r="AB3864" s="207" t="s">
        <v>1642</v>
      </c>
      <c r="AC3864" s="207" t="s">
        <v>3942</v>
      </c>
      <c r="AD3864" s="213">
        <v>8</v>
      </c>
    </row>
    <row r="3865" spans="28:30" x14ac:dyDescent="0.25">
      <c r="AB3865" s="207" t="s">
        <v>1918</v>
      </c>
      <c r="AC3865" s="207" t="s">
        <v>3943</v>
      </c>
      <c r="AD3865" s="213">
        <v>8</v>
      </c>
    </row>
    <row r="3866" spans="28:30" x14ac:dyDescent="0.25">
      <c r="AB3866" s="207" t="s">
        <v>1918</v>
      </c>
      <c r="AC3866" s="207" t="s">
        <v>3944</v>
      </c>
      <c r="AD3866" s="213">
        <v>8</v>
      </c>
    </row>
    <row r="3867" spans="28:30" x14ac:dyDescent="0.25">
      <c r="AB3867" s="207" t="s">
        <v>206</v>
      </c>
      <c r="AC3867" s="207" t="s">
        <v>3945</v>
      </c>
      <c r="AD3867" s="213">
        <v>8</v>
      </c>
    </row>
    <row r="3868" spans="28:30" x14ac:dyDescent="0.25">
      <c r="AB3868" s="207" t="s">
        <v>1918</v>
      </c>
      <c r="AC3868" s="207" t="s">
        <v>3946</v>
      </c>
      <c r="AD3868" s="213">
        <v>8</v>
      </c>
    </row>
    <row r="3869" spans="28:30" x14ac:dyDescent="0.25">
      <c r="AB3869" s="207" t="s">
        <v>1738</v>
      </c>
      <c r="AC3869" s="207" t="s">
        <v>3947</v>
      </c>
      <c r="AD3869" s="213">
        <v>8</v>
      </c>
    </row>
    <row r="3870" spans="28:30" x14ac:dyDescent="0.25">
      <c r="AB3870" s="207" t="s">
        <v>1738</v>
      </c>
      <c r="AC3870" s="207" t="s">
        <v>3948</v>
      </c>
      <c r="AD3870" s="213">
        <v>8</v>
      </c>
    </row>
    <row r="3871" spans="28:30" x14ac:dyDescent="0.25">
      <c r="AB3871" s="207" t="s">
        <v>1642</v>
      </c>
      <c r="AC3871" s="207" t="s">
        <v>3949</v>
      </c>
      <c r="AD3871" s="213">
        <v>8</v>
      </c>
    </row>
    <row r="3872" spans="28:30" x14ac:dyDescent="0.25">
      <c r="AB3872" s="207" t="s">
        <v>1918</v>
      </c>
      <c r="AC3872" s="207" t="s">
        <v>3950</v>
      </c>
      <c r="AD3872" s="213">
        <v>8</v>
      </c>
    </row>
    <row r="3873" spans="28:30" x14ac:dyDescent="0.25">
      <c r="AB3873" s="207" t="s">
        <v>1642</v>
      </c>
      <c r="AC3873" s="207" t="s">
        <v>3951</v>
      </c>
      <c r="AD3873" s="213">
        <v>8</v>
      </c>
    </row>
    <row r="3874" spans="28:30" x14ac:dyDescent="0.25">
      <c r="AB3874" s="207" t="s">
        <v>1642</v>
      </c>
      <c r="AC3874" s="207" t="s">
        <v>3952</v>
      </c>
      <c r="AD3874" s="213">
        <v>8</v>
      </c>
    </row>
    <row r="3875" spans="28:30" x14ac:dyDescent="0.25">
      <c r="AB3875" s="207" t="s">
        <v>3847</v>
      </c>
      <c r="AC3875" s="207" t="s">
        <v>3953</v>
      </c>
      <c r="AD3875" s="213">
        <v>8</v>
      </c>
    </row>
    <row r="3876" spans="28:30" x14ac:dyDescent="0.25">
      <c r="AB3876" s="207" t="s">
        <v>206</v>
      </c>
      <c r="AC3876" s="207" t="s">
        <v>3954</v>
      </c>
      <c r="AD3876" s="213">
        <v>8</v>
      </c>
    </row>
    <row r="3877" spans="28:30" x14ac:dyDescent="0.25">
      <c r="AB3877" s="207" t="s">
        <v>1669</v>
      </c>
      <c r="AC3877" s="207" t="s">
        <v>3955</v>
      </c>
      <c r="AD3877" s="213">
        <v>8</v>
      </c>
    </row>
    <row r="3878" spans="28:30" x14ac:dyDescent="0.25">
      <c r="AB3878" s="207" t="s">
        <v>1738</v>
      </c>
      <c r="AC3878" s="207" t="s">
        <v>3956</v>
      </c>
      <c r="AD3878" s="213">
        <v>8</v>
      </c>
    </row>
    <row r="3879" spans="28:30" x14ac:dyDescent="0.25">
      <c r="AB3879" s="207" t="s">
        <v>1918</v>
      </c>
      <c r="AC3879" s="207" t="s">
        <v>3957</v>
      </c>
      <c r="AD3879" s="213">
        <v>8</v>
      </c>
    </row>
    <row r="3880" spans="28:30" x14ac:dyDescent="0.25">
      <c r="AB3880" s="207" t="s">
        <v>1715</v>
      </c>
      <c r="AC3880" s="207" t="s">
        <v>1983</v>
      </c>
      <c r="AD3880" s="213">
        <v>7</v>
      </c>
    </row>
    <row r="3881" spans="28:30" x14ac:dyDescent="0.25">
      <c r="AB3881" s="207" t="s">
        <v>3847</v>
      </c>
      <c r="AC3881" s="207" t="s">
        <v>3958</v>
      </c>
      <c r="AD3881" s="213">
        <v>8</v>
      </c>
    </row>
    <row r="3882" spans="28:30" x14ac:dyDescent="0.25">
      <c r="AB3882" s="207" t="s">
        <v>1642</v>
      </c>
      <c r="AC3882" s="207" t="s">
        <v>3959</v>
      </c>
      <c r="AD3882" s="213">
        <v>8</v>
      </c>
    </row>
    <row r="3883" spans="28:30" x14ac:dyDescent="0.25">
      <c r="AB3883" s="207" t="s">
        <v>1642</v>
      </c>
      <c r="AC3883" s="207" t="s">
        <v>3960</v>
      </c>
      <c r="AD3883" s="213">
        <v>7</v>
      </c>
    </row>
    <row r="3884" spans="28:30" x14ac:dyDescent="0.25">
      <c r="AB3884" s="207" t="s">
        <v>1642</v>
      </c>
      <c r="AC3884" s="207" t="s">
        <v>3961</v>
      </c>
      <c r="AD3884" s="213">
        <v>8</v>
      </c>
    </row>
    <row r="3885" spans="28:30" x14ac:dyDescent="0.25">
      <c r="AB3885" s="207" t="s">
        <v>1918</v>
      </c>
      <c r="AC3885" s="207" t="s">
        <v>3962</v>
      </c>
      <c r="AD3885" s="213">
        <v>8</v>
      </c>
    </row>
    <row r="3886" spans="28:30" x14ac:dyDescent="0.25">
      <c r="AB3886" s="207" t="s">
        <v>29</v>
      </c>
      <c r="AC3886" s="207" t="s">
        <v>3963</v>
      </c>
      <c r="AD3886" s="213">
        <v>8</v>
      </c>
    </row>
    <row r="3887" spans="28:30" x14ac:dyDescent="0.25">
      <c r="AB3887" s="207" t="s">
        <v>206</v>
      </c>
      <c r="AC3887" s="207" t="s">
        <v>3964</v>
      </c>
      <c r="AD3887" s="213">
        <v>8</v>
      </c>
    </row>
    <row r="3888" spans="28:30" x14ac:dyDescent="0.25">
      <c r="AB3888" s="207" t="s">
        <v>3847</v>
      </c>
      <c r="AC3888" s="207" t="s">
        <v>3965</v>
      </c>
      <c r="AD3888" s="213">
        <v>8</v>
      </c>
    </row>
    <row r="3889" spans="28:30" x14ac:dyDescent="0.25">
      <c r="AB3889" s="207" t="s">
        <v>1669</v>
      </c>
      <c r="AC3889" s="207" t="s">
        <v>3966</v>
      </c>
      <c r="AD3889" s="213">
        <v>8</v>
      </c>
    </row>
    <row r="3890" spans="28:30" x14ac:dyDescent="0.25">
      <c r="AB3890" s="207" t="s">
        <v>1642</v>
      </c>
      <c r="AC3890" s="207" t="s">
        <v>3967</v>
      </c>
      <c r="AD3890" s="213">
        <v>8</v>
      </c>
    </row>
    <row r="3891" spans="28:30" x14ac:dyDescent="0.25">
      <c r="AB3891" s="207" t="s">
        <v>3847</v>
      </c>
      <c r="AC3891" s="207" t="s">
        <v>3968</v>
      </c>
      <c r="AD3891" s="213">
        <v>8</v>
      </c>
    </row>
    <row r="3892" spans="28:30" x14ac:dyDescent="0.25">
      <c r="AB3892" s="207" t="s">
        <v>3847</v>
      </c>
      <c r="AC3892" s="207" t="s">
        <v>2500</v>
      </c>
      <c r="AD3892" s="213">
        <v>8</v>
      </c>
    </row>
    <row r="3893" spans="28:30" x14ac:dyDescent="0.25">
      <c r="AB3893" s="207" t="s">
        <v>1918</v>
      </c>
      <c r="AC3893" s="207" t="s">
        <v>3969</v>
      </c>
      <c r="AD3893" s="213">
        <v>8</v>
      </c>
    </row>
    <row r="3894" spans="28:30" x14ac:dyDescent="0.25">
      <c r="AB3894" s="207" t="s">
        <v>3847</v>
      </c>
      <c r="AC3894" s="207" t="s">
        <v>3970</v>
      </c>
      <c r="AD3894" s="213">
        <v>8</v>
      </c>
    </row>
    <row r="3895" spans="28:30" x14ac:dyDescent="0.25">
      <c r="AB3895" s="207" t="s">
        <v>1918</v>
      </c>
      <c r="AC3895" s="207" t="s">
        <v>3971</v>
      </c>
      <c r="AD3895" s="213">
        <v>8</v>
      </c>
    </row>
    <row r="3896" spans="28:30" x14ac:dyDescent="0.25">
      <c r="AB3896" s="207" t="s">
        <v>29</v>
      </c>
      <c r="AC3896" s="207" t="s">
        <v>3972</v>
      </c>
      <c r="AD3896" s="213">
        <v>8</v>
      </c>
    </row>
    <row r="3897" spans="28:30" x14ac:dyDescent="0.25">
      <c r="AB3897" s="207" t="s">
        <v>29</v>
      </c>
      <c r="AC3897" s="207" t="s">
        <v>3973</v>
      </c>
      <c r="AD3897" s="213">
        <v>8</v>
      </c>
    </row>
    <row r="3898" spans="28:30" x14ac:dyDescent="0.25">
      <c r="AB3898" s="207" t="s">
        <v>3847</v>
      </c>
      <c r="AC3898" s="207" t="s">
        <v>3974</v>
      </c>
      <c r="AD3898" s="213">
        <v>8</v>
      </c>
    </row>
    <row r="3899" spans="28:30" x14ac:dyDescent="0.25">
      <c r="AB3899" s="207" t="s">
        <v>1738</v>
      </c>
      <c r="AC3899" s="207" t="s">
        <v>3975</v>
      </c>
      <c r="AD3899" s="213">
        <v>8</v>
      </c>
    </row>
    <row r="3900" spans="28:30" x14ac:dyDescent="0.25">
      <c r="AB3900" s="207" t="s">
        <v>29</v>
      </c>
      <c r="AC3900" s="207" t="s">
        <v>3976</v>
      </c>
      <c r="AD3900" s="213">
        <v>8</v>
      </c>
    </row>
    <row r="3901" spans="28:30" x14ac:dyDescent="0.25">
      <c r="AB3901" s="207" t="s">
        <v>1642</v>
      </c>
      <c r="AC3901" s="207" t="s">
        <v>3977</v>
      </c>
      <c r="AD3901" s="213">
        <v>8</v>
      </c>
    </row>
    <row r="3902" spans="28:30" x14ac:dyDescent="0.25">
      <c r="AB3902" s="207" t="s">
        <v>29</v>
      </c>
      <c r="AC3902" s="207" t="s">
        <v>3978</v>
      </c>
      <c r="AD3902" s="213">
        <v>8</v>
      </c>
    </row>
    <row r="3903" spans="28:30" x14ac:dyDescent="0.25">
      <c r="AB3903" s="207" t="s">
        <v>3979</v>
      </c>
      <c r="AC3903" s="207" t="s">
        <v>3980</v>
      </c>
      <c r="AD3903" s="213">
        <v>8</v>
      </c>
    </row>
    <row r="3904" spans="28:30" x14ac:dyDescent="0.25">
      <c r="AB3904" s="207" t="s">
        <v>1642</v>
      </c>
      <c r="AC3904" s="207" t="s">
        <v>3981</v>
      </c>
      <c r="AD3904" s="213">
        <v>8</v>
      </c>
    </row>
    <row r="3905" spans="28:30" x14ac:dyDescent="0.25">
      <c r="AB3905" s="207" t="s">
        <v>3847</v>
      </c>
      <c r="AC3905" s="207" t="s">
        <v>3982</v>
      </c>
      <c r="AD3905" s="213">
        <v>8</v>
      </c>
    </row>
    <row r="3906" spans="28:30" x14ac:dyDescent="0.25">
      <c r="AB3906" s="207" t="s">
        <v>206</v>
      </c>
      <c r="AC3906" s="207" t="s">
        <v>3624</v>
      </c>
      <c r="AD3906" s="213">
        <v>8</v>
      </c>
    </row>
    <row r="3907" spans="28:30" x14ac:dyDescent="0.25">
      <c r="AB3907" s="207" t="s">
        <v>29</v>
      </c>
      <c r="AC3907" s="207" t="s">
        <v>3983</v>
      </c>
      <c r="AD3907" s="213">
        <v>8</v>
      </c>
    </row>
    <row r="3908" spans="28:30" x14ac:dyDescent="0.25">
      <c r="AB3908" s="207" t="s">
        <v>1669</v>
      </c>
      <c r="AC3908" s="207" t="s">
        <v>1358</v>
      </c>
      <c r="AD3908" s="213">
        <v>8</v>
      </c>
    </row>
    <row r="3909" spans="28:30" x14ac:dyDescent="0.25">
      <c r="AB3909" s="207" t="s">
        <v>1951</v>
      </c>
      <c r="AC3909" s="207" t="s">
        <v>3984</v>
      </c>
      <c r="AD3909" s="213">
        <v>7</v>
      </c>
    </row>
    <row r="3910" spans="28:30" x14ac:dyDescent="0.25">
      <c r="AB3910" s="207" t="s">
        <v>3979</v>
      </c>
      <c r="AC3910" s="207" t="s">
        <v>3985</v>
      </c>
      <c r="AD3910" s="213">
        <v>8</v>
      </c>
    </row>
    <row r="3911" spans="28:30" x14ac:dyDescent="0.25">
      <c r="AB3911" s="207" t="s">
        <v>29</v>
      </c>
      <c r="AC3911" s="207" t="s">
        <v>3986</v>
      </c>
      <c r="AD3911" s="213">
        <v>8</v>
      </c>
    </row>
    <row r="3912" spans="28:30" x14ac:dyDescent="0.25">
      <c r="AB3912" s="207" t="s">
        <v>29</v>
      </c>
      <c r="AC3912" s="207" t="s">
        <v>3987</v>
      </c>
      <c r="AD3912" s="213">
        <v>8</v>
      </c>
    </row>
    <row r="3913" spans="28:30" x14ac:dyDescent="0.25">
      <c r="AB3913" s="207" t="s">
        <v>29</v>
      </c>
      <c r="AC3913" s="207" t="s">
        <v>3988</v>
      </c>
      <c r="AD3913" s="213">
        <v>8</v>
      </c>
    </row>
    <row r="3914" spans="28:30" x14ac:dyDescent="0.25">
      <c r="AB3914" s="207" t="s">
        <v>1669</v>
      </c>
      <c r="AC3914" s="207" t="s">
        <v>3989</v>
      </c>
      <c r="AD3914" s="213">
        <v>8</v>
      </c>
    </row>
    <row r="3915" spans="28:30" x14ac:dyDescent="0.25">
      <c r="AB3915" s="207" t="s">
        <v>1642</v>
      </c>
      <c r="AC3915" s="207" t="s">
        <v>3990</v>
      </c>
      <c r="AD3915" s="213">
        <v>8</v>
      </c>
    </row>
    <row r="3916" spans="28:30" x14ac:dyDescent="0.25">
      <c r="AB3916" s="207" t="s">
        <v>1642</v>
      </c>
      <c r="AC3916" s="207" t="s">
        <v>3991</v>
      </c>
      <c r="AD3916" s="213">
        <v>8</v>
      </c>
    </row>
    <row r="3917" spans="28:30" x14ac:dyDescent="0.25">
      <c r="AB3917" s="207" t="s">
        <v>205</v>
      </c>
      <c r="AC3917" s="207" t="s">
        <v>3992</v>
      </c>
      <c r="AD3917" s="213">
        <v>8</v>
      </c>
    </row>
    <row r="3918" spans="28:30" x14ac:dyDescent="0.25">
      <c r="AB3918" s="207" t="s">
        <v>373</v>
      </c>
      <c r="AC3918" s="207" t="s">
        <v>3993</v>
      </c>
      <c r="AD3918" s="213">
        <v>7</v>
      </c>
    </row>
    <row r="3919" spans="28:30" x14ac:dyDescent="0.25">
      <c r="AB3919" s="207" t="s">
        <v>3847</v>
      </c>
      <c r="AC3919" s="207" t="s">
        <v>3994</v>
      </c>
      <c r="AD3919" s="213">
        <v>8</v>
      </c>
    </row>
    <row r="3920" spans="28:30" x14ac:dyDescent="0.25">
      <c r="AB3920" s="207" t="s">
        <v>1669</v>
      </c>
      <c r="AC3920" s="207" t="s">
        <v>3995</v>
      </c>
      <c r="AD3920" s="213">
        <v>8</v>
      </c>
    </row>
    <row r="3921" spans="28:30" x14ac:dyDescent="0.25">
      <c r="AB3921" s="207" t="s">
        <v>206</v>
      </c>
      <c r="AC3921" s="207" t="s">
        <v>3996</v>
      </c>
      <c r="AD3921" s="213">
        <v>8</v>
      </c>
    </row>
    <row r="3922" spans="28:30" x14ac:dyDescent="0.25">
      <c r="AB3922" s="207" t="s">
        <v>1642</v>
      </c>
      <c r="AC3922" s="207" t="s">
        <v>3997</v>
      </c>
      <c r="AD3922" s="213">
        <v>8</v>
      </c>
    </row>
    <row r="3923" spans="28:30" x14ac:dyDescent="0.25">
      <c r="AB3923" s="207" t="s">
        <v>29</v>
      </c>
      <c r="AC3923" s="207" t="s">
        <v>3998</v>
      </c>
      <c r="AD3923" s="213">
        <v>8</v>
      </c>
    </row>
    <row r="3924" spans="28:30" x14ac:dyDescent="0.25">
      <c r="AB3924" s="207" t="s">
        <v>29</v>
      </c>
      <c r="AC3924" s="207" t="s">
        <v>3999</v>
      </c>
      <c r="AD3924" s="213">
        <v>8</v>
      </c>
    </row>
    <row r="3925" spans="28:30" x14ac:dyDescent="0.25">
      <c r="AB3925" s="207" t="s">
        <v>1918</v>
      </c>
      <c r="AC3925" s="207" t="s">
        <v>4000</v>
      </c>
      <c r="AD3925" s="213">
        <v>8</v>
      </c>
    </row>
    <row r="3926" spans="28:30" x14ac:dyDescent="0.25">
      <c r="AB3926" s="207" t="s">
        <v>1669</v>
      </c>
      <c r="AC3926" s="207" t="s">
        <v>4001</v>
      </c>
      <c r="AD3926" s="213">
        <v>8</v>
      </c>
    </row>
    <row r="3927" spans="28:30" x14ac:dyDescent="0.25">
      <c r="AB3927" s="207" t="s">
        <v>1669</v>
      </c>
      <c r="AC3927" s="207" t="s">
        <v>4002</v>
      </c>
      <c r="AD3927" s="213">
        <v>8</v>
      </c>
    </row>
    <row r="3928" spans="28:30" x14ac:dyDescent="0.25">
      <c r="AB3928" s="207" t="s">
        <v>1738</v>
      </c>
      <c r="AC3928" s="207" t="s">
        <v>4003</v>
      </c>
      <c r="AD3928" s="213">
        <v>8</v>
      </c>
    </row>
    <row r="3929" spans="28:30" x14ac:dyDescent="0.25">
      <c r="AB3929" s="207" t="s">
        <v>1642</v>
      </c>
      <c r="AC3929" s="207" t="s">
        <v>4004</v>
      </c>
      <c r="AD3929" s="213">
        <v>8</v>
      </c>
    </row>
    <row r="3930" spans="28:30" x14ac:dyDescent="0.25">
      <c r="AB3930" s="207" t="s">
        <v>1642</v>
      </c>
      <c r="AC3930" s="207" t="s">
        <v>2299</v>
      </c>
      <c r="AD3930" s="213">
        <v>8</v>
      </c>
    </row>
    <row r="3931" spans="28:30" x14ac:dyDescent="0.25">
      <c r="AB3931" s="207" t="s">
        <v>1669</v>
      </c>
      <c r="AC3931" s="207" t="s">
        <v>4005</v>
      </c>
      <c r="AD3931" s="213">
        <v>8</v>
      </c>
    </row>
    <row r="3932" spans="28:30" x14ac:dyDescent="0.25">
      <c r="AB3932" s="207" t="s">
        <v>29</v>
      </c>
      <c r="AC3932" s="207" t="s">
        <v>4006</v>
      </c>
      <c r="AD3932" s="213">
        <v>8</v>
      </c>
    </row>
    <row r="3933" spans="28:30" x14ac:dyDescent="0.25">
      <c r="AB3933" s="207" t="s">
        <v>29</v>
      </c>
      <c r="AC3933" s="207" t="s">
        <v>4007</v>
      </c>
      <c r="AD3933" s="213">
        <v>8</v>
      </c>
    </row>
    <row r="3934" spans="28:30" x14ac:dyDescent="0.25">
      <c r="AB3934" s="207" t="s">
        <v>29</v>
      </c>
      <c r="AC3934" s="207" t="s">
        <v>4008</v>
      </c>
      <c r="AD3934" s="213">
        <v>8</v>
      </c>
    </row>
    <row r="3935" spans="28:30" x14ac:dyDescent="0.25">
      <c r="AB3935" s="207" t="s">
        <v>1715</v>
      </c>
      <c r="AC3935" s="207" t="s">
        <v>1287</v>
      </c>
      <c r="AD3935" s="213">
        <v>7</v>
      </c>
    </row>
    <row r="3936" spans="28:30" x14ac:dyDescent="0.25">
      <c r="AB3936" s="207" t="s">
        <v>29</v>
      </c>
      <c r="AC3936" s="207" t="s">
        <v>4009</v>
      </c>
      <c r="AD3936" s="213">
        <v>8</v>
      </c>
    </row>
    <row r="3937" spans="28:30" x14ac:dyDescent="0.25">
      <c r="AB3937" s="207" t="s">
        <v>29</v>
      </c>
      <c r="AC3937" s="207" t="s">
        <v>4010</v>
      </c>
      <c r="AD3937" s="213">
        <v>8</v>
      </c>
    </row>
    <row r="3938" spans="28:30" x14ac:dyDescent="0.25">
      <c r="AB3938" s="207" t="s">
        <v>29</v>
      </c>
      <c r="AC3938" s="207" t="s">
        <v>4011</v>
      </c>
      <c r="AD3938" s="213">
        <v>8</v>
      </c>
    </row>
    <row r="3939" spans="28:30" x14ac:dyDescent="0.25">
      <c r="AB3939" s="207" t="s">
        <v>29</v>
      </c>
      <c r="AC3939" s="207" t="s">
        <v>4012</v>
      </c>
      <c r="AD3939" s="213">
        <v>8</v>
      </c>
    </row>
    <row r="3940" spans="28:30" x14ac:dyDescent="0.25">
      <c r="AB3940" s="207" t="s">
        <v>29</v>
      </c>
      <c r="AC3940" s="207" t="s">
        <v>4013</v>
      </c>
      <c r="AD3940" s="213">
        <v>8</v>
      </c>
    </row>
    <row r="3941" spans="28:30" x14ac:dyDescent="0.25">
      <c r="AB3941" s="207" t="s">
        <v>1642</v>
      </c>
      <c r="AC3941" s="207" t="s">
        <v>4014</v>
      </c>
      <c r="AD3941" s="213">
        <v>7</v>
      </c>
    </row>
    <row r="3942" spans="28:30" x14ac:dyDescent="0.25">
      <c r="AB3942" s="207" t="s">
        <v>29</v>
      </c>
      <c r="AC3942" s="207" t="s">
        <v>4015</v>
      </c>
      <c r="AD3942" s="213">
        <v>8</v>
      </c>
    </row>
    <row r="3943" spans="28:30" x14ac:dyDescent="0.25">
      <c r="AB3943" s="207" t="s">
        <v>3847</v>
      </c>
      <c r="AC3943" s="207" t="s">
        <v>4016</v>
      </c>
      <c r="AD3943" s="213">
        <v>8</v>
      </c>
    </row>
    <row r="3944" spans="28:30" x14ac:dyDescent="0.25">
      <c r="AB3944" s="207" t="s">
        <v>3847</v>
      </c>
      <c r="AC3944" s="207" t="s">
        <v>4017</v>
      </c>
      <c r="AD3944" s="213">
        <v>8</v>
      </c>
    </row>
    <row r="3945" spans="28:30" x14ac:dyDescent="0.25">
      <c r="AB3945" s="207" t="s">
        <v>1918</v>
      </c>
      <c r="AC3945" s="207" t="s">
        <v>4018</v>
      </c>
      <c r="AD3945" s="213">
        <v>8</v>
      </c>
    </row>
    <row r="3946" spans="28:30" x14ac:dyDescent="0.25">
      <c r="AB3946" s="207" t="s">
        <v>29</v>
      </c>
      <c r="AC3946" s="207" t="s">
        <v>4019</v>
      </c>
      <c r="AD3946" s="213">
        <v>8</v>
      </c>
    </row>
    <row r="3947" spans="28:30" x14ac:dyDescent="0.25">
      <c r="AB3947" s="207" t="s">
        <v>206</v>
      </c>
      <c r="AC3947" s="207" t="s">
        <v>4020</v>
      </c>
      <c r="AD3947" s="213">
        <v>8</v>
      </c>
    </row>
    <row r="3948" spans="28:30" x14ac:dyDescent="0.25">
      <c r="AB3948" s="207" t="s">
        <v>3847</v>
      </c>
      <c r="AC3948" s="207" t="s">
        <v>4021</v>
      </c>
      <c r="AD3948" s="213">
        <v>8</v>
      </c>
    </row>
    <row r="3949" spans="28:30" x14ac:dyDescent="0.25">
      <c r="AB3949" s="207" t="s">
        <v>29</v>
      </c>
      <c r="AC3949" s="207" t="s">
        <v>4022</v>
      </c>
      <c r="AD3949" s="213">
        <v>8</v>
      </c>
    </row>
    <row r="3950" spans="28:30" x14ac:dyDescent="0.25">
      <c r="AB3950" s="207" t="s">
        <v>1669</v>
      </c>
      <c r="AC3950" s="207" t="s">
        <v>2032</v>
      </c>
      <c r="AD3950" s="213">
        <v>8</v>
      </c>
    </row>
    <row r="3951" spans="28:30" x14ac:dyDescent="0.25">
      <c r="AB3951" s="207" t="s">
        <v>29</v>
      </c>
      <c r="AC3951" s="207" t="s">
        <v>4023</v>
      </c>
      <c r="AD3951" s="213">
        <v>8</v>
      </c>
    </row>
    <row r="3952" spans="28:30" x14ac:dyDescent="0.25">
      <c r="AB3952" s="207" t="s">
        <v>206</v>
      </c>
      <c r="AC3952" s="207" t="s">
        <v>4024</v>
      </c>
      <c r="AD3952" s="213">
        <v>8</v>
      </c>
    </row>
    <row r="3953" spans="28:30" x14ac:dyDescent="0.25">
      <c r="AB3953" s="207" t="s">
        <v>29</v>
      </c>
      <c r="AC3953" s="207" t="s">
        <v>4025</v>
      </c>
      <c r="AD3953" s="213">
        <v>8</v>
      </c>
    </row>
    <row r="3954" spans="28:30" x14ac:dyDescent="0.25">
      <c r="AB3954" s="207" t="s">
        <v>1642</v>
      </c>
      <c r="AC3954" s="207" t="s">
        <v>4026</v>
      </c>
      <c r="AD3954" s="213">
        <v>8</v>
      </c>
    </row>
    <row r="3955" spans="28:30" x14ac:dyDescent="0.25">
      <c r="AB3955" s="207" t="s">
        <v>1715</v>
      </c>
      <c r="AC3955" s="207" t="s">
        <v>4027</v>
      </c>
      <c r="AD3955" s="213">
        <v>7</v>
      </c>
    </row>
    <row r="3956" spans="28:30" x14ac:dyDescent="0.25">
      <c r="AB3956" s="207" t="s">
        <v>1738</v>
      </c>
      <c r="AC3956" s="207" t="s">
        <v>4028</v>
      </c>
      <c r="AD3956" s="213">
        <v>8</v>
      </c>
    </row>
    <row r="3957" spans="28:30" x14ac:dyDescent="0.25">
      <c r="AB3957" s="207" t="s">
        <v>1642</v>
      </c>
      <c r="AC3957" s="207" t="s">
        <v>4018</v>
      </c>
      <c r="AD3957" s="213">
        <v>8</v>
      </c>
    </row>
    <row r="3958" spans="28:30" x14ac:dyDescent="0.25">
      <c r="AB3958" s="207" t="s">
        <v>3979</v>
      </c>
      <c r="AC3958" s="207" t="s">
        <v>4029</v>
      </c>
      <c r="AD3958" s="213">
        <v>8</v>
      </c>
    </row>
    <row r="3959" spans="28:30" x14ac:dyDescent="0.25">
      <c r="AB3959" s="207" t="s">
        <v>217</v>
      </c>
      <c r="AC3959" s="207" t="s">
        <v>4030</v>
      </c>
      <c r="AD3959" s="213">
        <v>8</v>
      </c>
    </row>
    <row r="3960" spans="28:30" x14ac:dyDescent="0.25">
      <c r="AB3960" s="207" t="s">
        <v>1918</v>
      </c>
      <c r="AC3960" s="207" t="s">
        <v>4031</v>
      </c>
      <c r="AD3960" s="213">
        <v>8</v>
      </c>
    </row>
    <row r="3961" spans="28:30" x14ac:dyDescent="0.25">
      <c r="AB3961" s="207" t="s">
        <v>1738</v>
      </c>
      <c r="AC3961" s="207" t="s">
        <v>4032</v>
      </c>
      <c r="AD3961" s="213">
        <v>8</v>
      </c>
    </row>
    <row r="3962" spans="28:30" x14ac:dyDescent="0.25">
      <c r="AB3962" s="207" t="s">
        <v>1738</v>
      </c>
      <c r="AC3962" s="207" t="s">
        <v>4033</v>
      </c>
      <c r="AD3962" s="213">
        <v>8</v>
      </c>
    </row>
    <row r="3963" spans="28:30" x14ac:dyDescent="0.25">
      <c r="AB3963" s="207" t="s">
        <v>1738</v>
      </c>
      <c r="AC3963" s="207" t="s">
        <v>4034</v>
      </c>
      <c r="AD3963" s="213">
        <v>8</v>
      </c>
    </row>
    <row r="3964" spans="28:30" x14ac:dyDescent="0.25">
      <c r="AB3964" s="207" t="s">
        <v>29</v>
      </c>
      <c r="AC3964" s="207" t="s">
        <v>4035</v>
      </c>
      <c r="AD3964" s="213">
        <v>8</v>
      </c>
    </row>
    <row r="3965" spans="28:30" x14ac:dyDescent="0.25">
      <c r="AB3965" s="207" t="s">
        <v>1918</v>
      </c>
      <c r="AC3965" s="207" t="s">
        <v>4036</v>
      </c>
      <c r="AD3965" s="213">
        <v>8</v>
      </c>
    </row>
    <row r="3966" spans="28:30" x14ac:dyDescent="0.25">
      <c r="AB3966" s="207" t="s">
        <v>29</v>
      </c>
      <c r="AC3966" s="207" t="s">
        <v>4037</v>
      </c>
      <c r="AD3966" s="213">
        <v>8</v>
      </c>
    </row>
    <row r="3967" spans="28:30" x14ac:dyDescent="0.25">
      <c r="AB3967" s="207" t="s">
        <v>1918</v>
      </c>
      <c r="AC3967" s="207" t="s">
        <v>4038</v>
      </c>
      <c r="AD3967" s="213">
        <v>8</v>
      </c>
    </row>
    <row r="3968" spans="28:30" x14ac:dyDescent="0.25">
      <c r="AB3968" s="207" t="s">
        <v>29</v>
      </c>
      <c r="AC3968" s="207" t="s">
        <v>4039</v>
      </c>
      <c r="AD3968" s="213">
        <v>8</v>
      </c>
    </row>
    <row r="3969" spans="28:30" x14ac:dyDescent="0.25">
      <c r="AB3969" s="207" t="s">
        <v>3845</v>
      </c>
      <c r="AC3969" s="207" t="s">
        <v>4040</v>
      </c>
      <c r="AD3969" s="213">
        <v>7</v>
      </c>
    </row>
    <row r="3970" spans="28:30" x14ac:dyDescent="0.25">
      <c r="AB3970" s="207" t="s">
        <v>29</v>
      </c>
      <c r="AC3970" s="207" t="s">
        <v>4041</v>
      </c>
      <c r="AD3970" s="213">
        <v>8</v>
      </c>
    </row>
    <row r="3971" spans="28:30" x14ac:dyDescent="0.25">
      <c r="AB3971" s="207" t="s">
        <v>206</v>
      </c>
      <c r="AC3971" s="207" t="s">
        <v>4042</v>
      </c>
      <c r="AD3971" s="213">
        <v>8</v>
      </c>
    </row>
    <row r="3972" spans="28:30" x14ac:dyDescent="0.25">
      <c r="AB3972" s="207" t="s">
        <v>3847</v>
      </c>
      <c r="AC3972" s="207" t="s">
        <v>4043</v>
      </c>
      <c r="AD3972" s="213">
        <v>8</v>
      </c>
    </row>
    <row r="3973" spans="28:30" x14ac:dyDescent="0.25">
      <c r="AB3973" s="207" t="s">
        <v>206</v>
      </c>
      <c r="AC3973" s="207" t="s">
        <v>4044</v>
      </c>
      <c r="AD3973" s="213">
        <v>8</v>
      </c>
    </row>
    <row r="3974" spans="28:30" x14ac:dyDescent="0.25">
      <c r="AB3974" s="207" t="s">
        <v>1918</v>
      </c>
      <c r="AC3974" s="207" t="s">
        <v>4045</v>
      </c>
      <c r="AD3974" s="213">
        <v>8</v>
      </c>
    </row>
    <row r="3975" spans="28:30" x14ac:dyDescent="0.25">
      <c r="AB3975" s="207" t="s">
        <v>206</v>
      </c>
      <c r="AC3975" s="207" t="s">
        <v>4046</v>
      </c>
      <c r="AD3975" s="213">
        <v>8</v>
      </c>
    </row>
    <row r="3976" spans="28:30" x14ac:dyDescent="0.25">
      <c r="AB3976" s="207" t="s">
        <v>1642</v>
      </c>
      <c r="AC3976" s="207" t="s">
        <v>2824</v>
      </c>
      <c r="AD3976" s="213">
        <v>7</v>
      </c>
    </row>
    <row r="3977" spans="28:30" x14ac:dyDescent="0.25">
      <c r="AB3977" s="207" t="s">
        <v>206</v>
      </c>
      <c r="AC3977" s="207" t="s">
        <v>4047</v>
      </c>
      <c r="AD3977" s="213">
        <v>8</v>
      </c>
    </row>
    <row r="3978" spans="28:30" x14ac:dyDescent="0.25">
      <c r="AB3978" s="207" t="s">
        <v>206</v>
      </c>
      <c r="AC3978" s="207" t="s">
        <v>4048</v>
      </c>
      <c r="AD3978" s="213">
        <v>8</v>
      </c>
    </row>
    <row r="3979" spans="28:30" x14ac:dyDescent="0.25">
      <c r="AB3979" s="207" t="s">
        <v>29</v>
      </c>
      <c r="AC3979" s="207" t="s">
        <v>4049</v>
      </c>
      <c r="AD3979" s="213">
        <v>8</v>
      </c>
    </row>
    <row r="3980" spans="28:30" x14ac:dyDescent="0.25">
      <c r="AB3980" s="207" t="s">
        <v>29</v>
      </c>
      <c r="AC3980" s="207" t="s">
        <v>4050</v>
      </c>
      <c r="AD3980" s="213">
        <v>8</v>
      </c>
    </row>
    <row r="3981" spans="28:30" x14ac:dyDescent="0.25">
      <c r="AB3981" s="207" t="s">
        <v>206</v>
      </c>
      <c r="AC3981" s="207" t="s">
        <v>4051</v>
      </c>
      <c r="AD3981" s="213">
        <v>8</v>
      </c>
    </row>
    <row r="3982" spans="28:30" x14ac:dyDescent="0.25">
      <c r="AB3982" s="207" t="s">
        <v>1918</v>
      </c>
      <c r="AC3982" s="207" t="s">
        <v>4052</v>
      </c>
      <c r="AD3982" s="213">
        <v>8</v>
      </c>
    </row>
    <row r="3983" spans="28:30" x14ac:dyDescent="0.25">
      <c r="AB3983" s="207" t="s">
        <v>1642</v>
      </c>
      <c r="AC3983" s="207" t="s">
        <v>4053</v>
      </c>
      <c r="AD3983" s="213">
        <v>8</v>
      </c>
    </row>
    <row r="3984" spans="28:30" x14ac:dyDescent="0.25">
      <c r="AB3984" s="207" t="s">
        <v>206</v>
      </c>
      <c r="AC3984" s="207" t="s">
        <v>4054</v>
      </c>
      <c r="AD3984" s="213">
        <v>8</v>
      </c>
    </row>
    <row r="3985" spans="28:30" x14ac:dyDescent="0.25">
      <c r="AB3985" s="207" t="s">
        <v>29</v>
      </c>
      <c r="AC3985" s="207" t="s">
        <v>4055</v>
      </c>
      <c r="AD3985" s="213">
        <v>8</v>
      </c>
    </row>
    <row r="3986" spans="28:30" x14ac:dyDescent="0.25">
      <c r="AB3986" s="207" t="s">
        <v>3847</v>
      </c>
      <c r="AC3986" s="207" t="s">
        <v>4056</v>
      </c>
      <c r="AD3986" s="213">
        <v>8</v>
      </c>
    </row>
    <row r="3987" spans="28:30" x14ac:dyDescent="0.25">
      <c r="AB3987" s="207" t="s">
        <v>29</v>
      </c>
      <c r="AC3987" s="207" t="s">
        <v>4057</v>
      </c>
      <c r="AD3987" s="213">
        <v>8</v>
      </c>
    </row>
    <row r="3988" spans="28:30" x14ac:dyDescent="0.25">
      <c r="AB3988" s="207" t="s">
        <v>206</v>
      </c>
      <c r="AC3988" s="207" t="s">
        <v>4058</v>
      </c>
      <c r="AD3988" s="213">
        <v>8</v>
      </c>
    </row>
    <row r="3989" spans="28:30" x14ac:dyDescent="0.25">
      <c r="AB3989" s="207" t="s">
        <v>206</v>
      </c>
      <c r="AC3989" s="207" t="s">
        <v>4059</v>
      </c>
      <c r="AD3989" s="213">
        <v>8</v>
      </c>
    </row>
    <row r="3990" spans="28:30" x14ac:dyDescent="0.25">
      <c r="AB3990" s="207" t="s">
        <v>206</v>
      </c>
      <c r="AC3990" s="207" t="s">
        <v>4060</v>
      </c>
      <c r="AD3990" s="213">
        <v>8</v>
      </c>
    </row>
    <row r="3991" spans="28:30" x14ac:dyDescent="0.25">
      <c r="AB3991" s="207" t="s">
        <v>206</v>
      </c>
      <c r="AC3991" s="207" t="s">
        <v>3406</v>
      </c>
      <c r="AD3991" s="213">
        <v>8</v>
      </c>
    </row>
    <row r="3992" spans="28:30" x14ac:dyDescent="0.25">
      <c r="AB3992" s="207" t="s">
        <v>1918</v>
      </c>
      <c r="AC3992" s="207" t="s">
        <v>4061</v>
      </c>
      <c r="AD3992" s="213">
        <v>8</v>
      </c>
    </row>
    <row r="3993" spans="28:30" x14ac:dyDescent="0.25">
      <c r="AB3993" s="207" t="s">
        <v>206</v>
      </c>
      <c r="AC3993" s="207" t="s">
        <v>4062</v>
      </c>
      <c r="AD3993" s="213">
        <v>8</v>
      </c>
    </row>
    <row r="3994" spans="28:30" x14ac:dyDescent="0.25">
      <c r="AB3994" s="207" t="s">
        <v>29</v>
      </c>
      <c r="AC3994" s="207" t="s">
        <v>4063</v>
      </c>
      <c r="AD3994" s="213">
        <v>8</v>
      </c>
    </row>
    <row r="3995" spans="28:30" x14ac:dyDescent="0.25">
      <c r="AB3995" s="207" t="s">
        <v>29</v>
      </c>
      <c r="AC3995" s="207" t="s">
        <v>4064</v>
      </c>
      <c r="AD3995" s="213">
        <v>8</v>
      </c>
    </row>
    <row r="3996" spans="28:30" x14ac:dyDescent="0.25">
      <c r="AB3996" s="207" t="s">
        <v>3979</v>
      </c>
      <c r="AC3996" s="207" t="s">
        <v>4065</v>
      </c>
      <c r="AD3996" s="213">
        <v>8</v>
      </c>
    </row>
    <row r="3997" spans="28:30" x14ac:dyDescent="0.25">
      <c r="AB3997" s="207" t="s">
        <v>3847</v>
      </c>
      <c r="AC3997" s="207" t="s">
        <v>4066</v>
      </c>
      <c r="AD3997" s="213">
        <v>8</v>
      </c>
    </row>
    <row r="3998" spans="28:30" x14ac:dyDescent="0.25">
      <c r="AB3998" s="207" t="s">
        <v>29</v>
      </c>
      <c r="AC3998" s="207" t="s">
        <v>4067</v>
      </c>
      <c r="AD3998" s="213">
        <v>8</v>
      </c>
    </row>
    <row r="3999" spans="28:30" x14ac:dyDescent="0.25">
      <c r="AB3999" s="207" t="s">
        <v>206</v>
      </c>
      <c r="AC3999" s="207" t="s">
        <v>4068</v>
      </c>
      <c r="AD3999" s="213">
        <v>8</v>
      </c>
    </row>
    <row r="4000" spans="28:30" x14ac:dyDescent="0.25">
      <c r="AB4000" s="207" t="s">
        <v>3847</v>
      </c>
      <c r="AC4000" s="207" t="s">
        <v>4069</v>
      </c>
      <c r="AD4000" s="213">
        <v>8</v>
      </c>
    </row>
    <row r="4001" spans="28:30" x14ac:dyDescent="0.25">
      <c r="AB4001" s="207" t="s">
        <v>1642</v>
      </c>
      <c r="AC4001" s="207" t="s">
        <v>4070</v>
      </c>
      <c r="AD4001" s="213">
        <v>8</v>
      </c>
    </row>
    <row r="4002" spans="28:30" x14ac:dyDescent="0.25">
      <c r="AB4002" s="207" t="s">
        <v>373</v>
      </c>
      <c r="AC4002" s="207" t="s">
        <v>4071</v>
      </c>
      <c r="AD4002" s="213">
        <v>8</v>
      </c>
    </row>
    <row r="4003" spans="28:30" x14ac:dyDescent="0.25">
      <c r="AB4003" s="207" t="s">
        <v>206</v>
      </c>
      <c r="AC4003" s="207" t="s">
        <v>4072</v>
      </c>
      <c r="AD4003" s="213">
        <v>8</v>
      </c>
    </row>
    <row r="4004" spans="28:30" x14ac:dyDescent="0.25">
      <c r="AB4004" s="207" t="s">
        <v>3847</v>
      </c>
      <c r="AC4004" s="207" t="s">
        <v>4073</v>
      </c>
      <c r="AD4004" s="213">
        <v>8</v>
      </c>
    </row>
    <row r="4005" spans="28:30" x14ac:dyDescent="0.25">
      <c r="AB4005" s="207" t="s">
        <v>29</v>
      </c>
      <c r="AC4005" s="207" t="s">
        <v>4074</v>
      </c>
      <c r="AD4005" s="213">
        <v>8</v>
      </c>
    </row>
    <row r="4006" spans="28:30" x14ac:dyDescent="0.25">
      <c r="AB4006" s="207" t="s">
        <v>1918</v>
      </c>
      <c r="AC4006" s="207" t="s">
        <v>4075</v>
      </c>
      <c r="AD4006" s="213">
        <v>8</v>
      </c>
    </row>
    <row r="4007" spans="28:30" x14ac:dyDescent="0.25">
      <c r="AB4007" s="207" t="s">
        <v>206</v>
      </c>
      <c r="AC4007" s="207" t="s">
        <v>4076</v>
      </c>
      <c r="AD4007" s="213">
        <v>8</v>
      </c>
    </row>
    <row r="4008" spans="28:30" x14ac:dyDescent="0.25">
      <c r="AB4008" s="207" t="s">
        <v>1951</v>
      </c>
      <c r="AC4008" s="207" t="s">
        <v>4077</v>
      </c>
      <c r="AD4008" s="213">
        <v>7</v>
      </c>
    </row>
    <row r="4009" spans="28:30" x14ac:dyDescent="0.25">
      <c r="AB4009" s="207" t="s">
        <v>29</v>
      </c>
      <c r="AC4009" s="207" t="s">
        <v>4078</v>
      </c>
      <c r="AD4009" s="213">
        <v>8</v>
      </c>
    </row>
    <row r="4010" spans="28:30" x14ac:dyDescent="0.25">
      <c r="AB4010" s="207" t="s">
        <v>3847</v>
      </c>
      <c r="AC4010" s="207" t="s">
        <v>4079</v>
      </c>
      <c r="AD4010" s="213">
        <v>8</v>
      </c>
    </row>
    <row r="4011" spans="28:30" x14ac:dyDescent="0.25">
      <c r="AB4011" s="207" t="s">
        <v>1918</v>
      </c>
      <c r="AC4011" s="207" t="s">
        <v>4080</v>
      </c>
      <c r="AD4011" s="213">
        <v>8</v>
      </c>
    </row>
    <row r="4012" spans="28:30" x14ac:dyDescent="0.25">
      <c r="AB4012" s="207" t="s">
        <v>1951</v>
      </c>
      <c r="AC4012" s="207" t="s">
        <v>4081</v>
      </c>
      <c r="AD4012" s="213">
        <v>7</v>
      </c>
    </row>
    <row r="4013" spans="28:30" x14ac:dyDescent="0.25">
      <c r="AB4013" s="207" t="s">
        <v>1918</v>
      </c>
      <c r="AC4013" s="207" t="s">
        <v>5876</v>
      </c>
      <c r="AD4013" s="213">
        <v>8</v>
      </c>
    </row>
    <row r="4014" spans="28:30" x14ac:dyDescent="0.25">
      <c r="AB4014" s="207" t="s">
        <v>1918</v>
      </c>
      <c r="AC4014" s="207" t="s">
        <v>4082</v>
      </c>
      <c r="AD4014" s="213">
        <v>8</v>
      </c>
    </row>
    <row r="4015" spans="28:30" x14ac:dyDescent="0.25">
      <c r="AB4015" s="207" t="s">
        <v>3845</v>
      </c>
      <c r="AC4015" s="207" t="s">
        <v>4083</v>
      </c>
      <c r="AD4015" s="213">
        <v>7</v>
      </c>
    </row>
    <row r="4016" spans="28:30" x14ac:dyDescent="0.25">
      <c r="AB4016" s="207" t="s">
        <v>29</v>
      </c>
      <c r="AC4016" s="207" t="s">
        <v>4084</v>
      </c>
      <c r="AD4016" s="213">
        <v>8</v>
      </c>
    </row>
    <row r="4017" spans="28:30" x14ac:dyDescent="0.25">
      <c r="AB4017" s="207" t="s">
        <v>206</v>
      </c>
      <c r="AC4017" s="207" t="s">
        <v>4085</v>
      </c>
      <c r="AD4017" s="213">
        <v>8</v>
      </c>
    </row>
    <row r="4018" spans="28:30" x14ac:dyDescent="0.25">
      <c r="AB4018" s="207" t="s">
        <v>1918</v>
      </c>
      <c r="AC4018" s="207" t="s">
        <v>4086</v>
      </c>
      <c r="AD4018" s="213">
        <v>8</v>
      </c>
    </row>
    <row r="4019" spans="28:30" x14ac:dyDescent="0.25">
      <c r="AB4019" s="207" t="s">
        <v>29</v>
      </c>
      <c r="AC4019" s="207" t="s">
        <v>4087</v>
      </c>
      <c r="AD4019" s="213">
        <v>8</v>
      </c>
    </row>
    <row r="4020" spans="28:30" x14ac:dyDescent="0.25">
      <c r="AB4020" s="207" t="s">
        <v>29</v>
      </c>
      <c r="AC4020" s="207" t="s">
        <v>4088</v>
      </c>
      <c r="AD4020" s="213">
        <v>8</v>
      </c>
    </row>
    <row r="4021" spans="28:30" x14ac:dyDescent="0.25">
      <c r="AB4021" s="207" t="s">
        <v>1738</v>
      </c>
      <c r="AC4021" s="207" t="s">
        <v>4089</v>
      </c>
      <c r="AD4021" s="213">
        <v>8</v>
      </c>
    </row>
    <row r="4022" spans="28:30" x14ac:dyDescent="0.25">
      <c r="AB4022" s="207" t="s">
        <v>29</v>
      </c>
      <c r="AC4022" s="207" t="s">
        <v>4090</v>
      </c>
      <c r="AD4022" s="213">
        <v>8</v>
      </c>
    </row>
    <row r="4023" spans="28:30" x14ac:dyDescent="0.25">
      <c r="AB4023" s="207" t="s">
        <v>29</v>
      </c>
      <c r="AC4023" s="207" t="s">
        <v>4091</v>
      </c>
      <c r="AD4023" s="213">
        <v>8</v>
      </c>
    </row>
    <row r="4024" spans="28:30" x14ac:dyDescent="0.25">
      <c r="AB4024" s="207" t="s">
        <v>29</v>
      </c>
      <c r="AC4024" s="207" t="s">
        <v>4092</v>
      </c>
      <c r="AD4024" s="213">
        <v>8</v>
      </c>
    </row>
    <row r="4025" spans="28:30" x14ac:dyDescent="0.25">
      <c r="AB4025" s="207" t="s">
        <v>3847</v>
      </c>
      <c r="AC4025" s="207" t="s">
        <v>4093</v>
      </c>
      <c r="AD4025" s="213">
        <v>8</v>
      </c>
    </row>
    <row r="4026" spans="28:30" x14ac:dyDescent="0.25">
      <c r="AB4026" s="207" t="s">
        <v>3847</v>
      </c>
      <c r="AC4026" s="207" t="s">
        <v>4094</v>
      </c>
      <c r="AD4026" s="213">
        <v>8</v>
      </c>
    </row>
    <row r="4027" spans="28:30" x14ac:dyDescent="0.25">
      <c r="AB4027" s="207" t="s">
        <v>3847</v>
      </c>
      <c r="AC4027" s="207" t="s">
        <v>4095</v>
      </c>
      <c r="AD4027" s="213">
        <v>8</v>
      </c>
    </row>
    <row r="4028" spans="28:30" x14ac:dyDescent="0.25">
      <c r="AB4028" s="207" t="s">
        <v>1951</v>
      </c>
      <c r="AC4028" s="207" t="s">
        <v>4096</v>
      </c>
      <c r="AD4028" s="213">
        <v>7</v>
      </c>
    </row>
    <row r="4029" spans="28:30" x14ac:dyDescent="0.25">
      <c r="AB4029" s="207" t="s">
        <v>1951</v>
      </c>
      <c r="AC4029" s="207" t="s">
        <v>1486</v>
      </c>
      <c r="AD4029" s="213">
        <v>7</v>
      </c>
    </row>
    <row r="4030" spans="28:30" x14ac:dyDescent="0.25">
      <c r="AB4030" s="207" t="s">
        <v>1918</v>
      </c>
      <c r="AC4030" s="207" t="s">
        <v>4097</v>
      </c>
      <c r="AD4030" s="213">
        <v>7</v>
      </c>
    </row>
    <row r="4031" spans="28:30" x14ac:dyDescent="0.25">
      <c r="AB4031" s="207" t="s">
        <v>206</v>
      </c>
      <c r="AC4031" s="207" t="s">
        <v>4098</v>
      </c>
      <c r="AD4031" s="213">
        <v>8</v>
      </c>
    </row>
    <row r="4032" spans="28:30" x14ac:dyDescent="0.25">
      <c r="AB4032" s="207" t="s">
        <v>206</v>
      </c>
      <c r="AC4032" s="207" t="s">
        <v>4099</v>
      </c>
      <c r="AD4032" s="213">
        <v>8</v>
      </c>
    </row>
    <row r="4033" spans="28:30" x14ac:dyDescent="0.25">
      <c r="AB4033" s="207" t="s">
        <v>29</v>
      </c>
      <c r="AC4033" s="207" t="s">
        <v>4100</v>
      </c>
      <c r="AD4033" s="213">
        <v>8</v>
      </c>
    </row>
    <row r="4034" spans="28:30" x14ac:dyDescent="0.25">
      <c r="AB4034" s="207" t="s">
        <v>3847</v>
      </c>
      <c r="AC4034" s="207" t="s">
        <v>3947</v>
      </c>
      <c r="AD4034" s="213">
        <v>8</v>
      </c>
    </row>
    <row r="4035" spans="28:30" x14ac:dyDescent="0.25">
      <c r="AB4035" s="207" t="s">
        <v>373</v>
      </c>
      <c r="AC4035" s="207" t="s">
        <v>4101</v>
      </c>
      <c r="AD4035" s="213">
        <v>8</v>
      </c>
    </row>
    <row r="4036" spans="28:30" x14ac:dyDescent="0.25">
      <c r="AB4036" s="207" t="s">
        <v>1642</v>
      </c>
      <c r="AC4036" s="207" t="s">
        <v>4102</v>
      </c>
      <c r="AD4036" s="213">
        <v>7</v>
      </c>
    </row>
    <row r="4037" spans="28:30" x14ac:dyDescent="0.25">
      <c r="AB4037" s="207" t="s">
        <v>1918</v>
      </c>
      <c r="AC4037" s="207" t="s">
        <v>4103</v>
      </c>
      <c r="AD4037" s="213">
        <v>7</v>
      </c>
    </row>
    <row r="4038" spans="28:30" x14ac:dyDescent="0.25">
      <c r="AB4038" s="207" t="s">
        <v>1918</v>
      </c>
      <c r="AC4038" s="207" t="s">
        <v>4104</v>
      </c>
      <c r="AD4038" s="213">
        <v>8</v>
      </c>
    </row>
    <row r="4039" spans="28:30" x14ac:dyDescent="0.25">
      <c r="AB4039" s="207" t="s">
        <v>29</v>
      </c>
      <c r="AC4039" s="207" t="s">
        <v>3106</v>
      </c>
      <c r="AD4039" s="213">
        <v>8</v>
      </c>
    </row>
    <row r="4040" spans="28:30" x14ac:dyDescent="0.25">
      <c r="AB4040" s="207" t="s">
        <v>29</v>
      </c>
      <c r="AC4040" s="207" t="s">
        <v>1818</v>
      </c>
      <c r="AD4040" s="213">
        <v>8</v>
      </c>
    </row>
    <row r="4041" spans="28:30" x14ac:dyDescent="0.25">
      <c r="AB4041" s="207" t="s">
        <v>29</v>
      </c>
      <c r="AC4041" s="207" t="s">
        <v>4105</v>
      </c>
      <c r="AD4041" s="213">
        <v>8</v>
      </c>
    </row>
    <row r="4042" spans="28:30" x14ac:dyDescent="0.25">
      <c r="AB4042" s="207" t="s">
        <v>29</v>
      </c>
      <c r="AC4042" s="207" t="s">
        <v>4106</v>
      </c>
      <c r="AD4042" s="213">
        <v>8</v>
      </c>
    </row>
    <row r="4043" spans="28:30" x14ac:dyDescent="0.25">
      <c r="AB4043" s="207" t="s">
        <v>3847</v>
      </c>
      <c r="AC4043" s="207" t="s">
        <v>4107</v>
      </c>
      <c r="AD4043" s="213">
        <v>7</v>
      </c>
    </row>
    <row r="4044" spans="28:30" x14ac:dyDescent="0.25">
      <c r="AB4044" s="207" t="s">
        <v>29</v>
      </c>
      <c r="AC4044" s="207" t="s">
        <v>4108</v>
      </c>
      <c r="AD4044" s="213">
        <v>8</v>
      </c>
    </row>
    <row r="4045" spans="28:30" x14ac:dyDescent="0.25">
      <c r="AB4045" s="207" t="s">
        <v>1918</v>
      </c>
      <c r="AC4045" s="207" t="s">
        <v>4109</v>
      </c>
      <c r="AD4045" s="213">
        <v>8</v>
      </c>
    </row>
    <row r="4046" spans="28:30" x14ac:dyDescent="0.25">
      <c r="AB4046" s="207" t="s">
        <v>1642</v>
      </c>
      <c r="AC4046" s="207" t="s">
        <v>4110</v>
      </c>
      <c r="AD4046" s="213">
        <v>8</v>
      </c>
    </row>
    <row r="4047" spans="28:30" x14ac:dyDescent="0.25">
      <c r="AB4047" s="207" t="s">
        <v>29</v>
      </c>
      <c r="AC4047" s="207" t="s">
        <v>4111</v>
      </c>
      <c r="AD4047" s="213">
        <v>8</v>
      </c>
    </row>
    <row r="4048" spans="28:30" x14ac:dyDescent="0.25">
      <c r="AB4048" s="207" t="s">
        <v>1642</v>
      </c>
      <c r="AC4048" s="207" t="s">
        <v>4112</v>
      </c>
      <c r="AD4048" s="213">
        <v>7</v>
      </c>
    </row>
    <row r="4049" spans="28:30" x14ac:dyDescent="0.25">
      <c r="AB4049" s="207" t="s">
        <v>1918</v>
      </c>
      <c r="AC4049" s="207" t="s">
        <v>4113</v>
      </c>
      <c r="AD4049" s="213">
        <v>7</v>
      </c>
    </row>
    <row r="4050" spans="28:30" x14ac:dyDescent="0.25">
      <c r="AB4050" s="207" t="s">
        <v>3847</v>
      </c>
      <c r="AC4050" s="207" t="s">
        <v>4114</v>
      </c>
      <c r="AD4050" s="213">
        <v>8</v>
      </c>
    </row>
    <row r="4051" spans="28:30" x14ac:dyDescent="0.25">
      <c r="AB4051" s="207" t="s">
        <v>1642</v>
      </c>
      <c r="AC4051" s="207" t="s">
        <v>4115</v>
      </c>
      <c r="AD4051" s="213">
        <v>7</v>
      </c>
    </row>
    <row r="4052" spans="28:30" x14ac:dyDescent="0.25">
      <c r="AB4052" s="207" t="s">
        <v>1918</v>
      </c>
      <c r="AC4052" s="207" t="s">
        <v>4116</v>
      </c>
      <c r="AD4052" s="213">
        <v>8</v>
      </c>
    </row>
    <row r="4053" spans="28:30" x14ac:dyDescent="0.25">
      <c r="AB4053" s="207" t="s">
        <v>205</v>
      </c>
      <c r="AC4053" s="207" t="s">
        <v>4117</v>
      </c>
      <c r="AD4053" s="213">
        <v>8</v>
      </c>
    </row>
    <row r="4054" spans="28:30" x14ac:dyDescent="0.25">
      <c r="AB4054" s="207" t="s">
        <v>3847</v>
      </c>
      <c r="AC4054" s="207" t="s">
        <v>4118</v>
      </c>
      <c r="AD4054" s="213">
        <v>7</v>
      </c>
    </row>
    <row r="4055" spans="28:30" x14ac:dyDescent="0.25">
      <c r="AB4055" s="207" t="s">
        <v>1642</v>
      </c>
      <c r="AC4055" s="207" t="s">
        <v>4119</v>
      </c>
      <c r="AD4055" s="213">
        <v>8</v>
      </c>
    </row>
    <row r="4056" spans="28:30" x14ac:dyDescent="0.25">
      <c r="AB4056" s="207" t="s">
        <v>1642</v>
      </c>
      <c r="AC4056" s="207" t="s">
        <v>4120</v>
      </c>
      <c r="AD4056" s="213">
        <v>8</v>
      </c>
    </row>
    <row r="4057" spans="28:30" x14ac:dyDescent="0.25">
      <c r="AB4057" s="207" t="s">
        <v>1918</v>
      </c>
      <c r="AC4057" s="207" t="s">
        <v>4121</v>
      </c>
      <c r="AD4057" s="213">
        <v>8</v>
      </c>
    </row>
    <row r="4058" spans="28:30" x14ac:dyDescent="0.25">
      <c r="AB4058" s="207" t="s">
        <v>3847</v>
      </c>
      <c r="AC4058" s="207" t="s">
        <v>4122</v>
      </c>
      <c r="AD4058" s="213">
        <v>8</v>
      </c>
    </row>
    <row r="4059" spans="28:30" x14ac:dyDescent="0.25">
      <c r="AB4059" s="207" t="s">
        <v>1918</v>
      </c>
      <c r="AC4059" s="207" t="s">
        <v>4123</v>
      </c>
      <c r="AD4059" s="213">
        <v>7</v>
      </c>
    </row>
    <row r="4060" spans="28:30" x14ac:dyDescent="0.25">
      <c r="AB4060" s="207" t="s">
        <v>29</v>
      </c>
      <c r="AC4060" s="207" t="s">
        <v>4124</v>
      </c>
      <c r="AD4060" s="213">
        <v>8</v>
      </c>
    </row>
    <row r="4061" spans="28:30" x14ac:dyDescent="0.25">
      <c r="AB4061" s="207" t="s">
        <v>3847</v>
      </c>
      <c r="AC4061" s="207" t="s">
        <v>4125</v>
      </c>
      <c r="AD4061" s="213">
        <v>8</v>
      </c>
    </row>
    <row r="4062" spans="28:30" x14ac:dyDescent="0.25">
      <c r="AB4062" s="207" t="s">
        <v>29</v>
      </c>
      <c r="AC4062" s="207" t="s">
        <v>4126</v>
      </c>
      <c r="AD4062" s="213">
        <v>8</v>
      </c>
    </row>
    <row r="4063" spans="28:30" x14ac:dyDescent="0.25">
      <c r="AB4063" s="207" t="s">
        <v>3847</v>
      </c>
      <c r="AC4063" s="207" t="s">
        <v>1505</v>
      </c>
      <c r="AD4063" s="213">
        <v>8</v>
      </c>
    </row>
    <row r="4064" spans="28:30" x14ac:dyDescent="0.25">
      <c r="AB4064" s="207" t="s">
        <v>3847</v>
      </c>
      <c r="AC4064" s="207" t="s">
        <v>4127</v>
      </c>
      <c r="AD4064" s="213">
        <v>8</v>
      </c>
    </row>
    <row r="4065" spans="28:30" x14ac:dyDescent="0.25">
      <c r="AB4065" s="207" t="s">
        <v>29</v>
      </c>
      <c r="AC4065" s="207" t="s">
        <v>4128</v>
      </c>
      <c r="AD4065" s="213">
        <v>8</v>
      </c>
    </row>
    <row r="4066" spans="28:30" x14ac:dyDescent="0.25">
      <c r="AB4066" s="207" t="s">
        <v>29</v>
      </c>
      <c r="AC4066" s="207" t="s">
        <v>4129</v>
      </c>
      <c r="AD4066" s="213">
        <v>8</v>
      </c>
    </row>
    <row r="4067" spans="28:30" x14ac:dyDescent="0.25">
      <c r="AB4067" s="207" t="s">
        <v>29</v>
      </c>
      <c r="AC4067" s="207" t="s">
        <v>4130</v>
      </c>
      <c r="AD4067" s="213">
        <v>8</v>
      </c>
    </row>
    <row r="4068" spans="28:30" x14ac:dyDescent="0.25">
      <c r="AB4068" s="207" t="s">
        <v>29</v>
      </c>
      <c r="AC4068" s="207" t="s">
        <v>4131</v>
      </c>
      <c r="AD4068" s="213">
        <v>8</v>
      </c>
    </row>
    <row r="4069" spans="28:30" x14ac:dyDescent="0.25">
      <c r="AB4069" s="207" t="s">
        <v>29</v>
      </c>
      <c r="AC4069" s="207" t="s">
        <v>4132</v>
      </c>
      <c r="AD4069" s="213">
        <v>8</v>
      </c>
    </row>
    <row r="4070" spans="28:30" x14ac:dyDescent="0.25">
      <c r="AB4070" s="207" t="s">
        <v>1918</v>
      </c>
      <c r="AC4070" s="207" t="s">
        <v>4133</v>
      </c>
      <c r="AD4070" s="213">
        <v>7</v>
      </c>
    </row>
    <row r="4071" spans="28:30" x14ac:dyDescent="0.25">
      <c r="AB4071" s="207" t="s">
        <v>1951</v>
      </c>
      <c r="AC4071" s="207" t="s">
        <v>4134</v>
      </c>
      <c r="AD4071" s="213">
        <v>7</v>
      </c>
    </row>
    <row r="4072" spans="28:30" x14ac:dyDescent="0.25">
      <c r="AB4072" s="207" t="s">
        <v>1918</v>
      </c>
      <c r="AC4072" s="207" t="s">
        <v>2850</v>
      </c>
      <c r="AD4072" s="213">
        <v>8</v>
      </c>
    </row>
    <row r="4073" spans="28:30" x14ac:dyDescent="0.25">
      <c r="AB4073" s="207" t="s">
        <v>29</v>
      </c>
      <c r="AC4073" s="207" t="s">
        <v>4135</v>
      </c>
      <c r="AD4073" s="213">
        <v>8</v>
      </c>
    </row>
    <row r="4074" spans="28:30" x14ac:dyDescent="0.25">
      <c r="AB4074" s="207" t="s">
        <v>3847</v>
      </c>
      <c r="AC4074" s="207" t="s">
        <v>4136</v>
      </c>
      <c r="AD4074" s="213">
        <v>8</v>
      </c>
    </row>
    <row r="4075" spans="28:30" x14ac:dyDescent="0.25">
      <c r="AB4075" s="207" t="s">
        <v>29</v>
      </c>
      <c r="AC4075" s="207" t="s">
        <v>4137</v>
      </c>
      <c r="AD4075" s="213">
        <v>8</v>
      </c>
    </row>
    <row r="4076" spans="28:30" x14ac:dyDescent="0.25">
      <c r="AB4076" s="207" t="s">
        <v>1918</v>
      </c>
      <c r="AC4076" s="207" t="s">
        <v>4138</v>
      </c>
      <c r="AD4076" s="213">
        <v>8</v>
      </c>
    </row>
    <row r="4077" spans="28:30" x14ac:dyDescent="0.25">
      <c r="AB4077" s="207" t="s">
        <v>1918</v>
      </c>
      <c r="AC4077" s="207" t="s">
        <v>4139</v>
      </c>
      <c r="AD4077" s="213">
        <v>7</v>
      </c>
    </row>
    <row r="4078" spans="28:30" x14ac:dyDescent="0.25">
      <c r="AB4078" s="207" t="s">
        <v>1918</v>
      </c>
      <c r="AC4078" s="207" t="s">
        <v>4140</v>
      </c>
      <c r="AD4078" s="213">
        <v>8</v>
      </c>
    </row>
    <row r="4079" spans="28:30" x14ac:dyDescent="0.25">
      <c r="AB4079" s="207" t="s">
        <v>1918</v>
      </c>
      <c r="AC4079" s="207" t="s">
        <v>4141</v>
      </c>
      <c r="AD4079" s="213">
        <v>8</v>
      </c>
    </row>
    <row r="4080" spans="28:30" x14ac:dyDescent="0.25">
      <c r="AB4080" s="207" t="s">
        <v>1642</v>
      </c>
      <c r="AC4080" s="207" t="s">
        <v>4142</v>
      </c>
      <c r="AD4080" s="213">
        <v>8</v>
      </c>
    </row>
    <row r="4081" spans="28:30" x14ac:dyDescent="0.25">
      <c r="AB4081" s="207" t="s">
        <v>3847</v>
      </c>
      <c r="AC4081" s="207" t="s">
        <v>4143</v>
      </c>
      <c r="AD4081" s="213">
        <v>8</v>
      </c>
    </row>
    <row r="4082" spans="28:30" x14ac:dyDescent="0.25">
      <c r="AB4082" s="207" t="s">
        <v>3845</v>
      </c>
      <c r="AC4082" s="207" t="s">
        <v>4144</v>
      </c>
      <c r="AD4082" s="213">
        <v>8</v>
      </c>
    </row>
    <row r="4083" spans="28:30" x14ac:dyDescent="0.25">
      <c r="AB4083" s="207" t="s">
        <v>3847</v>
      </c>
      <c r="AC4083" s="207" t="s">
        <v>4145</v>
      </c>
      <c r="AD4083" s="213">
        <v>8</v>
      </c>
    </row>
    <row r="4084" spans="28:30" x14ac:dyDescent="0.25">
      <c r="AB4084" s="207" t="s">
        <v>1918</v>
      </c>
      <c r="AC4084" s="207" t="s">
        <v>4146</v>
      </c>
      <c r="AD4084" s="213">
        <v>8</v>
      </c>
    </row>
    <row r="4085" spans="28:30" x14ac:dyDescent="0.25">
      <c r="AB4085" s="207" t="s">
        <v>3847</v>
      </c>
      <c r="AC4085" s="207" t="s">
        <v>4147</v>
      </c>
      <c r="AD4085" s="213">
        <v>8</v>
      </c>
    </row>
    <row r="4086" spans="28:30" x14ac:dyDescent="0.25">
      <c r="AB4086" s="207" t="s">
        <v>1918</v>
      </c>
      <c r="AC4086" s="207" t="s">
        <v>4148</v>
      </c>
      <c r="AD4086" s="213">
        <v>7</v>
      </c>
    </row>
    <row r="4087" spans="28:30" x14ac:dyDescent="0.25">
      <c r="AB4087" s="207" t="s">
        <v>1918</v>
      </c>
      <c r="AC4087" s="207" t="s">
        <v>4149</v>
      </c>
      <c r="AD4087" s="213">
        <v>7</v>
      </c>
    </row>
    <row r="4088" spans="28:30" x14ac:dyDescent="0.25">
      <c r="AB4088" s="207" t="s">
        <v>29</v>
      </c>
      <c r="AC4088" s="207" t="s">
        <v>4150</v>
      </c>
      <c r="AD4088" s="213">
        <v>8</v>
      </c>
    </row>
    <row r="4089" spans="28:30" x14ac:dyDescent="0.25">
      <c r="AB4089" s="207" t="s">
        <v>1918</v>
      </c>
      <c r="AC4089" s="207" t="s">
        <v>4151</v>
      </c>
      <c r="AD4089" s="213">
        <v>8</v>
      </c>
    </row>
    <row r="4090" spans="28:30" x14ac:dyDescent="0.25">
      <c r="AB4090" s="207" t="s">
        <v>1918</v>
      </c>
      <c r="AC4090" s="207" t="s">
        <v>4152</v>
      </c>
      <c r="AD4090" s="213">
        <v>7</v>
      </c>
    </row>
    <row r="4091" spans="28:30" x14ac:dyDescent="0.25">
      <c r="AB4091" s="207" t="s">
        <v>206</v>
      </c>
      <c r="AC4091" s="207" t="s">
        <v>4153</v>
      </c>
      <c r="AD4091" s="213">
        <v>8</v>
      </c>
    </row>
    <row r="4092" spans="28:30" x14ac:dyDescent="0.25">
      <c r="AB4092" s="207" t="s">
        <v>29</v>
      </c>
      <c r="AC4092" s="207" t="s">
        <v>4154</v>
      </c>
      <c r="AD4092" s="213">
        <v>8</v>
      </c>
    </row>
    <row r="4093" spans="28:30" x14ac:dyDescent="0.25">
      <c r="AB4093" s="207" t="s">
        <v>29</v>
      </c>
      <c r="AC4093" s="207" t="s">
        <v>4155</v>
      </c>
      <c r="AD4093" s="213">
        <v>8</v>
      </c>
    </row>
    <row r="4094" spans="28:30" x14ac:dyDescent="0.25">
      <c r="AB4094" s="207" t="s">
        <v>1918</v>
      </c>
      <c r="AC4094" s="207" t="s">
        <v>4156</v>
      </c>
      <c r="AD4094" s="213">
        <v>8</v>
      </c>
    </row>
    <row r="4095" spans="28:30" x14ac:dyDescent="0.25">
      <c r="AB4095" s="207" t="s">
        <v>3847</v>
      </c>
      <c r="AC4095" s="207" t="s">
        <v>4157</v>
      </c>
      <c r="AD4095" s="213">
        <v>7</v>
      </c>
    </row>
    <row r="4096" spans="28:30" x14ac:dyDescent="0.25">
      <c r="AB4096" s="207" t="s">
        <v>1918</v>
      </c>
      <c r="AC4096" s="207" t="s">
        <v>4158</v>
      </c>
      <c r="AD4096" s="213">
        <v>8</v>
      </c>
    </row>
    <row r="4097" spans="28:30" x14ac:dyDescent="0.25">
      <c r="AB4097" s="207" t="s">
        <v>1918</v>
      </c>
      <c r="AC4097" s="207" t="s">
        <v>4159</v>
      </c>
      <c r="AD4097" s="213">
        <v>8</v>
      </c>
    </row>
    <row r="4098" spans="28:30" x14ac:dyDescent="0.25">
      <c r="AB4098" s="207" t="s">
        <v>1951</v>
      </c>
      <c r="AC4098" s="207" t="s">
        <v>4160</v>
      </c>
      <c r="AD4098" s="213">
        <v>7</v>
      </c>
    </row>
    <row r="4099" spans="28:30" x14ac:dyDescent="0.25">
      <c r="AB4099" s="207" t="s">
        <v>29</v>
      </c>
      <c r="AC4099" s="207" t="s">
        <v>4161</v>
      </c>
      <c r="AD4099" s="213">
        <v>8</v>
      </c>
    </row>
    <row r="4100" spans="28:30" x14ac:dyDescent="0.25">
      <c r="AB4100" s="207" t="s">
        <v>1918</v>
      </c>
      <c r="AC4100" s="207" t="s">
        <v>4162</v>
      </c>
      <c r="AD4100" s="213">
        <v>7</v>
      </c>
    </row>
    <row r="4101" spans="28:30" x14ac:dyDescent="0.25">
      <c r="AB4101" s="207" t="s">
        <v>1642</v>
      </c>
      <c r="AC4101" s="207" t="s">
        <v>4163</v>
      </c>
      <c r="AD4101" s="213">
        <v>7</v>
      </c>
    </row>
    <row r="4102" spans="28:30" x14ac:dyDescent="0.25">
      <c r="AB4102" s="207" t="s">
        <v>29</v>
      </c>
      <c r="AC4102" s="207" t="s">
        <v>4164</v>
      </c>
      <c r="AD4102" s="213">
        <v>8</v>
      </c>
    </row>
    <row r="4103" spans="28:30" x14ac:dyDescent="0.25">
      <c r="AB4103" s="207" t="s">
        <v>1918</v>
      </c>
      <c r="AC4103" s="207" t="s">
        <v>4165</v>
      </c>
      <c r="AD4103" s="213">
        <v>7</v>
      </c>
    </row>
    <row r="4104" spans="28:30" x14ac:dyDescent="0.25">
      <c r="AB4104" s="207" t="s">
        <v>1918</v>
      </c>
      <c r="AC4104" s="207" t="s">
        <v>4166</v>
      </c>
      <c r="AD4104" s="213">
        <v>8</v>
      </c>
    </row>
    <row r="4105" spans="28:30" x14ac:dyDescent="0.25">
      <c r="AB4105" s="207" t="s">
        <v>29</v>
      </c>
      <c r="AC4105" s="207" t="s">
        <v>4167</v>
      </c>
      <c r="AD4105" s="213">
        <v>8</v>
      </c>
    </row>
    <row r="4106" spans="28:30" x14ac:dyDescent="0.25">
      <c r="AB4106" s="207" t="s">
        <v>373</v>
      </c>
      <c r="AC4106" s="207" t="s">
        <v>4168</v>
      </c>
      <c r="AD4106" s="213">
        <v>8</v>
      </c>
    </row>
    <row r="4107" spans="28:30" x14ac:dyDescent="0.25">
      <c r="AB4107" s="207" t="s">
        <v>1642</v>
      </c>
      <c r="AC4107" s="207" t="s">
        <v>4169</v>
      </c>
      <c r="AD4107" s="213">
        <v>7</v>
      </c>
    </row>
    <row r="4108" spans="28:30" x14ac:dyDescent="0.25">
      <c r="AB4108" s="207" t="s">
        <v>206</v>
      </c>
      <c r="AC4108" s="207" t="s">
        <v>4170</v>
      </c>
      <c r="AD4108" s="213">
        <v>8</v>
      </c>
    </row>
    <row r="4109" spans="28:30" x14ac:dyDescent="0.25">
      <c r="AB4109" s="207" t="s">
        <v>206</v>
      </c>
      <c r="AC4109" s="207" t="s">
        <v>4171</v>
      </c>
      <c r="AD4109" s="213">
        <v>8</v>
      </c>
    </row>
    <row r="4110" spans="28:30" x14ac:dyDescent="0.25">
      <c r="AB4110" s="207" t="s">
        <v>206</v>
      </c>
      <c r="AC4110" s="207" t="s">
        <v>4172</v>
      </c>
      <c r="AD4110" s="213">
        <v>8</v>
      </c>
    </row>
    <row r="4111" spans="28:30" x14ac:dyDescent="0.25">
      <c r="AB4111" s="207" t="s">
        <v>1918</v>
      </c>
      <c r="AC4111" s="207" t="s">
        <v>4173</v>
      </c>
      <c r="AD4111" s="213">
        <v>7</v>
      </c>
    </row>
    <row r="4112" spans="28:30" x14ac:dyDescent="0.25">
      <c r="AB4112" s="207" t="s">
        <v>206</v>
      </c>
      <c r="AC4112" s="207" t="s">
        <v>4174</v>
      </c>
      <c r="AD4112" s="213">
        <v>8</v>
      </c>
    </row>
    <row r="4113" spans="28:30" x14ac:dyDescent="0.25">
      <c r="AB4113" s="207" t="s">
        <v>1918</v>
      </c>
      <c r="AC4113" s="207" t="s">
        <v>4175</v>
      </c>
      <c r="AD4113" s="213">
        <v>7</v>
      </c>
    </row>
    <row r="4114" spans="28:30" x14ac:dyDescent="0.25">
      <c r="AB4114" s="207" t="s">
        <v>1951</v>
      </c>
      <c r="AC4114" s="207" t="s">
        <v>4176</v>
      </c>
      <c r="AD4114" s="213">
        <v>7</v>
      </c>
    </row>
    <row r="4115" spans="28:30" x14ac:dyDescent="0.25">
      <c r="AB4115" s="207" t="s">
        <v>3847</v>
      </c>
      <c r="AC4115" s="207" t="s">
        <v>4177</v>
      </c>
      <c r="AD4115" s="213">
        <v>8</v>
      </c>
    </row>
    <row r="4116" spans="28:30" x14ac:dyDescent="0.25">
      <c r="AB4116" s="207" t="s">
        <v>1918</v>
      </c>
      <c r="AC4116" s="207" t="s">
        <v>4178</v>
      </c>
      <c r="AD4116" s="213">
        <v>8</v>
      </c>
    </row>
    <row r="4117" spans="28:30" x14ac:dyDescent="0.25">
      <c r="AB4117" s="207" t="s">
        <v>3979</v>
      </c>
      <c r="AC4117" s="207" t="s">
        <v>4179</v>
      </c>
      <c r="AD4117" s="213">
        <v>8</v>
      </c>
    </row>
    <row r="4118" spans="28:30" x14ac:dyDescent="0.25">
      <c r="AB4118" s="207" t="s">
        <v>1918</v>
      </c>
      <c r="AC4118" s="207" t="s">
        <v>4180</v>
      </c>
      <c r="AD4118" s="213">
        <v>5</v>
      </c>
    </row>
    <row r="4119" spans="28:30" x14ac:dyDescent="0.25">
      <c r="AB4119" s="207" t="s">
        <v>1918</v>
      </c>
      <c r="AC4119" s="207" t="s">
        <v>4181</v>
      </c>
      <c r="AD4119" s="213">
        <v>7</v>
      </c>
    </row>
    <row r="4120" spans="28:30" x14ac:dyDescent="0.25">
      <c r="AB4120" s="207" t="s">
        <v>3847</v>
      </c>
      <c r="AC4120" s="207" t="s">
        <v>4182</v>
      </c>
      <c r="AD4120" s="213">
        <v>7</v>
      </c>
    </row>
    <row r="4121" spans="28:30" x14ac:dyDescent="0.25">
      <c r="AB4121" s="207" t="s">
        <v>3847</v>
      </c>
      <c r="AC4121" s="207" t="s">
        <v>4183</v>
      </c>
      <c r="AD4121" s="213">
        <v>8</v>
      </c>
    </row>
    <row r="4122" spans="28:30" x14ac:dyDescent="0.25">
      <c r="AB4122" s="207" t="s">
        <v>29</v>
      </c>
      <c r="AC4122" s="207" t="s">
        <v>4184</v>
      </c>
      <c r="AD4122" s="213">
        <v>8</v>
      </c>
    </row>
    <row r="4123" spans="28:30" x14ac:dyDescent="0.25">
      <c r="AB4123" s="207" t="s">
        <v>1918</v>
      </c>
      <c r="AC4123" s="207" t="s">
        <v>4185</v>
      </c>
      <c r="AD4123" s="213">
        <v>8</v>
      </c>
    </row>
    <row r="4124" spans="28:30" x14ac:dyDescent="0.25">
      <c r="AB4124" s="207" t="s">
        <v>1951</v>
      </c>
      <c r="AC4124" s="207" t="s">
        <v>4186</v>
      </c>
      <c r="AD4124" s="213">
        <v>7</v>
      </c>
    </row>
    <row r="4125" spans="28:30" x14ac:dyDescent="0.25">
      <c r="AB4125" s="207" t="s">
        <v>1918</v>
      </c>
      <c r="AC4125" s="207" t="s">
        <v>4187</v>
      </c>
      <c r="AD4125" s="213">
        <v>8</v>
      </c>
    </row>
    <row r="4126" spans="28:30" x14ac:dyDescent="0.25">
      <c r="AB4126" s="207" t="s">
        <v>29</v>
      </c>
      <c r="AC4126" s="207" t="s">
        <v>4188</v>
      </c>
      <c r="AD4126" s="213">
        <v>8</v>
      </c>
    </row>
    <row r="4127" spans="28:30" x14ac:dyDescent="0.25">
      <c r="AB4127" s="207" t="s">
        <v>206</v>
      </c>
      <c r="AC4127" s="207" t="s">
        <v>4189</v>
      </c>
      <c r="AD4127" s="213">
        <v>8</v>
      </c>
    </row>
    <row r="4128" spans="28:30" x14ac:dyDescent="0.25">
      <c r="AB4128" s="207" t="s">
        <v>29</v>
      </c>
      <c r="AC4128" s="207" t="s">
        <v>4190</v>
      </c>
      <c r="AD4128" s="213">
        <v>8</v>
      </c>
    </row>
    <row r="4129" spans="28:30" x14ac:dyDescent="0.25">
      <c r="AB4129" s="207" t="s">
        <v>29</v>
      </c>
      <c r="AC4129" s="207" t="s">
        <v>4191</v>
      </c>
      <c r="AD4129" s="213">
        <v>8</v>
      </c>
    </row>
    <row r="4130" spans="28:30" x14ac:dyDescent="0.25">
      <c r="AB4130" s="207" t="s">
        <v>206</v>
      </c>
      <c r="AC4130" s="207" t="s">
        <v>3397</v>
      </c>
      <c r="AD4130" s="213">
        <v>8</v>
      </c>
    </row>
    <row r="4131" spans="28:30" x14ac:dyDescent="0.25">
      <c r="AB4131" s="207" t="s">
        <v>1951</v>
      </c>
      <c r="AC4131" s="207" t="s">
        <v>4192</v>
      </c>
      <c r="AD4131" s="213">
        <v>7</v>
      </c>
    </row>
    <row r="4132" spans="28:30" x14ac:dyDescent="0.25">
      <c r="AB4132" s="207" t="s">
        <v>1951</v>
      </c>
      <c r="AC4132" s="207" t="s">
        <v>4193</v>
      </c>
      <c r="AD4132" s="213">
        <v>7</v>
      </c>
    </row>
    <row r="4133" spans="28:30" x14ac:dyDescent="0.25">
      <c r="AB4133" s="207" t="s">
        <v>1918</v>
      </c>
      <c r="AC4133" s="207" t="s">
        <v>4194</v>
      </c>
      <c r="AD4133" s="213">
        <v>8</v>
      </c>
    </row>
    <row r="4134" spans="28:30" x14ac:dyDescent="0.25">
      <c r="AB4134" s="207" t="s">
        <v>3847</v>
      </c>
      <c r="AC4134" s="207" t="s">
        <v>4195</v>
      </c>
      <c r="AD4134" s="213">
        <v>7</v>
      </c>
    </row>
    <row r="4135" spans="28:30" x14ac:dyDescent="0.25">
      <c r="AB4135" s="207" t="s">
        <v>2160</v>
      </c>
      <c r="AC4135" s="207" t="s">
        <v>4196</v>
      </c>
      <c r="AD4135" s="213">
        <v>7</v>
      </c>
    </row>
    <row r="4136" spans="28:30" x14ac:dyDescent="0.25">
      <c r="AB4136" s="207" t="s">
        <v>3847</v>
      </c>
      <c r="AC4136" s="207" t="s">
        <v>4197</v>
      </c>
      <c r="AD4136" s="213">
        <v>8</v>
      </c>
    </row>
    <row r="4137" spans="28:30" x14ac:dyDescent="0.25">
      <c r="AB4137" s="207" t="s">
        <v>205</v>
      </c>
      <c r="AC4137" s="207" t="s">
        <v>4198</v>
      </c>
      <c r="AD4137" s="213">
        <v>8</v>
      </c>
    </row>
    <row r="4138" spans="28:30" x14ac:dyDescent="0.25">
      <c r="AB4138" s="207" t="s">
        <v>3847</v>
      </c>
      <c r="AC4138" s="207" t="s">
        <v>4199</v>
      </c>
      <c r="AD4138" s="213">
        <v>8</v>
      </c>
    </row>
    <row r="4139" spans="28:30" x14ac:dyDescent="0.25">
      <c r="AB4139" s="207" t="s">
        <v>3847</v>
      </c>
      <c r="AC4139" s="207" t="s">
        <v>4200</v>
      </c>
      <c r="AD4139" s="213">
        <v>8</v>
      </c>
    </row>
    <row r="4140" spans="28:30" x14ac:dyDescent="0.25">
      <c r="AB4140" s="207" t="s">
        <v>29</v>
      </c>
      <c r="AC4140" s="207" t="s">
        <v>4201</v>
      </c>
      <c r="AD4140" s="213">
        <v>8</v>
      </c>
    </row>
    <row r="4141" spans="28:30" x14ac:dyDescent="0.25">
      <c r="AB4141" s="207" t="s">
        <v>1951</v>
      </c>
      <c r="AC4141" s="207" t="s">
        <v>4202</v>
      </c>
      <c r="AD4141" s="213">
        <v>7</v>
      </c>
    </row>
    <row r="4142" spans="28:30" x14ac:dyDescent="0.25">
      <c r="AB4142" s="207" t="s">
        <v>1951</v>
      </c>
      <c r="AC4142" s="207" t="s">
        <v>4203</v>
      </c>
      <c r="AD4142" s="213">
        <v>8</v>
      </c>
    </row>
    <row r="4143" spans="28:30" x14ac:dyDescent="0.25">
      <c r="AB4143" s="207" t="s">
        <v>3847</v>
      </c>
      <c r="AC4143" s="207" t="s">
        <v>4204</v>
      </c>
      <c r="AD4143" s="213">
        <v>8</v>
      </c>
    </row>
    <row r="4144" spans="28:30" x14ac:dyDescent="0.25">
      <c r="AB4144" s="207" t="s">
        <v>3847</v>
      </c>
      <c r="AC4144" s="207" t="s">
        <v>4205</v>
      </c>
      <c r="AD4144" s="213">
        <v>8</v>
      </c>
    </row>
    <row r="4145" spans="28:30" x14ac:dyDescent="0.25">
      <c r="AB4145" s="207" t="s">
        <v>1951</v>
      </c>
      <c r="AC4145" s="207" t="s">
        <v>4206</v>
      </c>
      <c r="AD4145" s="213">
        <v>8</v>
      </c>
    </row>
    <row r="4146" spans="28:30" x14ac:dyDescent="0.25">
      <c r="AB4146" s="207" t="s">
        <v>1951</v>
      </c>
      <c r="AC4146" s="207" t="s">
        <v>4207</v>
      </c>
      <c r="AD4146" s="213">
        <v>8</v>
      </c>
    </row>
    <row r="4147" spans="28:30" x14ac:dyDescent="0.25">
      <c r="AB4147" s="207" t="s">
        <v>29</v>
      </c>
      <c r="AC4147" s="207" t="s">
        <v>4208</v>
      </c>
      <c r="AD4147" s="213">
        <v>8</v>
      </c>
    </row>
    <row r="4148" spans="28:30" x14ac:dyDescent="0.25">
      <c r="AB4148" s="207" t="s">
        <v>29</v>
      </c>
      <c r="AC4148" s="207" t="s">
        <v>4209</v>
      </c>
      <c r="AD4148" s="213">
        <v>8</v>
      </c>
    </row>
    <row r="4149" spans="28:30" x14ac:dyDescent="0.25">
      <c r="AB4149" s="207" t="s">
        <v>1951</v>
      </c>
      <c r="AC4149" s="207" t="s">
        <v>4210</v>
      </c>
      <c r="AD4149" s="213">
        <v>7</v>
      </c>
    </row>
    <row r="4150" spans="28:30" x14ac:dyDescent="0.25">
      <c r="AB4150" s="207" t="s">
        <v>1951</v>
      </c>
      <c r="AC4150" s="207" t="s">
        <v>4211</v>
      </c>
      <c r="AD4150" s="213">
        <v>8</v>
      </c>
    </row>
    <row r="4151" spans="28:30" x14ac:dyDescent="0.25">
      <c r="AB4151" s="207" t="s">
        <v>29</v>
      </c>
      <c r="AC4151" s="207" t="s">
        <v>4212</v>
      </c>
      <c r="AD4151" s="213">
        <v>8</v>
      </c>
    </row>
    <row r="4152" spans="28:30" x14ac:dyDescent="0.25">
      <c r="AB4152" s="207" t="s">
        <v>29</v>
      </c>
      <c r="AC4152" s="207" t="s">
        <v>4213</v>
      </c>
      <c r="AD4152" s="213">
        <v>8</v>
      </c>
    </row>
    <row r="4153" spans="28:30" x14ac:dyDescent="0.25">
      <c r="AB4153" s="207" t="s">
        <v>1951</v>
      </c>
      <c r="AC4153" s="207" t="s">
        <v>4214</v>
      </c>
      <c r="AD4153" s="213">
        <v>7</v>
      </c>
    </row>
    <row r="4154" spans="28:30" x14ac:dyDescent="0.25">
      <c r="AB4154" s="207" t="s">
        <v>1951</v>
      </c>
      <c r="AC4154" s="207" t="s">
        <v>4215</v>
      </c>
      <c r="AD4154" s="213">
        <v>7</v>
      </c>
    </row>
    <row r="4155" spans="28:30" x14ac:dyDescent="0.25">
      <c r="AB4155" s="207" t="s">
        <v>29</v>
      </c>
      <c r="AC4155" s="207" t="s">
        <v>4216</v>
      </c>
      <c r="AD4155" s="213">
        <v>8</v>
      </c>
    </row>
    <row r="4156" spans="28:30" x14ac:dyDescent="0.25">
      <c r="AB4156" s="207" t="s">
        <v>3847</v>
      </c>
      <c r="AC4156" s="207" t="s">
        <v>4217</v>
      </c>
      <c r="AD4156" s="213">
        <v>8</v>
      </c>
    </row>
    <row r="4157" spans="28:30" x14ac:dyDescent="0.25">
      <c r="AB4157" s="207" t="s">
        <v>3847</v>
      </c>
      <c r="AC4157" s="207" t="s">
        <v>4218</v>
      </c>
      <c r="AD4157" s="213">
        <v>8</v>
      </c>
    </row>
    <row r="4158" spans="28:30" x14ac:dyDescent="0.25">
      <c r="AB4158" s="207" t="s">
        <v>29</v>
      </c>
      <c r="AC4158" s="207" t="s">
        <v>4219</v>
      </c>
      <c r="AD4158" s="213">
        <v>8</v>
      </c>
    </row>
    <row r="4159" spans="28:30" x14ac:dyDescent="0.25">
      <c r="AB4159" s="207" t="s">
        <v>1951</v>
      </c>
      <c r="AC4159" s="207" t="s">
        <v>4220</v>
      </c>
      <c r="AD4159" s="213">
        <v>7</v>
      </c>
    </row>
    <row r="4160" spans="28:30" x14ac:dyDescent="0.25">
      <c r="AB4160" s="207" t="s">
        <v>1951</v>
      </c>
      <c r="AC4160" s="207" t="s">
        <v>4221</v>
      </c>
      <c r="AD4160" s="213">
        <v>8</v>
      </c>
    </row>
    <row r="4161" spans="28:30" x14ac:dyDescent="0.25">
      <c r="AB4161" s="207" t="s">
        <v>3847</v>
      </c>
      <c r="AC4161" s="207" t="s">
        <v>4222</v>
      </c>
      <c r="AD4161" s="213">
        <v>8</v>
      </c>
    </row>
    <row r="4162" spans="28:30" x14ac:dyDescent="0.25">
      <c r="AB4162" s="207" t="s">
        <v>3847</v>
      </c>
      <c r="AC4162" s="207" t="s">
        <v>4223</v>
      </c>
      <c r="AD4162" s="213">
        <v>8</v>
      </c>
    </row>
    <row r="4163" spans="28:30" x14ac:dyDescent="0.25">
      <c r="AB4163" s="207" t="s">
        <v>29</v>
      </c>
      <c r="AC4163" s="207" t="s">
        <v>4224</v>
      </c>
      <c r="AD4163" s="213">
        <v>8</v>
      </c>
    </row>
    <row r="4164" spans="28:30" x14ac:dyDescent="0.25">
      <c r="AB4164" s="207" t="s">
        <v>1918</v>
      </c>
      <c r="AC4164" s="207" t="s">
        <v>4225</v>
      </c>
      <c r="AD4164" s="213">
        <v>8</v>
      </c>
    </row>
    <row r="4165" spans="28:30" x14ac:dyDescent="0.25">
      <c r="AB4165" s="207" t="s">
        <v>1951</v>
      </c>
      <c r="AC4165" s="207" t="s">
        <v>4226</v>
      </c>
      <c r="AD4165" s="213">
        <v>8</v>
      </c>
    </row>
    <row r="4166" spans="28:30" x14ac:dyDescent="0.25">
      <c r="AB4166" s="207" t="s">
        <v>3979</v>
      </c>
      <c r="AC4166" s="207" t="s">
        <v>4227</v>
      </c>
      <c r="AD4166" s="213">
        <v>8</v>
      </c>
    </row>
    <row r="4167" spans="28:30" x14ac:dyDescent="0.25">
      <c r="AB4167" s="207" t="s">
        <v>1951</v>
      </c>
      <c r="AC4167" s="207" t="s">
        <v>4228</v>
      </c>
      <c r="AD4167" s="213">
        <v>8</v>
      </c>
    </row>
    <row r="4168" spans="28:30" x14ac:dyDescent="0.25">
      <c r="AB4168" s="207" t="s">
        <v>3979</v>
      </c>
      <c r="AC4168" s="207" t="s">
        <v>4229</v>
      </c>
      <c r="AD4168" s="213">
        <v>8</v>
      </c>
    </row>
    <row r="4169" spans="28:30" x14ac:dyDescent="0.25">
      <c r="AB4169" s="207" t="s">
        <v>29</v>
      </c>
      <c r="AC4169" s="207" t="s">
        <v>4230</v>
      </c>
      <c r="AD4169" s="213">
        <v>8</v>
      </c>
    </row>
    <row r="4170" spans="28:30" x14ac:dyDescent="0.25">
      <c r="AB4170" s="207" t="s">
        <v>1951</v>
      </c>
      <c r="AC4170" s="207" t="s">
        <v>1228</v>
      </c>
      <c r="AD4170" s="213">
        <v>7</v>
      </c>
    </row>
    <row r="4171" spans="28:30" x14ac:dyDescent="0.25">
      <c r="AB4171" s="207" t="s">
        <v>3979</v>
      </c>
      <c r="AC4171" s="207" t="s">
        <v>4231</v>
      </c>
      <c r="AD4171" s="213">
        <v>8</v>
      </c>
    </row>
    <row r="4172" spans="28:30" x14ac:dyDescent="0.25">
      <c r="AB4172" s="207" t="s">
        <v>205</v>
      </c>
      <c r="AC4172" s="207" t="s">
        <v>4232</v>
      </c>
      <c r="AD4172" s="213">
        <v>8</v>
      </c>
    </row>
    <row r="4173" spans="28:30" x14ac:dyDescent="0.25">
      <c r="AB4173" s="207" t="s">
        <v>206</v>
      </c>
      <c r="AC4173" s="207" t="s">
        <v>2968</v>
      </c>
      <c r="AD4173" s="213">
        <v>8</v>
      </c>
    </row>
    <row r="4174" spans="28:30" x14ac:dyDescent="0.25">
      <c r="AB4174" s="207" t="s">
        <v>2160</v>
      </c>
      <c r="AC4174" s="207" t="s">
        <v>4233</v>
      </c>
      <c r="AD4174" s="213">
        <v>8</v>
      </c>
    </row>
    <row r="4175" spans="28:30" x14ac:dyDescent="0.25">
      <c r="AB4175" s="207" t="s">
        <v>1951</v>
      </c>
      <c r="AC4175" s="207" t="s">
        <v>4234</v>
      </c>
      <c r="AD4175" s="213">
        <v>7</v>
      </c>
    </row>
    <row r="4176" spans="28:30" x14ac:dyDescent="0.25">
      <c r="AB4176" s="207" t="s">
        <v>1951</v>
      </c>
      <c r="AC4176" s="207" t="s">
        <v>4235</v>
      </c>
      <c r="AD4176" s="213">
        <v>7</v>
      </c>
    </row>
    <row r="4177" spans="28:30" x14ac:dyDescent="0.25">
      <c r="AB4177" s="207" t="s">
        <v>205</v>
      </c>
      <c r="AC4177" s="207" t="s">
        <v>4236</v>
      </c>
      <c r="AD4177" s="213">
        <v>8</v>
      </c>
    </row>
    <row r="4178" spans="28:30" x14ac:dyDescent="0.25">
      <c r="AB4178" s="207" t="s">
        <v>2173</v>
      </c>
      <c r="AC4178" s="207" t="s">
        <v>4237</v>
      </c>
      <c r="AD4178" s="213">
        <v>8</v>
      </c>
    </row>
    <row r="4179" spans="28:30" x14ac:dyDescent="0.25">
      <c r="AB4179" s="207" t="s">
        <v>1951</v>
      </c>
      <c r="AC4179" s="207" t="s">
        <v>4238</v>
      </c>
      <c r="AD4179" s="213">
        <v>8</v>
      </c>
    </row>
    <row r="4180" spans="28:30" x14ac:dyDescent="0.25">
      <c r="AB4180" s="207" t="s">
        <v>1951</v>
      </c>
      <c r="AC4180" s="207" t="s">
        <v>2962</v>
      </c>
      <c r="AD4180" s="213">
        <v>8</v>
      </c>
    </row>
    <row r="4181" spans="28:30" x14ac:dyDescent="0.25">
      <c r="AB4181" s="207" t="s">
        <v>1951</v>
      </c>
      <c r="AC4181" s="207" t="s">
        <v>4239</v>
      </c>
      <c r="AD4181" s="213">
        <v>8</v>
      </c>
    </row>
    <row r="4182" spans="28:30" x14ac:dyDescent="0.25">
      <c r="AB4182" s="207" t="s">
        <v>3847</v>
      </c>
      <c r="AC4182" s="207" t="s">
        <v>4240</v>
      </c>
      <c r="AD4182" s="213">
        <v>7</v>
      </c>
    </row>
    <row r="4183" spans="28:30" x14ac:dyDescent="0.25">
      <c r="AB4183" s="207" t="s">
        <v>3979</v>
      </c>
      <c r="AC4183" s="207" t="s">
        <v>4241</v>
      </c>
      <c r="AD4183" s="213">
        <v>8</v>
      </c>
    </row>
    <row r="4184" spans="28:30" x14ac:dyDescent="0.25">
      <c r="AB4184" s="207" t="s">
        <v>2173</v>
      </c>
      <c r="AC4184" s="207" t="s">
        <v>4242</v>
      </c>
      <c r="AD4184" s="213">
        <v>8</v>
      </c>
    </row>
    <row r="4185" spans="28:30" x14ac:dyDescent="0.25">
      <c r="AB4185" s="207" t="s">
        <v>2173</v>
      </c>
      <c r="AC4185" s="207" t="s">
        <v>4243</v>
      </c>
      <c r="AD4185" s="213">
        <v>8</v>
      </c>
    </row>
    <row r="4186" spans="28:30" x14ac:dyDescent="0.25">
      <c r="AB4186" s="207" t="s">
        <v>2173</v>
      </c>
      <c r="AC4186" s="207" t="s">
        <v>4244</v>
      </c>
      <c r="AD4186" s="213">
        <v>8</v>
      </c>
    </row>
    <row r="4187" spans="28:30" x14ac:dyDescent="0.25">
      <c r="AB4187" s="207" t="s">
        <v>2173</v>
      </c>
      <c r="AC4187" s="207" t="s">
        <v>4245</v>
      </c>
      <c r="AD4187" s="213">
        <v>8</v>
      </c>
    </row>
    <row r="4188" spans="28:30" x14ac:dyDescent="0.25">
      <c r="AB4188" s="207" t="s">
        <v>206</v>
      </c>
      <c r="AC4188" s="207" t="s">
        <v>4246</v>
      </c>
      <c r="AD4188" s="213">
        <v>8</v>
      </c>
    </row>
    <row r="4189" spans="28:30" x14ac:dyDescent="0.25">
      <c r="AB4189" s="207" t="s">
        <v>2173</v>
      </c>
      <c r="AC4189" s="207" t="s">
        <v>4247</v>
      </c>
      <c r="AD4189" s="213">
        <v>8</v>
      </c>
    </row>
    <row r="4190" spans="28:30" x14ac:dyDescent="0.25">
      <c r="AB4190" s="207" t="s">
        <v>3979</v>
      </c>
      <c r="AC4190" s="207" t="s">
        <v>4248</v>
      </c>
      <c r="AD4190" s="213">
        <v>8</v>
      </c>
    </row>
    <row r="4191" spans="28:30" x14ac:dyDescent="0.25">
      <c r="AB4191" s="207" t="s">
        <v>29</v>
      </c>
      <c r="AC4191" s="207" t="s">
        <v>4249</v>
      </c>
      <c r="AD4191" s="213">
        <v>8</v>
      </c>
    </row>
    <row r="4192" spans="28:30" x14ac:dyDescent="0.25">
      <c r="AB4192" s="207" t="s">
        <v>3979</v>
      </c>
      <c r="AC4192" s="207" t="s">
        <v>4250</v>
      </c>
      <c r="AD4192" s="213">
        <v>8</v>
      </c>
    </row>
    <row r="4193" spans="28:30" x14ac:dyDescent="0.25">
      <c r="AB4193" s="207" t="s">
        <v>3979</v>
      </c>
      <c r="AC4193" s="207" t="s">
        <v>4251</v>
      </c>
      <c r="AD4193" s="213">
        <v>8</v>
      </c>
    </row>
    <row r="4194" spans="28:30" x14ac:dyDescent="0.25">
      <c r="AB4194" s="207" t="s">
        <v>3847</v>
      </c>
      <c r="AC4194" s="207" t="s">
        <v>4252</v>
      </c>
      <c r="AD4194" s="213">
        <v>8</v>
      </c>
    </row>
    <row r="4195" spans="28:30" x14ac:dyDescent="0.25">
      <c r="AB4195" s="207" t="s">
        <v>206</v>
      </c>
      <c r="AC4195" s="207" t="s">
        <v>4253</v>
      </c>
      <c r="AD4195" s="213">
        <v>8</v>
      </c>
    </row>
    <row r="4196" spans="28:30" x14ac:dyDescent="0.25">
      <c r="AB4196" s="207" t="s">
        <v>3979</v>
      </c>
      <c r="AC4196" s="207" t="s">
        <v>4254</v>
      </c>
      <c r="AD4196" s="213">
        <v>8</v>
      </c>
    </row>
    <row r="4197" spans="28:30" x14ac:dyDescent="0.25">
      <c r="AB4197" s="207" t="s">
        <v>3979</v>
      </c>
      <c r="AC4197" s="207" t="s">
        <v>4255</v>
      </c>
      <c r="AD4197" s="213">
        <v>8</v>
      </c>
    </row>
    <row r="4198" spans="28:30" x14ac:dyDescent="0.25">
      <c r="AB4198" s="207" t="s">
        <v>2173</v>
      </c>
      <c r="AC4198" s="207" t="s">
        <v>2987</v>
      </c>
      <c r="AD4198" s="213">
        <v>8</v>
      </c>
    </row>
    <row r="4199" spans="28:30" x14ac:dyDescent="0.25">
      <c r="AB4199" s="207" t="s">
        <v>2160</v>
      </c>
      <c r="AC4199" s="207" t="s">
        <v>4256</v>
      </c>
      <c r="AD4199" s="213">
        <v>8</v>
      </c>
    </row>
    <row r="4200" spans="28:30" x14ac:dyDescent="0.25">
      <c r="AB4200" s="207" t="s">
        <v>2160</v>
      </c>
      <c r="AC4200" s="207" t="s">
        <v>4257</v>
      </c>
      <c r="AD4200" s="213">
        <v>8</v>
      </c>
    </row>
    <row r="4201" spans="28:30" x14ac:dyDescent="0.25">
      <c r="AB4201" s="207" t="s">
        <v>2173</v>
      </c>
      <c r="AC4201" s="207" t="s">
        <v>4258</v>
      </c>
      <c r="AD4201" s="213">
        <v>8</v>
      </c>
    </row>
    <row r="4202" spans="28:30" x14ac:dyDescent="0.25">
      <c r="AB4202" s="207" t="s">
        <v>373</v>
      </c>
      <c r="AC4202" s="207" t="s">
        <v>4259</v>
      </c>
      <c r="AD4202" s="213">
        <v>6</v>
      </c>
    </row>
    <row r="4203" spans="28:30" x14ac:dyDescent="0.25">
      <c r="AB4203" s="207" t="s">
        <v>373</v>
      </c>
      <c r="AC4203" s="207" t="s">
        <v>4260</v>
      </c>
      <c r="AD4203" s="213">
        <v>7</v>
      </c>
    </row>
    <row r="4204" spans="28:30" x14ac:dyDescent="0.25">
      <c r="AB4204" s="207" t="s">
        <v>1715</v>
      </c>
      <c r="AC4204" s="207" t="s">
        <v>4261</v>
      </c>
      <c r="AD4204" s="213">
        <v>7</v>
      </c>
    </row>
    <row r="4205" spans="28:30" x14ac:dyDescent="0.25">
      <c r="AB4205" s="207" t="s">
        <v>3845</v>
      </c>
      <c r="AC4205" s="207" t="s">
        <v>4262</v>
      </c>
      <c r="AD4205" s="213">
        <v>7</v>
      </c>
    </row>
    <row r="4206" spans="28:30" x14ac:dyDescent="0.25">
      <c r="AB4206" s="207" t="s">
        <v>1715</v>
      </c>
      <c r="AC4206" s="207" t="s">
        <v>4263</v>
      </c>
      <c r="AD4206" s="213">
        <v>7</v>
      </c>
    </row>
    <row r="4207" spans="28:30" x14ac:dyDescent="0.25">
      <c r="AB4207" s="207" t="s">
        <v>3845</v>
      </c>
      <c r="AC4207" s="207" t="s">
        <v>4264</v>
      </c>
      <c r="AD4207" s="213">
        <v>7</v>
      </c>
    </row>
    <row r="4208" spans="28:30" x14ac:dyDescent="0.25">
      <c r="AB4208" s="207" t="s">
        <v>3845</v>
      </c>
      <c r="AC4208" s="207" t="s">
        <v>4265</v>
      </c>
      <c r="AD4208" s="213">
        <v>7</v>
      </c>
    </row>
    <row r="4209" spans="28:30" x14ac:dyDescent="0.25">
      <c r="AB4209" s="207" t="s">
        <v>3845</v>
      </c>
      <c r="AC4209" s="207" t="s">
        <v>4266</v>
      </c>
      <c r="AD4209" s="213">
        <v>7</v>
      </c>
    </row>
    <row r="4210" spans="28:30" x14ac:dyDescent="0.25">
      <c r="AB4210" s="207" t="s">
        <v>3845</v>
      </c>
      <c r="AC4210" s="207" t="s">
        <v>4267</v>
      </c>
      <c r="AD4210" s="213">
        <v>7</v>
      </c>
    </row>
    <row r="4211" spans="28:30" x14ac:dyDescent="0.25">
      <c r="AB4211" s="207" t="s">
        <v>206</v>
      </c>
      <c r="AC4211" s="207" t="s">
        <v>4268</v>
      </c>
      <c r="AD4211" s="213">
        <v>8</v>
      </c>
    </row>
    <row r="4212" spans="28:30" x14ac:dyDescent="0.25">
      <c r="AB4212" s="207" t="s">
        <v>206</v>
      </c>
      <c r="AC4212" s="207" t="s">
        <v>4269</v>
      </c>
      <c r="AD4212" s="213">
        <v>8</v>
      </c>
    </row>
    <row r="4213" spans="28:30" x14ac:dyDescent="0.25">
      <c r="AB4213" s="207" t="s">
        <v>373</v>
      </c>
      <c r="AC4213" s="207" t="s">
        <v>4270</v>
      </c>
      <c r="AD4213" s="213">
        <v>7</v>
      </c>
    </row>
    <row r="4214" spans="28:30" x14ac:dyDescent="0.25">
      <c r="AB4214" s="207" t="s">
        <v>3845</v>
      </c>
      <c r="AC4214" s="207" t="s">
        <v>4271</v>
      </c>
      <c r="AD4214" s="213">
        <v>7</v>
      </c>
    </row>
    <row r="4215" spans="28:30" x14ac:dyDescent="0.25">
      <c r="AB4215" s="207" t="s">
        <v>3845</v>
      </c>
      <c r="AC4215" s="207" t="s">
        <v>4272</v>
      </c>
      <c r="AD4215" s="213">
        <v>7</v>
      </c>
    </row>
    <row r="4216" spans="28:30" x14ac:dyDescent="0.25">
      <c r="AB4216" s="207" t="s">
        <v>373</v>
      </c>
      <c r="AC4216" s="207" t="s">
        <v>4273</v>
      </c>
      <c r="AD4216" s="213">
        <v>6</v>
      </c>
    </row>
    <row r="4217" spans="28:30" x14ac:dyDescent="0.25">
      <c r="AB4217" s="207" t="s">
        <v>1642</v>
      </c>
      <c r="AC4217" s="207" t="s">
        <v>4274</v>
      </c>
      <c r="AD4217" s="213">
        <v>7</v>
      </c>
    </row>
    <row r="4218" spans="28:30" x14ac:dyDescent="0.25">
      <c r="AB4218" s="207" t="s">
        <v>1642</v>
      </c>
      <c r="AC4218" s="207" t="s">
        <v>4275</v>
      </c>
      <c r="AD4218" s="213">
        <v>7</v>
      </c>
    </row>
    <row r="4219" spans="28:30" x14ac:dyDescent="0.25">
      <c r="AB4219" s="207" t="s">
        <v>1669</v>
      </c>
      <c r="AC4219" s="207" t="s">
        <v>4276</v>
      </c>
      <c r="AD4219" s="213">
        <v>8</v>
      </c>
    </row>
    <row r="4220" spans="28:30" x14ac:dyDescent="0.25">
      <c r="AB4220" s="207" t="s">
        <v>3845</v>
      </c>
      <c r="AC4220" s="207" t="s">
        <v>4277</v>
      </c>
      <c r="AD4220" s="213">
        <v>7</v>
      </c>
    </row>
    <row r="4221" spans="28:30" x14ac:dyDescent="0.25">
      <c r="AB4221" s="207" t="s">
        <v>1642</v>
      </c>
      <c r="AC4221" s="207" t="s">
        <v>4278</v>
      </c>
      <c r="AD4221" s="213">
        <v>7</v>
      </c>
    </row>
    <row r="4222" spans="28:30" x14ac:dyDescent="0.25">
      <c r="AB4222" s="207" t="s">
        <v>206</v>
      </c>
      <c r="AC4222" s="207" t="s">
        <v>4279</v>
      </c>
      <c r="AD4222" s="213">
        <v>8</v>
      </c>
    </row>
    <row r="4223" spans="28:30" x14ac:dyDescent="0.25">
      <c r="AB4223" s="207" t="s">
        <v>3845</v>
      </c>
      <c r="AC4223" s="207" t="s">
        <v>4280</v>
      </c>
      <c r="AD4223" s="213">
        <v>7</v>
      </c>
    </row>
    <row r="4224" spans="28:30" x14ac:dyDescent="0.25">
      <c r="AB4224" s="207" t="s">
        <v>1951</v>
      </c>
      <c r="AC4224" s="207" t="s">
        <v>4281</v>
      </c>
      <c r="AD4224" s="213">
        <v>7</v>
      </c>
    </row>
    <row r="4225" spans="28:30" x14ac:dyDescent="0.25">
      <c r="AB4225" s="207" t="s">
        <v>3845</v>
      </c>
      <c r="AC4225" s="207" t="s">
        <v>4282</v>
      </c>
      <c r="AD4225" s="213">
        <v>6</v>
      </c>
    </row>
    <row r="4226" spans="28:30" x14ac:dyDescent="0.25">
      <c r="AB4226" s="207" t="s">
        <v>3845</v>
      </c>
      <c r="AC4226" s="207" t="s">
        <v>4283</v>
      </c>
      <c r="AD4226" s="213">
        <v>7</v>
      </c>
    </row>
    <row r="4227" spans="28:30" x14ac:dyDescent="0.25">
      <c r="AB4227" s="207" t="s">
        <v>1738</v>
      </c>
      <c r="AC4227" s="207" t="s">
        <v>1245</v>
      </c>
      <c r="AD4227" s="213">
        <v>7</v>
      </c>
    </row>
    <row r="4228" spans="28:30" x14ac:dyDescent="0.25">
      <c r="AB4228" s="207" t="s">
        <v>1738</v>
      </c>
      <c r="AC4228" s="207" t="s">
        <v>4284</v>
      </c>
      <c r="AD4228" s="213">
        <v>7</v>
      </c>
    </row>
    <row r="4229" spans="28:30" x14ac:dyDescent="0.25">
      <c r="AB4229" s="207" t="s">
        <v>1715</v>
      </c>
      <c r="AC4229" s="207" t="s">
        <v>4285</v>
      </c>
      <c r="AD4229" s="213">
        <v>7</v>
      </c>
    </row>
    <row r="4230" spans="28:30" x14ac:dyDescent="0.25">
      <c r="AB4230" s="207" t="s">
        <v>1951</v>
      </c>
      <c r="AC4230" s="207" t="s">
        <v>4286</v>
      </c>
      <c r="AD4230" s="213">
        <v>7</v>
      </c>
    </row>
    <row r="4231" spans="28:30" x14ac:dyDescent="0.25">
      <c r="AB4231" s="207" t="s">
        <v>1738</v>
      </c>
      <c r="AC4231" s="207" t="s">
        <v>4287</v>
      </c>
      <c r="AD4231" s="213">
        <v>7</v>
      </c>
    </row>
    <row r="4232" spans="28:30" x14ac:dyDescent="0.25">
      <c r="AB4232" s="207" t="s">
        <v>3845</v>
      </c>
      <c r="AC4232" s="207" t="s">
        <v>1005</v>
      </c>
      <c r="AD4232" s="213">
        <v>7</v>
      </c>
    </row>
    <row r="4233" spans="28:30" x14ac:dyDescent="0.25">
      <c r="AB4233" s="207" t="s">
        <v>1951</v>
      </c>
      <c r="AC4233" s="207" t="s">
        <v>4288</v>
      </c>
      <c r="AD4233" s="213">
        <v>7</v>
      </c>
    </row>
    <row r="4234" spans="28:30" x14ac:dyDescent="0.25">
      <c r="AB4234" s="207" t="s">
        <v>1642</v>
      </c>
      <c r="AC4234" s="207" t="s">
        <v>4289</v>
      </c>
      <c r="AD4234" s="213">
        <v>7</v>
      </c>
    </row>
    <row r="4235" spans="28:30" x14ac:dyDescent="0.25">
      <c r="AB4235" s="207" t="s">
        <v>1642</v>
      </c>
      <c r="AC4235" s="207" t="s">
        <v>4290</v>
      </c>
      <c r="AD4235" s="213">
        <v>7</v>
      </c>
    </row>
    <row r="4236" spans="28:30" x14ac:dyDescent="0.25">
      <c r="AB4236" s="207" t="s">
        <v>1738</v>
      </c>
      <c r="AC4236" s="207" t="s">
        <v>4291</v>
      </c>
      <c r="AD4236" s="213">
        <v>7</v>
      </c>
    </row>
    <row r="4237" spans="28:30" x14ac:dyDescent="0.25">
      <c r="AB4237" s="207" t="s">
        <v>1738</v>
      </c>
      <c r="AC4237" s="207" t="s">
        <v>4292</v>
      </c>
      <c r="AD4237" s="213">
        <v>7</v>
      </c>
    </row>
    <row r="4238" spans="28:30" x14ac:dyDescent="0.25">
      <c r="AB4238" s="207" t="s">
        <v>1738</v>
      </c>
      <c r="AC4238" s="207" t="s">
        <v>4293</v>
      </c>
      <c r="AD4238" s="213">
        <v>7</v>
      </c>
    </row>
    <row r="4239" spans="28:30" x14ac:dyDescent="0.25">
      <c r="AB4239" s="207" t="s">
        <v>1738</v>
      </c>
      <c r="AC4239" s="207" t="s">
        <v>4294</v>
      </c>
      <c r="AD4239" s="213">
        <v>7</v>
      </c>
    </row>
    <row r="4240" spans="28:30" x14ac:dyDescent="0.25">
      <c r="AB4240" s="207" t="s">
        <v>1738</v>
      </c>
      <c r="AC4240" s="207" t="s">
        <v>4295</v>
      </c>
      <c r="AD4240" s="213">
        <v>7</v>
      </c>
    </row>
    <row r="4241" spans="28:30" x14ac:dyDescent="0.25">
      <c r="AB4241" s="207" t="s">
        <v>206</v>
      </c>
      <c r="AC4241" s="207" t="s">
        <v>4296</v>
      </c>
      <c r="AD4241" s="213">
        <v>8</v>
      </c>
    </row>
    <row r="4242" spans="28:30" x14ac:dyDescent="0.25">
      <c r="AB4242" s="207" t="s">
        <v>1738</v>
      </c>
      <c r="AC4242" s="207" t="s">
        <v>4297</v>
      </c>
      <c r="AD4242" s="213">
        <v>7</v>
      </c>
    </row>
    <row r="4243" spans="28:30" x14ac:dyDescent="0.25">
      <c r="AB4243" s="207" t="s">
        <v>1738</v>
      </c>
      <c r="AC4243" s="207" t="s">
        <v>4009</v>
      </c>
      <c r="AD4243" s="213">
        <v>7</v>
      </c>
    </row>
    <row r="4244" spans="28:30" x14ac:dyDescent="0.25">
      <c r="AB4244" s="207" t="s">
        <v>1738</v>
      </c>
      <c r="AC4244" s="207" t="s">
        <v>4298</v>
      </c>
      <c r="AD4244" s="213">
        <v>7</v>
      </c>
    </row>
    <row r="4245" spans="28:30" x14ac:dyDescent="0.25">
      <c r="AB4245" s="207" t="s">
        <v>1951</v>
      </c>
      <c r="AC4245" s="207" t="s">
        <v>4299</v>
      </c>
      <c r="AD4245" s="213">
        <v>7</v>
      </c>
    </row>
    <row r="4246" spans="28:30" x14ac:dyDescent="0.25">
      <c r="AB4246" s="207" t="s">
        <v>1738</v>
      </c>
      <c r="AC4246" s="207" t="s">
        <v>4300</v>
      </c>
      <c r="AD4246" s="213">
        <v>7</v>
      </c>
    </row>
    <row r="4247" spans="28:30" x14ac:dyDescent="0.25">
      <c r="AB4247" s="207" t="s">
        <v>1642</v>
      </c>
      <c r="AC4247" s="207" t="s">
        <v>4301</v>
      </c>
      <c r="AD4247" s="213">
        <v>7</v>
      </c>
    </row>
    <row r="4248" spans="28:30" x14ac:dyDescent="0.25">
      <c r="AB4248" s="207" t="s">
        <v>1642</v>
      </c>
      <c r="AC4248" s="207" t="s">
        <v>4302</v>
      </c>
      <c r="AD4248" s="213">
        <v>7</v>
      </c>
    </row>
    <row r="4249" spans="28:30" x14ac:dyDescent="0.25">
      <c r="AB4249" s="207" t="s">
        <v>1738</v>
      </c>
      <c r="AC4249" s="207" t="s">
        <v>4303</v>
      </c>
      <c r="AD4249" s="213">
        <v>7</v>
      </c>
    </row>
    <row r="4250" spans="28:30" x14ac:dyDescent="0.25">
      <c r="AB4250" s="207" t="s">
        <v>1738</v>
      </c>
      <c r="AC4250" s="207" t="s">
        <v>4304</v>
      </c>
      <c r="AD4250" s="213">
        <v>7</v>
      </c>
    </row>
    <row r="4251" spans="28:30" x14ac:dyDescent="0.25">
      <c r="AB4251" s="207" t="s">
        <v>1918</v>
      </c>
      <c r="AC4251" s="207" t="s">
        <v>4305</v>
      </c>
      <c r="AD4251" s="213">
        <v>7</v>
      </c>
    </row>
    <row r="4252" spans="28:30" x14ac:dyDescent="0.25">
      <c r="AB4252" s="207" t="s">
        <v>1642</v>
      </c>
      <c r="AC4252" s="207" t="s">
        <v>4306</v>
      </c>
      <c r="AD4252" s="213">
        <v>7</v>
      </c>
    </row>
    <row r="4253" spans="28:30" x14ac:dyDescent="0.25">
      <c r="AB4253" s="207" t="s">
        <v>1642</v>
      </c>
      <c r="AC4253" s="207" t="s">
        <v>4307</v>
      </c>
      <c r="AD4253" s="213">
        <v>7</v>
      </c>
    </row>
    <row r="4254" spans="28:30" x14ac:dyDescent="0.25">
      <c r="AB4254" s="207" t="s">
        <v>1738</v>
      </c>
      <c r="AC4254" s="207" t="s">
        <v>4308</v>
      </c>
      <c r="AD4254" s="213">
        <v>7</v>
      </c>
    </row>
    <row r="4255" spans="28:30" x14ac:dyDescent="0.25">
      <c r="AB4255" s="207" t="s">
        <v>1738</v>
      </c>
      <c r="AC4255" s="207" t="s">
        <v>4136</v>
      </c>
      <c r="AD4255" s="213">
        <v>7</v>
      </c>
    </row>
    <row r="4256" spans="28:30" x14ac:dyDescent="0.25">
      <c r="AB4256" s="207" t="s">
        <v>1738</v>
      </c>
      <c r="AC4256" s="207" t="s">
        <v>4309</v>
      </c>
      <c r="AD4256" s="213">
        <v>8</v>
      </c>
    </row>
    <row r="4257" spans="28:30" x14ac:dyDescent="0.25">
      <c r="AB4257" s="207" t="s">
        <v>1738</v>
      </c>
      <c r="AC4257" s="207" t="s">
        <v>4310</v>
      </c>
      <c r="AD4257" s="213">
        <v>7</v>
      </c>
    </row>
    <row r="4258" spans="28:30" x14ac:dyDescent="0.25">
      <c r="AB4258" s="207" t="s">
        <v>1642</v>
      </c>
      <c r="AC4258" s="207" t="s">
        <v>4311</v>
      </c>
      <c r="AD4258" s="213">
        <v>7</v>
      </c>
    </row>
    <row r="4259" spans="28:30" x14ac:dyDescent="0.25">
      <c r="AB4259" s="207" t="s">
        <v>206</v>
      </c>
      <c r="AC4259" s="207" t="s">
        <v>4312</v>
      </c>
      <c r="AD4259" s="213">
        <v>8</v>
      </c>
    </row>
    <row r="4260" spans="28:30" x14ac:dyDescent="0.25">
      <c r="AB4260" s="207" t="s">
        <v>1642</v>
      </c>
      <c r="AC4260" s="207" t="s">
        <v>4313</v>
      </c>
      <c r="AD4260" s="213">
        <v>7</v>
      </c>
    </row>
    <row r="4261" spans="28:30" x14ac:dyDescent="0.25">
      <c r="AB4261" s="207" t="s">
        <v>1738</v>
      </c>
      <c r="AC4261" s="207" t="s">
        <v>4314</v>
      </c>
      <c r="AD4261" s="213">
        <v>7</v>
      </c>
    </row>
    <row r="4262" spans="28:30" x14ac:dyDescent="0.25">
      <c r="AB4262" s="207" t="s">
        <v>1738</v>
      </c>
      <c r="AC4262" s="207" t="s">
        <v>4315</v>
      </c>
      <c r="AD4262" s="213">
        <v>7</v>
      </c>
    </row>
    <row r="4263" spans="28:30" x14ac:dyDescent="0.25">
      <c r="AB4263" s="207" t="s">
        <v>1738</v>
      </c>
      <c r="AC4263" s="207" t="s">
        <v>4316</v>
      </c>
      <c r="AD4263" s="213">
        <v>7</v>
      </c>
    </row>
    <row r="4264" spans="28:30" x14ac:dyDescent="0.25">
      <c r="AB4264" s="207" t="s">
        <v>1951</v>
      </c>
      <c r="AC4264" s="207" t="s">
        <v>4317</v>
      </c>
      <c r="AD4264" s="213">
        <v>7</v>
      </c>
    </row>
    <row r="4265" spans="28:30" x14ac:dyDescent="0.25">
      <c r="AB4265" s="207" t="s">
        <v>1642</v>
      </c>
      <c r="AC4265" s="207" t="s">
        <v>4318</v>
      </c>
      <c r="AD4265" s="213">
        <v>7</v>
      </c>
    </row>
    <row r="4266" spans="28:30" x14ac:dyDescent="0.25">
      <c r="AB4266" s="207" t="s">
        <v>1738</v>
      </c>
      <c r="AC4266" s="207" t="s">
        <v>1664</v>
      </c>
      <c r="AD4266" s="213">
        <v>7</v>
      </c>
    </row>
    <row r="4267" spans="28:30" x14ac:dyDescent="0.25">
      <c r="AB4267" s="207" t="s">
        <v>1738</v>
      </c>
      <c r="AC4267" s="207" t="s">
        <v>4319</v>
      </c>
      <c r="AD4267" s="213">
        <v>7</v>
      </c>
    </row>
    <row r="4268" spans="28:30" x14ac:dyDescent="0.25">
      <c r="AB4268" s="207" t="s">
        <v>1738</v>
      </c>
      <c r="AC4268" s="207" t="s">
        <v>4320</v>
      </c>
      <c r="AD4268" s="213">
        <v>7</v>
      </c>
    </row>
    <row r="4269" spans="28:30" x14ac:dyDescent="0.25">
      <c r="AB4269" s="207" t="s">
        <v>1738</v>
      </c>
      <c r="AC4269" s="207" t="s">
        <v>4321</v>
      </c>
      <c r="AD4269" s="213">
        <v>7</v>
      </c>
    </row>
    <row r="4270" spans="28:30" x14ac:dyDescent="0.25">
      <c r="AB4270" s="207" t="s">
        <v>1642</v>
      </c>
      <c r="AC4270" s="207" t="s">
        <v>347</v>
      </c>
      <c r="AD4270" s="213">
        <v>7</v>
      </c>
    </row>
    <row r="4271" spans="28:30" x14ac:dyDescent="0.25">
      <c r="AB4271" s="207" t="s">
        <v>1642</v>
      </c>
      <c r="AC4271" s="207" t="s">
        <v>4322</v>
      </c>
      <c r="AD4271" s="213">
        <v>7</v>
      </c>
    </row>
    <row r="4272" spans="28:30" x14ac:dyDescent="0.25">
      <c r="AB4272" s="207" t="s">
        <v>205</v>
      </c>
      <c r="AC4272" s="207" t="s">
        <v>4323</v>
      </c>
      <c r="AD4272" s="213">
        <v>8</v>
      </c>
    </row>
    <row r="4273" spans="28:30" x14ac:dyDescent="0.25">
      <c r="AB4273" s="207" t="s">
        <v>1642</v>
      </c>
      <c r="AC4273" s="207" t="s">
        <v>4324</v>
      </c>
      <c r="AD4273" s="213">
        <v>7</v>
      </c>
    </row>
    <row r="4274" spans="28:30" x14ac:dyDescent="0.25">
      <c r="AB4274" s="207" t="s">
        <v>1642</v>
      </c>
      <c r="AC4274" s="207" t="s">
        <v>4325</v>
      </c>
      <c r="AD4274" s="213">
        <v>7</v>
      </c>
    </row>
    <row r="4275" spans="28:30" x14ac:dyDescent="0.25">
      <c r="AB4275" s="207" t="s">
        <v>1642</v>
      </c>
      <c r="AC4275" s="207" t="s">
        <v>4326</v>
      </c>
      <c r="AD4275" s="213">
        <v>7</v>
      </c>
    </row>
    <row r="4276" spans="28:30" x14ac:dyDescent="0.25">
      <c r="AB4276" s="207" t="s">
        <v>1738</v>
      </c>
      <c r="AC4276" s="207" t="s">
        <v>4327</v>
      </c>
      <c r="AD4276" s="213">
        <v>7</v>
      </c>
    </row>
    <row r="4277" spans="28:30" x14ac:dyDescent="0.25">
      <c r="AB4277" s="207" t="s">
        <v>1642</v>
      </c>
      <c r="AC4277" s="207" t="s">
        <v>4328</v>
      </c>
      <c r="AD4277" s="213">
        <v>7</v>
      </c>
    </row>
    <row r="4278" spans="28:30" x14ac:dyDescent="0.25">
      <c r="AB4278" s="207" t="s">
        <v>1642</v>
      </c>
      <c r="AC4278" s="207" t="s">
        <v>4329</v>
      </c>
      <c r="AD4278" s="213">
        <v>7</v>
      </c>
    </row>
    <row r="4279" spans="28:30" x14ac:dyDescent="0.25">
      <c r="AB4279" s="207" t="s">
        <v>1738</v>
      </c>
      <c r="AC4279" s="207" t="s">
        <v>398</v>
      </c>
      <c r="AD4279" s="213">
        <v>7</v>
      </c>
    </row>
    <row r="4280" spans="28:30" x14ac:dyDescent="0.25">
      <c r="AB4280" s="207" t="s">
        <v>1642</v>
      </c>
      <c r="AC4280" s="207" t="s">
        <v>4330</v>
      </c>
      <c r="AD4280" s="213">
        <v>7</v>
      </c>
    </row>
    <row r="4281" spans="28:30" x14ac:dyDescent="0.25">
      <c r="AB4281" s="207" t="s">
        <v>1642</v>
      </c>
      <c r="AC4281" s="207" t="s">
        <v>4331</v>
      </c>
      <c r="AD4281" s="213">
        <v>7</v>
      </c>
    </row>
    <row r="4282" spans="28:30" x14ac:dyDescent="0.25">
      <c r="AB4282" s="207" t="s">
        <v>1951</v>
      </c>
      <c r="AC4282" s="207" t="s">
        <v>4332</v>
      </c>
      <c r="AD4282" s="213">
        <v>7</v>
      </c>
    </row>
    <row r="4283" spans="28:30" x14ac:dyDescent="0.25">
      <c r="AB4283" s="207" t="s">
        <v>1642</v>
      </c>
      <c r="AC4283" s="207" t="s">
        <v>4333</v>
      </c>
      <c r="AD4283" s="213">
        <v>7</v>
      </c>
    </row>
    <row r="4284" spans="28:30" x14ac:dyDescent="0.25">
      <c r="AB4284" s="207" t="s">
        <v>1642</v>
      </c>
      <c r="AC4284" s="207" t="s">
        <v>4334</v>
      </c>
      <c r="AD4284" s="213">
        <v>7</v>
      </c>
    </row>
    <row r="4285" spans="28:30" x14ac:dyDescent="0.25">
      <c r="AB4285" s="207" t="s">
        <v>1642</v>
      </c>
      <c r="AC4285" s="207" t="s">
        <v>4335</v>
      </c>
      <c r="AD4285" s="213">
        <v>7</v>
      </c>
    </row>
    <row r="4286" spans="28:30" x14ac:dyDescent="0.25">
      <c r="AB4286" s="207" t="s">
        <v>1642</v>
      </c>
      <c r="AC4286" s="207" t="s">
        <v>4336</v>
      </c>
      <c r="AD4286" s="213">
        <v>7</v>
      </c>
    </row>
    <row r="4287" spans="28:30" x14ac:dyDescent="0.25">
      <c r="AB4287" s="207" t="s">
        <v>1642</v>
      </c>
      <c r="AC4287" s="207" t="s">
        <v>4337</v>
      </c>
      <c r="AD4287" s="213">
        <v>7</v>
      </c>
    </row>
    <row r="4288" spans="28:30" x14ac:dyDescent="0.25">
      <c r="AB4288" s="207" t="s">
        <v>1642</v>
      </c>
      <c r="AC4288" s="207" t="s">
        <v>4338</v>
      </c>
      <c r="AD4288" s="213">
        <v>7</v>
      </c>
    </row>
    <row r="4289" spans="28:30" x14ac:dyDescent="0.25">
      <c r="AB4289" s="207" t="s">
        <v>1642</v>
      </c>
      <c r="AC4289" s="207" t="s">
        <v>4339</v>
      </c>
      <c r="AD4289" s="213">
        <v>7</v>
      </c>
    </row>
    <row r="4290" spans="28:30" x14ac:dyDescent="0.25">
      <c r="AB4290" s="207" t="s">
        <v>1738</v>
      </c>
      <c r="AC4290" s="207" t="s">
        <v>4340</v>
      </c>
      <c r="AD4290" s="213">
        <v>7</v>
      </c>
    </row>
    <row r="4291" spans="28:30" x14ac:dyDescent="0.25">
      <c r="AB4291" s="207" t="s">
        <v>1642</v>
      </c>
      <c r="AC4291" s="207" t="s">
        <v>4341</v>
      </c>
      <c r="AD4291" s="213">
        <v>7</v>
      </c>
    </row>
    <row r="4292" spans="28:30" x14ac:dyDescent="0.25">
      <c r="AB4292" s="207" t="s">
        <v>1642</v>
      </c>
      <c r="AC4292" s="207" t="s">
        <v>2892</v>
      </c>
      <c r="AD4292" s="213">
        <v>7</v>
      </c>
    </row>
    <row r="4293" spans="28:30" x14ac:dyDescent="0.25">
      <c r="AB4293" s="207" t="s">
        <v>1642</v>
      </c>
      <c r="AC4293" s="207" t="s">
        <v>4342</v>
      </c>
      <c r="AD4293" s="213">
        <v>8</v>
      </c>
    </row>
    <row r="4294" spans="28:30" x14ac:dyDescent="0.25">
      <c r="AB4294" s="207" t="s">
        <v>206</v>
      </c>
      <c r="AC4294" s="207" t="s">
        <v>4343</v>
      </c>
      <c r="AD4294" s="213">
        <v>8</v>
      </c>
    </row>
    <row r="4295" spans="28:30" x14ac:dyDescent="0.25">
      <c r="AB4295" s="207" t="s">
        <v>1738</v>
      </c>
      <c r="AC4295" s="207" t="s">
        <v>4344</v>
      </c>
      <c r="AD4295" s="213">
        <v>7</v>
      </c>
    </row>
    <row r="4296" spans="28:30" x14ac:dyDescent="0.25">
      <c r="AB4296" s="207" t="s">
        <v>1642</v>
      </c>
      <c r="AC4296" s="207" t="s">
        <v>2080</v>
      </c>
      <c r="AD4296" s="213">
        <v>7</v>
      </c>
    </row>
    <row r="4297" spans="28:30" x14ac:dyDescent="0.25">
      <c r="AB4297" s="207" t="s">
        <v>1642</v>
      </c>
      <c r="AC4297" s="207" t="s">
        <v>4345</v>
      </c>
      <c r="AD4297" s="213">
        <v>7</v>
      </c>
    </row>
    <row r="4298" spans="28:30" x14ac:dyDescent="0.25">
      <c r="AB4298" s="207" t="s">
        <v>1642</v>
      </c>
      <c r="AC4298" s="207" t="s">
        <v>4346</v>
      </c>
      <c r="AD4298" s="213">
        <v>7</v>
      </c>
    </row>
    <row r="4299" spans="28:30" x14ac:dyDescent="0.25">
      <c r="AB4299" s="207" t="s">
        <v>1642</v>
      </c>
      <c r="AC4299" s="207" t="s">
        <v>4347</v>
      </c>
      <c r="AD4299" s="213">
        <v>7</v>
      </c>
    </row>
    <row r="4300" spans="28:30" x14ac:dyDescent="0.25">
      <c r="AB4300" s="207" t="s">
        <v>1642</v>
      </c>
      <c r="AC4300" s="207" t="s">
        <v>512</v>
      </c>
      <c r="AD4300" s="213">
        <v>7</v>
      </c>
    </row>
    <row r="4301" spans="28:30" x14ac:dyDescent="0.25">
      <c r="AB4301" s="207" t="s">
        <v>1642</v>
      </c>
      <c r="AC4301" s="207" t="s">
        <v>4348</v>
      </c>
      <c r="AD4301" s="213">
        <v>7</v>
      </c>
    </row>
    <row r="4302" spans="28:30" x14ac:dyDescent="0.25">
      <c r="AB4302" s="207" t="s">
        <v>1642</v>
      </c>
      <c r="AC4302" s="207" t="s">
        <v>4349</v>
      </c>
      <c r="AD4302" s="213">
        <v>7</v>
      </c>
    </row>
    <row r="4303" spans="28:30" x14ac:dyDescent="0.25">
      <c r="AB4303" s="207" t="s">
        <v>1642</v>
      </c>
      <c r="AC4303" s="207" t="s">
        <v>4350</v>
      </c>
      <c r="AD4303" s="213">
        <v>7</v>
      </c>
    </row>
    <row r="4304" spans="28:30" x14ac:dyDescent="0.25">
      <c r="AB4304" s="207" t="s">
        <v>1642</v>
      </c>
      <c r="AC4304" s="207" t="s">
        <v>4351</v>
      </c>
      <c r="AD4304" s="213">
        <v>7</v>
      </c>
    </row>
    <row r="4305" spans="28:30" x14ac:dyDescent="0.25">
      <c r="AB4305" s="207" t="s">
        <v>1642</v>
      </c>
      <c r="AC4305" s="207" t="s">
        <v>4352</v>
      </c>
      <c r="AD4305" s="213">
        <v>7</v>
      </c>
    </row>
    <row r="4306" spans="28:30" x14ac:dyDescent="0.25">
      <c r="AB4306" s="207" t="s">
        <v>1951</v>
      </c>
      <c r="AC4306" s="207" t="s">
        <v>4353</v>
      </c>
      <c r="AD4306" s="213">
        <v>7</v>
      </c>
    </row>
    <row r="4307" spans="28:30" x14ac:dyDescent="0.25">
      <c r="AB4307" s="207" t="s">
        <v>205</v>
      </c>
      <c r="AC4307" s="207" t="s">
        <v>4354</v>
      </c>
      <c r="AD4307" s="213">
        <v>8</v>
      </c>
    </row>
    <row r="4308" spans="28:30" x14ac:dyDescent="0.25">
      <c r="AB4308" s="207" t="s">
        <v>1642</v>
      </c>
      <c r="AC4308" s="207" t="s">
        <v>4355</v>
      </c>
      <c r="AD4308" s="213">
        <v>7</v>
      </c>
    </row>
    <row r="4309" spans="28:30" x14ac:dyDescent="0.25">
      <c r="AB4309" s="207" t="s">
        <v>1738</v>
      </c>
      <c r="AC4309" s="207" t="s">
        <v>2291</v>
      </c>
      <c r="AD4309" s="213">
        <v>7</v>
      </c>
    </row>
    <row r="4310" spans="28:30" x14ac:dyDescent="0.25">
      <c r="AB4310" s="207" t="s">
        <v>29</v>
      </c>
      <c r="AC4310" s="207" t="s">
        <v>4356</v>
      </c>
      <c r="AD4310" s="213">
        <v>8</v>
      </c>
    </row>
    <row r="4311" spans="28:30" x14ac:dyDescent="0.25">
      <c r="AB4311" s="207" t="s">
        <v>1642</v>
      </c>
      <c r="AC4311" s="207" t="s">
        <v>4357</v>
      </c>
      <c r="AD4311" s="213">
        <v>7</v>
      </c>
    </row>
    <row r="4312" spans="28:30" x14ac:dyDescent="0.25">
      <c r="AB4312" s="207" t="s">
        <v>1738</v>
      </c>
      <c r="AC4312" s="207" t="s">
        <v>4358</v>
      </c>
      <c r="AD4312" s="213">
        <v>7</v>
      </c>
    </row>
    <row r="4313" spans="28:30" x14ac:dyDescent="0.25">
      <c r="AB4313" s="207" t="s">
        <v>1642</v>
      </c>
      <c r="AC4313" s="207" t="s">
        <v>4359</v>
      </c>
      <c r="AD4313" s="213">
        <v>7</v>
      </c>
    </row>
    <row r="4314" spans="28:30" x14ac:dyDescent="0.25">
      <c r="AB4314" s="207" t="s">
        <v>1642</v>
      </c>
      <c r="AC4314" s="207" t="s">
        <v>4360</v>
      </c>
      <c r="AD4314" s="213">
        <v>7</v>
      </c>
    </row>
    <row r="4315" spans="28:30" x14ac:dyDescent="0.25">
      <c r="AB4315" s="207" t="s">
        <v>1642</v>
      </c>
      <c r="AC4315" s="207" t="s">
        <v>4361</v>
      </c>
      <c r="AD4315" s="213">
        <v>7</v>
      </c>
    </row>
    <row r="4316" spans="28:30" x14ac:dyDescent="0.25">
      <c r="AB4316" s="207" t="s">
        <v>1642</v>
      </c>
      <c r="AC4316" s="207" t="s">
        <v>4362</v>
      </c>
      <c r="AD4316" s="213">
        <v>7</v>
      </c>
    </row>
    <row r="4317" spans="28:30" x14ac:dyDescent="0.25">
      <c r="AB4317" s="207" t="s">
        <v>1642</v>
      </c>
      <c r="AC4317" s="207" t="s">
        <v>4363</v>
      </c>
      <c r="AD4317" s="213">
        <v>7</v>
      </c>
    </row>
    <row r="4318" spans="28:30" x14ac:dyDescent="0.25">
      <c r="AB4318" s="207" t="s">
        <v>205</v>
      </c>
      <c r="AC4318" s="207" t="s">
        <v>1226</v>
      </c>
      <c r="AD4318" s="213">
        <v>8</v>
      </c>
    </row>
    <row r="4319" spans="28:30" x14ac:dyDescent="0.25">
      <c r="AB4319" s="207" t="s">
        <v>1642</v>
      </c>
      <c r="AC4319" s="207" t="s">
        <v>4364</v>
      </c>
      <c r="AD4319" s="213">
        <v>7</v>
      </c>
    </row>
    <row r="4320" spans="28:30" x14ac:dyDescent="0.25">
      <c r="AB4320" s="207" t="s">
        <v>1642</v>
      </c>
      <c r="AC4320" s="207" t="s">
        <v>4365</v>
      </c>
      <c r="AD4320" s="213">
        <v>7</v>
      </c>
    </row>
    <row r="4321" spans="28:30" x14ac:dyDescent="0.25">
      <c r="AB4321" s="207" t="s">
        <v>1738</v>
      </c>
      <c r="AC4321" s="207" t="s">
        <v>2736</v>
      </c>
      <c r="AD4321" s="213">
        <v>7</v>
      </c>
    </row>
    <row r="4322" spans="28:30" x14ac:dyDescent="0.25">
      <c r="AB4322" s="207" t="s">
        <v>3847</v>
      </c>
      <c r="AC4322" s="207" t="s">
        <v>4366</v>
      </c>
      <c r="AD4322" s="213">
        <v>8</v>
      </c>
    </row>
    <row r="4323" spans="28:30" x14ac:dyDescent="0.25">
      <c r="AB4323" s="207" t="s">
        <v>1738</v>
      </c>
      <c r="AC4323" s="207" t="s">
        <v>3458</v>
      </c>
      <c r="AD4323" s="213">
        <v>7</v>
      </c>
    </row>
    <row r="4324" spans="28:30" x14ac:dyDescent="0.25">
      <c r="AB4324" s="207" t="s">
        <v>1642</v>
      </c>
      <c r="AC4324" s="207" t="s">
        <v>4367</v>
      </c>
      <c r="AD4324" s="213">
        <v>7</v>
      </c>
    </row>
    <row r="4325" spans="28:30" x14ac:dyDescent="0.25">
      <c r="AB4325" s="207" t="s">
        <v>1715</v>
      </c>
      <c r="AC4325" s="207" t="s">
        <v>4368</v>
      </c>
      <c r="AD4325" s="213">
        <v>7</v>
      </c>
    </row>
    <row r="4326" spans="28:30" x14ac:dyDescent="0.25">
      <c r="AB4326" s="207" t="s">
        <v>1918</v>
      </c>
      <c r="AC4326" s="207" t="s">
        <v>4369</v>
      </c>
      <c r="AD4326" s="213">
        <v>7</v>
      </c>
    </row>
    <row r="4327" spans="28:30" x14ac:dyDescent="0.25">
      <c r="AB4327" s="207" t="s">
        <v>3847</v>
      </c>
      <c r="AC4327" s="207" t="s">
        <v>1083</v>
      </c>
      <c r="AD4327" s="213">
        <v>8</v>
      </c>
    </row>
    <row r="4328" spans="28:30" x14ac:dyDescent="0.25">
      <c r="AB4328" s="207" t="s">
        <v>3847</v>
      </c>
      <c r="AC4328" s="207" t="s">
        <v>4370</v>
      </c>
      <c r="AD4328" s="213">
        <v>8</v>
      </c>
    </row>
    <row r="4329" spans="28:30" x14ac:dyDescent="0.25">
      <c r="AB4329" s="207" t="s">
        <v>1918</v>
      </c>
      <c r="AC4329" s="207" t="s">
        <v>4371</v>
      </c>
      <c r="AD4329" s="213">
        <v>7</v>
      </c>
    </row>
    <row r="4330" spans="28:30" x14ac:dyDescent="0.25">
      <c r="AB4330" s="207" t="s">
        <v>1918</v>
      </c>
      <c r="AC4330" s="207" t="s">
        <v>4372</v>
      </c>
      <c r="AD4330" s="213">
        <v>7</v>
      </c>
    </row>
    <row r="4331" spans="28:30" x14ac:dyDescent="0.25">
      <c r="AB4331" s="207" t="s">
        <v>3845</v>
      </c>
      <c r="AC4331" s="207" t="s">
        <v>4373</v>
      </c>
      <c r="AD4331" s="213">
        <v>7</v>
      </c>
    </row>
    <row r="4332" spans="28:30" x14ac:dyDescent="0.25">
      <c r="AB4332" s="207" t="s">
        <v>1642</v>
      </c>
      <c r="AC4332" s="207" t="s">
        <v>4374</v>
      </c>
      <c r="AD4332" s="213">
        <v>7</v>
      </c>
    </row>
    <row r="4333" spans="28:30" x14ac:dyDescent="0.25">
      <c r="AB4333" s="207" t="s">
        <v>1642</v>
      </c>
      <c r="AC4333" s="207" t="s">
        <v>4375</v>
      </c>
      <c r="AD4333" s="213">
        <v>7</v>
      </c>
    </row>
    <row r="4334" spans="28:30" x14ac:dyDescent="0.25">
      <c r="AB4334" s="207" t="s">
        <v>1951</v>
      </c>
      <c r="AC4334" s="207" t="s">
        <v>4376</v>
      </c>
      <c r="AD4334" s="213">
        <v>7</v>
      </c>
    </row>
    <row r="4335" spans="28:30" x14ac:dyDescent="0.25">
      <c r="AB4335" s="207" t="s">
        <v>206</v>
      </c>
      <c r="AC4335" s="207" t="s">
        <v>4377</v>
      </c>
      <c r="AD4335" s="213">
        <v>8</v>
      </c>
    </row>
    <row r="4336" spans="28:30" x14ac:dyDescent="0.25">
      <c r="AB4336" s="207" t="s">
        <v>1642</v>
      </c>
      <c r="AC4336" s="207" t="s">
        <v>4378</v>
      </c>
      <c r="AD4336" s="213">
        <v>7</v>
      </c>
    </row>
    <row r="4337" spans="28:30" x14ac:dyDescent="0.25">
      <c r="AB4337" s="207" t="s">
        <v>3847</v>
      </c>
      <c r="AC4337" s="207" t="s">
        <v>4379</v>
      </c>
      <c r="AD4337" s="213">
        <v>8</v>
      </c>
    </row>
    <row r="4338" spans="28:30" x14ac:dyDescent="0.25">
      <c r="AB4338" s="207" t="s">
        <v>3847</v>
      </c>
      <c r="AC4338" s="207" t="s">
        <v>4380</v>
      </c>
      <c r="AD4338" s="213">
        <v>8</v>
      </c>
    </row>
    <row r="4339" spans="28:30" x14ac:dyDescent="0.25">
      <c r="AB4339" s="207" t="s">
        <v>1918</v>
      </c>
      <c r="AC4339" s="207" t="s">
        <v>4381</v>
      </c>
      <c r="AD4339" s="213">
        <v>7</v>
      </c>
    </row>
    <row r="4340" spans="28:30" x14ac:dyDescent="0.25">
      <c r="AB4340" s="207" t="s">
        <v>3847</v>
      </c>
      <c r="AC4340" s="207" t="s">
        <v>4382</v>
      </c>
      <c r="AD4340" s="213">
        <v>8</v>
      </c>
    </row>
    <row r="4341" spans="28:30" x14ac:dyDescent="0.25">
      <c r="AB4341" s="207" t="s">
        <v>1642</v>
      </c>
      <c r="AC4341" s="207" t="s">
        <v>4383</v>
      </c>
      <c r="AD4341" s="213">
        <v>7</v>
      </c>
    </row>
    <row r="4342" spans="28:30" x14ac:dyDescent="0.25">
      <c r="AB4342" s="207" t="s">
        <v>1918</v>
      </c>
      <c r="AC4342" s="207" t="s">
        <v>4384</v>
      </c>
      <c r="AD4342" s="213">
        <v>7</v>
      </c>
    </row>
    <row r="4343" spans="28:30" x14ac:dyDescent="0.25">
      <c r="AB4343" s="207" t="s">
        <v>1918</v>
      </c>
      <c r="AC4343" s="207" t="s">
        <v>4385</v>
      </c>
      <c r="AD4343" s="213">
        <v>7</v>
      </c>
    </row>
    <row r="4344" spans="28:30" x14ac:dyDescent="0.25">
      <c r="AB4344" s="207" t="s">
        <v>29</v>
      </c>
      <c r="AC4344" s="207" t="s">
        <v>4386</v>
      </c>
      <c r="AD4344" s="213">
        <v>8</v>
      </c>
    </row>
    <row r="4345" spans="28:30" x14ac:dyDescent="0.25">
      <c r="AB4345" s="207" t="s">
        <v>3847</v>
      </c>
      <c r="AC4345" s="207" t="s">
        <v>4387</v>
      </c>
      <c r="AD4345" s="213">
        <v>8</v>
      </c>
    </row>
    <row r="4346" spans="28:30" x14ac:dyDescent="0.25">
      <c r="AB4346" s="207" t="s">
        <v>3847</v>
      </c>
      <c r="AC4346" s="207" t="s">
        <v>4388</v>
      </c>
      <c r="AD4346" s="213">
        <v>8</v>
      </c>
    </row>
    <row r="4347" spans="28:30" x14ac:dyDescent="0.25">
      <c r="AB4347" s="207" t="s">
        <v>3845</v>
      </c>
      <c r="AC4347" s="207" t="s">
        <v>4389</v>
      </c>
      <c r="AD4347" s="213">
        <v>7</v>
      </c>
    </row>
    <row r="4348" spans="28:30" x14ac:dyDescent="0.25">
      <c r="AB4348" s="207" t="s">
        <v>3845</v>
      </c>
      <c r="AC4348" s="207" t="s">
        <v>4390</v>
      </c>
      <c r="AD4348" s="213">
        <v>7</v>
      </c>
    </row>
    <row r="4349" spans="28:30" x14ac:dyDescent="0.25">
      <c r="AB4349" s="207" t="s">
        <v>1918</v>
      </c>
      <c r="AC4349" s="207" t="s">
        <v>4391</v>
      </c>
      <c r="AD4349" s="213">
        <v>7</v>
      </c>
    </row>
    <row r="4350" spans="28:30" x14ac:dyDescent="0.25">
      <c r="AB4350" s="207" t="s">
        <v>1642</v>
      </c>
      <c r="AC4350" s="207" t="s">
        <v>4392</v>
      </c>
      <c r="AD4350" s="213">
        <v>7</v>
      </c>
    </row>
    <row r="4351" spans="28:30" x14ac:dyDescent="0.25">
      <c r="AB4351" s="207" t="s">
        <v>3847</v>
      </c>
      <c r="AC4351" s="207" t="s">
        <v>4393</v>
      </c>
      <c r="AD4351" s="213">
        <v>8</v>
      </c>
    </row>
    <row r="4352" spans="28:30" x14ac:dyDescent="0.25">
      <c r="AB4352" s="207" t="s">
        <v>1918</v>
      </c>
      <c r="AC4352" s="207" t="s">
        <v>4394</v>
      </c>
      <c r="AD4352" s="213">
        <v>7</v>
      </c>
    </row>
    <row r="4353" spans="28:30" x14ac:dyDescent="0.25">
      <c r="AB4353" s="207" t="s">
        <v>1918</v>
      </c>
      <c r="AC4353" s="207" t="s">
        <v>4395</v>
      </c>
      <c r="AD4353" s="213">
        <v>7</v>
      </c>
    </row>
    <row r="4354" spans="28:30" x14ac:dyDescent="0.25">
      <c r="AB4354" s="207" t="s">
        <v>3845</v>
      </c>
      <c r="AC4354" s="207" t="s">
        <v>4396</v>
      </c>
      <c r="AD4354" s="213">
        <v>8</v>
      </c>
    </row>
    <row r="4355" spans="28:30" x14ac:dyDescent="0.25">
      <c r="AB4355" s="207" t="s">
        <v>3845</v>
      </c>
      <c r="AC4355" s="207" t="s">
        <v>4397</v>
      </c>
      <c r="AD4355" s="213">
        <v>7</v>
      </c>
    </row>
    <row r="4356" spans="28:30" x14ac:dyDescent="0.25">
      <c r="AB4356" s="207" t="s">
        <v>3847</v>
      </c>
      <c r="AC4356" s="207" t="s">
        <v>4398</v>
      </c>
      <c r="AD4356" s="213">
        <v>8</v>
      </c>
    </row>
    <row r="4357" spans="28:30" x14ac:dyDescent="0.25">
      <c r="AB4357" s="207" t="s">
        <v>3847</v>
      </c>
      <c r="AC4357" s="207" t="s">
        <v>4399</v>
      </c>
      <c r="AD4357" s="213">
        <v>8</v>
      </c>
    </row>
    <row r="4358" spans="28:30" x14ac:dyDescent="0.25">
      <c r="AB4358" s="207" t="s">
        <v>1918</v>
      </c>
      <c r="AC4358" s="207" t="s">
        <v>4400</v>
      </c>
      <c r="AD4358" s="213">
        <v>7</v>
      </c>
    </row>
    <row r="4359" spans="28:30" x14ac:dyDescent="0.25">
      <c r="AB4359" s="207" t="s">
        <v>1951</v>
      </c>
      <c r="AC4359" s="207" t="s">
        <v>4401</v>
      </c>
      <c r="AD4359" s="213">
        <v>7</v>
      </c>
    </row>
    <row r="4360" spans="28:30" x14ac:dyDescent="0.25">
      <c r="AB4360" s="207" t="s">
        <v>1918</v>
      </c>
      <c r="AC4360" s="207" t="s">
        <v>4402</v>
      </c>
      <c r="AD4360" s="213">
        <v>7</v>
      </c>
    </row>
    <row r="4361" spans="28:30" x14ac:dyDescent="0.25">
      <c r="AB4361" s="207" t="s">
        <v>1918</v>
      </c>
      <c r="AC4361" s="207" t="s">
        <v>4403</v>
      </c>
      <c r="AD4361" s="213">
        <v>7</v>
      </c>
    </row>
    <row r="4362" spans="28:30" x14ac:dyDescent="0.25">
      <c r="AB4362" s="207" t="s">
        <v>1642</v>
      </c>
      <c r="AC4362" s="207" t="s">
        <v>4404</v>
      </c>
      <c r="AD4362" s="213">
        <v>7</v>
      </c>
    </row>
    <row r="4363" spans="28:30" x14ac:dyDescent="0.25">
      <c r="AB4363" s="207" t="s">
        <v>1918</v>
      </c>
      <c r="AC4363" s="207" t="s">
        <v>4405</v>
      </c>
      <c r="AD4363" s="213">
        <v>7</v>
      </c>
    </row>
    <row r="4364" spans="28:30" x14ac:dyDescent="0.25">
      <c r="AB4364" s="207" t="s">
        <v>1918</v>
      </c>
      <c r="AC4364" s="207" t="s">
        <v>4406</v>
      </c>
      <c r="AD4364" s="213">
        <v>8</v>
      </c>
    </row>
    <row r="4365" spans="28:30" x14ac:dyDescent="0.25">
      <c r="AB4365" s="207" t="s">
        <v>3847</v>
      </c>
      <c r="AC4365" s="207" t="s">
        <v>4407</v>
      </c>
      <c r="AD4365" s="213">
        <v>8</v>
      </c>
    </row>
    <row r="4366" spans="28:30" x14ac:dyDescent="0.25">
      <c r="AB4366" s="207" t="s">
        <v>1918</v>
      </c>
      <c r="AC4366" s="207" t="s">
        <v>4408</v>
      </c>
      <c r="AD4366" s="213">
        <v>7</v>
      </c>
    </row>
    <row r="4367" spans="28:30" x14ac:dyDescent="0.25">
      <c r="AB4367" s="207" t="s">
        <v>3847</v>
      </c>
      <c r="AC4367" s="207" t="s">
        <v>4409</v>
      </c>
      <c r="AD4367" s="213">
        <v>8</v>
      </c>
    </row>
    <row r="4368" spans="28:30" x14ac:dyDescent="0.25">
      <c r="AB4368" s="207" t="s">
        <v>3847</v>
      </c>
      <c r="AC4368" s="207" t="s">
        <v>4410</v>
      </c>
      <c r="AD4368" s="213">
        <v>8</v>
      </c>
    </row>
    <row r="4369" spans="28:30" x14ac:dyDescent="0.25">
      <c r="AB4369" s="207" t="s">
        <v>1642</v>
      </c>
      <c r="AC4369" s="207" t="s">
        <v>1985</v>
      </c>
      <c r="AD4369" s="213">
        <v>8</v>
      </c>
    </row>
    <row r="4370" spans="28:30" x14ac:dyDescent="0.25">
      <c r="AB4370" s="207" t="s">
        <v>1918</v>
      </c>
      <c r="AC4370" s="207" t="s">
        <v>4411</v>
      </c>
      <c r="AD4370" s="213">
        <v>8</v>
      </c>
    </row>
    <row r="4371" spans="28:30" x14ac:dyDescent="0.25">
      <c r="AB4371" s="207" t="s">
        <v>3847</v>
      </c>
      <c r="AC4371" s="207" t="s">
        <v>335</v>
      </c>
      <c r="AD4371" s="213">
        <v>8</v>
      </c>
    </row>
    <row r="4372" spans="28:30" x14ac:dyDescent="0.25">
      <c r="AB4372" s="207" t="s">
        <v>1918</v>
      </c>
      <c r="AC4372" s="207" t="s">
        <v>4412</v>
      </c>
      <c r="AD4372" s="213">
        <v>7</v>
      </c>
    </row>
    <row r="4373" spans="28:30" x14ac:dyDescent="0.25">
      <c r="AB4373" s="207" t="s">
        <v>3847</v>
      </c>
      <c r="AC4373" s="207" t="s">
        <v>4413</v>
      </c>
      <c r="AD4373" s="213">
        <v>8</v>
      </c>
    </row>
    <row r="4374" spans="28:30" x14ac:dyDescent="0.25">
      <c r="AB4374" s="207" t="s">
        <v>3847</v>
      </c>
      <c r="AC4374" s="207" t="s">
        <v>4414</v>
      </c>
      <c r="AD4374" s="213">
        <v>8</v>
      </c>
    </row>
    <row r="4375" spans="28:30" x14ac:dyDescent="0.25">
      <c r="AB4375" s="207" t="s">
        <v>3847</v>
      </c>
      <c r="AC4375" s="207" t="s">
        <v>4415</v>
      </c>
      <c r="AD4375" s="213">
        <v>8</v>
      </c>
    </row>
    <row r="4376" spans="28:30" x14ac:dyDescent="0.25">
      <c r="AB4376" s="207" t="s">
        <v>1918</v>
      </c>
      <c r="AC4376" s="207" t="s">
        <v>4416</v>
      </c>
      <c r="AD4376" s="213">
        <v>7</v>
      </c>
    </row>
    <row r="4377" spans="28:30" x14ac:dyDescent="0.25">
      <c r="AB4377" s="207" t="s">
        <v>373</v>
      </c>
      <c r="AC4377" s="207" t="s">
        <v>4417</v>
      </c>
      <c r="AD4377" s="213">
        <v>6</v>
      </c>
    </row>
    <row r="4378" spans="28:30" x14ac:dyDescent="0.25">
      <c r="AB4378" s="207" t="s">
        <v>3847</v>
      </c>
      <c r="AC4378" s="207" t="s">
        <v>4418</v>
      </c>
      <c r="AD4378" s="213">
        <v>8</v>
      </c>
    </row>
    <row r="4379" spans="28:30" x14ac:dyDescent="0.25">
      <c r="AB4379" s="207" t="s">
        <v>1951</v>
      </c>
      <c r="AC4379" s="207" t="s">
        <v>4419</v>
      </c>
      <c r="AD4379" s="213">
        <v>7</v>
      </c>
    </row>
    <row r="4380" spans="28:30" x14ac:dyDescent="0.25">
      <c r="AB4380" s="207" t="s">
        <v>1738</v>
      </c>
      <c r="AC4380" s="207" t="s">
        <v>4420</v>
      </c>
      <c r="AD4380" s="213">
        <v>7</v>
      </c>
    </row>
    <row r="4381" spans="28:30" x14ac:dyDescent="0.25">
      <c r="AB4381" s="207" t="s">
        <v>2173</v>
      </c>
      <c r="AC4381" s="207" t="s">
        <v>4421</v>
      </c>
      <c r="AD4381" s="213">
        <v>8</v>
      </c>
    </row>
    <row r="4382" spans="28:30" x14ac:dyDescent="0.25">
      <c r="AB4382" s="207" t="s">
        <v>1918</v>
      </c>
      <c r="AC4382" s="207" t="s">
        <v>4422</v>
      </c>
      <c r="AD4382" s="213">
        <v>7</v>
      </c>
    </row>
    <row r="4383" spans="28:30" x14ac:dyDescent="0.25">
      <c r="AB4383" s="207" t="s">
        <v>29</v>
      </c>
      <c r="AC4383" s="207" t="s">
        <v>4423</v>
      </c>
      <c r="AD4383" s="213">
        <v>8</v>
      </c>
    </row>
    <row r="4384" spans="28:30" x14ac:dyDescent="0.25">
      <c r="AB4384" s="207" t="s">
        <v>1918</v>
      </c>
      <c r="AC4384" s="207" t="s">
        <v>4424</v>
      </c>
      <c r="AD4384" s="213">
        <v>7</v>
      </c>
    </row>
    <row r="4385" spans="28:30" x14ac:dyDescent="0.25">
      <c r="AB4385" s="207" t="s">
        <v>1918</v>
      </c>
      <c r="AC4385" s="207" t="s">
        <v>4425</v>
      </c>
      <c r="AD4385" s="213">
        <v>8</v>
      </c>
    </row>
    <row r="4386" spans="28:30" x14ac:dyDescent="0.25">
      <c r="AB4386" s="207" t="s">
        <v>2173</v>
      </c>
      <c r="AC4386" s="207" t="s">
        <v>4426</v>
      </c>
      <c r="AD4386" s="213">
        <v>8</v>
      </c>
    </row>
    <row r="4387" spans="28:30" x14ac:dyDescent="0.25">
      <c r="AB4387" s="207" t="s">
        <v>3847</v>
      </c>
      <c r="AC4387" s="207" t="s">
        <v>3383</v>
      </c>
      <c r="AD4387" s="213">
        <v>8</v>
      </c>
    </row>
    <row r="4388" spans="28:30" x14ac:dyDescent="0.25">
      <c r="AB4388" s="207" t="s">
        <v>3845</v>
      </c>
      <c r="AC4388" s="207" t="s">
        <v>4427</v>
      </c>
      <c r="AD4388" s="213">
        <v>7</v>
      </c>
    </row>
    <row r="4389" spans="28:30" x14ac:dyDescent="0.25">
      <c r="AB4389" s="207" t="s">
        <v>1918</v>
      </c>
      <c r="AC4389" s="207" t="s">
        <v>4428</v>
      </c>
      <c r="AD4389" s="213">
        <v>8</v>
      </c>
    </row>
    <row r="4390" spans="28:30" x14ac:dyDescent="0.25">
      <c r="AB4390" s="207" t="s">
        <v>206</v>
      </c>
      <c r="AC4390" s="207" t="s">
        <v>4429</v>
      </c>
      <c r="AD4390" s="213">
        <v>8</v>
      </c>
    </row>
    <row r="4391" spans="28:30" x14ac:dyDescent="0.25">
      <c r="AB4391" s="207" t="s">
        <v>1918</v>
      </c>
      <c r="AC4391" s="207" t="s">
        <v>4430</v>
      </c>
      <c r="AD4391" s="213">
        <v>8</v>
      </c>
    </row>
    <row r="4392" spans="28:30" x14ac:dyDescent="0.25">
      <c r="AB4392" s="207" t="s">
        <v>1642</v>
      </c>
      <c r="AC4392" s="207" t="s">
        <v>4431</v>
      </c>
      <c r="AD4392" s="213">
        <v>7</v>
      </c>
    </row>
    <row r="4393" spans="28:30" x14ac:dyDescent="0.25">
      <c r="AB4393" s="207" t="s">
        <v>2160</v>
      </c>
      <c r="AC4393" s="207" t="s">
        <v>4432</v>
      </c>
      <c r="AD4393" s="213">
        <v>6</v>
      </c>
    </row>
    <row r="4394" spans="28:30" x14ac:dyDescent="0.25">
      <c r="AB4394" s="207" t="s">
        <v>3845</v>
      </c>
      <c r="AC4394" s="207" t="s">
        <v>4433</v>
      </c>
      <c r="AD4394" s="213">
        <v>7</v>
      </c>
    </row>
    <row r="4395" spans="28:30" x14ac:dyDescent="0.25">
      <c r="AB4395" s="207" t="s">
        <v>1918</v>
      </c>
      <c r="AC4395" s="207" t="s">
        <v>4434</v>
      </c>
      <c r="AD4395" s="213">
        <v>7</v>
      </c>
    </row>
    <row r="4396" spans="28:30" x14ac:dyDescent="0.25">
      <c r="AB4396" s="207" t="s">
        <v>3847</v>
      </c>
      <c r="AC4396" s="207" t="s">
        <v>4435</v>
      </c>
      <c r="AD4396" s="213">
        <v>8</v>
      </c>
    </row>
    <row r="4397" spans="28:30" x14ac:dyDescent="0.25">
      <c r="AB4397" s="207" t="s">
        <v>1918</v>
      </c>
      <c r="AC4397" s="207" t="s">
        <v>4436</v>
      </c>
      <c r="AD4397" s="213">
        <v>7</v>
      </c>
    </row>
    <row r="4398" spans="28:30" x14ac:dyDescent="0.25">
      <c r="AB4398" s="207" t="s">
        <v>2173</v>
      </c>
      <c r="AC4398" s="207" t="s">
        <v>2499</v>
      </c>
      <c r="AD4398" s="213">
        <v>8</v>
      </c>
    </row>
    <row r="4399" spans="28:30" x14ac:dyDescent="0.25">
      <c r="AB4399" s="207" t="s">
        <v>3845</v>
      </c>
      <c r="AC4399" s="207" t="s">
        <v>4437</v>
      </c>
      <c r="AD4399" s="213">
        <v>7</v>
      </c>
    </row>
    <row r="4400" spans="28:30" x14ac:dyDescent="0.25">
      <c r="AB4400" s="207" t="s">
        <v>1642</v>
      </c>
      <c r="AC4400" s="207" t="s">
        <v>4438</v>
      </c>
      <c r="AD4400" s="213">
        <v>7</v>
      </c>
    </row>
    <row r="4401" spans="28:30" x14ac:dyDescent="0.25">
      <c r="AB4401" s="207" t="s">
        <v>3845</v>
      </c>
      <c r="AC4401" s="207" t="s">
        <v>4439</v>
      </c>
      <c r="AD4401" s="213">
        <v>7</v>
      </c>
    </row>
    <row r="4402" spans="28:30" x14ac:dyDescent="0.25">
      <c r="AB4402" s="207" t="s">
        <v>1918</v>
      </c>
      <c r="AC4402" s="207" t="s">
        <v>4440</v>
      </c>
      <c r="AD4402" s="213">
        <v>7</v>
      </c>
    </row>
    <row r="4403" spans="28:30" x14ac:dyDescent="0.25">
      <c r="AB4403" s="207" t="s">
        <v>1715</v>
      </c>
      <c r="AC4403" s="207" t="s">
        <v>4441</v>
      </c>
      <c r="AD4403" s="213">
        <v>7</v>
      </c>
    </row>
    <row r="4404" spans="28:30" x14ac:dyDescent="0.25">
      <c r="AB4404" s="207" t="s">
        <v>3847</v>
      </c>
      <c r="AC4404" s="207" t="s">
        <v>4442</v>
      </c>
      <c r="AD4404" s="213">
        <v>8</v>
      </c>
    </row>
    <row r="4405" spans="28:30" x14ac:dyDescent="0.25">
      <c r="AB4405" s="207" t="s">
        <v>1918</v>
      </c>
      <c r="AC4405" s="207" t="s">
        <v>4443</v>
      </c>
      <c r="AD4405" s="213">
        <v>7</v>
      </c>
    </row>
    <row r="4406" spans="28:30" x14ac:dyDescent="0.25">
      <c r="AB4406" s="207" t="s">
        <v>3845</v>
      </c>
      <c r="AC4406" s="207" t="s">
        <v>4444</v>
      </c>
      <c r="AD4406" s="213">
        <v>7</v>
      </c>
    </row>
    <row r="4407" spans="28:30" x14ac:dyDescent="0.25">
      <c r="AB4407" s="207" t="s">
        <v>3847</v>
      </c>
      <c r="AC4407" s="207" t="s">
        <v>4445</v>
      </c>
      <c r="AD4407" s="213">
        <v>8</v>
      </c>
    </row>
    <row r="4408" spans="28:30" x14ac:dyDescent="0.25">
      <c r="AB4408" s="207" t="s">
        <v>1918</v>
      </c>
      <c r="AC4408" s="207" t="s">
        <v>4446</v>
      </c>
      <c r="AD4408" s="213">
        <v>7</v>
      </c>
    </row>
    <row r="4409" spans="28:30" x14ac:dyDescent="0.25">
      <c r="AB4409" s="207" t="s">
        <v>1918</v>
      </c>
      <c r="AC4409" s="207" t="s">
        <v>4447</v>
      </c>
      <c r="AD4409" s="213">
        <v>7</v>
      </c>
    </row>
    <row r="4410" spans="28:30" x14ac:dyDescent="0.25">
      <c r="AB4410" s="207" t="s">
        <v>1918</v>
      </c>
      <c r="AC4410" s="207" t="s">
        <v>1793</v>
      </c>
      <c r="AD4410" s="213">
        <v>7</v>
      </c>
    </row>
    <row r="4411" spans="28:30" x14ac:dyDescent="0.25">
      <c r="AB4411" s="207" t="s">
        <v>3845</v>
      </c>
      <c r="AC4411" s="207" t="s">
        <v>4448</v>
      </c>
      <c r="AD4411" s="213">
        <v>7</v>
      </c>
    </row>
    <row r="4412" spans="28:30" x14ac:dyDescent="0.25">
      <c r="AB4412" s="207" t="s">
        <v>1918</v>
      </c>
      <c r="AC4412" s="207" t="s">
        <v>4449</v>
      </c>
      <c r="AD4412" s="213">
        <v>7</v>
      </c>
    </row>
    <row r="4413" spans="28:30" x14ac:dyDescent="0.25">
      <c r="AB4413" s="207" t="s">
        <v>1918</v>
      </c>
      <c r="AC4413" s="207" t="s">
        <v>4450</v>
      </c>
      <c r="AD4413" s="213">
        <v>7</v>
      </c>
    </row>
    <row r="4414" spans="28:30" x14ac:dyDescent="0.25">
      <c r="AB4414" s="207" t="s">
        <v>1918</v>
      </c>
      <c r="AC4414" s="207" t="s">
        <v>4451</v>
      </c>
      <c r="AD4414" s="213">
        <v>7</v>
      </c>
    </row>
    <row r="4415" spans="28:30" x14ac:dyDescent="0.25">
      <c r="AB4415" s="207" t="s">
        <v>3847</v>
      </c>
      <c r="AC4415" s="207" t="s">
        <v>4452</v>
      </c>
      <c r="AD4415" s="213">
        <v>8</v>
      </c>
    </row>
    <row r="4416" spans="28:30" x14ac:dyDescent="0.25">
      <c r="AB4416" s="207" t="s">
        <v>3845</v>
      </c>
      <c r="AC4416" s="207" t="s">
        <v>4453</v>
      </c>
      <c r="AD4416" s="213">
        <v>7</v>
      </c>
    </row>
    <row r="4417" spans="28:30" x14ac:dyDescent="0.25">
      <c r="AB4417" s="207" t="s">
        <v>3847</v>
      </c>
      <c r="AC4417" s="207" t="s">
        <v>4454</v>
      </c>
      <c r="AD4417" s="213">
        <v>8</v>
      </c>
    </row>
    <row r="4418" spans="28:30" x14ac:dyDescent="0.25">
      <c r="AB4418" s="207" t="s">
        <v>3845</v>
      </c>
      <c r="AC4418" s="207" t="s">
        <v>4455</v>
      </c>
      <c r="AD4418" s="213">
        <v>6</v>
      </c>
    </row>
    <row r="4419" spans="28:30" x14ac:dyDescent="0.25">
      <c r="AB4419" s="207" t="s">
        <v>3845</v>
      </c>
      <c r="AC4419" s="207" t="s">
        <v>4456</v>
      </c>
      <c r="AD4419" s="213">
        <v>8</v>
      </c>
    </row>
    <row r="4420" spans="28:30" x14ac:dyDescent="0.25">
      <c r="AB4420" s="207" t="s">
        <v>3845</v>
      </c>
      <c r="AC4420" s="207" t="s">
        <v>4457</v>
      </c>
      <c r="AD4420" s="213">
        <v>7</v>
      </c>
    </row>
    <row r="4421" spans="28:30" x14ac:dyDescent="0.25">
      <c r="AB4421" s="207" t="s">
        <v>3847</v>
      </c>
      <c r="AC4421" s="207" t="s">
        <v>4458</v>
      </c>
      <c r="AD4421" s="213">
        <v>8</v>
      </c>
    </row>
    <row r="4422" spans="28:30" x14ac:dyDescent="0.25">
      <c r="AB4422" s="207" t="s">
        <v>29</v>
      </c>
      <c r="AC4422" s="207" t="s">
        <v>4459</v>
      </c>
      <c r="AD4422" s="213">
        <v>8</v>
      </c>
    </row>
    <row r="4423" spans="28:30" x14ac:dyDescent="0.25">
      <c r="AB4423" s="207" t="s">
        <v>373</v>
      </c>
      <c r="AC4423" s="207" t="s">
        <v>4460</v>
      </c>
      <c r="AD4423" s="213">
        <v>7</v>
      </c>
    </row>
    <row r="4424" spans="28:30" x14ac:dyDescent="0.25">
      <c r="AB4424" s="207" t="s">
        <v>3847</v>
      </c>
      <c r="AC4424" s="207" t="s">
        <v>4461</v>
      </c>
      <c r="AD4424" s="213">
        <v>8</v>
      </c>
    </row>
    <row r="4425" spans="28:30" x14ac:dyDescent="0.25">
      <c r="AB4425" s="207" t="s">
        <v>1918</v>
      </c>
      <c r="AC4425" s="207" t="s">
        <v>4462</v>
      </c>
      <c r="AD4425" s="213">
        <v>7</v>
      </c>
    </row>
    <row r="4426" spans="28:30" x14ac:dyDescent="0.25">
      <c r="AB4426" s="207" t="s">
        <v>206</v>
      </c>
      <c r="AC4426" s="207" t="s">
        <v>4463</v>
      </c>
      <c r="AD4426" s="213">
        <v>8</v>
      </c>
    </row>
    <row r="4427" spans="28:30" x14ac:dyDescent="0.25">
      <c r="AB4427" s="207" t="s">
        <v>3979</v>
      </c>
      <c r="AC4427" s="207" t="s">
        <v>4464</v>
      </c>
      <c r="AD4427" s="213">
        <v>8</v>
      </c>
    </row>
    <row r="4428" spans="28:30" x14ac:dyDescent="0.25">
      <c r="AB4428" s="207" t="s">
        <v>1918</v>
      </c>
      <c r="AC4428" s="207" t="s">
        <v>4465</v>
      </c>
      <c r="AD4428" s="213">
        <v>7</v>
      </c>
    </row>
    <row r="4429" spans="28:30" x14ac:dyDescent="0.25">
      <c r="AB4429" s="207" t="s">
        <v>205</v>
      </c>
      <c r="AC4429" s="207" t="s">
        <v>4466</v>
      </c>
      <c r="AD4429" s="213">
        <v>8</v>
      </c>
    </row>
    <row r="4430" spans="28:30" x14ac:dyDescent="0.25">
      <c r="AB4430" s="207" t="s">
        <v>1918</v>
      </c>
      <c r="AC4430" s="207" t="s">
        <v>4467</v>
      </c>
      <c r="AD4430" s="213">
        <v>8</v>
      </c>
    </row>
    <row r="4431" spans="28:30" x14ac:dyDescent="0.25">
      <c r="AB4431" s="207" t="s">
        <v>3847</v>
      </c>
      <c r="AC4431" s="207" t="s">
        <v>4468</v>
      </c>
      <c r="AD4431" s="213">
        <v>8</v>
      </c>
    </row>
    <row r="4432" spans="28:30" x14ac:dyDescent="0.25">
      <c r="AB4432" s="207" t="s">
        <v>3845</v>
      </c>
      <c r="AC4432" s="207" t="s">
        <v>4469</v>
      </c>
      <c r="AD4432" s="213">
        <v>8</v>
      </c>
    </row>
    <row r="4433" spans="28:30" x14ac:dyDescent="0.25">
      <c r="AB4433" s="207" t="s">
        <v>3845</v>
      </c>
      <c r="AC4433" s="207" t="s">
        <v>4470</v>
      </c>
      <c r="AD4433" s="213">
        <v>7</v>
      </c>
    </row>
    <row r="4434" spans="28:30" x14ac:dyDescent="0.25">
      <c r="AB4434" s="207" t="s">
        <v>3845</v>
      </c>
      <c r="AC4434" s="207" t="s">
        <v>4471</v>
      </c>
      <c r="AD4434" s="213">
        <v>7</v>
      </c>
    </row>
    <row r="4435" spans="28:30" x14ac:dyDescent="0.25">
      <c r="AB4435" s="207" t="s">
        <v>29</v>
      </c>
      <c r="AC4435" s="207" t="s">
        <v>4472</v>
      </c>
      <c r="AD4435" s="213">
        <v>8</v>
      </c>
    </row>
    <row r="4436" spans="28:30" x14ac:dyDescent="0.25">
      <c r="AB4436" s="207" t="s">
        <v>3845</v>
      </c>
      <c r="AC4436" s="207" t="s">
        <v>4473</v>
      </c>
      <c r="AD4436" s="213">
        <v>7</v>
      </c>
    </row>
    <row r="4437" spans="28:30" x14ac:dyDescent="0.25">
      <c r="AB4437" s="207" t="s">
        <v>1918</v>
      </c>
      <c r="AC4437" s="207" t="s">
        <v>4474</v>
      </c>
      <c r="AD4437" s="213">
        <v>7</v>
      </c>
    </row>
    <row r="4438" spans="28:30" x14ac:dyDescent="0.25">
      <c r="AB4438" s="207" t="s">
        <v>1918</v>
      </c>
      <c r="AC4438" s="207" t="s">
        <v>4475</v>
      </c>
      <c r="AD4438" s="213">
        <v>7</v>
      </c>
    </row>
    <row r="4439" spans="28:30" x14ac:dyDescent="0.25">
      <c r="AB4439" s="207" t="s">
        <v>3845</v>
      </c>
      <c r="AC4439" s="207" t="s">
        <v>4476</v>
      </c>
      <c r="AD4439" s="213">
        <v>8</v>
      </c>
    </row>
    <row r="4440" spans="28:30" x14ac:dyDescent="0.25">
      <c r="AB4440" s="207" t="s">
        <v>1951</v>
      </c>
      <c r="AC4440" s="207" t="s">
        <v>4477</v>
      </c>
      <c r="AD4440" s="213">
        <v>7</v>
      </c>
    </row>
    <row r="4441" spans="28:30" x14ac:dyDescent="0.25">
      <c r="AB4441" s="207" t="s">
        <v>3845</v>
      </c>
      <c r="AC4441" s="207" t="s">
        <v>4478</v>
      </c>
      <c r="AD4441" s="213">
        <v>7</v>
      </c>
    </row>
    <row r="4442" spans="28:30" x14ac:dyDescent="0.25">
      <c r="AB4442" s="207" t="s">
        <v>3847</v>
      </c>
      <c r="AC4442" s="207" t="s">
        <v>4479</v>
      </c>
      <c r="AD4442" s="213">
        <v>8</v>
      </c>
    </row>
    <row r="4443" spans="28:30" x14ac:dyDescent="0.25">
      <c r="AB4443" s="207" t="s">
        <v>3845</v>
      </c>
      <c r="AC4443" s="207" t="s">
        <v>4480</v>
      </c>
      <c r="AD4443" s="213">
        <v>7</v>
      </c>
    </row>
    <row r="4444" spans="28:30" x14ac:dyDescent="0.25">
      <c r="AB4444" s="207" t="s">
        <v>1918</v>
      </c>
      <c r="AC4444" s="207" t="s">
        <v>4481</v>
      </c>
      <c r="AD4444" s="213">
        <v>7</v>
      </c>
    </row>
    <row r="4445" spans="28:30" x14ac:dyDescent="0.25">
      <c r="AB4445" s="207" t="s">
        <v>3845</v>
      </c>
      <c r="AC4445" s="207" t="s">
        <v>4482</v>
      </c>
      <c r="AD4445" s="213">
        <v>7</v>
      </c>
    </row>
    <row r="4446" spans="28:30" x14ac:dyDescent="0.25">
      <c r="AB4446" s="207" t="s">
        <v>1918</v>
      </c>
      <c r="AC4446" s="207" t="s">
        <v>4483</v>
      </c>
      <c r="AD4446" s="213">
        <v>7</v>
      </c>
    </row>
    <row r="4447" spans="28:30" x14ac:dyDescent="0.25">
      <c r="AB4447" s="207" t="s">
        <v>3845</v>
      </c>
      <c r="AC4447" s="207" t="s">
        <v>4484</v>
      </c>
      <c r="AD4447" s="213">
        <v>8</v>
      </c>
    </row>
    <row r="4448" spans="28:30" x14ac:dyDescent="0.25">
      <c r="AB4448" s="207" t="s">
        <v>3847</v>
      </c>
      <c r="AC4448" s="207" t="s">
        <v>1664</v>
      </c>
      <c r="AD4448" s="213">
        <v>8</v>
      </c>
    </row>
    <row r="4449" spans="28:30" x14ac:dyDescent="0.25">
      <c r="AB4449" s="207" t="s">
        <v>3847</v>
      </c>
      <c r="AC4449" s="207" t="s">
        <v>4485</v>
      </c>
      <c r="AD4449" s="213">
        <v>8</v>
      </c>
    </row>
    <row r="4450" spans="28:30" x14ac:dyDescent="0.25">
      <c r="AB4450" s="207" t="s">
        <v>2173</v>
      </c>
      <c r="AC4450" s="207" t="s">
        <v>2042</v>
      </c>
      <c r="AD4450" s="213">
        <v>8</v>
      </c>
    </row>
    <row r="4451" spans="28:30" x14ac:dyDescent="0.25">
      <c r="AB4451" s="207" t="s">
        <v>1918</v>
      </c>
      <c r="AC4451" s="207" t="s">
        <v>4486</v>
      </c>
      <c r="AD4451" s="213">
        <v>7</v>
      </c>
    </row>
    <row r="4452" spans="28:30" x14ac:dyDescent="0.25">
      <c r="AB4452" s="207" t="s">
        <v>3847</v>
      </c>
      <c r="AC4452" s="207" t="s">
        <v>4487</v>
      </c>
      <c r="AD4452" s="213">
        <v>8</v>
      </c>
    </row>
    <row r="4453" spans="28:30" x14ac:dyDescent="0.25">
      <c r="AB4453" s="207" t="s">
        <v>1918</v>
      </c>
      <c r="AC4453" s="207" t="s">
        <v>4488</v>
      </c>
      <c r="AD4453" s="213">
        <v>8</v>
      </c>
    </row>
    <row r="4454" spans="28:30" x14ac:dyDescent="0.25">
      <c r="AB4454" s="207" t="s">
        <v>3845</v>
      </c>
      <c r="AC4454" s="207" t="s">
        <v>4489</v>
      </c>
      <c r="AD4454" s="213">
        <v>7</v>
      </c>
    </row>
    <row r="4455" spans="28:30" x14ac:dyDescent="0.25">
      <c r="AB4455" s="207" t="s">
        <v>3845</v>
      </c>
      <c r="AC4455" s="207" t="s">
        <v>4490</v>
      </c>
      <c r="AD4455" s="213">
        <v>7</v>
      </c>
    </row>
    <row r="4456" spans="28:30" x14ac:dyDescent="0.25">
      <c r="AB4456" s="207" t="s">
        <v>1918</v>
      </c>
      <c r="AC4456" s="207" t="s">
        <v>4491</v>
      </c>
      <c r="AD4456" s="213">
        <v>7</v>
      </c>
    </row>
    <row r="4457" spans="28:30" x14ac:dyDescent="0.25">
      <c r="AB4457" s="207" t="s">
        <v>3847</v>
      </c>
      <c r="AC4457" s="207" t="s">
        <v>4492</v>
      </c>
      <c r="AD4457" s="213">
        <v>8</v>
      </c>
    </row>
    <row r="4458" spans="28:30" x14ac:dyDescent="0.25">
      <c r="AB4458" s="207" t="s">
        <v>3845</v>
      </c>
      <c r="AC4458" s="207" t="s">
        <v>4493</v>
      </c>
      <c r="AD4458" s="213">
        <v>7</v>
      </c>
    </row>
    <row r="4459" spans="28:30" x14ac:dyDescent="0.25">
      <c r="AB4459" s="207" t="s">
        <v>3845</v>
      </c>
      <c r="AC4459" s="207" t="s">
        <v>4494</v>
      </c>
      <c r="AD4459" s="213">
        <v>7</v>
      </c>
    </row>
    <row r="4460" spans="28:30" x14ac:dyDescent="0.25">
      <c r="AB4460" s="207" t="s">
        <v>1715</v>
      </c>
      <c r="AC4460" s="207" t="s">
        <v>4495</v>
      </c>
      <c r="AD4460" s="213">
        <v>7</v>
      </c>
    </row>
    <row r="4461" spans="28:30" x14ac:dyDescent="0.25">
      <c r="AB4461" s="207" t="s">
        <v>3845</v>
      </c>
      <c r="AC4461" s="207" t="s">
        <v>4496</v>
      </c>
      <c r="AD4461" s="213">
        <v>8</v>
      </c>
    </row>
    <row r="4462" spans="28:30" x14ac:dyDescent="0.25">
      <c r="AB4462" s="207" t="s">
        <v>1918</v>
      </c>
      <c r="AC4462" s="207" t="s">
        <v>4497</v>
      </c>
      <c r="AD4462" s="213">
        <v>7</v>
      </c>
    </row>
    <row r="4463" spans="28:30" x14ac:dyDescent="0.25">
      <c r="AB4463" s="207" t="s">
        <v>3845</v>
      </c>
      <c r="AC4463" s="207" t="s">
        <v>1998</v>
      </c>
      <c r="AD4463" s="213">
        <v>7</v>
      </c>
    </row>
    <row r="4464" spans="28:30" x14ac:dyDescent="0.25">
      <c r="AB4464" s="207" t="s">
        <v>206</v>
      </c>
      <c r="AC4464" s="207" t="s">
        <v>4498</v>
      </c>
      <c r="AD4464" s="213">
        <v>8</v>
      </c>
    </row>
    <row r="4465" spans="28:30" x14ac:dyDescent="0.25">
      <c r="AB4465" s="207" t="s">
        <v>1951</v>
      </c>
      <c r="AC4465" s="207" t="s">
        <v>4499</v>
      </c>
      <c r="AD4465" s="213">
        <v>7</v>
      </c>
    </row>
    <row r="4466" spans="28:30" x14ac:dyDescent="0.25">
      <c r="AB4466" s="207" t="s">
        <v>1951</v>
      </c>
      <c r="AC4466" s="207" t="s">
        <v>4500</v>
      </c>
      <c r="AD4466" s="213">
        <v>7</v>
      </c>
    </row>
    <row r="4467" spans="28:30" x14ac:dyDescent="0.25">
      <c r="AB4467" s="207" t="s">
        <v>3845</v>
      </c>
      <c r="AC4467" s="207" t="s">
        <v>4501</v>
      </c>
      <c r="AD4467" s="213">
        <v>7</v>
      </c>
    </row>
    <row r="4468" spans="28:30" x14ac:dyDescent="0.25">
      <c r="AB4468" s="207" t="s">
        <v>3845</v>
      </c>
      <c r="AC4468" s="207" t="s">
        <v>4502</v>
      </c>
      <c r="AD4468" s="213">
        <v>7</v>
      </c>
    </row>
    <row r="4469" spans="28:30" x14ac:dyDescent="0.25">
      <c r="AB4469" s="207" t="s">
        <v>3845</v>
      </c>
      <c r="AC4469" s="207" t="s">
        <v>4503</v>
      </c>
      <c r="AD4469" s="213">
        <v>7</v>
      </c>
    </row>
    <row r="4470" spans="28:30" x14ac:dyDescent="0.25">
      <c r="AB4470" s="207" t="s">
        <v>3847</v>
      </c>
      <c r="AC4470" s="207" t="s">
        <v>4504</v>
      </c>
      <c r="AD4470" s="213">
        <v>7</v>
      </c>
    </row>
    <row r="4471" spans="28:30" x14ac:dyDescent="0.25">
      <c r="AB4471" s="207" t="s">
        <v>3845</v>
      </c>
      <c r="AC4471" s="207" t="s">
        <v>4505</v>
      </c>
      <c r="AD4471" s="213">
        <v>7</v>
      </c>
    </row>
    <row r="4472" spans="28:30" x14ac:dyDescent="0.25">
      <c r="AB4472" s="207" t="s">
        <v>3845</v>
      </c>
      <c r="AC4472" s="207" t="s">
        <v>4506</v>
      </c>
      <c r="AD4472" s="213">
        <v>7</v>
      </c>
    </row>
    <row r="4473" spans="28:30" x14ac:dyDescent="0.25">
      <c r="AB4473" s="207" t="s">
        <v>1715</v>
      </c>
      <c r="AC4473" s="207" t="s">
        <v>4507</v>
      </c>
      <c r="AD4473" s="213">
        <v>6</v>
      </c>
    </row>
    <row r="4474" spans="28:30" x14ac:dyDescent="0.25">
      <c r="AB4474" s="207" t="s">
        <v>1918</v>
      </c>
      <c r="AC4474" s="207" t="s">
        <v>4508</v>
      </c>
      <c r="AD4474" s="213">
        <v>7</v>
      </c>
    </row>
    <row r="4475" spans="28:30" x14ac:dyDescent="0.25">
      <c r="AB4475" s="207" t="s">
        <v>1918</v>
      </c>
      <c r="AC4475" s="207" t="s">
        <v>4509</v>
      </c>
      <c r="AD4475" s="213">
        <v>7</v>
      </c>
    </row>
    <row r="4476" spans="28:30" x14ac:dyDescent="0.25">
      <c r="AB4476" s="207" t="s">
        <v>29</v>
      </c>
      <c r="AC4476" s="207" t="s">
        <v>4510</v>
      </c>
      <c r="AD4476" s="213">
        <v>8</v>
      </c>
    </row>
    <row r="4477" spans="28:30" x14ac:dyDescent="0.25">
      <c r="AB4477" s="207" t="s">
        <v>3845</v>
      </c>
      <c r="AC4477" s="207" t="s">
        <v>4511</v>
      </c>
      <c r="AD4477" s="213">
        <v>7</v>
      </c>
    </row>
    <row r="4478" spans="28:30" x14ac:dyDescent="0.25">
      <c r="AB4478" s="207" t="s">
        <v>3845</v>
      </c>
      <c r="AC4478" s="207" t="s">
        <v>4512</v>
      </c>
      <c r="AD4478" s="213">
        <v>7</v>
      </c>
    </row>
    <row r="4479" spans="28:30" x14ac:dyDescent="0.25">
      <c r="AB4479" s="207" t="s">
        <v>2173</v>
      </c>
      <c r="AC4479" s="207" t="s">
        <v>4513</v>
      </c>
      <c r="AD4479" s="213">
        <v>8</v>
      </c>
    </row>
    <row r="4480" spans="28:30" x14ac:dyDescent="0.25">
      <c r="AB4480" s="207" t="s">
        <v>3847</v>
      </c>
      <c r="AC4480" s="207" t="s">
        <v>4514</v>
      </c>
      <c r="AD4480" s="213">
        <v>8</v>
      </c>
    </row>
    <row r="4481" spans="28:30" x14ac:dyDescent="0.25">
      <c r="AB4481" s="207" t="s">
        <v>2173</v>
      </c>
      <c r="AC4481" s="207" t="s">
        <v>4515</v>
      </c>
      <c r="AD4481" s="213">
        <v>8</v>
      </c>
    </row>
    <row r="4482" spans="28:30" x14ac:dyDescent="0.25">
      <c r="AB4482" s="207" t="s">
        <v>1918</v>
      </c>
      <c r="AC4482" s="207" t="s">
        <v>4516</v>
      </c>
      <c r="AD4482" s="213">
        <v>8</v>
      </c>
    </row>
    <row r="4483" spans="28:30" x14ac:dyDescent="0.25">
      <c r="AB4483" s="207" t="s">
        <v>2173</v>
      </c>
      <c r="AC4483" s="207" t="s">
        <v>4517</v>
      </c>
      <c r="AD4483" s="213">
        <v>8</v>
      </c>
    </row>
    <row r="4484" spans="28:30" x14ac:dyDescent="0.25">
      <c r="AB4484" s="207" t="s">
        <v>3847</v>
      </c>
      <c r="AC4484" s="207" t="s">
        <v>4518</v>
      </c>
      <c r="AD4484" s="213">
        <v>8</v>
      </c>
    </row>
    <row r="4485" spans="28:30" x14ac:dyDescent="0.25">
      <c r="AB4485" s="207" t="s">
        <v>3845</v>
      </c>
      <c r="AC4485" s="207" t="s">
        <v>4519</v>
      </c>
      <c r="AD4485" s="213">
        <v>7</v>
      </c>
    </row>
    <row r="4486" spans="28:30" x14ac:dyDescent="0.25">
      <c r="AB4486" s="207" t="s">
        <v>3845</v>
      </c>
      <c r="AC4486" s="207" t="s">
        <v>4520</v>
      </c>
      <c r="AD4486" s="213">
        <v>7</v>
      </c>
    </row>
    <row r="4487" spans="28:30" x14ac:dyDescent="0.25">
      <c r="AB4487" s="207" t="s">
        <v>1715</v>
      </c>
      <c r="AC4487" s="207" t="s">
        <v>4521</v>
      </c>
      <c r="AD4487" s="213">
        <v>6</v>
      </c>
    </row>
    <row r="4488" spans="28:30" x14ac:dyDescent="0.25">
      <c r="AB4488" s="207" t="s">
        <v>205</v>
      </c>
      <c r="AC4488" s="207" t="s">
        <v>4522</v>
      </c>
      <c r="AD4488" s="213">
        <v>8</v>
      </c>
    </row>
    <row r="4489" spans="28:30" x14ac:dyDescent="0.25">
      <c r="AB4489" s="207" t="s">
        <v>3845</v>
      </c>
      <c r="AC4489" s="207" t="s">
        <v>4523</v>
      </c>
      <c r="AD4489" s="213">
        <v>7</v>
      </c>
    </row>
    <row r="4490" spans="28:30" x14ac:dyDescent="0.25">
      <c r="AB4490" s="207" t="s">
        <v>3847</v>
      </c>
      <c r="AC4490" s="207" t="s">
        <v>4524</v>
      </c>
      <c r="AD4490" s="213">
        <v>8</v>
      </c>
    </row>
    <row r="4491" spans="28:30" x14ac:dyDescent="0.25">
      <c r="AB4491" s="207" t="s">
        <v>373</v>
      </c>
      <c r="AC4491" s="207" t="s">
        <v>4525</v>
      </c>
      <c r="AD4491" s="213">
        <v>6</v>
      </c>
    </row>
    <row r="4492" spans="28:30" x14ac:dyDescent="0.25">
      <c r="AB4492" s="207" t="s">
        <v>3845</v>
      </c>
      <c r="AC4492" s="207" t="s">
        <v>4526</v>
      </c>
      <c r="AD4492" s="213">
        <v>7</v>
      </c>
    </row>
    <row r="4493" spans="28:30" x14ac:dyDescent="0.25">
      <c r="AB4493" s="207" t="s">
        <v>1715</v>
      </c>
      <c r="AC4493" s="207" t="s">
        <v>4527</v>
      </c>
      <c r="AD4493" s="213">
        <v>6</v>
      </c>
    </row>
    <row r="4494" spans="28:30" x14ac:dyDescent="0.25">
      <c r="AB4494" s="207" t="s">
        <v>3845</v>
      </c>
      <c r="AC4494" s="207" t="s">
        <v>4528</v>
      </c>
      <c r="AD4494" s="213">
        <v>7</v>
      </c>
    </row>
    <row r="4495" spans="28:30" x14ac:dyDescent="0.25">
      <c r="AB4495" s="207" t="s">
        <v>1951</v>
      </c>
      <c r="AC4495" s="207" t="s">
        <v>4529</v>
      </c>
      <c r="AD4495" s="213">
        <v>7</v>
      </c>
    </row>
    <row r="4496" spans="28:30" x14ac:dyDescent="0.25">
      <c r="AB4496" s="207" t="s">
        <v>1951</v>
      </c>
      <c r="AC4496" s="207" t="s">
        <v>4530</v>
      </c>
      <c r="AD4496" s="213">
        <v>8</v>
      </c>
    </row>
    <row r="4497" spans="28:30" x14ac:dyDescent="0.25">
      <c r="AB4497" s="207" t="s">
        <v>2173</v>
      </c>
      <c r="AC4497" s="207" t="s">
        <v>4531</v>
      </c>
      <c r="AD4497" s="213">
        <v>8</v>
      </c>
    </row>
    <row r="4498" spans="28:30" x14ac:dyDescent="0.25">
      <c r="AB4498" s="207" t="s">
        <v>3845</v>
      </c>
      <c r="AC4498" s="207" t="s">
        <v>4532</v>
      </c>
      <c r="AD4498" s="213">
        <v>7</v>
      </c>
    </row>
    <row r="4499" spans="28:30" x14ac:dyDescent="0.25">
      <c r="AB4499" s="207" t="s">
        <v>3847</v>
      </c>
      <c r="AC4499" s="207" t="s">
        <v>1613</v>
      </c>
      <c r="AD4499" s="213">
        <v>8</v>
      </c>
    </row>
    <row r="4500" spans="28:30" x14ac:dyDescent="0.25">
      <c r="AB4500" s="207" t="s">
        <v>3847</v>
      </c>
      <c r="AC4500" s="207" t="s">
        <v>4533</v>
      </c>
      <c r="AD4500" s="213">
        <v>8</v>
      </c>
    </row>
    <row r="4501" spans="28:30" x14ac:dyDescent="0.25">
      <c r="AB4501" s="207" t="s">
        <v>3845</v>
      </c>
      <c r="AC4501" s="207" t="s">
        <v>4534</v>
      </c>
      <c r="AD4501" s="213">
        <v>8</v>
      </c>
    </row>
    <row r="4502" spans="28:30" x14ac:dyDescent="0.25">
      <c r="AB4502" s="207" t="s">
        <v>3845</v>
      </c>
      <c r="AC4502" s="207" t="s">
        <v>4535</v>
      </c>
      <c r="AD4502" s="213">
        <v>7</v>
      </c>
    </row>
    <row r="4503" spans="28:30" x14ac:dyDescent="0.25">
      <c r="AB4503" s="207" t="s">
        <v>2173</v>
      </c>
      <c r="AC4503" s="207" t="s">
        <v>4536</v>
      </c>
      <c r="AD4503" s="213">
        <v>8</v>
      </c>
    </row>
    <row r="4504" spans="28:30" x14ac:dyDescent="0.25">
      <c r="AB4504" s="207" t="s">
        <v>3847</v>
      </c>
      <c r="AC4504" s="207" t="s">
        <v>4537</v>
      </c>
      <c r="AD4504" s="213">
        <v>8</v>
      </c>
    </row>
    <row r="4505" spans="28:30" x14ac:dyDescent="0.25">
      <c r="AB4505" s="207" t="s">
        <v>3845</v>
      </c>
      <c r="AC4505" s="207" t="s">
        <v>4538</v>
      </c>
      <c r="AD4505" s="213">
        <v>8</v>
      </c>
    </row>
    <row r="4506" spans="28:30" x14ac:dyDescent="0.25">
      <c r="AB4506" s="207" t="s">
        <v>3845</v>
      </c>
      <c r="AC4506" s="207" t="s">
        <v>4539</v>
      </c>
      <c r="AD4506" s="213">
        <v>7</v>
      </c>
    </row>
    <row r="4507" spans="28:30" x14ac:dyDescent="0.25">
      <c r="AB4507" s="207" t="s">
        <v>3845</v>
      </c>
      <c r="AC4507" s="207" t="s">
        <v>4540</v>
      </c>
      <c r="AD4507" s="213">
        <v>8</v>
      </c>
    </row>
    <row r="4508" spans="28:30" x14ac:dyDescent="0.25">
      <c r="AB4508" s="207" t="s">
        <v>3847</v>
      </c>
      <c r="AC4508" s="207" t="s">
        <v>4541</v>
      </c>
      <c r="AD4508" s="213">
        <v>8</v>
      </c>
    </row>
    <row r="4509" spans="28:30" x14ac:dyDescent="0.25">
      <c r="AB4509" s="207" t="s">
        <v>3845</v>
      </c>
      <c r="AC4509" s="207" t="s">
        <v>1683</v>
      </c>
      <c r="AD4509" s="213">
        <v>8</v>
      </c>
    </row>
    <row r="4510" spans="28:30" x14ac:dyDescent="0.25">
      <c r="AB4510" s="207" t="s">
        <v>2160</v>
      </c>
      <c r="AC4510" s="207" t="s">
        <v>4542</v>
      </c>
      <c r="AD4510" s="213">
        <v>7</v>
      </c>
    </row>
    <row r="4511" spans="28:30" x14ac:dyDescent="0.25">
      <c r="AB4511" s="207" t="s">
        <v>1918</v>
      </c>
      <c r="AC4511" s="207" t="s">
        <v>4543</v>
      </c>
      <c r="AD4511" s="213">
        <v>7</v>
      </c>
    </row>
    <row r="4512" spans="28:30" x14ac:dyDescent="0.25">
      <c r="AB4512" s="207" t="s">
        <v>1918</v>
      </c>
      <c r="AC4512" s="207" t="s">
        <v>4544</v>
      </c>
      <c r="AD4512" s="213">
        <v>7</v>
      </c>
    </row>
    <row r="4513" spans="28:30" x14ac:dyDescent="0.25">
      <c r="AB4513" s="207" t="s">
        <v>29</v>
      </c>
      <c r="AC4513" s="207" t="s">
        <v>4545</v>
      </c>
      <c r="AD4513" s="213">
        <v>8</v>
      </c>
    </row>
    <row r="4514" spans="28:30" x14ac:dyDescent="0.25">
      <c r="AB4514" s="207" t="s">
        <v>3845</v>
      </c>
      <c r="AC4514" s="207" t="s">
        <v>4546</v>
      </c>
      <c r="AD4514" s="213">
        <v>7</v>
      </c>
    </row>
    <row r="4515" spans="28:30" x14ac:dyDescent="0.25">
      <c r="AB4515" s="207" t="s">
        <v>29</v>
      </c>
      <c r="AC4515" s="207" t="s">
        <v>4547</v>
      </c>
      <c r="AD4515" s="213">
        <v>8</v>
      </c>
    </row>
    <row r="4516" spans="28:30" x14ac:dyDescent="0.25">
      <c r="AB4516" s="207" t="s">
        <v>3845</v>
      </c>
      <c r="AC4516" s="207" t="s">
        <v>4548</v>
      </c>
      <c r="AD4516" s="213">
        <v>7</v>
      </c>
    </row>
    <row r="4517" spans="28:30" x14ac:dyDescent="0.25">
      <c r="AB4517" s="207" t="s">
        <v>3847</v>
      </c>
      <c r="AC4517" s="207" t="s">
        <v>4549</v>
      </c>
      <c r="AD4517" s="213">
        <v>8</v>
      </c>
    </row>
    <row r="4518" spans="28:30" x14ac:dyDescent="0.25">
      <c r="AB4518" s="207" t="s">
        <v>3847</v>
      </c>
      <c r="AC4518" s="207" t="s">
        <v>4550</v>
      </c>
      <c r="AD4518" s="213">
        <v>8</v>
      </c>
    </row>
    <row r="4519" spans="28:30" x14ac:dyDescent="0.25">
      <c r="AB4519" s="207" t="s">
        <v>3847</v>
      </c>
      <c r="AC4519" s="207" t="s">
        <v>4551</v>
      </c>
      <c r="AD4519" s="213">
        <v>8</v>
      </c>
    </row>
    <row r="4520" spans="28:30" x14ac:dyDescent="0.25">
      <c r="AB4520" s="207" t="s">
        <v>3845</v>
      </c>
      <c r="AC4520" s="207" t="s">
        <v>4552</v>
      </c>
      <c r="AD4520" s="213">
        <v>7</v>
      </c>
    </row>
    <row r="4521" spans="28:30" x14ac:dyDescent="0.25">
      <c r="AB4521" s="207" t="s">
        <v>1951</v>
      </c>
      <c r="AC4521" s="207" t="s">
        <v>3426</v>
      </c>
      <c r="AD4521" s="213">
        <v>7</v>
      </c>
    </row>
    <row r="4522" spans="28:30" x14ac:dyDescent="0.25">
      <c r="AB4522" s="207" t="s">
        <v>3845</v>
      </c>
      <c r="AC4522" s="207" t="s">
        <v>4553</v>
      </c>
      <c r="AD4522" s="213">
        <v>8</v>
      </c>
    </row>
    <row r="4523" spans="28:30" x14ac:dyDescent="0.25">
      <c r="AB4523" s="207" t="s">
        <v>3847</v>
      </c>
      <c r="AC4523" s="207" t="s">
        <v>4554</v>
      </c>
      <c r="AD4523" s="213">
        <v>8</v>
      </c>
    </row>
    <row r="4524" spans="28:30" x14ac:dyDescent="0.25">
      <c r="AB4524" s="207" t="s">
        <v>373</v>
      </c>
      <c r="AC4524" s="207" t="s">
        <v>4555</v>
      </c>
      <c r="AD4524" s="213">
        <v>6</v>
      </c>
    </row>
    <row r="4525" spans="28:30" x14ac:dyDescent="0.25">
      <c r="AB4525" s="207" t="s">
        <v>3845</v>
      </c>
      <c r="AC4525" s="207" t="s">
        <v>4556</v>
      </c>
      <c r="AD4525" s="213">
        <v>7</v>
      </c>
    </row>
    <row r="4526" spans="28:30" x14ac:dyDescent="0.25">
      <c r="AB4526" s="207" t="s">
        <v>1951</v>
      </c>
      <c r="AC4526" s="207" t="s">
        <v>4557</v>
      </c>
      <c r="AD4526" s="213">
        <v>7</v>
      </c>
    </row>
    <row r="4527" spans="28:30" x14ac:dyDescent="0.25">
      <c r="AB4527" s="207" t="s">
        <v>1951</v>
      </c>
      <c r="AC4527" s="207" t="s">
        <v>4558</v>
      </c>
      <c r="AD4527" s="213">
        <v>8</v>
      </c>
    </row>
    <row r="4528" spans="28:30" x14ac:dyDescent="0.25">
      <c r="AB4528" s="207" t="s">
        <v>2173</v>
      </c>
      <c r="AC4528" s="207" t="s">
        <v>4559</v>
      </c>
      <c r="AD4528" s="213">
        <v>8</v>
      </c>
    </row>
    <row r="4529" spans="28:30" x14ac:dyDescent="0.25">
      <c r="AB4529" s="207" t="s">
        <v>3845</v>
      </c>
      <c r="AC4529" s="207" t="s">
        <v>4560</v>
      </c>
      <c r="AD4529" s="213">
        <v>7</v>
      </c>
    </row>
    <row r="4530" spans="28:30" x14ac:dyDescent="0.25">
      <c r="AB4530" s="207" t="s">
        <v>3845</v>
      </c>
      <c r="AC4530" s="207" t="s">
        <v>4561</v>
      </c>
      <c r="AD4530" s="213">
        <v>7</v>
      </c>
    </row>
    <row r="4531" spans="28:30" x14ac:dyDescent="0.25">
      <c r="AB4531" s="207" t="s">
        <v>3845</v>
      </c>
      <c r="AC4531" s="207" t="s">
        <v>4562</v>
      </c>
      <c r="AD4531" s="213">
        <v>7</v>
      </c>
    </row>
    <row r="4532" spans="28:30" x14ac:dyDescent="0.25">
      <c r="AB4532" s="207" t="s">
        <v>1951</v>
      </c>
      <c r="AC4532" s="207" t="s">
        <v>4563</v>
      </c>
      <c r="AD4532" s="213">
        <v>8</v>
      </c>
    </row>
    <row r="4533" spans="28:30" x14ac:dyDescent="0.25">
      <c r="AB4533" s="207" t="s">
        <v>1715</v>
      </c>
      <c r="AC4533" s="207" t="s">
        <v>4564</v>
      </c>
      <c r="AD4533" s="213">
        <v>6</v>
      </c>
    </row>
    <row r="4534" spans="28:30" x14ac:dyDescent="0.25">
      <c r="AB4534" s="207" t="s">
        <v>1715</v>
      </c>
      <c r="AC4534" s="207" t="s">
        <v>4565</v>
      </c>
      <c r="AD4534" s="213">
        <v>6</v>
      </c>
    </row>
    <row r="4535" spans="28:30" x14ac:dyDescent="0.25">
      <c r="AB4535" s="207" t="s">
        <v>1715</v>
      </c>
      <c r="AC4535" s="207" t="s">
        <v>4566</v>
      </c>
      <c r="AD4535" s="213">
        <v>6</v>
      </c>
    </row>
    <row r="4536" spans="28:30" x14ac:dyDescent="0.25">
      <c r="AB4536" s="207" t="s">
        <v>2160</v>
      </c>
      <c r="AC4536" s="207" t="s">
        <v>4567</v>
      </c>
      <c r="AD4536" s="213">
        <v>8</v>
      </c>
    </row>
    <row r="4537" spans="28:30" x14ac:dyDescent="0.25">
      <c r="AB4537" s="207" t="s">
        <v>3845</v>
      </c>
      <c r="AC4537" s="207" t="s">
        <v>4568</v>
      </c>
      <c r="AD4537" s="213">
        <v>7</v>
      </c>
    </row>
    <row r="4538" spans="28:30" x14ac:dyDescent="0.25">
      <c r="AB4538" s="207" t="s">
        <v>205</v>
      </c>
      <c r="AC4538" s="207" t="s">
        <v>4569</v>
      </c>
      <c r="AD4538" s="213">
        <v>8</v>
      </c>
    </row>
    <row r="4539" spans="28:30" x14ac:dyDescent="0.25">
      <c r="AB4539" s="207" t="s">
        <v>3847</v>
      </c>
      <c r="AC4539" s="207" t="s">
        <v>4570</v>
      </c>
      <c r="AD4539" s="213">
        <v>7</v>
      </c>
    </row>
    <row r="4540" spans="28:30" x14ac:dyDescent="0.25">
      <c r="AB4540" s="207" t="s">
        <v>3845</v>
      </c>
      <c r="AC4540" s="207" t="s">
        <v>4571</v>
      </c>
      <c r="AD4540" s="213">
        <v>7</v>
      </c>
    </row>
    <row r="4541" spans="28:30" x14ac:dyDescent="0.25">
      <c r="AB4541" s="207" t="s">
        <v>3847</v>
      </c>
      <c r="AC4541" s="207" t="s">
        <v>4572</v>
      </c>
      <c r="AD4541" s="213">
        <v>8</v>
      </c>
    </row>
    <row r="4542" spans="28:30" x14ac:dyDescent="0.25">
      <c r="AB4542" s="207" t="s">
        <v>1715</v>
      </c>
      <c r="AC4542" s="207" t="s">
        <v>4573</v>
      </c>
      <c r="AD4542" s="213">
        <v>6</v>
      </c>
    </row>
    <row r="4543" spans="28:30" x14ac:dyDescent="0.25">
      <c r="AB4543" s="207" t="s">
        <v>3845</v>
      </c>
      <c r="AC4543" s="207" t="s">
        <v>4574</v>
      </c>
      <c r="AD4543" s="213">
        <v>7</v>
      </c>
    </row>
    <row r="4544" spans="28:30" x14ac:dyDescent="0.25">
      <c r="AB4544" s="207" t="s">
        <v>1951</v>
      </c>
      <c r="AC4544" s="207" t="s">
        <v>4575</v>
      </c>
      <c r="AD4544" s="213">
        <v>7</v>
      </c>
    </row>
    <row r="4545" spans="28:30" x14ac:dyDescent="0.25">
      <c r="AB4545" s="207" t="s">
        <v>1918</v>
      </c>
      <c r="AC4545" s="207" t="s">
        <v>4576</v>
      </c>
      <c r="AD4545" s="213">
        <v>8</v>
      </c>
    </row>
    <row r="4546" spans="28:30" x14ac:dyDescent="0.25">
      <c r="AB4546" s="207" t="s">
        <v>1951</v>
      </c>
      <c r="AC4546" s="207" t="s">
        <v>4577</v>
      </c>
      <c r="AD4546" s="213">
        <v>8</v>
      </c>
    </row>
    <row r="4547" spans="28:30" x14ac:dyDescent="0.25">
      <c r="AB4547" s="207" t="s">
        <v>1951</v>
      </c>
      <c r="AC4547" s="207" t="s">
        <v>4578</v>
      </c>
      <c r="AD4547" s="213">
        <v>7</v>
      </c>
    </row>
    <row r="4548" spans="28:30" x14ac:dyDescent="0.25">
      <c r="AB4548" s="207" t="s">
        <v>3847</v>
      </c>
      <c r="AC4548" s="207" t="s">
        <v>4579</v>
      </c>
      <c r="AD4548" s="213">
        <v>8</v>
      </c>
    </row>
    <row r="4549" spans="28:30" x14ac:dyDescent="0.25">
      <c r="AB4549" s="207" t="s">
        <v>3845</v>
      </c>
      <c r="AC4549" s="207" t="s">
        <v>4580</v>
      </c>
      <c r="AD4549" s="213">
        <v>8</v>
      </c>
    </row>
    <row r="4550" spans="28:30" x14ac:dyDescent="0.25">
      <c r="AB4550" s="207" t="s">
        <v>29</v>
      </c>
      <c r="AC4550" s="207" t="s">
        <v>4581</v>
      </c>
      <c r="AD4550" s="213">
        <v>8</v>
      </c>
    </row>
    <row r="4551" spans="28:30" x14ac:dyDescent="0.25">
      <c r="AB4551" s="207" t="s">
        <v>3845</v>
      </c>
      <c r="AC4551" s="207" t="s">
        <v>4582</v>
      </c>
      <c r="AD4551" s="213">
        <v>7</v>
      </c>
    </row>
    <row r="4552" spans="28:30" x14ac:dyDescent="0.25">
      <c r="AB4552" s="207" t="s">
        <v>3847</v>
      </c>
      <c r="AC4552" s="207" t="s">
        <v>4583</v>
      </c>
      <c r="AD4552" s="213">
        <v>8</v>
      </c>
    </row>
    <row r="4553" spans="28:30" x14ac:dyDescent="0.25">
      <c r="AB4553" s="207" t="s">
        <v>1951</v>
      </c>
      <c r="AC4553" s="207" t="s">
        <v>4584</v>
      </c>
      <c r="AD4553" s="213">
        <v>7</v>
      </c>
    </row>
    <row r="4554" spans="28:30" x14ac:dyDescent="0.25">
      <c r="AB4554" s="207" t="s">
        <v>1951</v>
      </c>
      <c r="AC4554" s="207" t="s">
        <v>4585</v>
      </c>
      <c r="AD4554" s="213">
        <v>8</v>
      </c>
    </row>
    <row r="4555" spans="28:30" x14ac:dyDescent="0.25">
      <c r="AB4555" s="207" t="s">
        <v>3847</v>
      </c>
      <c r="AC4555" s="207" t="s">
        <v>4586</v>
      </c>
      <c r="AD4555" s="213">
        <v>8</v>
      </c>
    </row>
    <row r="4556" spans="28:30" x14ac:dyDescent="0.25">
      <c r="AB4556" s="207" t="s">
        <v>1951</v>
      </c>
      <c r="AC4556" s="207" t="s">
        <v>4587</v>
      </c>
      <c r="AD4556" s="213">
        <v>8</v>
      </c>
    </row>
    <row r="4557" spans="28:30" x14ac:dyDescent="0.25">
      <c r="AB4557" s="207" t="s">
        <v>1738</v>
      </c>
      <c r="AC4557" s="207" t="s">
        <v>4588</v>
      </c>
      <c r="AD4557" s="213">
        <v>7</v>
      </c>
    </row>
    <row r="4558" spans="28:30" x14ac:dyDescent="0.25">
      <c r="AB4558" s="207" t="s">
        <v>1918</v>
      </c>
      <c r="AC4558" s="207" t="s">
        <v>4589</v>
      </c>
      <c r="AD4558" s="213">
        <v>7</v>
      </c>
    </row>
    <row r="4559" spans="28:30" x14ac:dyDescent="0.25">
      <c r="AB4559" s="207" t="s">
        <v>2160</v>
      </c>
      <c r="AC4559" s="207" t="s">
        <v>4590</v>
      </c>
      <c r="AD4559" s="213">
        <v>7</v>
      </c>
    </row>
    <row r="4560" spans="28:30" x14ac:dyDescent="0.25">
      <c r="AB4560" s="207" t="s">
        <v>2160</v>
      </c>
      <c r="AC4560" s="207" t="s">
        <v>4591</v>
      </c>
      <c r="AD4560" s="213">
        <v>6</v>
      </c>
    </row>
    <row r="4561" spans="28:30" x14ac:dyDescent="0.25">
      <c r="AB4561" s="207" t="s">
        <v>3845</v>
      </c>
      <c r="AC4561" s="207" t="s">
        <v>4592</v>
      </c>
      <c r="AD4561" s="213">
        <v>7</v>
      </c>
    </row>
    <row r="4562" spans="28:30" x14ac:dyDescent="0.25">
      <c r="AB4562" s="207" t="s">
        <v>205</v>
      </c>
      <c r="AC4562" s="207" t="s">
        <v>4593</v>
      </c>
      <c r="AD4562" s="213">
        <v>8</v>
      </c>
    </row>
    <row r="4563" spans="28:30" x14ac:dyDescent="0.25">
      <c r="AB4563" s="207" t="s">
        <v>205</v>
      </c>
      <c r="AC4563" s="207" t="s">
        <v>4594</v>
      </c>
      <c r="AD4563" s="213">
        <v>8</v>
      </c>
    </row>
    <row r="4564" spans="28:30" x14ac:dyDescent="0.25">
      <c r="AB4564" s="207" t="s">
        <v>3847</v>
      </c>
      <c r="AC4564" s="207" t="s">
        <v>4595</v>
      </c>
      <c r="AD4564" s="213">
        <v>7</v>
      </c>
    </row>
    <row r="4565" spans="28:30" x14ac:dyDescent="0.25">
      <c r="AB4565" s="207" t="s">
        <v>3847</v>
      </c>
      <c r="AC4565" s="207" t="s">
        <v>4596</v>
      </c>
      <c r="AD4565" s="213">
        <v>7</v>
      </c>
    </row>
    <row r="4566" spans="28:30" x14ac:dyDescent="0.25">
      <c r="AB4566" s="207" t="s">
        <v>205</v>
      </c>
      <c r="AC4566" s="207" t="s">
        <v>4597</v>
      </c>
      <c r="AD4566" s="213">
        <v>8</v>
      </c>
    </row>
    <row r="4567" spans="28:30" x14ac:dyDescent="0.25">
      <c r="AB4567" s="207" t="s">
        <v>29</v>
      </c>
      <c r="AC4567" s="207" t="s">
        <v>4598</v>
      </c>
      <c r="AD4567" s="213">
        <v>8</v>
      </c>
    </row>
    <row r="4568" spans="28:30" x14ac:dyDescent="0.25">
      <c r="AB4568" s="207" t="s">
        <v>3847</v>
      </c>
      <c r="AC4568" s="207" t="s">
        <v>4599</v>
      </c>
      <c r="AD4568" s="213">
        <v>8</v>
      </c>
    </row>
    <row r="4569" spans="28:30" x14ac:dyDescent="0.25">
      <c r="AB4569" s="207" t="s">
        <v>3847</v>
      </c>
      <c r="AC4569" s="207" t="s">
        <v>4600</v>
      </c>
      <c r="AD4569" s="213">
        <v>7</v>
      </c>
    </row>
    <row r="4570" spans="28:30" x14ac:dyDescent="0.25">
      <c r="AB4570" s="207" t="s">
        <v>3847</v>
      </c>
      <c r="AC4570" s="207" t="s">
        <v>4601</v>
      </c>
      <c r="AD4570" s="213">
        <v>8</v>
      </c>
    </row>
    <row r="4571" spans="28:30" x14ac:dyDescent="0.25">
      <c r="AB4571" s="207" t="s">
        <v>3847</v>
      </c>
      <c r="AC4571" s="207" t="s">
        <v>4602</v>
      </c>
      <c r="AD4571" s="213">
        <v>8</v>
      </c>
    </row>
    <row r="4572" spans="28:30" x14ac:dyDescent="0.25">
      <c r="AB4572" s="207" t="s">
        <v>3847</v>
      </c>
      <c r="AC4572" s="207" t="s">
        <v>4603</v>
      </c>
      <c r="AD4572" s="213">
        <v>7</v>
      </c>
    </row>
    <row r="4573" spans="28:30" x14ac:dyDescent="0.25">
      <c r="AB4573" s="207" t="s">
        <v>1918</v>
      </c>
      <c r="AC4573" s="207" t="s">
        <v>4604</v>
      </c>
      <c r="AD4573" s="213">
        <v>8</v>
      </c>
    </row>
    <row r="4574" spans="28:30" x14ac:dyDescent="0.25">
      <c r="AB4574" s="207" t="s">
        <v>3847</v>
      </c>
      <c r="AC4574" s="207" t="s">
        <v>4605</v>
      </c>
      <c r="AD4574" s="213">
        <v>7</v>
      </c>
    </row>
    <row r="4575" spans="28:30" x14ac:dyDescent="0.25">
      <c r="AB4575" s="207" t="s">
        <v>1951</v>
      </c>
      <c r="AC4575" s="207" t="s">
        <v>4606</v>
      </c>
      <c r="AD4575" s="213">
        <v>8</v>
      </c>
    </row>
    <row r="4576" spans="28:30" x14ac:dyDescent="0.25">
      <c r="AB4576" s="207" t="s">
        <v>3847</v>
      </c>
      <c r="AC4576" s="207" t="s">
        <v>4607</v>
      </c>
      <c r="AD4576" s="213">
        <v>8</v>
      </c>
    </row>
    <row r="4577" spans="28:30" x14ac:dyDescent="0.25">
      <c r="AB4577" s="207" t="s">
        <v>3845</v>
      </c>
      <c r="AC4577" s="207" t="s">
        <v>4608</v>
      </c>
      <c r="AD4577" s="213">
        <v>7</v>
      </c>
    </row>
    <row r="4578" spans="28:30" x14ac:dyDescent="0.25">
      <c r="AB4578" s="207" t="s">
        <v>1951</v>
      </c>
      <c r="AC4578" s="207" t="s">
        <v>4609</v>
      </c>
      <c r="AD4578" s="213">
        <v>7</v>
      </c>
    </row>
    <row r="4579" spans="28:30" x14ac:dyDescent="0.25">
      <c r="AB4579" s="207" t="s">
        <v>205</v>
      </c>
      <c r="AC4579" s="207" t="s">
        <v>4610</v>
      </c>
      <c r="AD4579" s="213">
        <v>8</v>
      </c>
    </row>
    <row r="4580" spans="28:30" x14ac:dyDescent="0.25">
      <c r="AB4580" s="207" t="s">
        <v>29</v>
      </c>
      <c r="AC4580" s="207" t="s">
        <v>4611</v>
      </c>
      <c r="AD4580" s="213">
        <v>8</v>
      </c>
    </row>
    <row r="4581" spans="28:30" x14ac:dyDescent="0.25">
      <c r="AB4581" s="207" t="s">
        <v>205</v>
      </c>
      <c r="AC4581" s="207" t="s">
        <v>4612</v>
      </c>
      <c r="AD4581" s="213">
        <v>8</v>
      </c>
    </row>
    <row r="4582" spans="28:30" x14ac:dyDescent="0.25">
      <c r="AB4582" s="207" t="s">
        <v>29</v>
      </c>
      <c r="AC4582" s="207" t="s">
        <v>4613</v>
      </c>
      <c r="AD4582" s="213">
        <v>8</v>
      </c>
    </row>
    <row r="4583" spans="28:30" x14ac:dyDescent="0.25">
      <c r="AB4583" s="207" t="s">
        <v>1951</v>
      </c>
      <c r="AC4583" s="207" t="s">
        <v>4614</v>
      </c>
      <c r="AD4583" s="213">
        <v>7</v>
      </c>
    </row>
    <row r="4584" spans="28:30" x14ac:dyDescent="0.25">
      <c r="AB4584" s="207" t="s">
        <v>3845</v>
      </c>
      <c r="AC4584" s="207" t="s">
        <v>4615</v>
      </c>
      <c r="AD4584" s="213">
        <v>7</v>
      </c>
    </row>
    <row r="4585" spans="28:30" x14ac:dyDescent="0.25">
      <c r="AB4585" s="207" t="s">
        <v>2173</v>
      </c>
      <c r="AC4585" s="207" t="s">
        <v>4616</v>
      </c>
      <c r="AD4585" s="213">
        <v>8</v>
      </c>
    </row>
    <row r="4586" spans="28:30" x14ac:dyDescent="0.25">
      <c r="AB4586" s="207" t="s">
        <v>3847</v>
      </c>
      <c r="AC4586" s="207" t="s">
        <v>4617</v>
      </c>
      <c r="AD4586" s="213">
        <v>7</v>
      </c>
    </row>
    <row r="4587" spans="28:30" x14ac:dyDescent="0.25">
      <c r="AB4587" s="207" t="s">
        <v>2160</v>
      </c>
      <c r="AC4587" s="207" t="s">
        <v>4618</v>
      </c>
      <c r="AD4587" s="213">
        <v>8</v>
      </c>
    </row>
    <row r="4588" spans="28:30" x14ac:dyDescent="0.25">
      <c r="AB4588" s="207" t="s">
        <v>3847</v>
      </c>
      <c r="AC4588" s="207" t="s">
        <v>4619</v>
      </c>
      <c r="AD4588" s="213">
        <v>8</v>
      </c>
    </row>
    <row r="4589" spans="28:30" x14ac:dyDescent="0.25">
      <c r="AB4589" s="207" t="s">
        <v>1951</v>
      </c>
      <c r="AC4589" s="207" t="s">
        <v>4620</v>
      </c>
      <c r="AD4589" s="213">
        <v>8</v>
      </c>
    </row>
    <row r="4590" spans="28:30" x14ac:dyDescent="0.25">
      <c r="AB4590" s="207" t="s">
        <v>1951</v>
      </c>
      <c r="AC4590" s="207" t="s">
        <v>4621</v>
      </c>
      <c r="AD4590" s="213">
        <v>7</v>
      </c>
    </row>
    <row r="4591" spans="28:30" x14ac:dyDescent="0.25">
      <c r="AB4591" s="207" t="s">
        <v>3847</v>
      </c>
      <c r="AC4591" s="207" t="s">
        <v>4622</v>
      </c>
      <c r="AD4591" s="213">
        <v>8</v>
      </c>
    </row>
    <row r="4592" spans="28:30" x14ac:dyDescent="0.25">
      <c r="AB4592" s="207" t="s">
        <v>3847</v>
      </c>
      <c r="AC4592" s="207" t="s">
        <v>4623</v>
      </c>
      <c r="AD4592" s="213">
        <v>7</v>
      </c>
    </row>
    <row r="4593" spans="28:30" x14ac:dyDescent="0.25">
      <c r="AB4593" s="207" t="s">
        <v>1951</v>
      </c>
      <c r="AC4593" s="207" t="s">
        <v>4624</v>
      </c>
      <c r="AD4593" s="213">
        <v>7</v>
      </c>
    </row>
    <row r="4594" spans="28:30" x14ac:dyDescent="0.25">
      <c r="AB4594" s="207" t="s">
        <v>1951</v>
      </c>
      <c r="AC4594" s="207" t="s">
        <v>4625</v>
      </c>
      <c r="AD4594" s="213">
        <v>8</v>
      </c>
    </row>
    <row r="4595" spans="28:30" x14ac:dyDescent="0.25">
      <c r="AB4595" s="207" t="s">
        <v>3847</v>
      </c>
      <c r="AC4595" s="207" t="s">
        <v>4626</v>
      </c>
      <c r="AD4595" s="213">
        <v>8</v>
      </c>
    </row>
    <row r="4596" spans="28:30" x14ac:dyDescent="0.25">
      <c r="AB4596" s="207" t="s">
        <v>3845</v>
      </c>
      <c r="AC4596" s="207" t="s">
        <v>4627</v>
      </c>
      <c r="AD4596" s="213">
        <v>7</v>
      </c>
    </row>
    <row r="4597" spans="28:30" x14ac:dyDescent="0.25">
      <c r="AB4597" s="207" t="s">
        <v>3847</v>
      </c>
      <c r="AC4597" s="207" t="s">
        <v>4628</v>
      </c>
      <c r="AD4597" s="213">
        <v>8</v>
      </c>
    </row>
    <row r="4598" spans="28:30" x14ac:dyDescent="0.25">
      <c r="AB4598" s="207" t="s">
        <v>1951</v>
      </c>
      <c r="AC4598" s="207" t="s">
        <v>4629</v>
      </c>
      <c r="AD4598" s="213">
        <v>7</v>
      </c>
    </row>
    <row r="4599" spans="28:30" x14ac:dyDescent="0.25">
      <c r="AB4599" s="207" t="s">
        <v>1951</v>
      </c>
      <c r="AC4599" s="207" t="s">
        <v>1438</v>
      </c>
      <c r="AD4599" s="213">
        <v>7</v>
      </c>
    </row>
    <row r="4600" spans="28:30" x14ac:dyDescent="0.25">
      <c r="AB4600" s="207" t="s">
        <v>2173</v>
      </c>
      <c r="AC4600" s="207" t="s">
        <v>4630</v>
      </c>
      <c r="AD4600" s="213">
        <v>8</v>
      </c>
    </row>
    <row r="4601" spans="28:30" x14ac:dyDescent="0.25">
      <c r="AB4601" s="207" t="s">
        <v>1951</v>
      </c>
      <c r="AC4601" s="207" t="s">
        <v>4631</v>
      </c>
      <c r="AD4601" s="213">
        <v>8</v>
      </c>
    </row>
    <row r="4602" spans="28:30" x14ac:dyDescent="0.25">
      <c r="AB4602" s="207" t="s">
        <v>3847</v>
      </c>
      <c r="AC4602" s="207" t="s">
        <v>4632</v>
      </c>
      <c r="AD4602" s="213">
        <v>7</v>
      </c>
    </row>
    <row r="4603" spans="28:30" x14ac:dyDescent="0.25">
      <c r="AB4603" s="207" t="s">
        <v>3845</v>
      </c>
      <c r="AC4603" s="207" t="s">
        <v>4633</v>
      </c>
      <c r="AD4603" s="213">
        <v>7</v>
      </c>
    </row>
    <row r="4604" spans="28:30" x14ac:dyDescent="0.25">
      <c r="AB4604" s="207" t="s">
        <v>3847</v>
      </c>
      <c r="AC4604" s="207" t="s">
        <v>4634</v>
      </c>
      <c r="AD4604" s="213">
        <v>7</v>
      </c>
    </row>
    <row r="4605" spans="28:30" x14ac:dyDescent="0.25">
      <c r="AB4605" s="207" t="s">
        <v>2160</v>
      </c>
      <c r="AC4605" s="207" t="s">
        <v>4635</v>
      </c>
      <c r="AD4605" s="213">
        <v>6</v>
      </c>
    </row>
    <row r="4606" spans="28:30" x14ac:dyDescent="0.25">
      <c r="AB4606" s="207" t="s">
        <v>3847</v>
      </c>
      <c r="AC4606" s="207" t="s">
        <v>4636</v>
      </c>
      <c r="AD4606" s="213">
        <v>8</v>
      </c>
    </row>
    <row r="4607" spans="28:30" x14ac:dyDescent="0.25">
      <c r="AB4607" s="207" t="s">
        <v>3847</v>
      </c>
      <c r="AC4607" s="207" t="s">
        <v>4637</v>
      </c>
      <c r="AD4607" s="213">
        <v>7</v>
      </c>
    </row>
    <row r="4608" spans="28:30" x14ac:dyDescent="0.25">
      <c r="AB4608" s="207" t="s">
        <v>2160</v>
      </c>
      <c r="AC4608" s="207" t="s">
        <v>4638</v>
      </c>
      <c r="AD4608" s="213">
        <v>8</v>
      </c>
    </row>
    <row r="4609" spans="28:30" x14ac:dyDescent="0.25">
      <c r="AB4609" s="207" t="s">
        <v>3847</v>
      </c>
      <c r="AC4609" s="207" t="s">
        <v>2986</v>
      </c>
      <c r="AD4609" s="213">
        <v>7</v>
      </c>
    </row>
    <row r="4610" spans="28:30" x14ac:dyDescent="0.25">
      <c r="AB4610" s="207" t="s">
        <v>3847</v>
      </c>
      <c r="AC4610" s="207" t="s">
        <v>4639</v>
      </c>
      <c r="AD4610" s="213">
        <v>8</v>
      </c>
    </row>
    <row r="4611" spans="28:30" x14ac:dyDescent="0.25">
      <c r="AB4611" s="207" t="s">
        <v>3847</v>
      </c>
      <c r="AC4611" s="207" t="s">
        <v>4640</v>
      </c>
      <c r="AD4611" s="213">
        <v>8</v>
      </c>
    </row>
    <row r="4612" spans="28:30" x14ac:dyDescent="0.25">
      <c r="AB4612" s="207" t="s">
        <v>1951</v>
      </c>
      <c r="AC4612" s="207" t="s">
        <v>4641</v>
      </c>
      <c r="AD4612" s="213">
        <v>7</v>
      </c>
    </row>
    <row r="4613" spans="28:30" x14ac:dyDescent="0.25">
      <c r="AB4613" s="207" t="s">
        <v>3847</v>
      </c>
      <c r="AC4613" s="207" t="s">
        <v>4642</v>
      </c>
      <c r="AD4613" s="213">
        <v>8</v>
      </c>
    </row>
    <row r="4614" spans="28:30" x14ac:dyDescent="0.25">
      <c r="AB4614" s="207" t="s">
        <v>3845</v>
      </c>
      <c r="AC4614" s="207" t="s">
        <v>4643</v>
      </c>
      <c r="AD4614" s="213">
        <v>7</v>
      </c>
    </row>
    <row r="4615" spans="28:30" x14ac:dyDescent="0.25">
      <c r="AB4615" s="207" t="s">
        <v>3847</v>
      </c>
      <c r="AC4615" s="207" t="s">
        <v>4644</v>
      </c>
      <c r="AD4615" s="213">
        <v>8</v>
      </c>
    </row>
    <row r="4616" spans="28:30" x14ac:dyDescent="0.25">
      <c r="AB4616" s="207" t="s">
        <v>2160</v>
      </c>
      <c r="AC4616" s="207" t="s">
        <v>4645</v>
      </c>
      <c r="AD4616" s="213">
        <v>7</v>
      </c>
    </row>
    <row r="4617" spans="28:30" x14ac:dyDescent="0.25">
      <c r="AB4617" s="207" t="s">
        <v>2160</v>
      </c>
      <c r="AC4617" s="207" t="s">
        <v>4646</v>
      </c>
      <c r="AD4617" s="213">
        <v>8</v>
      </c>
    </row>
    <row r="4618" spans="28:30" x14ac:dyDescent="0.25">
      <c r="AB4618" s="207" t="s">
        <v>3847</v>
      </c>
      <c r="AC4618" s="207" t="s">
        <v>4647</v>
      </c>
      <c r="AD4618" s="213">
        <v>7</v>
      </c>
    </row>
    <row r="4619" spans="28:30" x14ac:dyDescent="0.25">
      <c r="AB4619" s="207" t="s">
        <v>3845</v>
      </c>
      <c r="AC4619" s="207" t="s">
        <v>4648</v>
      </c>
      <c r="AD4619" s="213">
        <v>7</v>
      </c>
    </row>
    <row r="4620" spans="28:30" x14ac:dyDescent="0.25">
      <c r="AB4620" s="207" t="s">
        <v>3847</v>
      </c>
      <c r="AC4620" s="207" t="s">
        <v>4649</v>
      </c>
      <c r="AD4620" s="213">
        <v>8</v>
      </c>
    </row>
    <row r="4621" spans="28:30" x14ac:dyDescent="0.25">
      <c r="AB4621" s="207" t="s">
        <v>2160</v>
      </c>
      <c r="AC4621" s="207" t="s">
        <v>4650</v>
      </c>
      <c r="AD4621" s="213">
        <v>7</v>
      </c>
    </row>
    <row r="4622" spans="28:30" x14ac:dyDescent="0.25">
      <c r="AB4622" s="207" t="s">
        <v>3845</v>
      </c>
      <c r="AC4622" s="207" t="s">
        <v>4651</v>
      </c>
      <c r="AD4622" s="213">
        <v>7</v>
      </c>
    </row>
    <row r="4623" spans="28:30" x14ac:dyDescent="0.25">
      <c r="AB4623" s="207" t="s">
        <v>2160</v>
      </c>
      <c r="AC4623" s="207" t="s">
        <v>4652</v>
      </c>
      <c r="AD4623" s="213">
        <v>7</v>
      </c>
    </row>
    <row r="4624" spans="28:30" x14ac:dyDescent="0.25">
      <c r="AB4624" s="207" t="s">
        <v>3847</v>
      </c>
      <c r="AC4624" s="207" t="s">
        <v>4653</v>
      </c>
      <c r="AD4624" s="213">
        <v>8</v>
      </c>
    </row>
    <row r="4625" spans="28:30" x14ac:dyDescent="0.25">
      <c r="AB4625" s="207" t="s">
        <v>2173</v>
      </c>
      <c r="AC4625" s="207" t="s">
        <v>4654</v>
      </c>
      <c r="AD4625" s="213">
        <v>8</v>
      </c>
    </row>
    <row r="4626" spans="28:30" x14ac:dyDescent="0.25">
      <c r="AB4626" s="207" t="s">
        <v>3847</v>
      </c>
      <c r="AC4626" s="207" t="s">
        <v>4655</v>
      </c>
      <c r="AD4626" s="213">
        <v>8</v>
      </c>
    </row>
    <row r="4627" spans="28:30" x14ac:dyDescent="0.25">
      <c r="AB4627" s="207" t="s">
        <v>3847</v>
      </c>
      <c r="AC4627" s="207" t="s">
        <v>4656</v>
      </c>
      <c r="AD4627" s="213">
        <v>8</v>
      </c>
    </row>
    <row r="4628" spans="28:30" x14ac:dyDescent="0.25">
      <c r="AB4628" s="207" t="s">
        <v>3847</v>
      </c>
      <c r="AC4628" s="207" t="s">
        <v>4657</v>
      </c>
      <c r="AD4628" s="213">
        <v>8</v>
      </c>
    </row>
    <row r="4629" spans="28:30" x14ac:dyDescent="0.25">
      <c r="AB4629" s="207" t="s">
        <v>3847</v>
      </c>
      <c r="AC4629" s="207" t="s">
        <v>4658</v>
      </c>
      <c r="AD4629" s="213">
        <v>8</v>
      </c>
    </row>
    <row r="4630" spans="28:30" x14ac:dyDescent="0.25">
      <c r="AB4630" s="207" t="s">
        <v>3847</v>
      </c>
      <c r="AC4630" s="207" t="s">
        <v>4659</v>
      </c>
      <c r="AD4630" s="213">
        <v>8</v>
      </c>
    </row>
    <row r="4631" spans="28:30" x14ac:dyDescent="0.25">
      <c r="AB4631" s="207" t="s">
        <v>2160</v>
      </c>
      <c r="AC4631" s="207" t="s">
        <v>4660</v>
      </c>
      <c r="AD4631" s="213">
        <v>8</v>
      </c>
    </row>
    <row r="4632" spans="28:30" x14ac:dyDescent="0.25">
      <c r="AB4632" s="207" t="s">
        <v>1951</v>
      </c>
      <c r="AC4632" s="207" t="s">
        <v>4661</v>
      </c>
      <c r="AD4632" s="213">
        <v>8</v>
      </c>
    </row>
    <row r="4633" spans="28:30" x14ac:dyDescent="0.25">
      <c r="AB4633" s="207" t="s">
        <v>1951</v>
      </c>
      <c r="AC4633" s="207" t="s">
        <v>4662</v>
      </c>
      <c r="AD4633" s="213">
        <v>8</v>
      </c>
    </row>
    <row r="4634" spans="28:30" x14ac:dyDescent="0.25">
      <c r="AB4634" s="207" t="s">
        <v>3847</v>
      </c>
      <c r="AC4634" s="207" t="s">
        <v>4663</v>
      </c>
      <c r="AD4634" s="213">
        <v>7</v>
      </c>
    </row>
    <row r="4635" spans="28:30" x14ac:dyDescent="0.25">
      <c r="AB4635" s="207" t="s">
        <v>3845</v>
      </c>
      <c r="AC4635" s="207" t="s">
        <v>4664</v>
      </c>
      <c r="AD4635" s="213">
        <v>7</v>
      </c>
    </row>
    <row r="4636" spans="28:30" x14ac:dyDescent="0.25">
      <c r="AB4636" s="207" t="s">
        <v>205</v>
      </c>
      <c r="AC4636" s="207" t="s">
        <v>4665</v>
      </c>
      <c r="AD4636" s="213">
        <v>8</v>
      </c>
    </row>
    <row r="4637" spans="28:30" x14ac:dyDescent="0.25">
      <c r="AB4637" s="207" t="s">
        <v>2173</v>
      </c>
      <c r="AC4637" s="207" t="s">
        <v>4666</v>
      </c>
      <c r="AD4637" s="213">
        <v>8</v>
      </c>
    </row>
    <row r="4638" spans="28:30" x14ac:dyDescent="0.25">
      <c r="AB4638" s="207" t="s">
        <v>1951</v>
      </c>
      <c r="AC4638" s="207" t="s">
        <v>4667</v>
      </c>
      <c r="AD4638" s="213">
        <v>8</v>
      </c>
    </row>
    <row r="4639" spans="28:30" x14ac:dyDescent="0.25">
      <c r="AB4639" s="207" t="s">
        <v>3847</v>
      </c>
      <c r="AC4639" s="207" t="s">
        <v>4668</v>
      </c>
      <c r="AD4639" s="213">
        <v>8</v>
      </c>
    </row>
    <row r="4640" spans="28:30" x14ac:dyDescent="0.25">
      <c r="AB4640" s="207" t="s">
        <v>3847</v>
      </c>
      <c r="AC4640" s="207" t="s">
        <v>4669</v>
      </c>
      <c r="AD4640" s="213">
        <v>7</v>
      </c>
    </row>
    <row r="4641" spans="28:30" x14ac:dyDescent="0.25">
      <c r="AB4641" s="207" t="s">
        <v>29</v>
      </c>
      <c r="AC4641" s="207" t="s">
        <v>4670</v>
      </c>
      <c r="AD4641" s="213">
        <v>8</v>
      </c>
    </row>
    <row r="4642" spans="28:30" x14ac:dyDescent="0.25">
      <c r="AB4642" s="207" t="s">
        <v>2160</v>
      </c>
      <c r="AC4642" s="207" t="s">
        <v>4671</v>
      </c>
      <c r="AD4642" s="213">
        <v>7</v>
      </c>
    </row>
    <row r="4643" spans="28:30" x14ac:dyDescent="0.25">
      <c r="AB4643" s="207" t="s">
        <v>2160</v>
      </c>
      <c r="AC4643" s="207" t="s">
        <v>4672</v>
      </c>
      <c r="AD4643" s="213">
        <v>8</v>
      </c>
    </row>
    <row r="4644" spans="28:30" x14ac:dyDescent="0.25">
      <c r="AB4644" s="207" t="s">
        <v>3847</v>
      </c>
      <c r="AC4644" s="207" t="s">
        <v>4673</v>
      </c>
      <c r="AD4644" s="213">
        <v>8</v>
      </c>
    </row>
    <row r="4645" spans="28:30" x14ac:dyDescent="0.25">
      <c r="AB4645" s="207" t="s">
        <v>2160</v>
      </c>
      <c r="AC4645" s="207" t="s">
        <v>4674</v>
      </c>
      <c r="AD4645" s="213">
        <v>7</v>
      </c>
    </row>
    <row r="4646" spans="28:30" x14ac:dyDescent="0.25">
      <c r="AB4646" s="207" t="s">
        <v>29</v>
      </c>
      <c r="AC4646" s="207" t="s">
        <v>4675</v>
      </c>
      <c r="AD4646" s="213">
        <v>8</v>
      </c>
    </row>
    <row r="4647" spans="28:30" x14ac:dyDescent="0.25">
      <c r="AB4647" s="207" t="s">
        <v>3847</v>
      </c>
      <c r="AC4647" s="207" t="s">
        <v>4676</v>
      </c>
      <c r="AD4647" s="213">
        <v>7</v>
      </c>
    </row>
    <row r="4648" spans="28:30" x14ac:dyDescent="0.25">
      <c r="AB4648" s="207" t="s">
        <v>3847</v>
      </c>
      <c r="AC4648" s="207" t="s">
        <v>4677</v>
      </c>
      <c r="AD4648" s="213">
        <v>7</v>
      </c>
    </row>
    <row r="4649" spans="28:30" x14ac:dyDescent="0.25">
      <c r="AB4649" s="207" t="s">
        <v>2160</v>
      </c>
      <c r="AC4649" s="207" t="s">
        <v>4678</v>
      </c>
      <c r="AD4649" s="213">
        <v>8</v>
      </c>
    </row>
    <row r="4650" spans="28:30" x14ac:dyDescent="0.25">
      <c r="AB4650" s="207" t="s">
        <v>3847</v>
      </c>
      <c r="AC4650" s="207" t="s">
        <v>4679</v>
      </c>
      <c r="AD4650" s="213">
        <v>7</v>
      </c>
    </row>
    <row r="4651" spans="28:30" x14ac:dyDescent="0.25">
      <c r="AB4651" s="207" t="s">
        <v>2173</v>
      </c>
      <c r="AC4651" s="207" t="s">
        <v>4680</v>
      </c>
      <c r="AD4651" s="213">
        <v>8</v>
      </c>
    </row>
    <row r="4652" spans="28:30" x14ac:dyDescent="0.25">
      <c r="AB4652" s="207" t="s">
        <v>1951</v>
      </c>
      <c r="AC4652" s="207" t="s">
        <v>4681</v>
      </c>
      <c r="AD4652" s="213">
        <v>7</v>
      </c>
    </row>
    <row r="4653" spans="28:30" x14ac:dyDescent="0.25">
      <c r="AB4653" s="207" t="s">
        <v>2160</v>
      </c>
      <c r="AC4653" s="207" t="s">
        <v>1874</v>
      </c>
      <c r="AD4653" s="213">
        <v>6</v>
      </c>
    </row>
    <row r="4654" spans="28:30" x14ac:dyDescent="0.25">
      <c r="AB4654" s="207" t="s">
        <v>3847</v>
      </c>
      <c r="AC4654" s="207" t="s">
        <v>4682</v>
      </c>
      <c r="AD4654" s="213">
        <v>8</v>
      </c>
    </row>
    <row r="4655" spans="28:30" x14ac:dyDescent="0.25">
      <c r="AB4655" s="207" t="s">
        <v>3847</v>
      </c>
      <c r="AC4655" s="207" t="s">
        <v>4683</v>
      </c>
      <c r="AD4655" s="213">
        <v>7</v>
      </c>
    </row>
    <row r="4656" spans="28:30" x14ac:dyDescent="0.25">
      <c r="AB4656" s="207" t="s">
        <v>3847</v>
      </c>
      <c r="AC4656" s="207" t="s">
        <v>4684</v>
      </c>
      <c r="AD4656" s="213">
        <v>7</v>
      </c>
    </row>
    <row r="4657" spans="28:30" x14ac:dyDescent="0.25">
      <c r="AB4657" s="207" t="s">
        <v>1951</v>
      </c>
      <c r="AC4657" s="207" t="s">
        <v>4387</v>
      </c>
      <c r="AD4657" s="213">
        <v>8</v>
      </c>
    </row>
    <row r="4658" spans="28:30" x14ac:dyDescent="0.25">
      <c r="AB4658" s="207" t="s">
        <v>2160</v>
      </c>
      <c r="AC4658" s="207" t="s">
        <v>4685</v>
      </c>
      <c r="AD4658" s="213">
        <v>8</v>
      </c>
    </row>
    <row r="4659" spans="28:30" x14ac:dyDescent="0.25">
      <c r="AB4659" s="207" t="s">
        <v>2160</v>
      </c>
      <c r="AC4659" s="207" t="s">
        <v>4686</v>
      </c>
      <c r="AD4659" s="213">
        <v>7</v>
      </c>
    </row>
    <row r="4660" spans="28:30" x14ac:dyDescent="0.25">
      <c r="AB4660" s="207" t="s">
        <v>1715</v>
      </c>
      <c r="AC4660" s="207" t="s">
        <v>673</v>
      </c>
      <c r="AD4660" s="213">
        <v>6</v>
      </c>
    </row>
    <row r="4661" spans="28:30" x14ac:dyDescent="0.25">
      <c r="AB4661" s="207" t="s">
        <v>1951</v>
      </c>
      <c r="AC4661" s="207" t="s">
        <v>4687</v>
      </c>
      <c r="AD4661" s="213">
        <v>8</v>
      </c>
    </row>
    <row r="4662" spans="28:30" x14ac:dyDescent="0.25">
      <c r="AB4662" s="207" t="s">
        <v>3847</v>
      </c>
      <c r="AC4662" s="207" t="s">
        <v>4688</v>
      </c>
      <c r="AD4662" s="213">
        <v>8</v>
      </c>
    </row>
    <row r="4663" spans="28:30" x14ac:dyDescent="0.25">
      <c r="AB4663" s="207" t="s">
        <v>2160</v>
      </c>
      <c r="AC4663" s="207" t="s">
        <v>4689</v>
      </c>
      <c r="AD4663" s="213">
        <v>8</v>
      </c>
    </row>
    <row r="4664" spans="28:30" x14ac:dyDescent="0.25">
      <c r="AB4664" s="207" t="s">
        <v>3847</v>
      </c>
      <c r="AC4664" s="207" t="s">
        <v>1740</v>
      </c>
      <c r="AD4664" s="213">
        <v>7</v>
      </c>
    </row>
    <row r="4665" spans="28:30" x14ac:dyDescent="0.25">
      <c r="AB4665" s="207" t="s">
        <v>2160</v>
      </c>
      <c r="AC4665" s="207" t="s">
        <v>4690</v>
      </c>
      <c r="AD4665" s="213">
        <v>7</v>
      </c>
    </row>
    <row r="4666" spans="28:30" x14ac:dyDescent="0.25">
      <c r="AB4666" s="207" t="s">
        <v>206</v>
      </c>
      <c r="AC4666" s="207" t="s">
        <v>4691</v>
      </c>
      <c r="AD4666" s="213">
        <v>8</v>
      </c>
    </row>
    <row r="4667" spans="28:30" x14ac:dyDescent="0.25">
      <c r="AB4667" s="207" t="s">
        <v>1951</v>
      </c>
      <c r="AC4667" s="207" t="s">
        <v>4692</v>
      </c>
      <c r="AD4667" s="213">
        <v>8</v>
      </c>
    </row>
    <row r="4668" spans="28:30" x14ac:dyDescent="0.25">
      <c r="AB4668" s="207" t="s">
        <v>1951</v>
      </c>
      <c r="AC4668" s="207" t="s">
        <v>4693</v>
      </c>
      <c r="AD4668" s="213">
        <v>7</v>
      </c>
    </row>
    <row r="4669" spans="28:30" x14ac:dyDescent="0.25">
      <c r="AB4669" s="207" t="s">
        <v>2160</v>
      </c>
      <c r="AC4669" s="207" t="s">
        <v>4694</v>
      </c>
      <c r="AD4669" s="213">
        <v>8</v>
      </c>
    </row>
    <row r="4670" spans="28:30" x14ac:dyDescent="0.25">
      <c r="AB4670" s="207" t="s">
        <v>2160</v>
      </c>
      <c r="AC4670" s="207" t="s">
        <v>4695</v>
      </c>
      <c r="AD4670" s="213">
        <v>8</v>
      </c>
    </row>
    <row r="4671" spans="28:30" x14ac:dyDescent="0.25">
      <c r="AB4671" s="207" t="s">
        <v>3847</v>
      </c>
      <c r="AC4671" s="207" t="s">
        <v>4696</v>
      </c>
      <c r="AD4671" s="213">
        <v>8</v>
      </c>
    </row>
    <row r="4672" spans="28:30" x14ac:dyDescent="0.25">
      <c r="AB4672" s="207" t="s">
        <v>3847</v>
      </c>
      <c r="AC4672" s="207" t="s">
        <v>4697</v>
      </c>
      <c r="AD4672" s="213">
        <v>8</v>
      </c>
    </row>
    <row r="4673" spans="28:30" x14ac:dyDescent="0.25">
      <c r="AB4673" s="207" t="s">
        <v>2160</v>
      </c>
      <c r="AC4673" s="207" t="s">
        <v>4698</v>
      </c>
      <c r="AD4673" s="213">
        <v>7</v>
      </c>
    </row>
    <row r="4674" spans="28:30" x14ac:dyDescent="0.25">
      <c r="AB4674" s="207" t="s">
        <v>1951</v>
      </c>
      <c r="AC4674" s="207" t="s">
        <v>4699</v>
      </c>
      <c r="AD4674" s="213">
        <v>7</v>
      </c>
    </row>
    <row r="4675" spans="28:30" x14ac:dyDescent="0.25">
      <c r="AB4675" s="207" t="s">
        <v>3847</v>
      </c>
      <c r="AC4675" s="207" t="s">
        <v>4700</v>
      </c>
      <c r="AD4675" s="213">
        <v>7</v>
      </c>
    </row>
    <row r="4676" spans="28:30" x14ac:dyDescent="0.25">
      <c r="AB4676" s="207" t="s">
        <v>1951</v>
      </c>
      <c r="AC4676" s="207" t="s">
        <v>4701</v>
      </c>
      <c r="AD4676" s="213">
        <v>8</v>
      </c>
    </row>
    <row r="4677" spans="28:30" x14ac:dyDescent="0.25">
      <c r="AB4677" s="207" t="s">
        <v>3847</v>
      </c>
      <c r="AC4677" s="207" t="s">
        <v>2380</v>
      </c>
      <c r="AD4677" s="213">
        <v>8</v>
      </c>
    </row>
    <row r="4678" spans="28:30" x14ac:dyDescent="0.25">
      <c r="AB4678" s="207" t="s">
        <v>3847</v>
      </c>
      <c r="AC4678" s="207" t="s">
        <v>4702</v>
      </c>
      <c r="AD4678" s="213">
        <v>8</v>
      </c>
    </row>
    <row r="4679" spans="28:30" x14ac:dyDescent="0.25">
      <c r="AB4679" s="207" t="s">
        <v>3847</v>
      </c>
      <c r="AC4679" s="207" t="s">
        <v>4703</v>
      </c>
      <c r="AD4679" s="213">
        <v>7</v>
      </c>
    </row>
    <row r="4680" spans="28:30" x14ac:dyDescent="0.25">
      <c r="AB4680" s="207" t="s">
        <v>206</v>
      </c>
      <c r="AC4680" s="207" t="s">
        <v>4704</v>
      </c>
      <c r="AD4680" s="213">
        <v>8</v>
      </c>
    </row>
    <row r="4681" spans="28:30" x14ac:dyDescent="0.25">
      <c r="AB4681" s="207" t="s">
        <v>3847</v>
      </c>
      <c r="AC4681" s="207" t="s">
        <v>4705</v>
      </c>
      <c r="AD4681" s="213">
        <v>7</v>
      </c>
    </row>
    <row r="4682" spans="28:30" x14ac:dyDescent="0.25">
      <c r="AB4682" s="207" t="s">
        <v>29</v>
      </c>
      <c r="AC4682" s="207" t="s">
        <v>4706</v>
      </c>
      <c r="AD4682" s="213">
        <v>8</v>
      </c>
    </row>
    <row r="4683" spans="28:30" x14ac:dyDescent="0.25">
      <c r="AB4683" s="207" t="s">
        <v>1951</v>
      </c>
      <c r="AC4683" s="207" t="s">
        <v>4707</v>
      </c>
      <c r="AD4683" s="213">
        <v>8</v>
      </c>
    </row>
    <row r="4684" spans="28:30" x14ac:dyDescent="0.25">
      <c r="AB4684" s="207" t="s">
        <v>3845</v>
      </c>
      <c r="AC4684" s="207" t="s">
        <v>4530</v>
      </c>
      <c r="AD4684" s="213">
        <v>8</v>
      </c>
    </row>
    <row r="4685" spans="28:30" x14ac:dyDescent="0.25">
      <c r="AB4685" s="207" t="s">
        <v>1951</v>
      </c>
      <c r="AC4685" s="207" t="s">
        <v>4708</v>
      </c>
      <c r="AD4685" s="213">
        <v>7</v>
      </c>
    </row>
    <row r="4686" spans="28:30" x14ac:dyDescent="0.25">
      <c r="AB4686" s="207" t="s">
        <v>1951</v>
      </c>
      <c r="AC4686" s="207" t="s">
        <v>4709</v>
      </c>
      <c r="AD4686" s="213">
        <v>7</v>
      </c>
    </row>
    <row r="4687" spans="28:30" x14ac:dyDescent="0.25">
      <c r="AB4687" s="207" t="s">
        <v>2173</v>
      </c>
      <c r="AC4687" s="207" t="s">
        <v>4710</v>
      </c>
      <c r="AD4687" s="213">
        <v>8</v>
      </c>
    </row>
    <row r="4688" spans="28:30" x14ac:dyDescent="0.25">
      <c r="AB4688" s="207" t="s">
        <v>1951</v>
      </c>
      <c r="AC4688" s="207" t="s">
        <v>3306</v>
      </c>
      <c r="AD4688" s="213">
        <v>7</v>
      </c>
    </row>
    <row r="4689" spans="28:30" x14ac:dyDescent="0.25">
      <c r="AB4689" s="207" t="s">
        <v>1951</v>
      </c>
      <c r="AC4689" s="207" t="s">
        <v>4711</v>
      </c>
      <c r="AD4689" s="213">
        <v>7</v>
      </c>
    </row>
    <row r="4690" spans="28:30" x14ac:dyDescent="0.25">
      <c r="AB4690" s="207" t="s">
        <v>3847</v>
      </c>
      <c r="AC4690" s="207" t="s">
        <v>4712</v>
      </c>
      <c r="AD4690" s="213">
        <v>7</v>
      </c>
    </row>
    <row r="4691" spans="28:30" x14ac:dyDescent="0.25">
      <c r="AB4691" s="207" t="s">
        <v>3847</v>
      </c>
      <c r="AC4691" s="207" t="s">
        <v>4713</v>
      </c>
      <c r="AD4691" s="213">
        <v>7</v>
      </c>
    </row>
    <row r="4692" spans="28:30" x14ac:dyDescent="0.25">
      <c r="AB4692" s="207" t="s">
        <v>2160</v>
      </c>
      <c r="AC4692" s="207" t="s">
        <v>4714</v>
      </c>
      <c r="AD4692" s="213">
        <v>8</v>
      </c>
    </row>
    <row r="4693" spans="28:30" x14ac:dyDescent="0.25">
      <c r="AB4693" s="207" t="s">
        <v>3847</v>
      </c>
      <c r="AC4693" s="207" t="s">
        <v>4715</v>
      </c>
      <c r="AD4693" s="213">
        <v>7</v>
      </c>
    </row>
    <row r="4694" spans="28:30" x14ac:dyDescent="0.25">
      <c r="AB4694" s="207" t="s">
        <v>3847</v>
      </c>
      <c r="AC4694" s="207" t="s">
        <v>4716</v>
      </c>
      <c r="AD4694" s="213">
        <v>8</v>
      </c>
    </row>
    <row r="4695" spans="28:30" x14ac:dyDescent="0.25">
      <c r="AB4695" s="207" t="s">
        <v>205</v>
      </c>
      <c r="AC4695" s="207" t="s">
        <v>4717</v>
      </c>
      <c r="AD4695" s="213">
        <v>8</v>
      </c>
    </row>
    <row r="4696" spans="28:30" x14ac:dyDescent="0.25">
      <c r="AB4696" s="207" t="s">
        <v>2160</v>
      </c>
      <c r="AC4696" s="207" t="s">
        <v>2350</v>
      </c>
      <c r="AD4696" s="213">
        <v>6</v>
      </c>
    </row>
    <row r="4697" spans="28:30" x14ac:dyDescent="0.25">
      <c r="AB4697" s="207" t="s">
        <v>3847</v>
      </c>
      <c r="AC4697" s="207" t="s">
        <v>4718</v>
      </c>
      <c r="AD4697" s="213">
        <v>8</v>
      </c>
    </row>
    <row r="4698" spans="28:30" x14ac:dyDescent="0.25">
      <c r="AB4698" s="207" t="s">
        <v>3847</v>
      </c>
      <c r="AC4698" s="207" t="s">
        <v>4719</v>
      </c>
      <c r="AD4698" s="213">
        <v>7</v>
      </c>
    </row>
    <row r="4699" spans="28:30" x14ac:dyDescent="0.25">
      <c r="AB4699" s="207" t="s">
        <v>2160</v>
      </c>
      <c r="AC4699" s="207" t="s">
        <v>4720</v>
      </c>
      <c r="AD4699" s="213">
        <v>8</v>
      </c>
    </row>
    <row r="4700" spans="28:30" x14ac:dyDescent="0.25">
      <c r="AB4700" s="207" t="s">
        <v>205</v>
      </c>
      <c r="AC4700" s="207" t="s">
        <v>4721</v>
      </c>
      <c r="AD4700" s="213">
        <v>8</v>
      </c>
    </row>
    <row r="4701" spans="28:30" x14ac:dyDescent="0.25">
      <c r="AB4701" s="207" t="s">
        <v>3847</v>
      </c>
      <c r="AC4701" s="207" t="s">
        <v>4722</v>
      </c>
      <c r="AD4701" s="213">
        <v>8</v>
      </c>
    </row>
    <row r="4702" spans="28:30" x14ac:dyDescent="0.25">
      <c r="AB4702" s="207" t="s">
        <v>1951</v>
      </c>
      <c r="AC4702" s="207" t="s">
        <v>1009</v>
      </c>
      <c r="AD4702" s="213">
        <v>7</v>
      </c>
    </row>
    <row r="4703" spans="28:30" x14ac:dyDescent="0.25">
      <c r="AB4703" s="207" t="s">
        <v>1951</v>
      </c>
      <c r="AC4703" s="207" t="s">
        <v>1067</v>
      </c>
      <c r="AD4703" s="213">
        <v>8</v>
      </c>
    </row>
    <row r="4704" spans="28:30" x14ac:dyDescent="0.25">
      <c r="AB4704" s="207" t="s">
        <v>3847</v>
      </c>
      <c r="AC4704" s="207" t="s">
        <v>4723</v>
      </c>
      <c r="AD4704" s="213">
        <v>7</v>
      </c>
    </row>
    <row r="4705" spans="28:30" x14ac:dyDescent="0.25">
      <c r="AB4705" s="207" t="s">
        <v>2160</v>
      </c>
      <c r="AC4705" s="207" t="s">
        <v>4724</v>
      </c>
      <c r="AD4705" s="213">
        <v>7</v>
      </c>
    </row>
    <row r="4706" spans="28:30" x14ac:dyDescent="0.25">
      <c r="AB4706" s="207" t="s">
        <v>1951</v>
      </c>
      <c r="AC4706" s="207" t="s">
        <v>4725</v>
      </c>
      <c r="AD4706" s="213">
        <v>7</v>
      </c>
    </row>
    <row r="4707" spans="28:30" x14ac:dyDescent="0.25">
      <c r="AB4707" s="207" t="s">
        <v>3847</v>
      </c>
      <c r="AC4707" s="207" t="s">
        <v>4726</v>
      </c>
      <c r="AD4707" s="213">
        <v>7</v>
      </c>
    </row>
    <row r="4708" spans="28:30" x14ac:dyDescent="0.25">
      <c r="AB4708" s="207" t="s">
        <v>1951</v>
      </c>
      <c r="AC4708" s="207" t="s">
        <v>2143</v>
      </c>
      <c r="AD4708" s="213">
        <v>7</v>
      </c>
    </row>
    <row r="4709" spans="28:30" x14ac:dyDescent="0.25">
      <c r="AB4709" s="207" t="s">
        <v>2160</v>
      </c>
      <c r="AC4709" s="207" t="s">
        <v>4727</v>
      </c>
      <c r="AD4709" s="213">
        <v>7</v>
      </c>
    </row>
    <row r="4710" spans="28:30" x14ac:dyDescent="0.25">
      <c r="AB4710" s="207" t="s">
        <v>2160</v>
      </c>
      <c r="AC4710" s="207" t="s">
        <v>4728</v>
      </c>
      <c r="AD4710" s="213">
        <v>6</v>
      </c>
    </row>
    <row r="4711" spans="28:30" x14ac:dyDescent="0.25">
      <c r="AB4711" s="207" t="s">
        <v>2173</v>
      </c>
      <c r="AC4711" s="207" t="s">
        <v>4729</v>
      </c>
      <c r="AD4711" s="213">
        <v>8</v>
      </c>
    </row>
    <row r="4712" spans="28:30" x14ac:dyDescent="0.25">
      <c r="AB4712" s="207" t="s">
        <v>2160</v>
      </c>
      <c r="AC4712" s="207" t="s">
        <v>4730</v>
      </c>
      <c r="AD4712" s="213">
        <v>8</v>
      </c>
    </row>
    <row r="4713" spans="28:30" x14ac:dyDescent="0.25">
      <c r="AB4713" s="207" t="s">
        <v>2160</v>
      </c>
      <c r="AC4713" s="207" t="s">
        <v>4731</v>
      </c>
      <c r="AD4713" s="213">
        <v>8</v>
      </c>
    </row>
    <row r="4714" spans="28:30" x14ac:dyDescent="0.25">
      <c r="AB4714" s="207" t="s">
        <v>3845</v>
      </c>
      <c r="AC4714" s="207" t="s">
        <v>4732</v>
      </c>
      <c r="AD4714" s="213">
        <v>8</v>
      </c>
    </row>
    <row r="4715" spans="28:30" x14ac:dyDescent="0.25">
      <c r="AB4715" s="207" t="s">
        <v>3845</v>
      </c>
      <c r="AC4715" s="207" t="s">
        <v>4733</v>
      </c>
      <c r="AD4715" s="213">
        <v>7</v>
      </c>
    </row>
    <row r="4716" spans="28:30" x14ac:dyDescent="0.25">
      <c r="AB4716" s="207" t="s">
        <v>2173</v>
      </c>
      <c r="AC4716" s="207" t="s">
        <v>4734</v>
      </c>
      <c r="AD4716" s="213">
        <v>8</v>
      </c>
    </row>
    <row r="4717" spans="28:30" x14ac:dyDescent="0.25">
      <c r="AB4717" s="207" t="s">
        <v>3847</v>
      </c>
      <c r="AC4717" s="207" t="s">
        <v>4735</v>
      </c>
      <c r="AD4717" s="213">
        <v>7</v>
      </c>
    </row>
    <row r="4718" spans="28:30" x14ac:dyDescent="0.25">
      <c r="AB4718" s="207" t="s">
        <v>3847</v>
      </c>
      <c r="AC4718" s="207" t="s">
        <v>4736</v>
      </c>
      <c r="AD4718" s="213">
        <v>7</v>
      </c>
    </row>
    <row r="4719" spans="28:30" x14ac:dyDescent="0.25">
      <c r="AB4719" s="207" t="s">
        <v>1951</v>
      </c>
      <c r="AC4719" s="207" t="s">
        <v>4737</v>
      </c>
      <c r="AD4719" s="213">
        <v>7</v>
      </c>
    </row>
    <row r="4720" spans="28:30" x14ac:dyDescent="0.25">
      <c r="AB4720" s="207" t="s">
        <v>1951</v>
      </c>
      <c r="AC4720" s="207" t="s">
        <v>4738</v>
      </c>
      <c r="AD4720" s="213">
        <v>8</v>
      </c>
    </row>
    <row r="4721" spans="28:30" x14ac:dyDescent="0.25">
      <c r="AB4721" s="207" t="s">
        <v>3847</v>
      </c>
      <c r="AC4721" s="207" t="s">
        <v>4739</v>
      </c>
      <c r="AD4721" s="213">
        <v>8</v>
      </c>
    </row>
    <row r="4722" spans="28:30" x14ac:dyDescent="0.25">
      <c r="AB4722" s="207" t="s">
        <v>3847</v>
      </c>
      <c r="AC4722" s="207" t="s">
        <v>4740</v>
      </c>
      <c r="AD4722" s="213">
        <v>7</v>
      </c>
    </row>
    <row r="4723" spans="28:30" x14ac:dyDescent="0.25">
      <c r="AB4723" s="207" t="s">
        <v>3847</v>
      </c>
      <c r="AC4723" s="207" t="s">
        <v>1239</v>
      </c>
      <c r="AD4723" s="213">
        <v>7</v>
      </c>
    </row>
    <row r="4724" spans="28:30" x14ac:dyDescent="0.25">
      <c r="AB4724" s="207" t="s">
        <v>3847</v>
      </c>
      <c r="AC4724" s="207" t="s">
        <v>2394</v>
      </c>
      <c r="AD4724" s="213">
        <v>8</v>
      </c>
    </row>
    <row r="4725" spans="28:30" x14ac:dyDescent="0.25">
      <c r="AB4725" s="207" t="s">
        <v>1951</v>
      </c>
      <c r="AC4725" s="207" t="s">
        <v>4741</v>
      </c>
      <c r="AD4725" s="213">
        <v>7</v>
      </c>
    </row>
    <row r="4726" spans="28:30" x14ac:dyDescent="0.25">
      <c r="AB4726" s="207" t="s">
        <v>2160</v>
      </c>
      <c r="AC4726" s="207" t="s">
        <v>4742</v>
      </c>
      <c r="AD4726" s="213">
        <v>5</v>
      </c>
    </row>
    <row r="4727" spans="28:30" x14ac:dyDescent="0.25">
      <c r="AB4727" s="207" t="s">
        <v>3847</v>
      </c>
      <c r="AC4727" s="207" t="s">
        <v>4743</v>
      </c>
      <c r="AD4727" s="213">
        <v>7</v>
      </c>
    </row>
    <row r="4728" spans="28:30" x14ac:dyDescent="0.25">
      <c r="AB4728" s="207" t="s">
        <v>1951</v>
      </c>
      <c r="AC4728" s="207" t="s">
        <v>4744</v>
      </c>
      <c r="AD4728" s="213">
        <v>7</v>
      </c>
    </row>
    <row r="4729" spans="28:30" x14ac:dyDescent="0.25">
      <c r="AB4729" s="207" t="s">
        <v>3847</v>
      </c>
      <c r="AC4729" s="207" t="s">
        <v>4745</v>
      </c>
      <c r="AD4729" s="213">
        <v>7</v>
      </c>
    </row>
    <row r="4730" spans="28:30" x14ac:dyDescent="0.25">
      <c r="AB4730" s="207" t="s">
        <v>3847</v>
      </c>
      <c r="AC4730" s="207" t="s">
        <v>4746</v>
      </c>
      <c r="AD4730" s="213">
        <v>7</v>
      </c>
    </row>
    <row r="4731" spans="28:30" x14ac:dyDescent="0.25">
      <c r="AB4731" s="207" t="s">
        <v>1951</v>
      </c>
      <c r="AC4731" s="207" t="s">
        <v>4747</v>
      </c>
      <c r="AD4731" s="213">
        <v>7</v>
      </c>
    </row>
    <row r="4732" spans="28:30" x14ac:dyDescent="0.25">
      <c r="AB4732" s="207" t="s">
        <v>3847</v>
      </c>
      <c r="AC4732" s="207" t="s">
        <v>4748</v>
      </c>
      <c r="AD4732" s="213">
        <v>8</v>
      </c>
    </row>
    <row r="4733" spans="28:30" x14ac:dyDescent="0.25">
      <c r="AB4733" s="207" t="s">
        <v>1951</v>
      </c>
      <c r="AC4733" s="207" t="s">
        <v>4749</v>
      </c>
      <c r="AD4733" s="213">
        <v>7</v>
      </c>
    </row>
    <row r="4734" spans="28:30" x14ac:dyDescent="0.25">
      <c r="AB4734" s="207" t="s">
        <v>3847</v>
      </c>
      <c r="AC4734" s="207" t="s">
        <v>4750</v>
      </c>
      <c r="AD4734" s="213">
        <v>7</v>
      </c>
    </row>
    <row r="4735" spans="28:30" x14ac:dyDescent="0.25">
      <c r="AB4735" s="207" t="s">
        <v>205</v>
      </c>
      <c r="AC4735" s="207" t="s">
        <v>4751</v>
      </c>
      <c r="AD4735" s="213">
        <v>8</v>
      </c>
    </row>
    <row r="4736" spans="28:30" x14ac:dyDescent="0.25">
      <c r="AB4736" s="207" t="s">
        <v>1918</v>
      </c>
      <c r="AC4736" s="207" t="s">
        <v>4752</v>
      </c>
      <c r="AD4736" s="213">
        <v>8</v>
      </c>
    </row>
    <row r="4737" spans="28:30" x14ac:dyDescent="0.25">
      <c r="AB4737" s="207" t="s">
        <v>3847</v>
      </c>
      <c r="AC4737" s="207" t="s">
        <v>4753</v>
      </c>
      <c r="AD4737" s="213">
        <v>7</v>
      </c>
    </row>
    <row r="4738" spans="28:30" x14ac:dyDescent="0.25">
      <c r="AB4738" s="207" t="s">
        <v>1951</v>
      </c>
      <c r="AC4738" s="207" t="s">
        <v>4754</v>
      </c>
      <c r="AD4738" s="213">
        <v>7</v>
      </c>
    </row>
    <row r="4739" spans="28:30" x14ac:dyDescent="0.25">
      <c r="AB4739" s="207" t="s">
        <v>3847</v>
      </c>
      <c r="AC4739" s="207" t="s">
        <v>4755</v>
      </c>
      <c r="AD4739" s="213">
        <v>8</v>
      </c>
    </row>
    <row r="4740" spans="28:30" x14ac:dyDescent="0.25">
      <c r="AB4740" s="207" t="s">
        <v>2173</v>
      </c>
      <c r="AC4740" s="207" t="s">
        <v>4756</v>
      </c>
      <c r="AD4740" s="213">
        <v>8</v>
      </c>
    </row>
    <row r="4741" spans="28:30" x14ac:dyDescent="0.25">
      <c r="AB4741" s="207" t="s">
        <v>1951</v>
      </c>
      <c r="AC4741" s="207" t="s">
        <v>4757</v>
      </c>
      <c r="AD4741" s="213">
        <v>7</v>
      </c>
    </row>
    <row r="4742" spans="28:30" x14ac:dyDescent="0.25">
      <c r="AB4742" s="207" t="s">
        <v>3847</v>
      </c>
      <c r="AC4742" s="207" t="s">
        <v>4758</v>
      </c>
      <c r="AD4742" s="213">
        <v>7</v>
      </c>
    </row>
    <row r="4743" spans="28:30" x14ac:dyDescent="0.25">
      <c r="AB4743" s="207" t="s">
        <v>1951</v>
      </c>
      <c r="AC4743" s="207" t="s">
        <v>4422</v>
      </c>
      <c r="AD4743" s="213">
        <v>7</v>
      </c>
    </row>
    <row r="4744" spans="28:30" x14ac:dyDescent="0.25">
      <c r="AB4744" s="207" t="s">
        <v>1951</v>
      </c>
      <c r="AC4744" s="207" t="s">
        <v>4759</v>
      </c>
      <c r="AD4744" s="213">
        <v>8</v>
      </c>
    </row>
    <row r="4745" spans="28:30" x14ac:dyDescent="0.25">
      <c r="AB4745" s="207" t="s">
        <v>1951</v>
      </c>
      <c r="AC4745" s="207" t="s">
        <v>4208</v>
      </c>
      <c r="AD4745" s="213">
        <v>7</v>
      </c>
    </row>
    <row r="4746" spans="28:30" x14ac:dyDescent="0.25">
      <c r="AB4746" s="207" t="s">
        <v>1951</v>
      </c>
      <c r="AC4746" s="207" t="s">
        <v>4760</v>
      </c>
      <c r="AD4746" s="213">
        <v>7</v>
      </c>
    </row>
    <row r="4747" spans="28:30" x14ac:dyDescent="0.25">
      <c r="AB4747" s="207" t="s">
        <v>1951</v>
      </c>
      <c r="AC4747" s="207" t="s">
        <v>4761</v>
      </c>
      <c r="AD4747" s="213">
        <v>7</v>
      </c>
    </row>
    <row r="4748" spans="28:30" x14ac:dyDescent="0.25">
      <c r="AB4748" s="207" t="s">
        <v>2160</v>
      </c>
      <c r="AC4748" s="207" t="s">
        <v>4762</v>
      </c>
      <c r="AD4748" s="213">
        <v>6</v>
      </c>
    </row>
    <row r="4749" spans="28:30" x14ac:dyDescent="0.25">
      <c r="AB4749" s="207" t="s">
        <v>3847</v>
      </c>
      <c r="AC4749" s="207" t="s">
        <v>4763</v>
      </c>
      <c r="AD4749" s="213">
        <v>8</v>
      </c>
    </row>
    <row r="4750" spans="28:30" x14ac:dyDescent="0.25">
      <c r="AB4750" s="207" t="s">
        <v>1951</v>
      </c>
      <c r="AC4750" s="207" t="s">
        <v>4764</v>
      </c>
      <c r="AD4750" s="213">
        <v>8</v>
      </c>
    </row>
    <row r="4751" spans="28:30" x14ac:dyDescent="0.25">
      <c r="AB4751" s="207" t="s">
        <v>3845</v>
      </c>
      <c r="AC4751" s="207" t="s">
        <v>4765</v>
      </c>
      <c r="AD4751" s="213">
        <v>7</v>
      </c>
    </row>
    <row r="4752" spans="28:30" x14ac:dyDescent="0.25">
      <c r="AB4752" s="207" t="s">
        <v>2160</v>
      </c>
      <c r="AC4752" s="207" t="s">
        <v>4766</v>
      </c>
      <c r="AD4752" s="213">
        <v>5</v>
      </c>
    </row>
    <row r="4753" spans="28:30" x14ac:dyDescent="0.25">
      <c r="AB4753" s="207" t="s">
        <v>2160</v>
      </c>
      <c r="AC4753" s="207" t="s">
        <v>4767</v>
      </c>
      <c r="AD4753" s="213">
        <v>5</v>
      </c>
    </row>
    <row r="4754" spans="28:30" x14ac:dyDescent="0.25">
      <c r="AB4754" s="207" t="s">
        <v>1951</v>
      </c>
      <c r="AC4754" s="207" t="s">
        <v>4768</v>
      </c>
      <c r="AD4754" s="213">
        <v>8</v>
      </c>
    </row>
    <row r="4755" spans="28:30" x14ac:dyDescent="0.25">
      <c r="AB4755" s="207" t="s">
        <v>3847</v>
      </c>
      <c r="AC4755" s="207" t="s">
        <v>1801</v>
      </c>
      <c r="AD4755" s="213">
        <v>7</v>
      </c>
    </row>
    <row r="4756" spans="28:30" x14ac:dyDescent="0.25">
      <c r="AB4756" s="207" t="s">
        <v>2160</v>
      </c>
      <c r="AC4756" s="207" t="s">
        <v>4769</v>
      </c>
      <c r="AD4756" s="213">
        <v>8</v>
      </c>
    </row>
    <row r="4757" spans="28:30" x14ac:dyDescent="0.25">
      <c r="AB4757" s="207" t="s">
        <v>2160</v>
      </c>
      <c r="AC4757" s="207" t="s">
        <v>4770</v>
      </c>
      <c r="AD4757" s="213">
        <v>8</v>
      </c>
    </row>
    <row r="4758" spans="28:30" x14ac:dyDescent="0.25">
      <c r="AB4758" s="207" t="s">
        <v>1951</v>
      </c>
      <c r="AC4758" s="207" t="s">
        <v>4771</v>
      </c>
      <c r="AD4758" s="213">
        <v>7</v>
      </c>
    </row>
    <row r="4759" spans="28:30" x14ac:dyDescent="0.25">
      <c r="AB4759" s="207" t="s">
        <v>1951</v>
      </c>
      <c r="AC4759" s="207" t="s">
        <v>4772</v>
      </c>
      <c r="AD4759" s="213">
        <v>7</v>
      </c>
    </row>
    <row r="4760" spans="28:30" x14ac:dyDescent="0.25">
      <c r="AB4760" s="207" t="s">
        <v>1951</v>
      </c>
      <c r="AC4760" s="207" t="s">
        <v>4773</v>
      </c>
      <c r="AD4760" s="213">
        <v>7</v>
      </c>
    </row>
    <row r="4761" spans="28:30" x14ac:dyDescent="0.25">
      <c r="AB4761" s="207" t="s">
        <v>3847</v>
      </c>
      <c r="AC4761" s="207" t="s">
        <v>4774</v>
      </c>
      <c r="AD4761" s="213">
        <v>7</v>
      </c>
    </row>
    <row r="4762" spans="28:30" x14ac:dyDescent="0.25">
      <c r="AB4762" s="207" t="s">
        <v>3845</v>
      </c>
      <c r="AC4762" s="207" t="s">
        <v>4775</v>
      </c>
      <c r="AD4762" s="213">
        <v>7</v>
      </c>
    </row>
    <row r="4763" spans="28:30" x14ac:dyDescent="0.25">
      <c r="AB4763" s="207" t="s">
        <v>3847</v>
      </c>
      <c r="AC4763" s="207" t="s">
        <v>4776</v>
      </c>
      <c r="AD4763" s="213">
        <v>7</v>
      </c>
    </row>
    <row r="4764" spans="28:30" x14ac:dyDescent="0.25">
      <c r="AB4764" s="207" t="s">
        <v>2160</v>
      </c>
      <c r="AC4764" s="207" t="s">
        <v>4777</v>
      </c>
      <c r="AD4764" s="213">
        <v>8</v>
      </c>
    </row>
    <row r="4765" spans="28:30" x14ac:dyDescent="0.25">
      <c r="AB4765" s="207" t="s">
        <v>2173</v>
      </c>
      <c r="AC4765" s="207" t="s">
        <v>4778</v>
      </c>
      <c r="AD4765" s="213">
        <v>8</v>
      </c>
    </row>
    <row r="4766" spans="28:30" x14ac:dyDescent="0.25">
      <c r="AB4766" s="207" t="s">
        <v>1951</v>
      </c>
      <c r="AC4766" s="207" t="s">
        <v>1849</v>
      </c>
      <c r="AD4766" s="213">
        <v>7</v>
      </c>
    </row>
    <row r="4767" spans="28:30" x14ac:dyDescent="0.25">
      <c r="AB4767" s="207" t="s">
        <v>2160</v>
      </c>
      <c r="AC4767" s="207" t="s">
        <v>4779</v>
      </c>
      <c r="AD4767" s="213">
        <v>8</v>
      </c>
    </row>
    <row r="4768" spans="28:30" x14ac:dyDescent="0.25">
      <c r="AB4768" s="207" t="s">
        <v>1951</v>
      </c>
      <c r="AC4768" s="207" t="s">
        <v>4780</v>
      </c>
      <c r="AD4768" s="213">
        <v>7</v>
      </c>
    </row>
    <row r="4769" spans="28:30" x14ac:dyDescent="0.25">
      <c r="AB4769" s="207" t="s">
        <v>2160</v>
      </c>
      <c r="AC4769" s="207" t="s">
        <v>4781</v>
      </c>
      <c r="AD4769" s="213">
        <v>8</v>
      </c>
    </row>
    <row r="4770" spans="28:30" x14ac:dyDescent="0.25">
      <c r="AB4770" s="207" t="s">
        <v>206</v>
      </c>
      <c r="AC4770" s="207" t="s">
        <v>4782</v>
      </c>
      <c r="AD4770" s="213">
        <v>8</v>
      </c>
    </row>
    <row r="4771" spans="28:30" x14ac:dyDescent="0.25">
      <c r="AB4771" s="207" t="s">
        <v>1951</v>
      </c>
      <c r="AC4771" s="207" t="s">
        <v>4783</v>
      </c>
      <c r="AD4771" s="213">
        <v>7</v>
      </c>
    </row>
    <row r="4772" spans="28:30" x14ac:dyDescent="0.25">
      <c r="AB4772" s="207" t="s">
        <v>1951</v>
      </c>
      <c r="AC4772" s="207" t="s">
        <v>4784</v>
      </c>
      <c r="AD4772" s="213">
        <v>7</v>
      </c>
    </row>
    <row r="4773" spans="28:30" x14ac:dyDescent="0.25">
      <c r="AB4773" s="207" t="s">
        <v>1951</v>
      </c>
      <c r="AC4773" s="207" t="s">
        <v>4785</v>
      </c>
      <c r="AD4773" s="213">
        <v>7</v>
      </c>
    </row>
    <row r="4774" spans="28:30" x14ac:dyDescent="0.25">
      <c r="AB4774" s="207" t="s">
        <v>2160</v>
      </c>
      <c r="AC4774" s="207" t="s">
        <v>4786</v>
      </c>
      <c r="AD4774" s="213">
        <v>8</v>
      </c>
    </row>
    <row r="4775" spans="28:30" x14ac:dyDescent="0.25">
      <c r="AB4775" s="207" t="s">
        <v>1951</v>
      </c>
      <c r="AC4775" s="207" t="s">
        <v>4787</v>
      </c>
      <c r="AD4775" s="213">
        <v>7</v>
      </c>
    </row>
    <row r="4776" spans="28:30" x14ac:dyDescent="0.25">
      <c r="AB4776" s="207" t="s">
        <v>2160</v>
      </c>
      <c r="AC4776" s="207" t="s">
        <v>4788</v>
      </c>
      <c r="AD4776" s="213">
        <v>8</v>
      </c>
    </row>
    <row r="4777" spans="28:30" x14ac:dyDescent="0.25">
      <c r="AB4777" s="207" t="s">
        <v>1951</v>
      </c>
      <c r="AC4777" s="207" t="s">
        <v>4789</v>
      </c>
      <c r="AD4777" s="213">
        <v>7</v>
      </c>
    </row>
    <row r="4778" spans="28:30" x14ac:dyDescent="0.25">
      <c r="AB4778" s="207" t="s">
        <v>1951</v>
      </c>
      <c r="AC4778" s="207" t="s">
        <v>4790</v>
      </c>
      <c r="AD4778" s="213">
        <v>7</v>
      </c>
    </row>
    <row r="4779" spans="28:30" x14ac:dyDescent="0.25">
      <c r="AB4779" s="207" t="s">
        <v>1951</v>
      </c>
      <c r="AC4779" s="207" t="s">
        <v>4791</v>
      </c>
      <c r="AD4779" s="213">
        <v>7</v>
      </c>
    </row>
    <row r="4780" spans="28:30" x14ac:dyDescent="0.25">
      <c r="AB4780" s="207" t="s">
        <v>2160</v>
      </c>
      <c r="AC4780" s="207" t="s">
        <v>4792</v>
      </c>
      <c r="AD4780" s="213">
        <v>8</v>
      </c>
    </row>
    <row r="4781" spans="28:30" x14ac:dyDescent="0.25">
      <c r="AB4781" s="207" t="s">
        <v>3847</v>
      </c>
      <c r="AC4781" s="207" t="s">
        <v>4793</v>
      </c>
      <c r="AD4781" s="213">
        <v>7</v>
      </c>
    </row>
    <row r="4782" spans="28:30" x14ac:dyDescent="0.25">
      <c r="AB4782" s="207" t="s">
        <v>1951</v>
      </c>
      <c r="AC4782" s="207" t="s">
        <v>4794</v>
      </c>
      <c r="AD4782" s="213">
        <v>7</v>
      </c>
    </row>
    <row r="4783" spans="28:30" x14ac:dyDescent="0.25">
      <c r="AB4783" s="207" t="s">
        <v>2160</v>
      </c>
      <c r="AC4783" s="207" t="s">
        <v>4795</v>
      </c>
      <c r="AD4783" s="213">
        <v>8</v>
      </c>
    </row>
    <row r="4784" spans="28:30" x14ac:dyDescent="0.25">
      <c r="AB4784" s="207" t="s">
        <v>2160</v>
      </c>
      <c r="AC4784" s="207" t="s">
        <v>4796</v>
      </c>
      <c r="AD4784" s="213">
        <v>8</v>
      </c>
    </row>
    <row r="4785" spans="28:30" x14ac:dyDescent="0.25">
      <c r="AB4785" s="207" t="s">
        <v>2160</v>
      </c>
      <c r="AC4785" s="207" t="s">
        <v>4797</v>
      </c>
      <c r="AD4785" s="213">
        <v>8</v>
      </c>
    </row>
    <row r="4786" spans="28:30" x14ac:dyDescent="0.25">
      <c r="AB4786" s="207" t="s">
        <v>2160</v>
      </c>
      <c r="AC4786" s="207" t="s">
        <v>4798</v>
      </c>
      <c r="AD4786" s="213">
        <v>8</v>
      </c>
    </row>
    <row r="4787" spans="28:30" x14ac:dyDescent="0.25">
      <c r="AB4787" s="207" t="s">
        <v>1951</v>
      </c>
      <c r="AC4787" s="207" t="s">
        <v>4799</v>
      </c>
      <c r="AD4787" s="213">
        <v>7</v>
      </c>
    </row>
    <row r="4788" spans="28:30" x14ac:dyDescent="0.25">
      <c r="AB4788" s="207" t="s">
        <v>1951</v>
      </c>
      <c r="AC4788" s="207" t="s">
        <v>4800</v>
      </c>
      <c r="AD4788" s="213">
        <v>7</v>
      </c>
    </row>
    <row r="4789" spans="28:30" x14ac:dyDescent="0.25">
      <c r="AB4789" s="207" t="s">
        <v>1951</v>
      </c>
      <c r="AC4789" s="207" t="s">
        <v>4801</v>
      </c>
      <c r="AD4789" s="213">
        <v>6</v>
      </c>
    </row>
    <row r="4790" spans="28:30" x14ac:dyDescent="0.25">
      <c r="AB4790" s="207" t="s">
        <v>1691</v>
      </c>
      <c r="AC4790" s="207" t="s">
        <v>4802</v>
      </c>
      <c r="AD4790" s="213">
        <v>8</v>
      </c>
    </row>
    <row r="4791" spans="28:30" x14ac:dyDescent="0.25">
      <c r="AB4791" s="207" t="s">
        <v>56</v>
      </c>
      <c r="AC4791" s="207" t="s">
        <v>4803</v>
      </c>
      <c r="AD4791" s="213">
        <v>8</v>
      </c>
    </row>
    <row r="4792" spans="28:30" x14ac:dyDescent="0.25">
      <c r="AB4792" s="207" t="s">
        <v>1738</v>
      </c>
      <c r="AC4792" s="207" t="s">
        <v>4804</v>
      </c>
      <c r="AD4792" s="213">
        <v>8</v>
      </c>
    </row>
    <row r="4793" spans="28:30" x14ac:dyDescent="0.25">
      <c r="AB4793" s="207" t="s">
        <v>217</v>
      </c>
      <c r="AC4793" s="207" t="s">
        <v>4805</v>
      </c>
      <c r="AD4793" s="213">
        <v>8</v>
      </c>
    </row>
    <row r="4794" spans="28:30" x14ac:dyDescent="0.25">
      <c r="AB4794" s="207" t="s">
        <v>1738</v>
      </c>
      <c r="AC4794" s="207" t="s">
        <v>4806</v>
      </c>
      <c r="AD4794" s="213">
        <v>8</v>
      </c>
    </row>
    <row r="4795" spans="28:30" x14ac:dyDescent="0.25">
      <c r="AB4795" s="207" t="s">
        <v>1738</v>
      </c>
      <c r="AC4795" s="207" t="s">
        <v>4807</v>
      </c>
      <c r="AD4795" s="213">
        <v>8</v>
      </c>
    </row>
    <row r="4796" spans="28:30" x14ac:dyDescent="0.25">
      <c r="AB4796" s="207" t="s">
        <v>217</v>
      </c>
      <c r="AC4796" s="207" t="s">
        <v>4300</v>
      </c>
      <c r="AD4796" s="213">
        <v>8</v>
      </c>
    </row>
    <row r="4797" spans="28:30" x14ac:dyDescent="0.25">
      <c r="AB4797" s="207" t="s">
        <v>1738</v>
      </c>
      <c r="AC4797" s="207" t="s">
        <v>4808</v>
      </c>
      <c r="AD4797" s="213">
        <v>8</v>
      </c>
    </row>
    <row r="4798" spans="28:30" x14ac:dyDescent="0.25">
      <c r="AB4798" s="207" t="s">
        <v>217</v>
      </c>
      <c r="AC4798" s="207" t="s">
        <v>4809</v>
      </c>
      <c r="AD4798" s="213">
        <v>8</v>
      </c>
    </row>
    <row r="4799" spans="28:30" x14ac:dyDescent="0.25">
      <c r="AB4799" s="207" t="s">
        <v>217</v>
      </c>
      <c r="AC4799" s="207" t="s">
        <v>4810</v>
      </c>
      <c r="AD4799" s="213">
        <v>8</v>
      </c>
    </row>
    <row r="4800" spans="28:30" x14ac:dyDescent="0.25">
      <c r="AB4800" s="207" t="s">
        <v>217</v>
      </c>
      <c r="AC4800" s="207" t="s">
        <v>4811</v>
      </c>
      <c r="AD4800" s="213">
        <v>8</v>
      </c>
    </row>
    <row r="4801" spans="28:30" x14ac:dyDescent="0.25">
      <c r="AB4801" s="207" t="s">
        <v>217</v>
      </c>
      <c r="AC4801" s="207" t="s">
        <v>4812</v>
      </c>
      <c r="AD4801" s="213">
        <v>8</v>
      </c>
    </row>
    <row r="4802" spans="28:30" x14ac:dyDescent="0.25">
      <c r="AB4802" s="207" t="s">
        <v>1691</v>
      </c>
      <c r="AC4802" s="207" t="s">
        <v>4813</v>
      </c>
      <c r="AD4802" s="213">
        <v>8</v>
      </c>
    </row>
    <row r="4803" spans="28:30" x14ac:dyDescent="0.25">
      <c r="AB4803" s="207" t="s">
        <v>217</v>
      </c>
      <c r="AC4803" s="207" t="s">
        <v>4814</v>
      </c>
      <c r="AD4803" s="213">
        <v>8</v>
      </c>
    </row>
    <row r="4804" spans="28:30" x14ac:dyDescent="0.25">
      <c r="AB4804" s="207" t="s">
        <v>3847</v>
      </c>
      <c r="AC4804" s="207" t="s">
        <v>4815</v>
      </c>
      <c r="AD4804" s="213">
        <v>8</v>
      </c>
    </row>
    <row r="4805" spans="28:30" x14ac:dyDescent="0.25">
      <c r="AB4805" s="207" t="s">
        <v>217</v>
      </c>
      <c r="AC4805" s="207" t="s">
        <v>4816</v>
      </c>
      <c r="AD4805" s="213">
        <v>8</v>
      </c>
    </row>
    <row r="4806" spans="28:30" x14ac:dyDescent="0.25">
      <c r="AB4806" s="207" t="s">
        <v>1738</v>
      </c>
      <c r="AC4806" s="207" t="s">
        <v>4817</v>
      </c>
      <c r="AD4806" s="213">
        <v>8</v>
      </c>
    </row>
    <row r="4807" spans="28:30" x14ac:dyDescent="0.25">
      <c r="AB4807" s="207" t="s">
        <v>1691</v>
      </c>
      <c r="AC4807" s="207" t="s">
        <v>4818</v>
      </c>
      <c r="AD4807" s="213">
        <v>8</v>
      </c>
    </row>
    <row r="4808" spans="28:30" x14ac:dyDescent="0.25">
      <c r="AB4808" s="207" t="s">
        <v>217</v>
      </c>
      <c r="AC4808" s="207" t="s">
        <v>4819</v>
      </c>
      <c r="AD4808" s="213">
        <v>8</v>
      </c>
    </row>
    <row r="4809" spans="28:30" x14ac:dyDescent="0.25">
      <c r="AB4809" s="207" t="s">
        <v>1738</v>
      </c>
      <c r="AC4809" s="207" t="s">
        <v>4820</v>
      </c>
      <c r="AD4809" s="213">
        <v>8</v>
      </c>
    </row>
    <row r="4810" spans="28:30" x14ac:dyDescent="0.25">
      <c r="AB4810" s="207" t="s">
        <v>56</v>
      </c>
      <c r="AC4810" s="207" t="s">
        <v>4821</v>
      </c>
      <c r="AD4810" s="213">
        <v>8</v>
      </c>
    </row>
    <row r="4811" spans="28:30" x14ac:dyDescent="0.25">
      <c r="AB4811" s="207" t="s">
        <v>56</v>
      </c>
      <c r="AC4811" s="207" t="s">
        <v>3962</v>
      </c>
      <c r="AD4811" s="213">
        <v>8</v>
      </c>
    </row>
    <row r="4812" spans="28:30" x14ac:dyDescent="0.25">
      <c r="AB4812" s="207" t="s">
        <v>1738</v>
      </c>
      <c r="AC4812" s="207" t="s">
        <v>2025</v>
      </c>
      <c r="AD4812" s="213">
        <v>8</v>
      </c>
    </row>
    <row r="4813" spans="28:30" x14ac:dyDescent="0.25">
      <c r="AB4813" s="207" t="s">
        <v>217</v>
      </c>
      <c r="AC4813" s="207" t="s">
        <v>4822</v>
      </c>
      <c r="AD4813" s="213">
        <v>8</v>
      </c>
    </row>
    <row r="4814" spans="28:30" x14ac:dyDescent="0.25">
      <c r="AB4814" s="207" t="s">
        <v>373</v>
      </c>
      <c r="AC4814" s="207" t="s">
        <v>4823</v>
      </c>
      <c r="AD4814" s="213">
        <v>8</v>
      </c>
    </row>
    <row r="4815" spans="28:30" x14ac:dyDescent="0.25">
      <c r="AB4815" s="207" t="s">
        <v>373</v>
      </c>
      <c r="AC4815" s="207" t="s">
        <v>4824</v>
      </c>
      <c r="AD4815" s="213">
        <v>8</v>
      </c>
    </row>
    <row r="4816" spans="28:30" x14ac:dyDescent="0.25">
      <c r="AB4816" s="207" t="s">
        <v>373</v>
      </c>
      <c r="AC4816" s="207" t="s">
        <v>4825</v>
      </c>
      <c r="AD4816" s="213">
        <v>8</v>
      </c>
    </row>
    <row r="4817" spans="28:30" x14ac:dyDescent="0.25">
      <c r="AB4817" s="207" t="s">
        <v>1642</v>
      </c>
      <c r="AC4817" s="207" t="s">
        <v>4826</v>
      </c>
      <c r="AD4817" s="213">
        <v>8</v>
      </c>
    </row>
    <row r="4818" spans="28:30" x14ac:dyDescent="0.25">
      <c r="AB4818" s="207" t="s">
        <v>1738</v>
      </c>
      <c r="AC4818" s="207" t="s">
        <v>4827</v>
      </c>
      <c r="AD4818" s="213">
        <v>8</v>
      </c>
    </row>
    <row r="4819" spans="28:30" x14ac:dyDescent="0.25">
      <c r="AB4819" s="207" t="s">
        <v>1691</v>
      </c>
      <c r="AC4819" s="207" t="s">
        <v>4828</v>
      </c>
      <c r="AD4819" s="213">
        <v>8</v>
      </c>
    </row>
    <row r="4820" spans="28:30" x14ac:dyDescent="0.25">
      <c r="AB4820" s="207" t="s">
        <v>1642</v>
      </c>
      <c r="AC4820" s="207" t="s">
        <v>4829</v>
      </c>
      <c r="AD4820" s="213">
        <v>8</v>
      </c>
    </row>
    <row r="4821" spans="28:30" x14ac:dyDescent="0.25">
      <c r="AB4821" s="207" t="s">
        <v>1642</v>
      </c>
      <c r="AC4821" s="207" t="s">
        <v>1413</v>
      </c>
      <c r="AD4821" s="213">
        <v>8</v>
      </c>
    </row>
    <row r="4822" spans="28:30" x14ac:dyDescent="0.25">
      <c r="AB4822" s="207" t="s">
        <v>217</v>
      </c>
      <c r="AC4822" s="207" t="s">
        <v>2345</v>
      </c>
      <c r="AD4822" s="213">
        <v>8</v>
      </c>
    </row>
    <row r="4823" spans="28:30" x14ac:dyDescent="0.25">
      <c r="AB4823" s="207" t="s">
        <v>373</v>
      </c>
      <c r="AC4823" s="207" t="s">
        <v>4830</v>
      </c>
      <c r="AD4823" s="213">
        <v>8</v>
      </c>
    </row>
    <row r="4824" spans="28:30" x14ac:dyDescent="0.25">
      <c r="AB4824" s="207" t="s">
        <v>56</v>
      </c>
      <c r="AC4824" s="207" t="s">
        <v>4831</v>
      </c>
      <c r="AD4824" s="213">
        <v>8</v>
      </c>
    </row>
    <row r="4825" spans="28:30" x14ac:dyDescent="0.25">
      <c r="AB4825" s="207" t="s">
        <v>56</v>
      </c>
      <c r="AC4825" s="207" t="s">
        <v>2736</v>
      </c>
      <c r="AD4825" s="213">
        <v>8</v>
      </c>
    </row>
    <row r="4826" spans="28:30" x14ac:dyDescent="0.25">
      <c r="AB4826" s="207" t="s">
        <v>1642</v>
      </c>
      <c r="AC4826" s="207" t="s">
        <v>3987</v>
      </c>
      <c r="AD4826" s="213">
        <v>8</v>
      </c>
    </row>
    <row r="4827" spans="28:30" x14ac:dyDescent="0.25">
      <c r="AB4827" s="207" t="s">
        <v>217</v>
      </c>
      <c r="AC4827" s="207" t="s">
        <v>4832</v>
      </c>
      <c r="AD4827" s="213">
        <v>8</v>
      </c>
    </row>
    <row r="4828" spans="28:30" x14ac:dyDescent="0.25">
      <c r="AB4828" s="207" t="s">
        <v>1642</v>
      </c>
      <c r="AC4828" s="207" t="s">
        <v>2626</v>
      </c>
      <c r="AD4828" s="213">
        <v>8</v>
      </c>
    </row>
    <row r="4829" spans="28:30" x14ac:dyDescent="0.25">
      <c r="AB4829" s="207" t="s">
        <v>1738</v>
      </c>
      <c r="AC4829" s="207" t="s">
        <v>4833</v>
      </c>
      <c r="AD4829" s="213">
        <v>8</v>
      </c>
    </row>
    <row r="4830" spans="28:30" x14ac:dyDescent="0.25">
      <c r="AB4830" s="207" t="s">
        <v>373</v>
      </c>
      <c r="AC4830" s="207" t="s">
        <v>4834</v>
      </c>
      <c r="AD4830" s="213">
        <v>8</v>
      </c>
    </row>
    <row r="4831" spans="28:30" x14ac:dyDescent="0.25">
      <c r="AB4831" s="207" t="s">
        <v>1642</v>
      </c>
      <c r="AC4831" s="207" t="s">
        <v>4835</v>
      </c>
      <c r="AD4831" s="213">
        <v>8</v>
      </c>
    </row>
    <row r="4832" spans="28:30" x14ac:dyDescent="0.25">
      <c r="AB4832" s="207" t="s">
        <v>217</v>
      </c>
      <c r="AC4832" s="207" t="s">
        <v>4836</v>
      </c>
      <c r="AD4832" s="213">
        <v>8</v>
      </c>
    </row>
    <row r="4833" spans="28:30" x14ac:dyDescent="0.25">
      <c r="AB4833" s="207" t="s">
        <v>1642</v>
      </c>
      <c r="AC4833" s="207" t="s">
        <v>1551</v>
      </c>
      <c r="AD4833" s="213">
        <v>8</v>
      </c>
    </row>
    <row r="4834" spans="28:30" x14ac:dyDescent="0.25">
      <c r="AB4834" s="207" t="s">
        <v>1738</v>
      </c>
      <c r="AC4834" s="207" t="s">
        <v>4837</v>
      </c>
      <c r="AD4834" s="213">
        <v>8</v>
      </c>
    </row>
    <row r="4835" spans="28:30" x14ac:dyDescent="0.25">
      <c r="AB4835" s="207" t="s">
        <v>1642</v>
      </c>
      <c r="AC4835" s="207" t="s">
        <v>4838</v>
      </c>
      <c r="AD4835" s="213">
        <v>8</v>
      </c>
    </row>
    <row r="4836" spans="28:30" x14ac:dyDescent="0.25">
      <c r="AB4836" s="207" t="s">
        <v>56</v>
      </c>
      <c r="AC4836" s="207" t="s">
        <v>4839</v>
      </c>
      <c r="AD4836" s="213">
        <v>8</v>
      </c>
    </row>
    <row r="4837" spans="28:30" x14ac:dyDescent="0.25">
      <c r="AB4837" s="207" t="s">
        <v>56</v>
      </c>
      <c r="AC4837" s="207" t="s">
        <v>4840</v>
      </c>
      <c r="AD4837" s="213">
        <v>8</v>
      </c>
    </row>
    <row r="4838" spans="28:30" x14ac:dyDescent="0.25">
      <c r="AB4838" s="207" t="s">
        <v>1642</v>
      </c>
      <c r="AC4838" s="207" t="s">
        <v>4841</v>
      </c>
      <c r="AD4838" s="213">
        <v>8</v>
      </c>
    </row>
    <row r="4839" spans="28:30" x14ac:dyDescent="0.25">
      <c r="AB4839" s="207" t="s">
        <v>56</v>
      </c>
      <c r="AC4839" s="207" t="s">
        <v>4842</v>
      </c>
      <c r="AD4839" s="213">
        <v>8</v>
      </c>
    </row>
    <row r="4840" spans="28:30" x14ac:dyDescent="0.25">
      <c r="AB4840" s="207" t="s">
        <v>1691</v>
      </c>
      <c r="AC4840" s="207" t="s">
        <v>4843</v>
      </c>
      <c r="AD4840" s="213">
        <v>8</v>
      </c>
    </row>
    <row r="4841" spans="28:30" x14ac:dyDescent="0.25">
      <c r="AB4841" s="207" t="s">
        <v>56</v>
      </c>
      <c r="AC4841" s="207" t="s">
        <v>4844</v>
      </c>
      <c r="AD4841" s="213">
        <v>8</v>
      </c>
    </row>
    <row r="4842" spans="28:30" x14ac:dyDescent="0.25">
      <c r="AB4842" s="207" t="s">
        <v>217</v>
      </c>
      <c r="AC4842" s="207" t="s">
        <v>4845</v>
      </c>
      <c r="AD4842" s="213">
        <v>8</v>
      </c>
    </row>
    <row r="4843" spans="28:30" x14ac:dyDescent="0.25">
      <c r="AB4843" s="207" t="s">
        <v>1691</v>
      </c>
      <c r="AC4843" s="207" t="s">
        <v>4846</v>
      </c>
      <c r="AD4843" s="213">
        <v>8</v>
      </c>
    </row>
    <row r="4844" spans="28:30" x14ac:dyDescent="0.25">
      <c r="AB4844" s="207" t="s">
        <v>219</v>
      </c>
      <c r="AC4844" s="207" t="s">
        <v>4847</v>
      </c>
      <c r="AD4844" s="213">
        <v>5</v>
      </c>
    </row>
    <row r="4845" spans="28:30" x14ac:dyDescent="0.25">
      <c r="AB4845" s="207" t="s">
        <v>217</v>
      </c>
      <c r="AC4845" s="207" t="s">
        <v>4848</v>
      </c>
      <c r="AD4845" s="213">
        <v>8</v>
      </c>
    </row>
    <row r="4846" spans="28:30" x14ac:dyDescent="0.25">
      <c r="AB4846" s="207" t="s">
        <v>217</v>
      </c>
      <c r="AC4846" s="207" t="s">
        <v>4849</v>
      </c>
      <c r="AD4846" s="213">
        <v>8</v>
      </c>
    </row>
    <row r="4847" spans="28:30" x14ac:dyDescent="0.25">
      <c r="AB4847" s="207" t="s">
        <v>56</v>
      </c>
      <c r="AC4847" s="207" t="s">
        <v>4850</v>
      </c>
      <c r="AD4847" s="213">
        <v>8</v>
      </c>
    </row>
    <row r="4848" spans="28:30" x14ac:dyDescent="0.25">
      <c r="AB4848" s="207" t="s">
        <v>1738</v>
      </c>
      <c r="AC4848" s="207" t="s">
        <v>4851</v>
      </c>
      <c r="AD4848" s="213">
        <v>8</v>
      </c>
    </row>
    <row r="4849" spans="28:30" x14ac:dyDescent="0.25">
      <c r="AB4849" s="207" t="s">
        <v>1691</v>
      </c>
      <c r="AC4849" s="207" t="s">
        <v>2046</v>
      </c>
      <c r="AD4849" s="213">
        <v>8</v>
      </c>
    </row>
    <row r="4850" spans="28:30" x14ac:dyDescent="0.25">
      <c r="AB4850" s="207" t="s">
        <v>1738</v>
      </c>
      <c r="AC4850" s="207" t="s">
        <v>4852</v>
      </c>
      <c r="AD4850" s="213">
        <v>8</v>
      </c>
    </row>
    <row r="4851" spans="28:30" x14ac:dyDescent="0.25">
      <c r="AB4851" s="207" t="s">
        <v>373</v>
      </c>
      <c r="AC4851" s="207" t="s">
        <v>4853</v>
      </c>
      <c r="AD4851" s="213">
        <v>8</v>
      </c>
    </row>
    <row r="4852" spans="28:30" x14ac:dyDescent="0.25">
      <c r="AB4852" s="207" t="s">
        <v>249</v>
      </c>
      <c r="AC4852" s="207" t="s">
        <v>4854</v>
      </c>
      <c r="AD4852" s="213">
        <v>5</v>
      </c>
    </row>
    <row r="4853" spans="28:30" x14ac:dyDescent="0.25">
      <c r="AB4853" s="207" t="s">
        <v>1642</v>
      </c>
      <c r="AC4853" s="207" t="s">
        <v>2500</v>
      </c>
      <c r="AD4853" s="213">
        <v>8</v>
      </c>
    </row>
    <row r="4854" spans="28:30" x14ac:dyDescent="0.25">
      <c r="AB4854" s="207" t="s">
        <v>373</v>
      </c>
      <c r="AC4854" s="207" t="s">
        <v>2151</v>
      </c>
      <c r="AD4854" s="213">
        <v>8</v>
      </c>
    </row>
    <row r="4855" spans="28:30" x14ac:dyDescent="0.25">
      <c r="AB4855" s="207" t="s">
        <v>373</v>
      </c>
      <c r="AC4855" s="207" t="s">
        <v>4855</v>
      </c>
      <c r="AD4855" s="213">
        <v>8</v>
      </c>
    </row>
    <row r="4856" spans="28:30" x14ac:dyDescent="0.25">
      <c r="AB4856" s="207" t="s">
        <v>373</v>
      </c>
      <c r="AC4856" s="207" t="s">
        <v>4856</v>
      </c>
      <c r="AD4856" s="213">
        <v>8</v>
      </c>
    </row>
    <row r="4857" spans="28:30" x14ac:dyDescent="0.25">
      <c r="AB4857" s="207" t="s">
        <v>217</v>
      </c>
      <c r="AC4857" s="207" t="s">
        <v>4857</v>
      </c>
      <c r="AD4857" s="213">
        <v>8</v>
      </c>
    </row>
    <row r="4858" spans="28:30" x14ac:dyDescent="0.25">
      <c r="AB4858" s="207" t="s">
        <v>1738</v>
      </c>
      <c r="AC4858" s="207" t="s">
        <v>4858</v>
      </c>
      <c r="AD4858" s="213">
        <v>8</v>
      </c>
    </row>
    <row r="4859" spans="28:30" x14ac:dyDescent="0.25">
      <c r="AB4859" s="207" t="s">
        <v>1642</v>
      </c>
      <c r="AC4859" s="207" t="s">
        <v>4859</v>
      </c>
      <c r="AD4859" s="213">
        <v>8</v>
      </c>
    </row>
    <row r="4860" spans="28:30" x14ac:dyDescent="0.25">
      <c r="AB4860" s="207" t="s">
        <v>1738</v>
      </c>
      <c r="AC4860" s="207" t="s">
        <v>4860</v>
      </c>
      <c r="AD4860" s="213">
        <v>8</v>
      </c>
    </row>
    <row r="4861" spans="28:30" x14ac:dyDescent="0.25">
      <c r="AB4861" s="207" t="s">
        <v>217</v>
      </c>
      <c r="AC4861" s="207" t="s">
        <v>4861</v>
      </c>
      <c r="AD4861" s="213">
        <v>8</v>
      </c>
    </row>
    <row r="4862" spans="28:30" x14ac:dyDescent="0.25">
      <c r="AB4862" s="207" t="s">
        <v>217</v>
      </c>
      <c r="AC4862" s="207" t="s">
        <v>4862</v>
      </c>
      <c r="AD4862" s="213">
        <v>8</v>
      </c>
    </row>
    <row r="4863" spans="28:30" x14ac:dyDescent="0.25">
      <c r="AB4863" s="207" t="s">
        <v>1738</v>
      </c>
      <c r="AC4863" s="207" t="s">
        <v>4863</v>
      </c>
      <c r="AD4863" s="213">
        <v>8</v>
      </c>
    </row>
    <row r="4864" spans="28:30" x14ac:dyDescent="0.25">
      <c r="AB4864" s="207" t="s">
        <v>219</v>
      </c>
      <c r="AC4864" s="207" t="s">
        <v>4864</v>
      </c>
      <c r="AD4864" s="213">
        <v>5</v>
      </c>
    </row>
    <row r="4865" spans="28:30" x14ac:dyDescent="0.25">
      <c r="AB4865" s="207" t="s">
        <v>373</v>
      </c>
      <c r="AC4865" s="207" t="s">
        <v>4865</v>
      </c>
      <c r="AD4865" s="213">
        <v>8</v>
      </c>
    </row>
    <row r="4866" spans="28:30" x14ac:dyDescent="0.25">
      <c r="AB4866" s="207" t="s">
        <v>217</v>
      </c>
      <c r="AC4866" s="207" t="s">
        <v>4866</v>
      </c>
      <c r="AD4866" s="213">
        <v>8</v>
      </c>
    </row>
    <row r="4867" spans="28:30" x14ac:dyDescent="0.25">
      <c r="AB4867" s="207" t="s">
        <v>217</v>
      </c>
      <c r="AC4867" s="207" t="s">
        <v>4867</v>
      </c>
      <c r="AD4867" s="213">
        <v>8</v>
      </c>
    </row>
    <row r="4868" spans="28:30" x14ac:dyDescent="0.25">
      <c r="AB4868" s="207" t="s">
        <v>217</v>
      </c>
      <c r="AC4868" s="207" t="s">
        <v>4868</v>
      </c>
      <c r="AD4868" s="213">
        <v>8</v>
      </c>
    </row>
    <row r="4869" spans="28:30" x14ac:dyDescent="0.25">
      <c r="AB4869" s="207" t="s">
        <v>3845</v>
      </c>
      <c r="AC4869" s="207" t="s">
        <v>4869</v>
      </c>
      <c r="AD4869" s="213">
        <v>7</v>
      </c>
    </row>
    <row r="4870" spans="28:30" x14ac:dyDescent="0.25">
      <c r="AB4870" s="207" t="s">
        <v>1691</v>
      </c>
      <c r="AC4870" s="207" t="s">
        <v>4870</v>
      </c>
      <c r="AD4870" s="213">
        <v>8</v>
      </c>
    </row>
    <row r="4871" spans="28:30" x14ac:dyDescent="0.25">
      <c r="AB4871" s="207" t="s">
        <v>373</v>
      </c>
      <c r="AC4871" s="207" t="s">
        <v>4871</v>
      </c>
      <c r="AD4871" s="213">
        <v>8</v>
      </c>
    </row>
    <row r="4872" spans="28:30" x14ac:dyDescent="0.25">
      <c r="AB4872" s="207" t="s">
        <v>1642</v>
      </c>
      <c r="AC4872" s="207" t="s">
        <v>4872</v>
      </c>
      <c r="AD4872" s="213">
        <v>8</v>
      </c>
    </row>
    <row r="4873" spans="28:30" x14ac:dyDescent="0.25">
      <c r="AB4873" s="207" t="s">
        <v>217</v>
      </c>
      <c r="AC4873" s="207" t="s">
        <v>4287</v>
      </c>
      <c r="AD4873" s="213">
        <v>8</v>
      </c>
    </row>
    <row r="4874" spans="28:30" x14ac:dyDescent="0.25">
      <c r="AB4874" s="207" t="s">
        <v>249</v>
      </c>
      <c r="AC4874" s="207" t="s">
        <v>4873</v>
      </c>
      <c r="AD4874" s="213">
        <v>5</v>
      </c>
    </row>
    <row r="4875" spans="28:30" x14ac:dyDescent="0.25">
      <c r="AB4875" s="207" t="s">
        <v>1691</v>
      </c>
      <c r="AC4875" s="207" t="s">
        <v>4874</v>
      </c>
      <c r="AD4875" s="213">
        <v>8</v>
      </c>
    </row>
    <row r="4876" spans="28:30" x14ac:dyDescent="0.25">
      <c r="AB4876" s="207" t="s">
        <v>249</v>
      </c>
      <c r="AC4876" s="207" t="s">
        <v>4875</v>
      </c>
      <c r="AD4876" s="213">
        <v>5</v>
      </c>
    </row>
    <row r="4877" spans="28:30" x14ac:dyDescent="0.25">
      <c r="AB4877" s="207" t="s">
        <v>56</v>
      </c>
      <c r="AC4877" s="207" t="s">
        <v>4876</v>
      </c>
      <c r="AD4877" s="213">
        <v>8</v>
      </c>
    </row>
    <row r="4878" spans="28:30" x14ac:dyDescent="0.25">
      <c r="AB4878" s="207" t="s">
        <v>1642</v>
      </c>
      <c r="AC4878" s="207" t="s">
        <v>3300</v>
      </c>
      <c r="AD4878" s="213">
        <v>8</v>
      </c>
    </row>
    <row r="4879" spans="28:30" x14ac:dyDescent="0.25">
      <c r="AB4879" s="207" t="s">
        <v>29</v>
      </c>
      <c r="AC4879" s="207" t="s">
        <v>4877</v>
      </c>
      <c r="AD4879" s="213">
        <v>8</v>
      </c>
    </row>
    <row r="4880" spans="28:30" x14ac:dyDescent="0.25">
      <c r="AB4880" s="207" t="s">
        <v>1691</v>
      </c>
      <c r="AC4880" s="207" t="s">
        <v>4878</v>
      </c>
      <c r="AD4880" s="213">
        <v>8</v>
      </c>
    </row>
    <row r="4881" spans="28:30" x14ac:dyDescent="0.25">
      <c r="AB4881" s="207" t="s">
        <v>373</v>
      </c>
      <c r="AC4881" s="207" t="s">
        <v>4806</v>
      </c>
      <c r="AD4881" s="213">
        <v>8</v>
      </c>
    </row>
    <row r="4882" spans="28:30" x14ac:dyDescent="0.25">
      <c r="AB4882" s="207" t="s">
        <v>1642</v>
      </c>
      <c r="AC4882" s="207" t="s">
        <v>4879</v>
      </c>
      <c r="AD4882" s="213">
        <v>8</v>
      </c>
    </row>
    <row r="4883" spans="28:30" x14ac:dyDescent="0.25">
      <c r="AB4883" s="207" t="s">
        <v>1669</v>
      </c>
      <c r="AC4883" s="207" t="s">
        <v>365</v>
      </c>
      <c r="AD4883" s="213">
        <v>8</v>
      </c>
    </row>
    <row r="4884" spans="28:30" x14ac:dyDescent="0.25">
      <c r="AB4884" s="207" t="s">
        <v>29</v>
      </c>
      <c r="AC4884" s="207" t="s">
        <v>4880</v>
      </c>
      <c r="AD4884" s="213">
        <v>8</v>
      </c>
    </row>
    <row r="4885" spans="28:30" x14ac:dyDescent="0.25">
      <c r="AB4885" s="207" t="s">
        <v>217</v>
      </c>
      <c r="AC4885" s="207" t="s">
        <v>4881</v>
      </c>
      <c r="AD4885" s="213">
        <v>8</v>
      </c>
    </row>
    <row r="4886" spans="28:30" x14ac:dyDescent="0.25">
      <c r="AB4886" s="207" t="s">
        <v>373</v>
      </c>
      <c r="AC4886" s="207" t="s">
        <v>4882</v>
      </c>
      <c r="AD4886" s="213">
        <v>8</v>
      </c>
    </row>
    <row r="4887" spans="28:30" x14ac:dyDescent="0.25">
      <c r="AB4887" s="207" t="s">
        <v>1642</v>
      </c>
      <c r="AC4887" s="207" t="s">
        <v>4291</v>
      </c>
      <c r="AD4887" s="213">
        <v>8</v>
      </c>
    </row>
    <row r="4888" spans="28:30" x14ac:dyDescent="0.25">
      <c r="AB4888" s="207" t="s">
        <v>217</v>
      </c>
      <c r="AC4888" s="207" t="s">
        <v>4883</v>
      </c>
      <c r="AD4888" s="213">
        <v>8</v>
      </c>
    </row>
    <row r="4889" spans="28:30" x14ac:dyDescent="0.25">
      <c r="AB4889" s="207" t="s">
        <v>1691</v>
      </c>
      <c r="AC4889" s="207" t="s">
        <v>4884</v>
      </c>
      <c r="AD4889" s="213">
        <v>8</v>
      </c>
    </row>
    <row r="4890" spans="28:30" x14ac:dyDescent="0.25">
      <c r="AB4890" s="207" t="s">
        <v>1738</v>
      </c>
      <c r="AC4890" s="207" t="s">
        <v>4885</v>
      </c>
      <c r="AD4890" s="213">
        <v>8</v>
      </c>
    </row>
    <row r="4891" spans="28:30" x14ac:dyDescent="0.25">
      <c r="AB4891" s="207" t="s">
        <v>1738</v>
      </c>
      <c r="AC4891" s="207" t="s">
        <v>4886</v>
      </c>
      <c r="AD4891" s="213">
        <v>8</v>
      </c>
    </row>
    <row r="4892" spans="28:30" x14ac:dyDescent="0.25">
      <c r="AB4892" s="207" t="s">
        <v>373</v>
      </c>
      <c r="AC4892" s="207" t="s">
        <v>1413</v>
      </c>
      <c r="AD4892" s="213">
        <v>8</v>
      </c>
    </row>
    <row r="4893" spans="28:30" x14ac:dyDescent="0.25">
      <c r="AB4893" s="207" t="s">
        <v>373</v>
      </c>
      <c r="AC4893" s="207" t="s">
        <v>4887</v>
      </c>
      <c r="AD4893" s="213">
        <v>8</v>
      </c>
    </row>
    <row r="4894" spans="28:30" x14ac:dyDescent="0.25">
      <c r="AB4894" s="207" t="s">
        <v>373</v>
      </c>
      <c r="AC4894" s="207" t="s">
        <v>4888</v>
      </c>
      <c r="AD4894" s="213">
        <v>5</v>
      </c>
    </row>
    <row r="4895" spans="28:30" x14ac:dyDescent="0.25">
      <c r="AB4895" s="207" t="s">
        <v>3845</v>
      </c>
      <c r="AC4895" s="207" t="s">
        <v>4889</v>
      </c>
      <c r="AD4895" s="213">
        <v>7</v>
      </c>
    </row>
    <row r="4896" spans="28:30" x14ac:dyDescent="0.25">
      <c r="AB4896" s="207" t="s">
        <v>1642</v>
      </c>
      <c r="AC4896" s="207" t="s">
        <v>4890</v>
      </c>
      <c r="AD4896" s="213">
        <v>8</v>
      </c>
    </row>
    <row r="4897" spans="28:30" x14ac:dyDescent="0.25">
      <c r="AB4897" s="207" t="s">
        <v>217</v>
      </c>
      <c r="AC4897" s="207" t="s">
        <v>4891</v>
      </c>
      <c r="AD4897" s="213">
        <v>8</v>
      </c>
    </row>
    <row r="4898" spans="28:30" x14ac:dyDescent="0.25">
      <c r="AB4898" s="207" t="s">
        <v>1738</v>
      </c>
      <c r="AC4898" s="207" t="s">
        <v>4892</v>
      </c>
      <c r="AD4898" s="213">
        <v>8</v>
      </c>
    </row>
    <row r="4899" spans="28:30" x14ac:dyDescent="0.25">
      <c r="AB4899" s="207" t="s">
        <v>1642</v>
      </c>
      <c r="AC4899" s="207" t="s">
        <v>4893</v>
      </c>
      <c r="AD4899" s="213">
        <v>8</v>
      </c>
    </row>
    <row r="4900" spans="28:30" x14ac:dyDescent="0.25">
      <c r="AB4900" s="207" t="s">
        <v>1642</v>
      </c>
      <c r="AC4900" s="207" t="s">
        <v>2049</v>
      </c>
      <c r="AD4900" s="213">
        <v>8</v>
      </c>
    </row>
    <row r="4901" spans="28:30" x14ac:dyDescent="0.25">
      <c r="AB4901" s="207" t="s">
        <v>1738</v>
      </c>
      <c r="AC4901" s="207" t="s">
        <v>4894</v>
      </c>
      <c r="AD4901" s="213">
        <v>8</v>
      </c>
    </row>
    <row r="4902" spans="28:30" x14ac:dyDescent="0.25">
      <c r="AB4902" s="207" t="s">
        <v>373</v>
      </c>
      <c r="AC4902" s="207" t="s">
        <v>4895</v>
      </c>
      <c r="AD4902" s="213">
        <v>8</v>
      </c>
    </row>
    <row r="4903" spans="28:30" x14ac:dyDescent="0.25">
      <c r="AB4903" s="207" t="s">
        <v>1691</v>
      </c>
      <c r="AC4903" s="207" t="s">
        <v>4896</v>
      </c>
      <c r="AD4903" s="213">
        <v>8</v>
      </c>
    </row>
    <row r="4904" spans="28:30" x14ac:dyDescent="0.25">
      <c r="AB4904" s="207" t="s">
        <v>1691</v>
      </c>
      <c r="AC4904" s="207" t="s">
        <v>4897</v>
      </c>
      <c r="AD4904" s="213">
        <v>8</v>
      </c>
    </row>
    <row r="4905" spans="28:30" x14ac:dyDescent="0.25">
      <c r="AB4905" s="207" t="s">
        <v>1642</v>
      </c>
      <c r="AC4905" s="207" t="s">
        <v>4327</v>
      </c>
      <c r="AD4905" s="213">
        <v>8</v>
      </c>
    </row>
    <row r="4906" spans="28:30" x14ac:dyDescent="0.25">
      <c r="AB4906" s="207" t="s">
        <v>1642</v>
      </c>
      <c r="AC4906" s="207" t="s">
        <v>4898</v>
      </c>
      <c r="AD4906" s="213">
        <v>8</v>
      </c>
    </row>
    <row r="4907" spans="28:30" x14ac:dyDescent="0.25">
      <c r="AB4907" s="207" t="s">
        <v>1642</v>
      </c>
      <c r="AC4907" s="207" t="s">
        <v>4899</v>
      </c>
      <c r="AD4907" s="213">
        <v>8</v>
      </c>
    </row>
    <row r="4908" spans="28:30" x14ac:dyDescent="0.25">
      <c r="AB4908" s="207" t="s">
        <v>1642</v>
      </c>
      <c r="AC4908" s="207" t="s">
        <v>4900</v>
      </c>
      <c r="AD4908" s="213">
        <v>8</v>
      </c>
    </row>
    <row r="4909" spans="28:30" x14ac:dyDescent="0.25">
      <c r="AB4909" s="207" t="s">
        <v>1715</v>
      </c>
      <c r="AC4909" s="207" t="s">
        <v>4901</v>
      </c>
      <c r="AD4909" s="213">
        <v>7</v>
      </c>
    </row>
    <row r="4910" spans="28:30" x14ac:dyDescent="0.25">
      <c r="AB4910" s="207" t="s">
        <v>373</v>
      </c>
      <c r="AC4910" s="207" t="s">
        <v>4902</v>
      </c>
      <c r="AD4910" s="213">
        <v>8</v>
      </c>
    </row>
    <row r="4911" spans="28:30" x14ac:dyDescent="0.25">
      <c r="AB4911" s="207" t="s">
        <v>219</v>
      </c>
      <c r="AC4911" s="207" t="s">
        <v>4903</v>
      </c>
      <c r="AD4911" s="213">
        <v>8</v>
      </c>
    </row>
    <row r="4912" spans="28:30" x14ac:dyDescent="0.25">
      <c r="AB4912" s="207" t="s">
        <v>56</v>
      </c>
      <c r="AC4912" s="207" t="s">
        <v>4904</v>
      </c>
      <c r="AD4912" s="213">
        <v>8</v>
      </c>
    </row>
    <row r="4913" spans="28:30" x14ac:dyDescent="0.25">
      <c r="AB4913" s="207" t="s">
        <v>373</v>
      </c>
      <c r="AC4913" s="207" t="s">
        <v>4905</v>
      </c>
      <c r="AD4913" s="213">
        <v>8</v>
      </c>
    </row>
    <row r="4914" spans="28:30" x14ac:dyDescent="0.25">
      <c r="AB4914" s="207" t="s">
        <v>249</v>
      </c>
      <c r="AC4914" s="207" t="s">
        <v>4906</v>
      </c>
      <c r="AD4914" s="213">
        <v>5</v>
      </c>
    </row>
    <row r="4915" spans="28:30" x14ac:dyDescent="0.25">
      <c r="AB4915" s="207" t="s">
        <v>217</v>
      </c>
      <c r="AC4915" s="207" t="s">
        <v>4907</v>
      </c>
      <c r="AD4915" s="213">
        <v>7</v>
      </c>
    </row>
    <row r="4916" spans="28:30" x14ac:dyDescent="0.25">
      <c r="AB4916" s="207" t="s">
        <v>217</v>
      </c>
      <c r="AC4916" s="207" t="s">
        <v>4908</v>
      </c>
      <c r="AD4916" s="213">
        <v>8</v>
      </c>
    </row>
    <row r="4917" spans="28:30" x14ac:dyDescent="0.25">
      <c r="AB4917" s="207" t="s">
        <v>1691</v>
      </c>
      <c r="AC4917" s="207" t="s">
        <v>4909</v>
      </c>
      <c r="AD4917" s="213">
        <v>8</v>
      </c>
    </row>
    <row r="4918" spans="28:30" x14ac:dyDescent="0.25">
      <c r="AB4918" s="207" t="s">
        <v>217</v>
      </c>
      <c r="AC4918" s="207" t="s">
        <v>4910</v>
      </c>
      <c r="AD4918" s="213">
        <v>8</v>
      </c>
    </row>
    <row r="4919" spans="28:30" x14ac:dyDescent="0.25">
      <c r="AB4919" s="207" t="s">
        <v>1691</v>
      </c>
      <c r="AC4919" s="207" t="s">
        <v>4911</v>
      </c>
      <c r="AD4919" s="213">
        <v>8</v>
      </c>
    </row>
    <row r="4920" spans="28:30" x14ac:dyDescent="0.25">
      <c r="AB4920" s="207" t="s">
        <v>1738</v>
      </c>
      <c r="AC4920" s="207" t="s">
        <v>4912</v>
      </c>
      <c r="AD4920" s="213">
        <v>8</v>
      </c>
    </row>
    <row r="4921" spans="28:30" x14ac:dyDescent="0.25">
      <c r="AB4921" s="207" t="s">
        <v>373</v>
      </c>
      <c r="AC4921" s="207" t="s">
        <v>4913</v>
      </c>
      <c r="AD4921" s="213">
        <v>8</v>
      </c>
    </row>
    <row r="4922" spans="28:30" x14ac:dyDescent="0.25">
      <c r="AB4922" s="207" t="s">
        <v>56</v>
      </c>
      <c r="AC4922" s="207" t="s">
        <v>4914</v>
      </c>
      <c r="AD4922" s="213">
        <v>8</v>
      </c>
    </row>
    <row r="4923" spans="28:30" x14ac:dyDescent="0.25">
      <c r="AB4923" s="207" t="s">
        <v>217</v>
      </c>
      <c r="AC4923" s="207" t="s">
        <v>4388</v>
      </c>
      <c r="AD4923" s="213">
        <v>8</v>
      </c>
    </row>
    <row r="4924" spans="28:30" x14ac:dyDescent="0.25">
      <c r="AB4924" s="207" t="s">
        <v>3845</v>
      </c>
      <c r="AC4924" s="207" t="s">
        <v>4915</v>
      </c>
      <c r="AD4924" s="213">
        <v>7</v>
      </c>
    </row>
    <row r="4925" spans="28:30" x14ac:dyDescent="0.25">
      <c r="AB4925" s="207" t="s">
        <v>373</v>
      </c>
      <c r="AC4925" s="207" t="s">
        <v>4916</v>
      </c>
      <c r="AD4925" s="213">
        <v>6</v>
      </c>
    </row>
    <row r="4926" spans="28:30" x14ac:dyDescent="0.25">
      <c r="AB4926" s="207" t="s">
        <v>373</v>
      </c>
      <c r="AC4926" s="207" t="s">
        <v>4917</v>
      </c>
      <c r="AD4926" s="213">
        <v>6</v>
      </c>
    </row>
    <row r="4927" spans="28:30" x14ac:dyDescent="0.25">
      <c r="AB4927" s="207" t="s">
        <v>373</v>
      </c>
      <c r="AC4927" s="207" t="s">
        <v>4918</v>
      </c>
      <c r="AD4927" s="213">
        <v>8</v>
      </c>
    </row>
    <row r="4928" spans="28:30" x14ac:dyDescent="0.25">
      <c r="AB4928" s="207" t="s">
        <v>1642</v>
      </c>
      <c r="AC4928" s="207" t="s">
        <v>4663</v>
      </c>
      <c r="AD4928" s="213">
        <v>8</v>
      </c>
    </row>
    <row r="4929" spans="28:30" x14ac:dyDescent="0.25">
      <c r="AB4929" s="207" t="s">
        <v>217</v>
      </c>
      <c r="AC4929" s="207" t="s">
        <v>4919</v>
      </c>
      <c r="AD4929" s="213">
        <v>8</v>
      </c>
    </row>
    <row r="4930" spans="28:30" x14ac:dyDescent="0.25">
      <c r="AB4930" s="207" t="s">
        <v>1918</v>
      </c>
      <c r="AC4930" s="207" t="s">
        <v>4920</v>
      </c>
      <c r="AD4930" s="213">
        <v>8</v>
      </c>
    </row>
    <row r="4931" spans="28:30" x14ac:dyDescent="0.25">
      <c r="AB4931" s="207" t="s">
        <v>373</v>
      </c>
      <c r="AC4931" s="207" t="s">
        <v>4921</v>
      </c>
      <c r="AD4931" s="213">
        <v>8</v>
      </c>
    </row>
    <row r="4932" spans="28:30" x14ac:dyDescent="0.25">
      <c r="AB4932" s="207" t="s">
        <v>373</v>
      </c>
      <c r="AC4932" s="207" t="s">
        <v>4922</v>
      </c>
      <c r="AD4932" s="213">
        <v>8</v>
      </c>
    </row>
    <row r="4933" spans="28:30" x14ac:dyDescent="0.25">
      <c r="AB4933" s="207" t="s">
        <v>29</v>
      </c>
      <c r="AC4933" s="207" t="s">
        <v>4923</v>
      </c>
      <c r="AD4933" s="213">
        <v>8</v>
      </c>
    </row>
    <row r="4934" spans="28:30" x14ac:dyDescent="0.25">
      <c r="AB4934" s="207" t="s">
        <v>3845</v>
      </c>
      <c r="AC4934" s="207" t="s">
        <v>4924</v>
      </c>
      <c r="AD4934" s="213">
        <v>7</v>
      </c>
    </row>
    <row r="4935" spans="28:30" x14ac:dyDescent="0.25">
      <c r="AB4935" s="207" t="s">
        <v>373</v>
      </c>
      <c r="AC4935" s="207" t="s">
        <v>4925</v>
      </c>
      <c r="AD4935" s="213">
        <v>6</v>
      </c>
    </row>
    <row r="4936" spans="28:30" x14ac:dyDescent="0.25">
      <c r="AB4936" s="207" t="s">
        <v>373</v>
      </c>
      <c r="AC4936" s="207" t="s">
        <v>4926</v>
      </c>
      <c r="AD4936" s="213">
        <v>8</v>
      </c>
    </row>
    <row r="4937" spans="28:30" x14ac:dyDescent="0.25">
      <c r="AB4937" s="207" t="s">
        <v>1691</v>
      </c>
      <c r="AC4937" s="207" t="s">
        <v>4927</v>
      </c>
      <c r="AD4937" s="213">
        <v>8</v>
      </c>
    </row>
    <row r="4938" spans="28:30" x14ac:dyDescent="0.25">
      <c r="AB4938" s="207" t="s">
        <v>1691</v>
      </c>
      <c r="AC4938" s="207" t="s">
        <v>4928</v>
      </c>
      <c r="AD4938" s="213">
        <v>8</v>
      </c>
    </row>
    <row r="4939" spans="28:30" x14ac:dyDescent="0.25">
      <c r="AB4939" s="207" t="s">
        <v>1738</v>
      </c>
      <c r="AC4939" s="207" t="s">
        <v>2133</v>
      </c>
      <c r="AD4939" s="213">
        <v>8</v>
      </c>
    </row>
    <row r="4940" spans="28:30" x14ac:dyDescent="0.25">
      <c r="AB4940" s="207" t="s">
        <v>373</v>
      </c>
      <c r="AC4940" s="207" t="s">
        <v>4929</v>
      </c>
      <c r="AD4940" s="213">
        <v>8</v>
      </c>
    </row>
    <row r="4941" spans="28:30" x14ac:dyDescent="0.25">
      <c r="AB4941" s="207" t="s">
        <v>373</v>
      </c>
      <c r="AC4941" s="207" t="s">
        <v>4930</v>
      </c>
      <c r="AD4941" s="213">
        <v>8</v>
      </c>
    </row>
    <row r="4942" spans="28:30" x14ac:dyDescent="0.25">
      <c r="AB4942" s="207" t="s">
        <v>29</v>
      </c>
      <c r="AC4942" s="207" t="s">
        <v>4931</v>
      </c>
      <c r="AD4942" s="213">
        <v>8</v>
      </c>
    </row>
    <row r="4943" spans="28:30" x14ac:dyDescent="0.25">
      <c r="AB4943" s="207" t="s">
        <v>1642</v>
      </c>
      <c r="AC4943" s="207" t="s">
        <v>3404</v>
      </c>
      <c r="AD4943" s="213">
        <v>8</v>
      </c>
    </row>
    <row r="4944" spans="28:30" x14ac:dyDescent="0.25">
      <c r="AB4944" s="207" t="s">
        <v>1738</v>
      </c>
      <c r="AC4944" s="207" t="s">
        <v>1829</v>
      </c>
      <c r="AD4944" s="213">
        <v>7</v>
      </c>
    </row>
    <row r="4945" spans="28:30" x14ac:dyDescent="0.25">
      <c r="AB4945" s="207" t="s">
        <v>373</v>
      </c>
      <c r="AC4945" s="207" t="s">
        <v>4932</v>
      </c>
      <c r="AD4945" s="213">
        <v>6</v>
      </c>
    </row>
    <row r="4946" spans="28:30" x14ac:dyDescent="0.25">
      <c r="AB4946" s="207" t="s">
        <v>373</v>
      </c>
      <c r="AC4946" s="207" t="s">
        <v>4933</v>
      </c>
      <c r="AD4946" s="213">
        <v>8</v>
      </c>
    </row>
    <row r="4947" spans="28:30" x14ac:dyDescent="0.25">
      <c r="AB4947" s="207" t="s">
        <v>1738</v>
      </c>
      <c r="AC4947" s="207" t="s">
        <v>4934</v>
      </c>
      <c r="AD4947" s="213">
        <v>7</v>
      </c>
    </row>
    <row r="4948" spans="28:30" x14ac:dyDescent="0.25">
      <c r="AB4948" s="207" t="s">
        <v>206</v>
      </c>
      <c r="AC4948" s="207" t="s">
        <v>4935</v>
      </c>
      <c r="AD4948" s="213">
        <v>8</v>
      </c>
    </row>
    <row r="4949" spans="28:30" x14ac:dyDescent="0.25">
      <c r="AB4949" s="207" t="s">
        <v>217</v>
      </c>
      <c r="AC4949" s="207" t="s">
        <v>4936</v>
      </c>
      <c r="AD4949" s="213">
        <v>7</v>
      </c>
    </row>
    <row r="4950" spans="28:30" x14ac:dyDescent="0.25">
      <c r="AB4950" s="207" t="s">
        <v>1738</v>
      </c>
      <c r="AC4950" s="207" t="s">
        <v>4937</v>
      </c>
      <c r="AD4950" s="213">
        <v>7</v>
      </c>
    </row>
    <row r="4951" spans="28:30" x14ac:dyDescent="0.25">
      <c r="AB4951" s="207" t="s">
        <v>1951</v>
      </c>
      <c r="AC4951" s="207" t="s">
        <v>4938</v>
      </c>
      <c r="AD4951" s="213">
        <v>7</v>
      </c>
    </row>
    <row r="4952" spans="28:30" x14ac:dyDescent="0.25">
      <c r="AB4952" s="207" t="s">
        <v>1738</v>
      </c>
      <c r="AC4952" s="207" t="s">
        <v>4939</v>
      </c>
      <c r="AD4952" s="213">
        <v>8</v>
      </c>
    </row>
    <row r="4953" spans="28:30" x14ac:dyDescent="0.25">
      <c r="AB4953" s="207" t="s">
        <v>206</v>
      </c>
      <c r="AC4953" s="207" t="s">
        <v>4940</v>
      </c>
      <c r="AD4953" s="213">
        <v>8</v>
      </c>
    </row>
    <row r="4954" spans="28:30" x14ac:dyDescent="0.25">
      <c r="AB4954" s="207" t="s">
        <v>29</v>
      </c>
      <c r="AC4954" s="207" t="s">
        <v>4941</v>
      </c>
      <c r="AD4954" s="213">
        <v>8</v>
      </c>
    </row>
    <row r="4955" spans="28:30" x14ac:dyDescent="0.25">
      <c r="AB4955" s="207" t="s">
        <v>1691</v>
      </c>
      <c r="AC4955" s="207" t="s">
        <v>4942</v>
      </c>
      <c r="AD4955" s="213">
        <v>8</v>
      </c>
    </row>
    <row r="4956" spans="28:30" x14ac:dyDescent="0.25">
      <c r="AB4956" s="207" t="s">
        <v>1738</v>
      </c>
      <c r="AC4956" s="207" t="s">
        <v>4943</v>
      </c>
      <c r="AD4956" s="213">
        <v>7</v>
      </c>
    </row>
    <row r="4957" spans="28:30" x14ac:dyDescent="0.25">
      <c r="AB4957" s="207" t="s">
        <v>373</v>
      </c>
      <c r="AC4957" s="207" t="s">
        <v>4944</v>
      </c>
      <c r="AD4957" s="213">
        <v>8</v>
      </c>
    </row>
    <row r="4958" spans="28:30" x14ac:dyDescent="0.25">
      <c r="AB4958" s="207" t="s">
        <v>206</v>
      </c>
      <c r="AC4958" s="207" t="s">
        <v>4945</v>
      </c>
      <c r="AD4958" s="213">
        <v>8</v>
      </c>
    </row>
    <row r="4959" spans="28:30" x14ac:dyDescent="0.25">
      <c r="AB4959" s="207" t="s">
        <v>1738</v>
      </c>
      <c r="AC4959" s="207" t="s">
        <v>4946</v>
      </c>
      <c r="AD4959" s="213">
        <v>7</v>
      </c>
    </row>
    <row r="4960" spans="28:30" x14ac:dyDescent="0.25">
      <c r="AB4960" s="207" t="s">
        <v>373</v>
      </c>
      <c r="AC4960" s="207" t="s">
        <v>4947</v>
      </c>
      <c r="AD4960" s="213">
        <v>8</v>
      </c>
    </row>
    <row r="4961" spans="28:30" x14ac:dyDescent="0.25">
      <c r="AB4961" s="207" t="s">
        <v>56</v>
      </c>
      <c r="AC4961" s="207" t="s">
        <v>4948</v>
      </c>
      <c r="AD4961" s="213">
        <v>8</v>
      </c>
    </row>
    <row r="4962" spans="28:30" x14ac:dyDescent="0.25">
      <c r="AB4962" s="207" t="s">
        <v>1738</v>
      </c>
      <c r="AC4962" s="207" t="s">
        <v>1476</v>
      </c>
      <c r="AD4962" s="213">
        <v>8</v>
      </c>
    </row>
    <row r="4963" spans="28:30" x14ac:dyDescent="0.25">
      <c r="AB4963" s="207" t="s">
        <v>1738</v>
      </c>
      <c r="AC4963" s="207" t="s">
        <v>3600</v>
      </c>
      <c r="AD4963" s="213">
        <v>8</v>
      </c>
    </row>
    <row r="4964" spans="28:30" x14ac:dyDescent="0.25">
      <c r="AB4964" s="207" t="s">
        <v>1738</v>
      </c>
      <c r="AC4964" s="207" t="s">
        <v>4949</v>
      </c>
      <c r="AD4964" s="213">
        <v>8</v>
      </c>
    </row>
    <row r="4965" spans="28:30" x14ac:dyDescent="0.25">
      <c r="AB4965" s="207" t="s">
        <v>373</v>
      </c>
      <c r="AC4965" s="207" t="s">
        <v>4950</v>
      </c>
      <c r="AD4965" s="213">
        <v>6</v>
      </c>
    </row>
    <row r="4966" spans="28:30" x14ac:dyDescent="0.25">
      <c r="AB4966" s="207" t="s">
        <v>29</v>
      </c>
      <c r="AC4966" s="207" t="s">
        <v>4951</v>
      </c>
      <c r="AD4966" s="213">
        <v>8</v>
      </c>
    </row>
    <row r="4967" spans="28:30" x14ac:dyDescent="0.25">
      <c r="AB4967" s="207" t="s">
        <v>1642</v>
      </c>
      <c r="AC4967" s="207" t="s">
        <v>4952</v>
      </c>
      <c r="AD4967" s="213">
        <v>7</v>
      </c>
    </row>
    <row r="4968" spans="28:30" x14ac:dyDescent="0.25">
      <c r="AB4968" s="207" t="s">
        <v>1642</v>
      </c>
      <c r="AC4968" s="207" t="s">
        <v>4953</v>
      </c>
      <c r="AD4968" s="213">
        <v>7</v>
      </c>
    </row>
    <row r="4969" spans="28:30" x14ac:dyDescent="0.25">
      <c r="AB4969" s="207" t="s">
        <v>1918</v>
      </c>
      <c r="AC4969" s="207" t="s">
        <v>4954</v>
      </c>
      <c r="AD4969" s="213">
        <v>7</v>
      </c>
    </row>
    <row r="4970" spans="28:30" x14ac:dyDescent="0.25">
      <c r="AB4970" s="207" t="s">
        <v>1738</v>
      </c>
      <c r="AC4970" s="207" t="s">
        <v>1613</v>
      </c>
      <c r="AD4970" s="213">
        <v>7</v>
      </c>
    </row>
    <row r="4971" spans="28:30" x14ac:dyDescent="0.25">
      <c r="AB4971" s="207" t="s">
        <v>373</v>
      </c>
      <c r="AC4971" s="207" t="s">
        <v>4955</v>
      </c>
      <c r="AD4971" s="213">
        <v>8</v>
      </c>
    </row>
    <row r="4972" spans="28:30" x14ac:dyDescent="0.25">
      <c r="AB4972" s="207" t="s">
        <v>206</v>
      </c>
      <c r="AC4972" s="207" t="s">
        <v>4956</v>
      </c>
      <c r="AD4972" s="213">
        <v>8</v>
      </c>
    </row>
    <row r="4973" spans="28:30" x14ac:dyDescent="0.25">
      <c r="AB4973" s="207" t="s">
        <v>1918</v>
      </c>
      <c r="AC4973" s="207" t="s">
        <v>2231</v>
      </c>
      <c r="AD4973" s="213">
        <v>7</v>
      </c>
    </row>
    <row r="4974" spans="28:30" x14ac:dyDescent="0.25">
      <c r="AB4974" s="207" t="s">
        <v>373</v>
      </c>
      <c r="AC4974" s="207" t="s">
        <v>4957</v>
      </c>
      <c r="AD4974" s="213">
        <v>5</v>
      </c>
    </row>
    <row r="4975" spans="28:30" x14ac:dyDescent="0.25">
      <c r="AB4975" s="207" t="s">
        <v>56</v>
      </c>
      <c r="AC4975" s="207" t="s">
        <v>4958</v>
      </c>
      <c r="AD4975" s="213">
        <v>8</v>
      </c>
    </row>
    <row r="4976" spans="28:30" x14ac:dyDescent="0.25">
      <c r="AB4976" s="207" t="s">
        <v>249</v>
      </c>
      <c r="AC4976" s="207" t="s">
        <v>4959</v>
      </c>
      <c r="AD4976" s="213">
        <v>5</v>
      </c>
    </row>
    <row r="4977" spans="28:30" x14ac:dyDescent="0.25">
      <c r="AB4977" s="207" t="s">
        <v>1738</v>
      </c>
      <c r="AC4977" s="207" t="s">
        <v>4960</v>
      </c>
      <c r="AD4977" s="213">
        <v>7</v>
      </c>
    </row>
    <row r="4978" spans="28:30" x14ac:dyDescent="0.25">
      <c r="AB4978" s="207" t="s">
        <v>1738</v>
      </c>
      <c r="AC4978" s="207" t="s">
        <v>4961</v>
      </c>
      <c r="AD4978" s="213">
        <v>7</v>
      </c>
    </row>
    <row r="4979" spans="28:30" x14ac:dyDescent="0.25">
      <c r="AB4979" s="207" t="s">
        <v>1642</v>
      </c>
      <c r="AC4979" s="207" t="s">
        <v>4962</v>
      </c>
      <c r="AD4979" s="213">
        <v>8</v>
      </c>
    </row>
    <row r="4980" spans="28:30" x14ac:dyDescent="0.25">
      <c r="AB4980" s="207" t="s">
        <v>1918</v>
      </c>
      <c r="AC4980" s="207" t="s">
        <v>4963</v>
      </c>
      <c r="AD4980" s="213">
        <v>7</v>
      </c>
    </row>
    <row r="4981" spans="28:30" x14ac:dyDescent="0.25">
      <c r="AB4981" s="207" t="s">
        <v>206</v>
      </c>
      <c r="AC4981" s="207" t="s">
        <v>4964</v>
      </c>
      <c r="AD4981" s="213">
        <v>8</v>
      </c>
    </row>
    <row r="4982" spans="28:30" x14ac:dyDescent="0.25">
      <c r="AB4982" s="207" t="s">
        <v>1642</v>
      </c>
      <c r="AC4982" s="207" t="s">
        <v>4965</v>
      </c>
      <c r="AD4982" s="213">
        <v>8</v>
      </c>
    </row>
    <row r="4983" spans="28:30" x14ac:dyDescent="0.25">
      <c r="AB4983" s="207" t="s">
        <v>1642</v>
      </c>
      <c r="AC4983" s="207" t="s">
        <v>4966</v>
      </c>
      <c r="AD4983" s="213">
        <v>7</v>
      </c>
    </row>
    <row r="4984" spans="28:30" x14ac:dyDescent="0.25">
      <c r="AB4984" s="207" t="s">
        <v>373</v>
      </c>
      <c r="AC4984" s="207" t="s">
        <v>4967</v>
      </c>
      <c r="AD4984" s="213">
        <v>8</v>
      </c>
    </row>
    <row r="4985" spans="28:30" x14ac:dyDescent="0.25">
      <c r="AB4985" s="207" t="s">
        <v>1738</v>
      </c>
      <c r="AC4985" s="207" t="s">
        <v>4968</v>
      </c>
      <c r="AD4985" s="213">
        <v>7</v>
      </c>
    </row>
    <row r="4986" spans="28:30" x14ac:dyDescent="0.25">
      <c r="AB4986" s="207" t="s">
        <v>373</v>
      </c>
      <c r="AC4986" s="207" t="s">
        <v>4969</v>
      </c>
      <c r="AD4986" s="213">
        <v>8</v>
      </c>
    </row>
    <row r="4987" spans="28:30" x14ac:dyDescent="0.25">
      <c r="AB4987" s="207" t="s">
        <v>1738</v>
      </c>
      <c r="AC4987" s="207" t="s">
        <v>4970</v>
      </c>
      <c r="AD4987" s="213">
        <v>8</v>
      </c>
    </row>
    <row r="4988" spans="28:30" x14ac:dyDescent="0.25">
      <c r="AB4988" s="207" t="s">
        <v>373</v>
      </c>
      <c r="AC4988" s="207" t="s">
        <v>4971</v>
      </c>
      <c r="AD4988" s="213">
        <v>8</v>
      </c>
    </row>
    <row r="4989" spans="28:30" x14ac:dyDescent="0.25">
      <c r="AB4989" s="207" t="s">
        <v>1918</v>
      </c>
      <c r="AC4989" s="207" t="s">
        <v>4972</v>
      </c>
      <c r="AD4989" s="213">
        <v>7</v>
      </c>
    </row>
    <row r="4990" spans="28:30" x14ac:dyDescent="0.25">
      <c r="AB4990" s="207" t="s">
        <v>1918</v>
      </c>
      <c r="AC4990" s="207" t="s">
        <v>4973</v>
      </c>
      <c r="AD4990" s="213">
        <v>7</v>
      </c>
    </row>
    <row r="4991" spans="28:30" x14ac:dyDescent="0.25">
      <c r="AB4991" s="207" t="s">
        <v>373</v>
      </c>
      <c r="AC4991" s="207" t="s">
        <v>4974</v>
      </c>
      <c r="AD4991" s="213">
        <v>8</v>
      </c>
    </row>
    <row r="4992" spans="28:30" x14ac:dyDescent="0.25">
      <c r="AB4992" s="207" t="s">
        <v>1918</v>
      </c>
      <c r="AC4992" s="207" t="s">
        <v>4975</v>
      </c>
      <c r="AD4992" s="213">
        <v>7</v>
      </c>
    </row>
    <row r="4993" spans="28:30" x14ac:dyDescent="0.25">
      <c r="AB4993" s="207" t="s">
        <v>1918</v>
      </c>
      <c r="AC4993" s="207" t="s">
        <v>4976</v>
      </c>
      <c r="AD4993" s="213">
        <v>7</v>
      </c>
    </row>
    <row r="4994" spans="28:30" x14ac:dyDescent="0.25">
      <c r="AB4994" s="207" t="s">
        <v>2173</v>
      </c>
      <c r="AC4994" s="207" t="s">
        <v>4977</v>
      </c>
      <c r="AD4994" s="213">
        <v>8</v>
      </c>
    </row>
    <row r="4995" spans="28:30" x14ac:dyDescent="0.25">
      <c r="AB4995" s="207" t="s">
        <v>1642</v>
      </c>
      <c r="AC4995" s="207" t="s">
        <v>4978</v>
      </c>
      <c r="AD4995" s="213">
        <v>7</v>
      </c>
    </row>
    <row r="4996" spans="28:30" x14ac:dyDescent="0.25">
      <c r="AB4996" s="207" t="s">
        <v>1951</v>
      </c>
      <c r="AC4996" s="207" t="s">
        <v>4979</v>
      </c>
      <c r="AD4996" s="213">
        <v>7</v>
      </c>
    </row>
    <row r="4997" spans="28:30" x14ac:dyDescent="0.25">
      <c r="AB4997" s="207" t="s">
        <v>3845</v>
      </c>
      <c r="AC4997" s="207" t="s">
        <v>4980</v>
      </c>
      <c r="AD4997" s="213">
        <v>7</v>
      </c>
    </row>
    <row r="4998" spans="28:30" x14ac:dyDescent="0.25">
      <c r="AB4998" s="207" t="s">
        <v>3845</v>
      </c>
      <c r="AC4998" s="207" t="s">
        <v>4981</v>
      </c>
      <c r="AD4998" s="213">
        <v>7</v>
      </c>
    </row>
    <row r="4999" spans="28:30" x14ac:dyDescent="0.25">
      <c r="AB4999" s="207" t="s">
        <v>1918</v>
      </c>
      <c r="AC4999" s="207" t="s">
        <v>4982</v>
      </c>
      <c r="AD4999" s="213">
        <v>7</v>
      </c>
    </row>
    <row r="5000" spans="28:30" x14ac:dyDescent="0.25">
      <c r="AB5000" s="207" t="s">
        <v>2173</v>
      </c>
      <c r="AC5000" s="207" t="s">
        <v>4983</v>
      </c>
      <c r="AD5000" s="213">
        <v>8</v>
      </c>
    </row>
    <row r="5001" spans="28:30" x14ac:dyDescent="0.25">
      <c r="AB5001" s="207" t="s">
        <v>1918</v>
      </c>
      <c r="AC5001" s="207" t="s">
        <v>4984</v>
      </c>
      <c r="AD5001" s="213">
        <v>7</v>
      </c>
    </row>
    <row r="5002" spans="28:30" x14ac:dyDescent="0.25">
      <c r="AB5002" s="207" t="s">
        <v>1738</v>
      </c>
      <c r="AC5002" s="207" t="s">
        <v>4985</v>
      </c>
      <c r="AD5002" s="213">
        <v>8</v>
      </c>
    </row>
    <row r="5003" spans="28:30" x14ac:dyDescent="0.25">
      <c r="AB5003" s="207" t="s">
        <v>1918</v>
      </c>
      <c r="AC5003" s="207" t="s">
        <v>4986</v>
      </c>
      <c r="AD5003" s="213">
        <v>7</v>
      </c>
    </row>
    <row r="5004" spans="28:30" x14ac:dyDescent="0.25">
      <c r="AB5004" s="207" t="s">
        <v>1953</v>
      </c>
      <c r="AC5004" s="207" t="s">
        <v>4987</v>
      </c>
      <c r="AD5004" s="213">
        <v>6</v>
      </c>
    </row>
    <row r="5005" spans="28:30" x14ac:dyDescent="0.25">
      <c r="AB5005" s="207" t="s">
        <v>373</v>
      </c>
      <c r="AC5005" s="207" t="s">
        <v>4988</v>
      </c>
      <c r="AD5005" s="213">
        <v>8</v>
      </c>
    </row>
    <row r="5006" spans="28:30" x14ac:dyDescent="0.25">
      <c r="AB5006" s="207" t="s">
        <v>1918</v>
      </c>
      <c r="AC5006" s="207" t="s">
        <v>4239</v>
      </c>
      <c r="AD5006" s="213">
        <v>7</v>
      </c>
    </row>
    <row r="5007" spans="28:30" x14ac:dyDescent="0.25">
      <c r="AB5007" s="207" t="s">
        <v>373</v>
      </c>
      <c r="AC5007" s="207" t="s">
        <v>4989</v>
      </c>
      <c r="AD5007" s="213">
        <v>8</v>
      </c>
    </row>
    <row r="5008" spans="28:30" x14ac:dyDescent="0.25">
      <c r="AB5008" s="207" t="s">
        <v>1738</v>
      </c>
      <c r="AC5008" s="207" t="s">
        <v>4990</v>
      </c>
      <c r="AD5008" s="213">
        <v>8</v>
      </c>
    </row>
    <row r="5009" spans="28:30" x14ac:dyDescent="0.25">
      <c r="AB5009" s="207" t="s">
        <v>373</v>
      </c>
      <c r="AC5009" s="207" t="s">
        <v>4991</v>
      </c>
      <c r="AD5009" s="213">
        <v>8</v>
      </c>
    </row>
    <row r="5010" spans="28:30" x14ac:dyDescent="0.25">
      <c r="AB5010" s="207" t="s">
        <v>1918</v>
      </c>
      <c r="AC5010" s="207" t="s">
        <v>4992</v>
      </c>
      <c r="AD5010" s="213">
        <v>7</v>
      </c>
    </row>
    <row r="5011" spans="28:30" x14ac:dyDescent="0.25">
      <c r="AB5011" s="207" t="s">
        <v>373</v>
      </c>
      <c r="AC5011" s="207" t="s">
        <v>4993</v>
      </c>
      <c r="AD5011" s="213">
        <v>8</v>
      </c>
    </row>
    <row r="5012" spans="28:30" x14ac:dyDescent="0.25">
      <c r="AB5012" s="207" t="s">
        <v>3845</v>
      </c>
      <c r="AC5012" s="207" t="s">
        <v>4994</v>
      </c>
      <c r="AD5012" s="213">
        <v>7</v>
      </c>
    </row>
    <row r="5013" spans="28:30" x14ac:dyDescent="0.25">
      <c r="AB5013" s="207" t="s">
        <v>373</v>
      </c>
      <c r="AC5013" s="207" t="s">
        <v>4995</v>
      </c>
      <c r="AD5013" s="213">
        <v>8</v>
      </c>
    </row>
    <row r="5014" spans="28:30" x14ac:dyDescent="0.25">
      <c r="AB5014" s="207" t="s">
        <v>373</v>
      </c>
      <c r="AC5014" s="207" t="s">
        <v>4996</v>
      </c>
      <c r="AD5014" s="213">
        <v>8</v>
      </c>
    </row>
    <row r="5015" spans="28:30" x14ac:dyDescent="0.25">
      <c r="AB5015" s="207" t="s">
        <v>1918</v>
      </c>
      <c r="AC5015" s="207" t="s">
        <v>4997</v>
      </c>
      <c r="AD5015" s="213">
        <v>7</v>
      </c>
    </row>
    <row r="5016" spans="28:30" x14ac:dyDescent="0.25">
      <c r="AB5016" s="207" t="s">
        <v>373</v>
      </c>
      <c r="AC5016" s="207" t="s">
        <v>4998</v>
      </c>
      <c r="AD5016" s="213">
        <v>7</v>
      </c>
    </row>
    <row r="5017" spans="28:30" x14ac:dyDescent="0.25">
      <c r="AB5017" s="207" t="s">
        <v>217</v>
      </c>
      <c r="AC5017" s="207" t="s">
        <v>4999</v>
      </c>
      <c r="AD5017" s="213">
        <v>7</v>
      </c>
    </row>
    <row r="5018" spans="28:30" x14ac:dyDescent="0.25">
      <c r="AB5018" s="207" t="s">
        <v>3845</v>
      </c>
      <c r="AC5018" s="207" t="s">
        <v>5000</v>
      </c>
      <c r="AD5018" s="213">
        <v>8</v>
      </c>
    </row>
    <row r="5019" spans="28:30" x14ac:dyDescent="0.25">
      <c r="AB5019" s="207" t="s">
        <v>1642</v>
      </c>
      <c r="AC5019" s="207" t="s">
        <v>2291</v>
      </c>
      <c r="AD5019" s="213">
        <v>8</v>
      </c>
    </row>
    <row r="5020" spans="28:30" x14ac:dyDescent="0.25">
      <c r="AB5020" s="207" t="s">
        <v>1918</v>
      </c>
      <c r="AC5020" s="207" t="s">
        <v>5001</v>
      </c>
      <c r="AD5020" s="213">
        <v>7</v>
      </c>
    </row>
    <row r="5021" spans="28:30" x14ac:dyDescent="0.25">
      <c r="AB5021" s="207" t="s">
        <v>1951</v>
      </c>
      <c r="AC5021" s="207" t="s">
        <v>5002</v>
      </c>
      <c r="AD5021" s="213">
        <v>7</v>
      </c>
    </row>
    <row r="5022" spans="28:30" x14ac:dyDescent="0.25">
      <c r="AB5022" s="207" t="s">
        <v>373</v>
      </c>
      <c r="AC5022" s="207" t="s">
        <v>5003</v>
      </c>
      <c r="AD5022" s="213">
        <v>8</v>
      </c>
    </row>
    <row r="5023" spans="28:30" x14ac:dyDescent="0.25">
      <c r="AB5023" s="207" t="s">
        <v>29</v>
      </c>
      <c r="AC5023" s="207" t="s">
        <v>5004</v>
      </c>
      <c r="AD5023" s="213">
        <v>8</v>
      </c>
    </row>
    <row r="5024" spans="28:30" x14ac:dyDescent="0.25">
      <c r="AB5024" s="207" t="s">
        <v>3979</v>
      </c>
      <c r="AC5024" s="207" t="s">
        <v>5005</v>
      </c>
      <c r="AD5024" s="213">
        <v>8</v>
      </c>
    </row>
    <row r="5025" spans="28:30" x14ac:dyDescent="0.25">
      <c r="AB5025" s="207" t="s">
        <v>206</v>
      </c>
      <c r="AC5025" s="207" t="s">
        <v>5006</v>
      </c>
      <c r="AD5025" s="213">
        <v>8</v>
      </c>
    </row>
    <row r="5026" spans="28:30" x14ac:dyDescent="0.25">
      <c r="AB5026" s="207" t="s">
        <v>1951</v>
      </c>
      <c r="AC5026" s="207" t="s">
        <v>5007</v>
      </c>
      <c r="AD5026" s="213">
        <v>7</v>
      </c>
    </row>
    <row r="5027" spans="28:30" x14ac:dyDescent="0.25">
      <c r="AB5027" s="207" t="s">
        <v>373</v>
      </c>
      <c r="AC5027" s="207" t="s">
        <v>5008</v>
      </c>
      <c r="AD5027" s="213">
        <v>6</v>
      </c>
    </row>
    <row r="5028" spans="28:30" x14ac:dyDescent="0.25">
      <c r="AB5028" s="207" t="s">
        <v>1918</v>
      </c>
      <c r="AC5028" s="207" t="s">
        <v>5009</v>
      </c>
      <c r="AD5028" s="213">
        <v>7</v>
      </c>
    </row>
    <row r="5029" spans="28:30" x14ac:dyDescent="0.25">
      <c r="AB5029" s="207" t="s">
        <v>29</v>
      </c>
      <c r="AC5029" s="207" t="s">
        <v>523</v>
      </c>
      <c r="AD5029" s="213">
        <v>8</v>
      </c>
    </row>
    <row r="5030" spans="28:30" x14ac:dyDescent="0.25">
      <c r="AB5030" s="207" t="s">
        <v>3845</v>
      </c>
      <c r="AC5030" s="207" t="s">
        <v>5010</v>
      </c>
      <c r="AD5030" s="213">
        <v>7</v>
      </c>
    </row>
    <row r="5031" spans="28:30" x14ac:dyDescent="0.25">
      <c r="AB5031" s="207" t="s">
        <v>373</v>
      </c>
      <c r="AC5031" s="207" t="s">
        <v>5011</v>
      </c>
      <c r="AD5031" s="213">
        <v>7</v>
      </c>
    </row>
    <row r="5032" spans="28:30" x14ac:dyDescent="0.25">
      <c r="AB5032" s="207" t="s">
        <v>1918</v>
      </c>
      <c r="AC5032" s="207" t="s">
        <v>5012</v>
      </c>
      <c r="AD5032" s="213">
        <v>7</v>
      </c>
    </row>
    <row r="5033" spans="28:30" x14ac:dyDescent="0.25">
      <c r="AB5033" s="207" t="s">
        <v>2160</v>
      </c>
      <c r="AC5033" s="207" t="s">
        <v>1289</v>
      </c>
      <c r="AD5033" s="213">
        <v>7</v>
      </c>
    </row>
    <row r="5034" spans="28:30" x14ac:dyDescent="0.25">
      <c r="AB5034" s="207" t="s">
        <v>1918</v>
      </c>
      <c r="AC5034" s="207" t="s">
        <v>5013</v>
      </c>
      <c r="AD5034" s="213">
        <v>7</v>
      </c>
    </row>
    <row r="5035" spans="28:30" x14ac:dyDescent="0.25">
      <c r="AB5035" s="207" t="s">
        <v>1951</v>
      </c>
      <c r="AC5035" s="207" t="s">
        <v>5014</v>
      </c>
      <c r="AD5035" s="213">
        <v>7</v>
      </c>
    </row>
    <row r="5036" spans="28:30" x14ac:dyDescent="0.25">
      <c r="AB5036" s="207" t="s">
        <v>217</v>
      </c>
      <c r="AC5036" s="207" t="s">
        <v>5015</v>
      </c>
      <c r="AD5036" s="213">
        <v>8</v>
      </c>
    </row>
    <row r="5037" spans="28:30" x14ac:dyDescent="0.25">
      <c r="AB5037" s="207" t="s">
        <v>29</v>
      </c>
      <c r="AC5037" s="207" t="s">
        <v>5016</v>
      </c>
      <c r="AD5037" s="213">
        <v>8</v>
      </c>
    </row>
    <row r="5038" spans="28:30" x14ac:dyDescent="0.25">
      <c r="AB5038" s="207" t="s">
        <v>1951</v>
      </c>
      <c r="AC5038" s="207" t="s">
        <v>5017</v>
      </c>
      <c r="AD5038" s="213">
        <v>7</v>
      </c>
    </row>
    <row r="5039" spans="28:30" x14ac:dyDescent="0.25">
      <c r="AB5039" s="207" t="s">
        <v>373</v>
      </c>
      <c r="AC5039" s="207" t="s">
        <v>5018</v>
      </c>
      <c r="AD5039" s="213">
        <v>7</v>
      </c>
    </row>
    <row r="5040" spans="28:30" x14ac:dyDescent="0.25">
      <c r="AB5040" s="207" t="s">
        <v>29</v>
      </c>
      <c r="AC5040" s="207" t="s">
        <v>5019</v>
      </c>
      <c r="AD5040" s="213">
        <v>8</v>
      </c>
    </row>
    <row r="5041" spans="28:30" x14ac:dyDescent="0.25">
      <c r="AB5041" s="207" t="s">
        <v>2160</v>
      </c>
      <c r="AC5041" s="207" t="s">
        <v>5020</v>
      </c>
      <c r="AD5041" s="213">
        <v>7</v>
      </c>
    </row>
    <row r="5042" spans="28:30" x14ac:dyDescent="0.25">
      <c r="AB5042" s="207" t="s">
        <v>29</v>
      </c>
      <c r="AC5042" s="207" t="s">
        <v>5021</v>
      </c>
      <c r="AD5042" s="213">
        <v>8</v>
      </c>
    </row>
    <row r="5043" spans="28:30" x14ac:dyDescent="0.25">
      <c r="AB5043" s="207" t="s">
        <v>3847</v>
      </c>
      <c r="AC5043" s="207" t="s">
        <v>5022</v>
      </c>
      <c r="AD5043" s="213">
        <v>7</v>
      </c>
    </row>
    <row r="5044" spans="28:30" x14ac:dyDescent="0.25">
      <c r="AB5044" s="207" t="s">
        <v>3845</v>
      </c>
      <c r="AC5044" s="207" t="s">
        <v>5023</v>
      </c>
      <c r="AD5044" s="213">
        <v>7</v>
      </c>
    </row>
    <row r="5045" spans="28:30" x14ac:dyDescent="0.25">
      <c r="AB5045" s="207" t="s">
        <v>373</v>
      </c>
      <c r="AC5045" s="207" t="s">
        <v>5024</v>
      </c>
      <c r="AD5045" s="213">
        <v>8</v>
      </c>
    </row>
    <row r="5046" spans="28:30" x14ac:dyDescent="0.25">
      <c r="AB5046" s="207" t="s">
        <v>373</v>
      </c>
      <c r="AC5046" s="207" t="s">
        <v>5025</v>
      </c>
      <c r="AD5046" s="213">
        <v>6</v>
      </c>
    </row>
    <row r="5047" spans="28:30" x14ac:dyDescent="0.25">
      <c r="AB5047" s="207" t="s">
        <v>373</v>
      </c>
      <c r="AC5047" s="207" t="s">
        <v>5026</v>
      </c>
      <c r="AD5047" s="213">
        <v>8</v>
      </c>
    </row>
    <row r="5048" spans="28:30" x14ac:dyDescent="0.25">
      <c r="AB5048" s="207" t="s">
        <v>373</v>
      </c>
      <c r="AC5048" s="207" t="s">
        <v>5027</v>
      </c>
      <c r="AD5048" s="213">
        <v>6</v>
      </c>
    </row>
    <row r="5049" spans="28:30" x14ac:dyDescent="0.25">
      <c r="AB5049" s="207" t="s">
        <v>3845</v>
      </c>
      <c r="AC5049" s="207" t="s">
        <v>5028</v>
      </c>
      <c r="AD5049" s="213">
        <v>7</v>
      </c>
    </row>
    <row r="5050" spans="28:30" x14ac:dyDescent="0.25">
      <c r="AB5050" s="207" t="s">
        <v>29</v>
      </c>
      <c r="AC5050" s="207" t="s">
        <v>5029</v>
      </c>
      <c r="AD5050" s="213">
        <v>8</v>
      </c>
    </row>
    <row r="5051" spans="28:30" x14ac:dyDescent="0.25">
      <c r="AB5051" s="207" t="s">
        <v>1918</v>
      </c>
      <c r="AC5051" s="207" t="s">
        <v>5030</v>
      </c>
      <c r="AD5051" s="213">
        <v>7</v>
      </c>
    </row>
    <row r="5052" spans="28:30" x14ac:dyDescent="0.25">
      <c r="AB5052" s="207" t="s">
        <v>1951</v>
      </c>
      <c r="AC5052" s="207" t="s">
        <v>5031</v>
      </c>
      <c r="AD5052" s="213">
        <v>7</v>
      </c>
    </row>
    <row r="5053" spans="28:30" x14ac:dyDescent="0.25">
      <c r="AB5053" s="207" t="s">
        <v>1951</v>
      </c>
      <c r="AC5053" s="207" t="s">
        <v>5032</v>
      </c>
      <c r="AD5053" s="213">
        <v>7</v>
      </c>
    </row>
    <row r="5054" spans="28:30" x14ac:dyDescent="0.25">
      <c r="AB5054" s="207" t="s">
        <v>29</v>
      </c>
      <c r="AC5054" s="207" t="s">
        <v>5033</v>
      </c>
      <c r="AD5054" s="213">
        <v>8</v>
      </c>
    </row>
    <row r="5055" spans="28:30" x14ac:dyDescent="0.25">
      <c r="AB5055" s="207" t="s">
        <v>373</v>
      </c>
      <c r="AC5055" s="207" t="s">
        <v>5034</v>
      </c>
      <c r="AD5055" s="213">
        <v>7</v>
      </c>
    </row>
    <row r="5056" spans="28:30" x14ac:dyDescent="0.25">
      <c r="AB5056" s="207" t="s">
        <v>206</v>
      </c>
      <c r="AC5056" s="207" t="s">
        <v>5035</v>
      </c>
      <c r="AD5056" s="213">
        <v>8</v>
      </c>
    </row>
    <row r="5057" spans="28:30" x14ac:dyDescent="0.25">
      <c r="AB5057" s="207" t="s">
        <v>1918</v>
      </c>
      <c r="AC5057" s="207" t="s">
        <v>5036</v>
      </c>
      <c r="AD5057" s="213">
        <v>7</v>
      </c>
    </row>
    <row r="5058" spans="28:30" x14ac:dyDescent="0.25">
      <c r="AB5058" s="207" t="s">
        <v>217</v>
      </c>
      <c r="AC5058" s="207" t="s">
        <v>5037</v>
      </c>
      <c r="AD5058" s="213">
        <v>7</v>
      </c>
    </row>
    <row r="5059" spans="28:30" x14ac:dyDescent="0.25">
      <c r="AB5059" s="207" t="s">
        <v>1918</v>
      </c>
      <c r="AC5059" s="207" t="s">
        <v>5038</v>
      </c>
      <c r="AD5059" s="213">
        <v>7</v>
      </c>
    </row>
    <row r="5060" spans="28:30" x14ac:dyDescent="0.25">
      <c r="AB5060" s="207" t="s">
        <v>2173</v>
      </c>
      <c r="AC5060" s="207" t="s">
        <v>5039</v>
      </c>
      <c r="AD5060" s="213">
        <v>8</v>
      </c>
    </row>
    <row r="5061" spans="28:30" x14ac:dyDescent="0.25">
      <c r="AB5061" s="207" t="s">
        <v>373</v>
      </c>
      <c r="AC5061" s="207" t="s">
        <v>5040</v>
      </c>
      <c r="AD5061" s="213">
        <v>6</v>
      </c>
    </row>
    <row r="5062" spans="28:30" x14ac:dyDescent="0.25">
      <c r="AB5062" s="207" t="s">
        <v>206</v>
      </c>
      <c r="AC5062" s="207" t="s">
        <v>5041</v>
      </c>
      <c r="AD5062" s="213">
        <v>8</v>
      </c>
    </row>
    <row r="5063" spans="28:30" x14ac:dyDescent="0.25">
      <c r="AB5063" s="207" t="s">
        <v>217</v>
      </c>
      <c r="AC5063" s="207" t="s">
        <v>3100</v>
      </c>
      <c r="AD5063" s="213">
        <v>7</v>
      </c>
    </row>
    <row r="5064" spans="28:30" x14ac:dyDescent="0.25">
      <c r="AB5064" s="207" t="s">
        <v>1951</v>
      </c>
      <c r="AC5064" s="207" t="s">
        <v>5042</v>
      </c>
      <c r="AD5064" s="213">
        <v>8</v>
      </c>
    </row>
    <row r="5065" spans="28:30" x14ac:dyDescent="0.25">
      <c r="AB5065" s="207" t="s">
        <v>3845</v>
      </c>
      <c r="AC5065" s="207" t="s">
        <v>5043</v>
      </c>
      <c r="AD5065" s="213">
        <v>7</v>
      </c>
    </row>
    <row r="5066" spans="28:30" x14ac:dyDescent="0.25">
      <c r="AB5066" s="207" t="s">
        <v>1951</v>
      </c>
      <c r="AC5066" s="207" t="s">
        <v>5044</v>
      </c>
      <c r="AD5066" s="213">
        <v>7</v>
      </c>
    </row>
    <row r="5067" spans="28:30" x14ac:dyDescent="0.25">
      <c r="AB5067" s="207" t="s">
        <v>1918</v>
      </c>
      <c r="AC5067" s="207" t="s">
        <v>5045</v>
      </c>
      <c r="AD5067" s="213">
        <v>7</v>
      </c>
    </row>
    <row r="5068" spans="28:30" x14ac:dyDescent="0.25">
      <c r="AB5068" s="207" t="s">
        <v>1918</v>
      </c>
      <c r="AC5068" s="207" t="s">
        <v>5046</v>
      </c>
      <c r="AD5068" s="213">
        <v>7</v>
      </c>
    </row>
    <row r="5069" spans="28:30" x14ac:dyDescent="0.25">
      <c r="AB5069" s="207" t="s">
        <v>29</v>
      </c>
      <c r="AC5069" s="207" t="s">
        <v>5047</v>
      </c>
      <c r="AD5069" s="213">
        <v>8</v>
      </c>
    </row>
    <row r="5070" spans="28:30" x14ac:dyDescent="0.25">
      <c r="AB5070" s="207" t="s">
        <v>373</v>
      </c>
      <c r="AC5070" s="207" t="s">
        <v>1923</v>
      </c>
      <c r="AD5070" s="213">
        <v>8</v>
      </c>
    </row>
    <row r="5071" spans="28:30" x14ac:dyDescent="0.25">
      <c r="AB5071" s="207" t="s">
        <v>1951</v>
      </c>
      <c r="AC5071" s="207" t="s">
        <v>5048</v>
      </c>
      <c r="AD5071" s="213">
        <v>8</v>
      </c>
    </row>
    <row r="5072" spans="28:30" x14ac:dyDescent="0.25">
      <c r="AB5072" s="207" t="s">
        <v>1918</v>
      </c>
      <c r="AC5072" s="207" t="s">
        <v>2919</v>
      </c>
      <c r="AD5072" s="213">
        <v>7</v>
      </c>
    </row>
    <row r="5073" spans="28:30" x14ac:dyDescent="0.25">
      <c r="AB5073" s="207" t="s">
        <v>29</v>
      </c>
      <c r="AC5073" s="207" t="s">
        <v>5048</v>
      </c>
      <c r="AD5073" s="213">
        <v>8</v>
      </c>
    </row>
    <row r="5074" spans="28:30" x14ac:dyDescent="0.25">
      <c r="AB5074" s="207" t="s">
        <v>2160</v>
      </c>
      <c r="AC5074" s="207" t="s">
        <v>5049</v>
      </c>
      <c r="AD5074" s="213">
        <v>7</v>
      </c>
    </row>
    <row r="5075" spans="28:30" x14ac:dyDescent="0.25">
      <c r="AB5075" s="207" t="s">
        <v>29</v>
      </c>
      <c r="AC5075" s="207" t="s">
        <v>5050</v>
      </c>
      <c r="AD5075" s="213">
        <v>8</v>
      </c>
    </row>
    <row r="5076" spans="28:30" x14ac:dyDescent="0.25">
      <c r="AB5076" s="207" t="s">
        <v>1951</v>
      </c>
      <c r="AC5076" s="207" t="s">
        <v>5051</v>
      </c>
      <c r="AD5076" s="213">
        <v>8</v>
      </c>
    </row>
    <row r="5077" spans="28:30" x14ac:dyDescent="0.25">
      <c r="AB5077" s="207" t="s">
        <v>1918</v>
      </c>
      <c r="AC5077" s="207" t="s">
        <v>5052</v>
      </c>
      <c r="AD5077" s="213">
        <v>7</v>
      </c>
    </row>
    <row r="5078" spans="28:30" x14ac:dyDescent="0.25">
      <c r="AB5078" s="207" t="s">
        <v>29</v>
      </c>
      <c r="AC5078" s="207" t="s">
        <v>5053</v>
      </c>
      <c r="AD5078" s="213">
        <v>8</v>
      </c>
    </row>
    <row r="5079" spans="28:30" x14ac:dyDescent="0.25">
      <c r="AB5079" s="207" t="s">
        <v>1642</v>
      </c>
      <c r="AC5079" s="207" t="s">
        <v>2090</v>
      </c>
      <c r="AD5079" s="213">
        <v>8</v>
      </c>
    </row>
    <row r="5080" spans="28:30" x14ac:dyDescent="0.25">
      <c r="AB5080" s="207" t="s">
        <v>206</v>
      </c>
      <c r="AC5080" s="207" t="s">
        <v>5054</v>
      </c>
      <c r="AD5080" s="213">
        <v>8</v>
      </c>
    </row>
    <row r="5081" spans="28:30" x14ac:dyDescent="0.25">
      <c r="AB5081" s="207" t="s">
        <v>1918</v>
      </c>
      <c r="AC5081" s="207" t="s">
        <v>4001</v>
      </c>
      <c r="AD5081" s="213">
        <v>7</v>
      </c>
    </row>
    <row r="5082" spans="28:30" x14ac:dyDescent="0.25">
      <c r="AB5082" s="207" t="s">
        <v>1951</v>
      </c>
      <c r="AC5082" s="207" t="s">
        <v>5877</v>
      </c>
      <c r="AD5082" s="213">
        <v>8</v>
      </c>
    </row>
    <row r="5083" spans="28:30" x14ac:dyDescent="0.25">
      <c r="AB5083" s="207" t="s">
        <v>373</v>
      </c>
      <c r="AC5083" s="207" t="s">
        <v>5055</v>
      </c>
      <c r="AD5083" s="213">
        <v>8</v>
      </c>
    </row>
    <row r="5084" spans="28:30" x14ac:dyDescent="0.25">
      <c r="AB5084" s="207" t="s">
        <v>1951</v>
      </c>
      <c r="AC5084" s="207" t="s">
        <v>5056</v>
      </c>
      <c r="AD5084" s="213">
        <v>8</v>
      </c>
    </row>
    <row r="5085" spans="28:30" x14ac:dyDescent="0.25">
      <c r="AB5085" s="207" t="s">
        <v>29</v>
      </c>
      <c r="AC5085" s="207" t="s">
        <v>4082</v>
      </c>
      <c r="AD5085" s="213">
        <v>8</v>
      </c>
    </row>
    <row r="5086" spans="28:30" x14ac:dyDescent="0.25">
      <c r="AB5086" s="207" t="s">
        <v>3847</v>
      </c>
      <c r="AC5086" s="207" t="s">
        <v>5057</v>
      </c>
      <c r="AD5086" s="213">
        <v>8</v>
      </c>
    </row>
    <row r="5087" spans="28:30" x14ac:dyDescent="0.25">
      <c r="AB5087" s="207" t="s">
        <v>1951</v>
      </c>
      <c r="AC5087" s="207" t="s">
        <v>5058</v>
      </c>
      <c r="AD5087" s="213">
        <v>8</v>
      </c>
    </row>
    <row r="5088" spans="28:30" x14ac:dyDescent="0.25">
      <c r="AB5088" s="207" t="s">
        <v>205</v>
      </c>
      <c r="AC5088" s="207" t="s">
        <v>5059</v>
      </c>
      <c r="AD5088" s="213">
        <v>8</v>
      </c>
    </row>
    <row r="5089" spans="28:30" x14ac:dyDescent="0.25">
      <c r="AB5089" s="207" t="s">
        <v>1918</v>
      </c>
      <c r="AC5089" s="207" t="s">
        <v>5060</v>
      </c>
      <c r="AD5089" s="213">
        <v>7</v>
      </c>
    </row>
    <row r="5090" spans="28:30" x14ac:dyDescent="0.25">
      <c r="AB5090" s="207" t="s">
        <v>1951</v>
      </c>
      <c r="AC5090" s="207" t="s">
        <v>5061</v>
      </c>
      <c r="AD5090" s="213">
        <v>8</v>
      </c>
    </row>
    <row r="5091" spans="28:30" x14ac:dyDescent="0.25">
      <c r="AB5091" s="207" t="s">
        <v>3847</v>
      </c>
      <c r="AC5091" s="207" t="s">
        <v>5062</v>
      </c>
      <c r="AD5091" s="213">
        <v>7</v>
      </c>
    </row>
    <row r="5092" spans="28:30" x14ac:dyDescent="0.25">
      <c r="AB5092" s="207" t="s">
        <v>3845</v>
      </c>
      <c r="AC5092" s="207" t="s">
        <v>5063</v>
      </c>
      <c r="AD5092" s="213">
        <v>7</v>
      </c>
    </row>
    <row r="5093" spans="28:30" x14ac:dyDescent="0.25">
      <c r="AB5093" s="207" t="s">
        <v>1918</v>
      </c>
      <c r="AC5093" s="207" t="s">
        <v>5064</v>
      </c>
      <c r="AD5093" s="213">
        <v>7</v>
      </c>
    </row>
    <row r="5094" spans="28:30" x14ac:dyDescent="0.25">
      <c r="AB5094" s="207" t="s">
        <v>2160</v>
      </c>
      <c r="AC5094" s="207" t="s">
        <v>5065</v>
      </c>
      <c r="AD5094" s="213">
        <v>5</v>
      </c>
    </row>
    <row r="5095" spans="28:30" x14ac:dyDescent="0.25">
      <c r="AB5095" s="207" t="s">
        <v>3845</v>
      </c>
      <c r="AC5095" s="207" t="s">
        <v>5066</v>
      </c>
      <c r="AD5095" s="213">
        <v>7</v>
      </c>
    </row>
    <row r="5096" spans="28:30" x14ac:dyDescent="0.25">
      <c r="AB5096" s="207" t="s">
        <v>206</v>
      </c>
      <c r="AC5096" s="207" t="s">
        <v>5067</v>
      </c>
      <c r="AD5096" s="213">
        <v>8</v>
      </c>
    </row>
    <row r="5097" spans="28:30" x14ac:dyDescent="0.25">
      <c r="AB5097" s="207" t="s">
        <v>1918</v>
      </c>
      <c r="AC5097" s="207" t="s">
        <v>5068</v>
      </c>
      <c r="AD5097" s="213">
        <v>7</v>
      </c>
    </row>
    <row r="5098" spans="28:30" x14ac:dyDescent="0.25">
      <c r="AB5098" s="207" t="s">
        <v>217</v>
      </c>
      <c r="AC5098" s="207" t="s">
        <v>5069</v>
      </c>
      <c r="AD5098" s="213">
        <v>6</v>
      </c>
    </row>
    <row r="5099" spans="28:30" x14ac:dyDescent="0.25">
      <c r="AB5099" s="207" t="s">
        <v>1918</v>
      </c>
      <c r="AC5099" s="207" t="s">
        <v>5070</v>
      </c>
      <c r="AD5099" s="213">
        <v>7</v>
      </c>
    </row>
    <row r="5100" spans="28:30" x14ac:dyDescent="0.25">
      <c r="AB5100" s="207" t="s">
        <v>2160</v>
      </c>
      <c r="AC5100" s="207" t="s">
        <v>5071</v>
      </c>
      <c r="AD5100" s="213">
        <v>5</v>
      </c>
    </row>
    <row r="5101" spans="28:30" x14ac:dyDescent="0.25">
      <c r="AB5101" s="207" t="s">
        <v>2173</v>
      </c>
      <c r="AC5101" s="207" t="s">
        <v>5072</v>
      </c>
      <c r="AD5101" s="213">
        <v>8</v>
      </c>
    </row>
    <row r="5102" spans="28:30" x14ac:dyDescent="0.25">
      <c r="AB5102" s="207" t="s">
        <v>2160</v>
      </c>
      <c r="AC5102" s="207" t="s">
        <v>5073</v>
      </c>
      <c r="AD5102" s="213">
        <v>8</v>
      </c>
    </row>
    <row r="5103" spans="28:30" x14ac:dyDescent="0.25">
      <c r="AB5103" s="207" t="s">
        <v>3847</v>
      </c>
      <c r="AC5103" s="207" t="s">
        <v>5074</v>
      </c>
      <c r="AD5103" s="213">
        <v>8</v>
      </c>
    </row>
    <row r="5104" spans="28:30" x14ac:dyDescent="0.25">
      <c r="AB5104" s="207" t="s">
        <v>1918</v>
      </c>
      <c r="AC5104" s="207" t="s">
        <v>5075</v>
      </c>
      <c r="AD5104" s="213">
        <v>7</v>
      </c>
    </row>
    <row r="5105" spans="28:30" x14ac:dyDescent="0.25">
      <c r="AB5105" s="207" t="s">
        <v>2160</v>
      </c>
      <c r="AC5105" s="207" t="s">
        <v>5076</v>
      </c>
      <c r="AD5105" s="213">
        <v>7</v>
      </c>
    </row>
    <row r="5106" spans="28:30" x14ac:dyDescent="0.25">
      <c r="AB5106" s="207" t="s">
        <v>373</v>
      </c>
      <c r="AC5106" s="207" t="s">
        <v>5077</v>
      </c>
      <c r="AD5106" s="213">
        <v>8</v>
      </c>
    </row>
    <row r="5107" spans="28:30" x14ac:dyDescent="0.25">
      <c r="AB5107" s="207" t="s">
        <v>2173</v>
      </c>
      <c r="AC5107" s="207" t="s">
        <v>5078</v>
      </c>
      <c r="AD5107" s="213">
        <v>8</v>
      </c>
    </row>
    <row r="5108" spans="28:30" x14ac:dyDescent="0.25">
      <c r="AB5108" s="207" t="s">
        <v>1951</v>
      </c>
      <c r="AC5108" s="207" t="s">
        <v>5079</v>
      </c>
      <c r="AD5108" s="213">
        <v>7</v>
      </c>
    </row>
    <row r="5109" spans="28:30" x14ac:dyDescent="0.25">
      <c r="AB5109" s="207" t="s">
        <v>3845</v>
      </c>
      <c r="AC5109" s="207" t="s">
        <v>5080</v>
      </c>
      <c r="AD5109" s="213">
        <v>7</v>
      </c>
    </row>
    <row r="5110" spans="28:30" x14ac:dyDescent="0.25">
      <c r="AB5110" s="207" t="s">
        <v>1918</v>
      </c>
      <c r="AC5110" s="207" t="s">
        <v>5081</v>
      </c>
      <c r="AD5110" s="213">
        <v>7</v>
      </c>
    </row>
    <row r="5111" spans="28:30" x14ac:dyDescent="0.25">
      <c r="AB5111" s="207" t="s">
        <v>1918</v>
      </c>
      <c r="AC5111" s="207" t="s">
        <v>5082</v>
      </c>
      <c r="AD5111" s="213">
        <v>7</v>
      </c>
    </row>
    <row r="5112" spans="28:30" x14ac:dyDescent="0.25">
      <c r="AB5112" s="207" t="s">
        <v>1738</v>
      </c>
      <c r="AC5112" s="207" t="s">
        <v>5083</v>
      </c>
      <c r="AD5112" s="213">
        <v>7</v>
      </c>
    </row>
    <row r="5113" spans="28:30" x14ac:dyDescent="0.25">
      <c r="AB5113" s="207" t="s">
        <v>1951</v>
      </c>
      <c r="AC5113" s="207" t="s">
        <v>5084</v>
      </c>
      <c r="AD5113" s="213">
        <v>7</v>
      </c>
    </row>
    <row r="5114" spans="28:30" x14ac:dyDescent="0.25">
      <c r="AB5114" s="207" t="s">
        <v>3845</v>
      </c>
      <c r="AC5114" s="207" t="s">
        <v>5085</v>
      </c>
      <c r="AD5114" s="213">
        <v>7</v>
      </c>
    </row>
    <row r="5115" spans="28:30" x14ac:dyDescent="0.25">
      <c r="AB5115" s="207" t="s">
        <v>2173</v>
      </c>
      <c r="AC5115" s="207" t="s">
        <v>5086</v>
      </c>
      <c r="AD5115" s="213">
        <v>8</v>
      </c>
    </row>
    <row r="5116" spans="28:30" x14ac:dyDescent="0.25">
      <c r="AB5116" s="207" t="s">
        <v>373</v>
      </c>
      <c r="AC5116" s="207" t="s">
        <v>5087</v>
      </c>
      <c r="AD5116" s="213">
        <v>8</v>
      </c>
    </row>
    <row r="5117" spans="28:30" x14ac:dyDescent="0.25">
      <c r="AB5117" s="207" t="s">
        <v>373</v>
      </c>
      <c r="AC5117" s="207" t="s">
        <v>5088</v>
      </c>
      <c r="AD5117" s="213">
        <v>8</v>
      </c>
    </row>
    <row r="5118" spans="28:30" x14ac:dyDescent="0.25">
      <c r="AB5118" s="207" t="s">
        <v>1918</v>
      </c>
      <c r="AC5118" s="207" t="s">
        <v>5089</v>
      </c>
      <c r="AD5118" s="213">
        <v>7</v>
      </c>
    </row>
    <row r="5119" spans="28:30" x14ac:dyDescent="0.25">
      <c r="AB5119" s="207" t="s">
        <v>1918</v>
      </c>
      <c r="AC5119" s="207" t="s">
        <v>5090</v>
      </c>
      <c r="AD5119" s="213">
        <v>7</v>
      </c>
    </row>
    <row r="5120" spans="28:30" x14ac:dyDescent="0.25">
      <c r="AB5120" s="207" t="s">
        <v>2160</v>
      </c>
      <c r="AC5120" s="207" t="s">
        <v>5091</v>
      </c>
      <c r="AD5120" s="213">
        <v>8</v>
      </c>
    </row>
    <row r="5121" spans="28:30" x14ac:dyDescent="0.25">
      <c r="AB5121" s="207" t="s">
        <v>3845</v>
      </c>
      <c r="AC5121" s="207" t="s">
        <v>5092</v>
      </c>
      <c r="AD5121" s="213">
        <v>7</v>
      </c>
    </row>
    <row r="5122" spans="28:30" x14ac:dyDescent="0.25">
      <c r="AB5122" s="207" t="s">
        <v>3845</v>
      </c>
      <c r="AC5122" s="207" t="s">
        <v>5093</v>
      </c>
      <c r="AD5122" s="213">
        <v>7</v>
      </c>
    </row>
    <row r="5123" spans="28:30" x14ac:dyDescent="0.25">
      <c r="AB5123" s="207" t="s">
        <v>3845</v>
      </c>
      <c r="AC5123" s="207" t="s">
        <v>5094</v>
      </c>
      <c r="AD5123" s="213">
        <v>7</v>
      </c>
    </row>
    <row r="5124" spans="28:30" x14ac:dyDescent="0.25">
      <c r="AB5124" s="207" t="s">
        <v>3847</v>
      </c>
      <c r="AC5124" s="207" t="s">
        <v>5095</v>
      </c>
      <c r="AD5124" s="213">
        <v>8</v>
      </c>
    </row>
    <row r="5125" spans="28:30" x14ac:dyDescent="0.25">
      <c r="AB5125" s="207" t="s">
        <v>1918</v>
      </c>
      <c r="AC5125" s="207" t="s">
        <v>5096</v>
      </c>
      <c r="AD5125" s="213">
        <v>7</v>
      </c>
    </row>
    <row r="5126" spans="28:30" x14ac:dyDescent="0.25">
      <c r="AB5126" s="207" t="s">
        <v>3845</v>
      </c>
      <c r="AC5126" s="207" t="s">
        <v>5097</v>
      </c>
      <c r="AD5126" s="213">
        <v>7</v>
      </c>
    </row>
    <row r="5127" spans="28:30" x14ac:dyDescent="0.25">
      <c r="AB5127" s="207" t="s">
        <v>1918</v>
      </c>
      <c r="AC5127" s="207" t="s">
        <v>5098</v>
      </c>
      <c r="AD5127" s="213">
        <v>7</v>
      </c>
    </row>
    <row r="5128" spans="28:30" x14ac:dyDescent="0.25">
      <c r="AB5128" s="207" t="s">
        <v>1642</v>
      </c>
      <c r="AC5128" s="207" t="s">
        <v>5099</v>
      </c>
      <c r="AD5128" s="213">
        <v>8</v>
      </c>
    </row>
    <row r="5129" spans="28:30" x14ac:dyDescent="0.25">
      <c r="AB5129" s="207" t="s">
        <v>3847</v>
      </c>
      <c r="AC5129" s="207" t="s">
        <v>5100</v>
      </c>
      <c r="AD5129" s="213">
        <v>8</v>
      </c>
    </row>
    <row r="5130" spans="28:30" x14ac:dyDescent="0.25">
      <c r="AB5130" s="207" t="s">
        <v>205</v>
      </c>
      <c r="AC5130" s="207" t="s">
        <v>5101</v>
      </c>
      <c r="AD5130" s="213">
        <v>8</v>
      </c>
    </row>
    <row r="5131" spans="28:30" x14ac:dyDescent="0.25">
      <c r="AB5131" s="207" t="s">
        <v>1918</v>
      </c>
      <c r="AC5131" s="207" t="s">
        <v>5102</v>
      </c>
      <c r="AD5131" s="213">
        <v>7</v>
      </c>
    </row>
    <row r="5132" spans="28:30" x14ac:dyDescent="0.25">
      <c r="AB5132" s="207" t="s">
        <v>1691</v>
      </c>
      <c r="AC5132" s="207" t="s">
        <v>5103</v>
      </c>
      <c r="AD5132" s="213">
        <v>8</v>
      </c>
    </row>
    <row r="5133" spans="28:30" x14ac:dyDescent="0.25">
      <c r="AB5133" s="207" t="s">
        <v>1918</v>
      </c>
      <c r="AC5133" s="207" t="s">
        <v>5104</v>
      </c>
      <c r="AD5133" s="213">
        <v>7</v>
      </c>
    </row>
    <row r="5134" spans="28:30" x14ac:dyDescent="0.25">
      <c r="AB5134" s="207" t="s">
        <v>3847</v>
      </c>
      <c r="AC5134" s="207" t="s">
        <v>5105</v>
      </c>
      <c r="AD5134" s="213">
        <v>8</v>
      </c>
    </row>
    <row r="5135" spans="28:30" x14ac:dyDescent="0.25">
      <c r="AB5135" s="207" t="s">
        <v>1918</v>
      </c>
      <c r="AC5135" s="207" t="s">
        <v>561</v>
      </c>
      <c r="AD5135" s="213">
        <v>7</v>
      </c>
    </row>
    <row r="5136" spans="28:30" x14ac:dyDescent="0.25">
      <c r="AB5136" s="207" t="s">
        <v>1918</v>
      </c>
      <c r="AC5136" s="207" t="s">
        <v>5106</v>
      </c>
      <c r="AD5136" s="213">
        <v>7</v>
      </c>
    </row>
    <row r="5137" spans="28:30" x14ac:dyDescent="0.25">
      <c r="AB5137" s="207" t="s">
        <v>1918</v>
      </c>
      <c r="AC5137" s="207" t="s">
        <v>5107</v>
      </c>
      <c r="AD5137" s="213">
        <v>7</v>
      </c>
    </row>
    <row r="5138" spans="28:30" x14ac:dyDescent="0.25">
      <c r="AB5138" s="207" t="s">
        <v>1642</v>
      </c>
      <c r="AC5138" s="207" t="s">
        <v>5108</v>
      </c>
      <c r="AD5138" s="213">
        <v>8</v>
      </c>
    </row>
    <row r="5139" spans="28:30" x14ac:dyDescent="0.25">
      <c r="AB5139" s="207" t="s">
        <v>3845</v>
      </c>
      <c r="AC5139" s="207" t="s">
        <v>5109</v>
      </c>
      <c r="AD5139" s="213">
        <v>7</v>
      </c>
    </row>
    <row r="5140" spans="28:30" x14ac:dyDescent="0.25">
      <c r="AB5140" s="207" t="s">
        <v>3845</v>
      </c>
      <c r="AC5140" s="207" t="s">
        <v>5110</v>
      </c>
      <c r="AD5140" s="213">
        <v>7</v>
      </c>
    </row>
    <row r="5141" spans="28:30" x14ac:dyDescent="0.25">
      <c r="AB5141" s="207" t="s">
        <v>2160</v>
      </c>
      <c r="AC5141" s="207" t="s">
        <v>5111</v>
      </c>
      <c r="AD5141" s="213">
        <v>6</v>
      </c>
    </row>
    <row r="5142" spans="28:30" x14ac:dyDescent="0.25">
      <c r="AB5142" s="207" t="s">
        <v>29</v>
      </c>
      <c r="AC5142" s="207" t="s">
        <v>5112</v>
      </c>
      <c r="AD5142" s="213">
        <v>8</v>
      </c>
    </row>
    <row r="5143" spans="28:30" x14ac:dyDescent="0.25">
      <c r="AB5143" s="207" t="s">
        <v>3845</v>
      </c>
      <c r="AC5143" s="207" t="s">
        <v>5113</v>
      </c>
      <c r="AD5143" s="213">
        <v>7</v>
      </c>
    </row>
    <row r="5144" spans="28:30" x14ac:dyDescent="0.25">
      <c r="AB5144" s="207" t="s">
        <v>373</v>
      </c>
      <c r="AC5144" s="207" t="s">
        <v>5114</v>
      </c>
      <c r="AD5144" s="213">
        <v>7</v>
      </c>
    </row>
    <row r="5145" spans="28:30" x14ac:dyDescent="0.25">
      <c r="AB5145" s="207" t="s">
        <v>1642</v>
      </c>
      <c r="AC5145" s="207" t="s">
        <v>1318</v>
      </c>
      <c r="AD5145" s="213">
        <v>8</v>
      </c>
    </row>
    <row r="5146" spans="28:30" x14ac:dyDescent="0.25">
      <c r="AB5146" s="207" t="s">
        <v>219</v>
      </c>
      <c r="AC5146" s="207" t="s">
        <v>5115</v>
      </c>
      <c r="AD5146" s="213">
        <v>8</v>
      </c>
    </row>
    <row r="5147" spans="28:30" x14ac:dyDescent="0.25">
      <c r="AB5147" s="207" t="s">
        <v>3847</v>
      </c>
      <c r="AC5147" s="207" t="s">
        <v>5116</v>
      </c>
      <c r="AD5147" s="213">
        <v>8</v>
      </c>
    </row>
    <row r="5148" spans="28:30" x14ac:dyDescent="0.25">
      <c r="AB5148" s="207" t="s">
        <v>3847</v>
      </c>
      <c r="AC5148" s="207" t="s">
        <v>5117</v>
      </c>
      <c r="AD5148" s="213">
        <v>8</v>
      </c>
    </row>
    <row r="5149" spans="28:30" x14ac:dyDescent="0.25">
      <c r="AB5149" s="207" t="s">
        <v>373</v>
      </c>
      <c r="AC5149" s="207" t="s">
        <v>5118</v>
      </c>
      <c r="AD5149" s="213">
        <v>8</v>
      </c>
    </row>
    <row r="5150" spans="28:30" x14ac:dyDescent="0.25">
      <c r="AB5150" s="207" t="s">
        <v>217</v>
      </c>
      <c r="AC5150" s="207" t="s">
        <v>5119</v>
      </c>
      <c r="AD5150" s="213">
        <v>8</v>
      </c>
    </row>
    <row r="5151" spans="28:30" x14ac:dyDescent="0.25">
      <c r="AB5151" s="207" t="s">
        <v>217</v>
      </c>
      <c r="AC5151" s="207" t="s">
        <v>5120</v>
      </c>
      <c r="AD5151" s="213">
        <v>8</v>
      </c>
    </row>
    <row r="5152" spans="28:30" x14ac:dyDescent="0.25">
      <c r="AB5152" s="207" t="s">
        <v>217</v>
      </c>
      <c r="AC5152" s="207" t="s">
        <v>5121</v>
      </c>
      <c r="AD5152" s="213">
        <v>8</v>
      </c>
    </row>
    <row r="5153" spans="28:30" x14ac:dyDescent="0.25">
      <c r="AB5153" s="207" t="s">
        <v>373</v>
      </c>
      <c r="AC5153" s="207" t="s">
        <v>5122</v>
      </c>
      <c r="AD5153" s="213">
        <v>8</v>
      </c>
    </row>
    <row r="5154" spans="28:30" x14ac:dyDescent="0.25">
      <c r="AB5154" s="207" t="s">
        <v>1691</v>
      </c>
      <c r="AC5154" s="207" t="s">
        <v>5123</v>
      </c>
      <c r="AD5154" s="213">
        <v>8</v>
      </c>
    </row>
    <row r="5155" spans="28:30" x14ac:dyDescent="0.25">
      <c r="AB5155" s="207" t="s">
        <v>217</v>
      </c>
      <c r="AC5155" s="207" t="s">
        <v>5124</v>
      </c>
      <c r="AD5155" s="213">
        <v>8</v>
      </c>
    </row>
    <row r="5156" spans="28:30" x14ac:dyDescent="0.25">
      <c r="AB5156" s="207" t="s">
        <v>1691</v>
      </c>
      <c r="AC5156" s="207" t="s">
        <v>5125</v>
      </c>
      <c r="AD5156" s="213">
        <v>8</v>
      </c>
    </row>
    <row r="5157" spans="28:30" x14ac:dyDescent="0.25">
      <c r="AB5157" s="207" t="s">
        <v>217</v>
      </c>
      <c r="AC5157" s="207" t="s">
        <v>5126</v>
      </c>
      <c r="AD5157" s="213">
        <v>8</v>
      </c>
    </row>
    <row r="5158" spans="28:30" x14ac:dyDescent="0.25">
      <c r="AB5158" s="207" t="s">
        <v>217</v>
      </c>
      <c r="AC5158" s="207" t="s">
        <v>5127</v>
      </c>
      <c r="AD5158" s="213">
        <v>8</v>
      </c>
    </row>
    <row r="5159" spans="28:30" x14ac:dyDescent="0.25">
      <c r="AB5159" s="207" t="s">
        <v>217</v>
      </c>
      <c r="AC5159" s="207" t="s">
        <v>5128</v>
      </c>
      <c r="AD5159" s="213">
        <v>8</v>
      </c>
    </row>
    <row r="5160" spans="28:30" x14ac:dyDescent="0.25">
      <c r="AB5160" s="207" t="s">
        <v>1691</v>
      </c>
      <c r="AC5160" s="207" t="s">
        <v>5129</v>
      </c>
      <c r="AD5160" s="213">
        <v>8</v>
      </c>
    </row>
    <row r="5161" spans="28:30" x14ac:dyDescent="0.25">
      <c r="AB5161" s="207" t="s">
        <v>217</v>
      </c>
      <c r="AC5161" s="207" t="s">
        <v>5130</v>
      </c>
      <c r="AD5161" s="213">
        <v>8</v>
      </c>
    </row>
    <row r="5162" spans="28:30" x14ac:dyDescent="0.25">
      <c r="AB5162" s="207" t="s">
        <v>1691</v>
      </c>
      <c r="AC5162" s="207" t="s">
        <v>5131</v>
      </c>
      <c r="AD5162" s="213">
        <v>8</v>
      </c>
    </row>
    <row r="5163" spans="28:30" x14ac:dyDescent="0.25">
      <c r="AB5163" s="207" t="s">
        <v>56</v>
      </c>
      <c r="AC5163" s="207" t="s">
        <v>5132</v>
      </c>
      <c r="AD5163" s="213">
        <v>8</v>
      </c>
    </row>
    <row r="5164" spans="28:30" x14ac:dyDescent="0.25">
      <c r="AB5164" s="207" t="s">
        <v>217</v>
      </c>
      <c r="AC5164" s="207" t="s">
        <v>4010</v>
      </c>
      <c r="AD5164" s="213">
        <v>8</v>
      </c>
    </row>
    <row r="5165" spans="28:30" x14ac:dyDescent="0.25">
      <c r="AB5165" s="207" t="s">
        <v>1738</v>
      </c>
      <c r="AC5165" s="207" t="s">
        <v>5133</v>
      </c>
      <c r="AD5165" s="213">
        <v>8</v>
      </c>
    </row>
    <row r="5166" spans="28:30" x14ac:dyDescent="0.25">
      <c r="AB5166" s="207" t="s">
        <v>217</v>
      </c>
      <c r="AC5166" s="207" t="s">
        <v>2088</v>
      </c>
      <c r="AD5166" s="213">
        <v>8</v>
      </c>
    </row>
    <row r="5167" spans="28:30" x14ac:dyDescent="0.25">
      <c r="AB5167" s="207" t="s">
        <v>56</v>
      </c>
      <c r="AC5167" s="207" t="s">
        <v>5134</v>
      </c>
      <c r="AD5167" s="213">
        <v>8</v>
      </c>
    </row>
    <row r="5168" spans="28:30" x14ac:dyDescent="0.25">
      <c r="AB5168" s="207" t="s">
        <v>56</v>
      </c>
      <c r="AC5168" s="207" t="s">
        <v>5135</v>
      </c>
      <c r="AD5168" s="213">
        <v>8</v>
      </c>
    </row>
    <row r="5169" spans="28:30" x14ac:dyDescent="0.25">
      <c r="AB5169" s="207" t="s">
        <v>56</v>
      </c>
      <c r="AC5169" s="207" t="s">
        <v>5136</v>
      </c>
      <c r="AD5169" s="213">
        <v>8</v>
      </c>
    </row>
    <row r="5170" spans="28:30" x14ac:dyDescent="0.25">
      <c r="AB5170" s="207" t="s">
        <v>56</v>
      </c>
      <c r="AC5170" s="207" t="s">
        <v>5137</v>
      </c>
      <c r="AD5170" s="213">
        <v>8</v>
      </c>
    </row>
    <row r="5171" spans="28:30" x14ac:dyDescent="0.25">
      <c r="AB5171" s="207" t="s">
        <v>56</v>
      </c>
      <c r="AC5171" s="207" t="s">
        <v>5138</v>
      </c>
      <c r="AD5171" s="213">
        <v>8</v>
      </c>
    </row>
    <row r="5172" spans="28:30" x14ac:dyDescent="0.25">
      <c r="AB5172" s="207" t="s">
        <v>56</v>
      </c>
      <c r="AC5172" s="207" t="s">
        <v>5139</v>
      </c>
      <c r="AD5172" s="213">
        <v>8</v>
      </c>
    </row>
    <row r="5173" spans="28:30" x14ac:dyDescent="0.25">
      <c r="AB5173" s="207" t="s">
        <v>217</v>
      </c>
      <c r="AC5173" s="207" t="s">
        <v>5140</v>
      </c>
      <c r="AD5173" s="213">
        <v>8</v>
      </c>
    </row>
    <row r="5174" spans="28:30" x14ac:dyDescent="0.25">
      <c r="AB5174" s="207" t="s">
        <v>373</v>
      </c>
      <c r="AC5174" s="207" t="s">
        <v>5141</v>
      </c>
      <c r="AD5174" s="213">
        <v>5</v>
      </c>
    </row>
    <row r="5175" spans="28:30" x14ac:dyDescent="0.25">
      <c r="AB5175" s="207" t="s">
        <v>217</v>
      </c>
      <c r="AC5175" s="207" t="s">
        <v>5142</v>
      </c>
      <c r="AD5175" s="213">
        <v>8</v>
      </c>
    </row>
    <row r="5176" spans="28:30" x14ac:dyDescent="0.25">
      <c r="AB5176" s="207" t="s">
        <v>1691</v>
      </c>
      <c r="AC5176" s="207" t="s">
        <v>5143</v>
      </c>
      <c r="AD5176" s="213">
        <v>8</v>
      </c>
    </row>
    <row r="5177" spans="28:30" x14ac:dyDescent="0.25">
      <c r="AB5177" s="207" t="s">
        <v>56</v>
      </c>
      <c r="AC5177" s="207" t="s">
        <v>5144</v>
      </c>
      <c r="AD5177" s="213">
        <v>8</v>
      </c>
    </row>
    <row r="5178" spans="28:30" x14ac:dyDescent="0.25">
      <c r="AB5178" s="207" t="s">
        <v>373</v>
      </c>
      <c r="AC5178" s="207" t="s">
        <v>5145</v>
      </c>
      <c r="AD5178" s="213">
        <v>8</v>
      </c>
    </row>
    <row r="5179" spans="28:30" x14ac:dyDescent="0.25">
      <c r="AB5179" s="207" t="s">
        <v>56</v>
      </c>
      <c r="AC5179" s="207" t="s">
        <v>4820</v>
      </c>
      <c r="AD5179" s="213">
        <v>8</v>
      </c>
    </row>
    <row r="5180" spans="28:30" x14ac:dyDescent="0.25">
      <c r="AB5180" s="207" t="s">
        <v>56</v>
      </c>
      <c r="AC5180" s="207" t="s">
        <v>5146</v>
      </c>
      <c r="AD5180" s="213">
        <v>8</v>
      </c>
    </row>
    <row r="5181" spans="28:30" x14ac:dyDescent="0.25">
      <c r="AB5181" s="207" t="s">
        <v>56</v>
      </c>
      <c r="AC5181" s="207" t="s">
        <v>901</v>
      </c>
      <c r="AD5181" s="213">
        <v>8</v>
      </c>
    </row>
    <row r="5182" spans="28:30" x14ac:dyDescent="0.25">
      <c r="AB5182" s="207" t="s">
        <v>217</v>
      </c>
      <c r="AC5182" s="207" t="s">
        <v>5147</v>
      </c>
      <c r="AD5182" s="213">
        <v>8</v>
      </c>
    </row>
    <row r="5183" spans="28:30" x14ac:dyDescent="0.25">
      <c r="AB5183" s="207" t="s">
        <v>1691</v>
      </c>
      <c r="AC5183" s="207" t="s">
        <v>3699</v>
      </c>
      <c r="AD5183" s="213">
        <v>8</v>
      </c>
    </row>
    <row r="5184" spans="28:30" x14ac:dyDescent="0.25">
      <c r="AB5184" s="207" t="s">
        <v>56</v>
      </c>
      <c r="AC5184" s="207" t="s">
        <v>5148</v>
      </c>
      <c r="AD5184" s="213">
        <v>8</v>
      </c>
    </row>
    <row r="5185" spans="28:30" x14ac:dyDescent="0.25">
      <c r="AB5185" s="207" t="s">
        <v>217</v>
      </c>
      <c r="AC5185" s="207" t="s">
        <v>5149</v>
      </c>
      <c r="AD5185" s="213">
        <v>8</v>
      </c>
    </row>
    <row r="5186" spans="28:30" x14ac:dyDescent="0.25">
      <c r="AB5186" s="207" t="s">
        <v>56</v>
      </c>
      <c r="AC5186" s="207" t="s">
        <v>5150</v>
      </c>
      <c r="AD5186" s="213">
        <v>8</v>
      </c>
    </row>
    <row r="5187" spans="28:30" x14ac:dyDescent="0.25">
      <c r="AB5187" s="207" t="s">
        <v>56</v>
      </c>
      <c r="AC5187" s="207" t="s">
        <v>5151</v>
      </c>
      <c r="AD5187" s="213">
        <v>8</v>
      </c>
    </row>
    <row r="5188" spans="28:30" x14ac:dyDescent="0.25">
      <c r="AB5188" s="207" t="s">
        <v>56</v>
      </c>
      <c r="AC5188" s="207" t="s">
        <v>5152</v>
      </c>
      <c r="AD5188" s="213">
        <v>8</v>
      </c>
    </row>
    <row r="5189" spans="28:30" x14ac:dyDescent="0.25">
      <c r="AB5189" s="207" t="s">
        <v>56</v>
      </c>
      <c r="AC5189" s="207" t="s">
        <v>5153</v>
      </c>
      <c r="AD5189" s="213">
        <v>8</v>
      </c>
    </row>
    <row r="5190" spans="28:30" x14ac:dyDescent="0.25">
      <c r="AB5190" s="207" t="s">
        <v>206</v>
      </c>
      <c r="AC5190" s="207" t="s">
        <v>5154</v>
      </c>
      <c r="AD5190" s="213">
        <v>8</v>
      </c>
    </row>
    <row r="5191" spans="28:30" x14ac:dyDescent="0.25">
      <c r="AB5191" s="207" t="s">
        <v>56</v>
      </c>
      <c r="AC5191" s="207" t="s">
        <v>5155</v>
      </c>
      <c r="AD5191" s="213">
        <v>8</v>
      </c>
    </row>
    <row r="5192" spans="28:30" x14ac:dyDescent="0.25">
      <c r="AB5192" s="207" t="s">
        <v>56</v>
      </c>
      <c r="AC5192" s="207" t="s">
        <v>5156</v>
      </c>
      <c r="AD5192" s="213">
        <v>8</v>
      </c>
    </row>
    <row r="5193" spans="28:30" x14ac:dyDescent="0.25">
      <c r="AB5193" s="207" t="s">
        <v>1691</v>
      </c>
      <c r="AC5193" s="207" t="s">
        <v>803</v>
      </c>
      <c r="AD5193" s="213">
        <v>8</v>
      </c>
    </row>
    <row r="5194" spans="28:30" x14ac:dyDescent="0.25">
      <c r="AB5194" s="207" t="s">
        <v>56</v>
      </c>
      <c r="AC5194" s="207" t="s">
        <v>5157</v>
      </c>
      <c r="AD5194" s="213">
        <v>8</v>
      </c>
    </row>
    <row r="5195" spans="28:30" x14ac:dyDescent="0.25">
      <c r="AB5195" s="207" t="s">
        <v>56</v>
      </c>
      <c r="AC5195" s="207" t="s">
        <v>5158</v>
      </c>
      <c r="AD5195" s="213">
        <v>8</v>
      </c>
    </row>
    <row r="5196" spans="28:30" x14ac:dyDescent="0.25">
      <c r="AB5196" s="207" t="s">
        <v>373</v>
      </c>
      <c r="AC5196" s="207" t="s">
        <v>5159</v>
      </c>
      <c r="AD5196" s="213">
        <v>8</v>
      </c>
    </row>
    <row r="5197" spans="28:30" x14ac:dyDescent="0.25">
      <c r="AB5197" s="207" t="s">
        <v>56</v>
      </c>
      <c r="AC5197" s="207" t="s">
        <v>5160</v>
      </c>
      <c r="AD5197" s="213">
        <v>8</v>
      </c>
    </row>
    <row r="5198" spans="28:30" x14ac:dyDescent="0.25">
      <c r="AB5198" s="207" t="s">
        <v>3845</v>
      </c>
      <c r="AC5198" s="207" t="s">
        <v>5161</v>
      </c>
      <c r="AD5198" s="213">
        <v>7</v>
      </c>
    </row>
    <row r="5199" spans="28:30" x14ac:dyDescent="0.25">
      <c r="AB5199" s="207" t="s">
        <v>56</v>
      </c>
      <c r="AC5199" s="207" t="s">
        <v>5162</v>
      </c>
      <c r="AD5199" s="213">
        <v>8</v>
      </c>
    </row>
    <row r="5200" spans="28:30" x14ac:dyDescent="0.25">
      <c r="AB5200" s="207" t="s">
        <v>249</v>
      </c>
      <c r="AC5200" s="207" t="s">
        <v>5163</v>
      </c>
      <c r="AD5200" s="213">
        <v>7</v>
      </c>
    </row>
    <row r="5201" spans="28:30" x14ac:dyDescent="0.25">
      <c r="AB5201" s="207" t="s">
        <v>1642</v>
      </c>
      <c r="AC5201" s="207" t="s">
        <v>889</v>
      </c>
      <c r="AD5201" s="213">
        <v>8</v>
      </c>
    </row>
    <row r="5202" spans="28:30" x14ac:dyDescent="0.25">
      <c r="AB5202" s="207" t="s">
        <v>1691</v>
      </c>
      <c r="AC5202" s="207" t="s">
        <v>5164</v>
      </c>
      <c r="AD5202" s="213">
        <v>8</v>
      </c>
    </row>
    <row r="5203" spans="28:30" x14ac:dyDescent="0.25">
      <c r="AB5203" s="207" t="s">
        <v>56</v>
      </c>
      <c r="AC5203" s="207" t="s">
        <v>3952</v>
      </c>
      <c r="AD5203" s="213">
        <v>8</v>
      </c>
    </row>
    <row r="5204" spans="28:30" x14ac:dyDescent="0.25">
      <c r="AB5204" s="207" t="s">
        <v>217</v>
      </c>
      <c r="AC5204" s="207" t="s">
        <v>5165</v>
      </c>
      <c r="AD5204" s="213">
        <v>7</v>
      </c>
    </row>
    <row r="5205" spans="28:30" x14ac:dyDescent="0.25">
      <c r="AB5205" s="207" t="s">
        <v>373</v>
      </c>
      <c r="AC5205" s="207" t="s">
        <v>5166</v>
      </c>
      <c r="AD5205" s="213">
        <v>7</v>
      </c>
    </row>
    <row r="5206" spans="28:30" x14ac:dyDescent="0.25">
      <c r="AB5206" s="207" t="s">
        <v>56</v>
      </c>
      <c r="AC5206" s="207" t="s">
        <v>4053</v>
      </c>
      <c r="AD5206" s="213">
        <v>8</v>
      </c>
    </row>
    <row r="5207" spans="28:30" x14ac:dyDescent="0.25">
      <c r="AB5207" s="207" t="s">
        <v>56</v>
      </c>
      <c r="AC5207" s="207" t="s">
        <v>5167</v>
      </c>
      <c r="AD5207" s="213">
        <v>8</v>
      </c>
    </row>
    <row r="5208" spans="28:30" x14ac:dyDescent="0.25">
      <c r="AB5208" s="207" t="s">
        <v>1691</v>
      </c>
      <c r="AC5208" s="207" t="s">
        <v>5168</v>
      </c>
      <c r="AD5208" s="213">
        <v>8</v>
      </c>
    </row>
    <row r="5209" spans="28:30" x14ac:dyDescent="0.25">
      <c r="AB5209" s="207" t="s">
        <v>1691</v>
      </c>
      <c r="AC5209" s="207" t="s">
        <v>5169</v>
      </c>
      <c r="AD5209" s="213">
        <v>8</v>
      </c>
    </row>
    <row r="5210" spans="28:30" x14ac:dyDescent="0.25">
      <c r="AB5210" s="207" t="s">
        <v>206</v>
      </c>
      <c r="AC5210" s="207" t="s">
        <v>5170</v>
      </c>
      <c r="AD5210" s="213">
        <v>8</v>
      </c>
    </row>
    <row r="5211" spans="28:30" x14ac:dyDescent="0.25">
      <c r="AB5211" s="207" t="s">
        <v>217</v>
      </c>
      <c r="AC5211" s="207" t="s">
        <v>2516</v>
      </c>
      <c r="AD5211" s="213">
        <v>7</v>
      </c>
    </row>
    <row r="5212" spans="28:30" x14ac:dyDescent="0.25">
      <c r="AB5212" s="207" t="s">
        <v>1691</v>
      </c>
      <c r="AC5212" s="207" t="s">
        <v>5171</v>
      </c>
      <c r="AD5212" s="213">
        <v>8</v>
      </c>
    </row>
    <row r="5213" spans="28:30" x14ac:dyDescent="0.25">
      <c r="AB5213" s="207" t="s">
        <v>1691</v>
      </c>
      <c r="AC5213" s="207" t="s">
        <v>5172</v>
      </c>
      <c r="AD5213" s="213">
        <v>8</v>
      </c>
    </row>
    <row r="5214" spans="28:30" x14ac:dyDescent="0.25">
      <c r="AB5214" s="207" t="s">
        <v>56</v>
      </c>
      <c r="AC5214" s="207" t="s">
        <v>5173</v>
      </c>
      <c r="AD5214" s="213">
        <v>8</v>
      </c>
    </row>
    <row r="5215" spans="28:30" x14ac:dyDescent="0.25">
      <c r="AB5215" s="207" t="s">
        <v>1691</v>
      </c>
      <c r="AC5215" s="207" t="s">
        <v>2819</v>
      </c>
      <c r="AD5215" s="213">
        <v>8</v>
      </c>
    </row>
    <row r="5216" spans="28:30" x14ac:dyDescent="0.25">
      <c r="AB5216" s="207" t="s">
        <v>56</v>
      </c>
      <c r="AC5216" s="207" t="s">
        <v>5174</v>
      </c>
      <c r="AD5216" s="213">
        <v>8</v>
      </c>
    </row>
    <row r="5217" spans="28:30" x14ac:dyDescent="0.25">
      <c r="AB5217" s="207" t="s">
        <v>1715</v>
      </c>
      <c r="AC5217" s="207" t="s">
        <v>5175</v>
      </c>
      <c r="AD5217" s="213">
        <v>7</v>
      </c>
    </row>
    <row r="5218" spans="28:30" x14ac:dyDescent="0.25">
      <c r="AB5218" s="207" t="s">
        <v>1691</v>
      </c>
      <c r="AC5218" s="207" t="s">
        <v>5176</v>
      </c>
      <c r="AD5218" s="213">
        <v>8</v>
      </c>
    </row>
    <row r="5219" spans="28:30" x14ac:dyDescent="0.25">
      <c r="AB5219" s="207" t="s">
        <v>1691</v>
      </c>
      <c r="AC5219" s="207" t="s">
        <v>3101</v>
      </c>
      <c r="AD5219" s="213">
        <v>8</v>
      </c>
    </row>
    <row r="5220" spans="28:30" x14ac:dyDescent="0.25">
      <c r="AB5220" s="207" t="s">
        <v>1691</v>
      </c>
      <c r="AC5220" s="207" t="s">
        <v>2302</v>
      </c>
      <c r="AD5220" s="213">
        <v>8</v>
      </c>
    </row>
    <row r="5221" spans="28:30" x14ac:dyDescent="0.25">
      <c r="AB5221" s="207" t="s">
        <v>3847</v>
      </c>
      <c r="AC5221" s="207" t="s">
        <v>5177</v>
      </c>
      <c r="AD5221" s="213">
        <v>8</v>
      </c>
    </row>
    <row r="5222" spans="28:30" x14ac:dyDescent="0.25">
      <c r="AB5222" s="207" t="s">
        <v>249</v>
      </c>
      <c r="AC5222" s="207" t="s">
        <v>5178</v>
      </c>
      <c r="AD5222" s="213">
        <v>6</v>
      </c>
    </row>
    <row r="5223" spans="28:30" x14ac:dyDescent="0.25">
      <c r="AB5223" s="207" t="s">
        <v>1691</v>
      </c>
      <c r="AC5223" s="207" t="s">
        <v>4872</v>
      </c>
      <c r="AD5223" s="213">
        <v>8</v>
      </c>
    </row>
    <row r="5224" spans="28:30" x14ac:dyDescent="0.25">
      <c r="AB5224" s="207" t="s">
        <v>249</v>
      </c>
      <c r="AC5224" s="207" t="s">
        <v>5179</v>
      </c>
      <c r="AD5224" s="213">
        <v>6</v>
      </c>
    </row>
    <row r="5225" spans="28:30" x14ac:dyDescent="0.25">
      <c r="AB5225" s="207" t="s">
        <v>1691</v>
      </c>
      <c r="AC5225" s="207" t="s">
        <v>5180</v>
      </c>
      <c r="AD5225" s="213">
        <v>8</v>
      </c>
    </row>
    <row r="5226" spans="28:30" x14ac:dyDescent="0.25">
      <c r="AB5226" s="207" t="s">
        <v>56</v>
      </c>
      <c r="AC5226" s="207" t="s">
        <v>5181</v>
      </c>
      <c r="AD5226" s="213">
        <v>8</v>
      </c>
    </row>
    <row r="5227" spans="28:30" x14ac:dyDescent="0.25">
      <c r="AB5227" s="207" t="s">
        <v>1691</v>
      </c>
      <c r="AC5227" s="207" t="s">
        <v>5182</v>
      </c>
      <c r="AD5227" s="213">
        <v>8</v>
      </c>
    </row>
    <row r="5228" spans="28:30" x14ac:dyDescent="0.25">
      <c r="AB5228" s="207" t="s">
        <v>1691</v>
      </c>
      <c r="AC5228" s="207" t="s">
        <v>5183</v>
      </c>
      <c r="AD5228" s="213">
        <v>8</v>
      </c>
    </row>
    <row r="5229" spans="28:30" x14ac:dyDescent="0.25">
      <c r="AB5229" s="207" t="s">
        <v>1691</v>
      </c>
      <c r="AC5229" s="207" t="s">
        <v>5184</v>
      </c>
      <c r="AD5229" s="213">
        <v>8</v>
      </c>
    </row>
    <row r="5230" spans="28:30" x14ac:dyDescent="0.25">
      <c r="AB5230" s="207" t="s">
        <v>1738</v>
      </c>
      <c r="AC5230" s="207" t="s">
        <v>5185</v>
      </c>
      <c r="AD5230" s="213">
        <v>7</v>
      </c>
    </row>
    <row r="5231" spans="28:30" x14ac:dyDescent="0.25">
      <c r="AB5231" s="207" t="s">
        <v>373</v>
      </c>
      <c r="AC5231" s="207" t="s">
        <v>1411</v>
      </c>
      <c r="AD5231" s="213">
        <v>7</v>
      </c>
    </row>
    <row r="5232" spans="28:30" x14ac:dyDescent="0.25">
      <c r="AB5232" s="207" t="s">
        <v>56</v>
      </c>
      <c r="AC5232" s="207" t="s">
        <v>5186</v>
      </c>
      <c r="AD5232" s="213">
        <v>8</v>
      </c>
    </row>
    <row r="5233" spans="28:30" x14ac:dyDescent="0.25">
      <c r="AB5233" s="207" t="s">
        <v>1738</v>
      </c>
      <c r="AC5233" s="207" t="s">
        <v>5187</v>
      </c>
      <c r="AD5233" s="213">
        <v>7</v>
      </c>
    </row>
    <row r="5234" spans="28:30" x14ac:dyDescent="0.25">
      <c r="AB5234" s="207" t="s">
        <v>3847</v>
      </c>
      <c r="AC5234" s="207" t="s">
        <v>5188</v>
      </c>
      <c r="AD5234" s="213">
        <v>8</v>
      </c>
    </row>
    <row r="5235" spans="28:30" x14ac:dyDescent="0.25">
      <c r="AB5235" s="207" t="s">
        <v>56</v>
      </c>
      <c r="AC5235" s="207" t="s">
        <v>5189</v>
      </c>
      <c r="AD5235" s="213">
        <v>8</v>
      </c>
    </row>
    <row r="5236" spans="28:30" x14ac:dyDescent="0.25">
      <c r="AB5236" s="207" t="s">
        <v>1738</v>
      </c>
      <c r="AC5236" s="207" t="s">
        <v>5190</v>
      </c>
      <c r="AD5236" s="213">
        <v>7</v>
      </c>
    </row>
    <row r="5237" spans="28:30" x14ac:dyDescent="0.25">
      <c r="AB5237" s="207" t="s">
        <v>1691</v>
      </c>
      <c r="AC5237" s="207" t="s">
        <v>526</v>
      </c>
      <c r="AD5237" s="213">
        <v>8</v>
      </c>
    </row>
    <row r="5238" spans="28:30" x14ac:dyDescent="0.25">
      <c r="AB5238" s="207" t="s">
        <v>217</v>
      </c>
      <c r="AC5238" s="207" t="s">
        <v>5191</v>
      </c>
      <c r="AD5238" s="213">
        <v>6</v>
      </c>
    </row>
    <row r="5239" spans="28:30" x14ac:dyDescent="0.25">
      <c r="AB5239" s="207" t="s">
        <v>3845</v>
      </c>
      <c r="AC5239" s="207" t="s">
        <v>5192</v>
      </c>
      <c r="AD5239" s="213">
        <v>7</v>
      </c>
    </row>
    <row r="5240" spans="28:30" x14ac:dyDescent="0.25">
      <c r="AB5240" s="207" t="s">
        <v>1738</v>
      </c>
      <c r="AC5240" s="207" t="s">
        <v>5193</v>
      </c>
      <c r="AD5240" s="213">
        <v>7</v>
      </c>
    </row>
    <row r="5241" spans="28:30" x14ac:dyDescent="0.25">
      <c r="AB5241" s="207" t="s">
        <v>1738</v>
      </c>
      <c r="AC5241" s="207" t="s">
        <v>4992</v>
      </c>
      <c r="AD5241" s="213">
        <v>7</v>
      </c>
    </row>
    <row r="5242" spans="28:30" x14ac:dyDescent="0.25">
      <c r="AB5242" s="207" t="s">
        <v>1715</v>
      </c>
      <c r="AC5242" s="207" t="s">
        <v>5194</v>
      </c>
      <c r="AD5242" s="213">
        <v>7</v>
      </c>
    </row>
    <row r="5243" spans="28:30" x14ac:dyDescent="0.25">
      <c r="AB5243" s="207" t="s">
        <v>249</v>
      </c>
      <c r="AC5243" s="207" t="s">
        <v>5195</v>
      </c>
      <c r="AD5243" s="213">
        <v>5</v>
      </c>
    </row>
    <row r="5244" spans="28:30" x14ac:dyDescent="0.25">
      <c r="AB5244" s="207" t="s">
        <v>3845</v>
      </c>
      <c r="AC5244" s="207" t="s">
        <v>5196</v>
      </c>
      <c r="AD5244" s="213">
        <v>7</v>
      </c>
    </row>
    <row r="5245" spans="28:30" x14ac:dyDescent="0.25">
      <c r="AB5245" s="207" t="s">
        <v>1691</v>
      </c>
      <c r="AC5245" s="207" t="s">
        <v>5197</v>
      </c>
      <c r="AD5245" s="213">
        <v>8</v>
      </c>
    </row>
    <row r="5246" spans="28:30" x14ac:dyDescent="0.25">
      <c r="AB5246" s="207" t="s">
        <v>1738</v>
      </c>
      <c r="AC5246" s="207" t="s">
        <v>5198</v>
      </c>
      <c r="AD5246" s="213">
        <v>7</v>
      </c>
    </row>
    <row r="5247" spans="28:30" x14ac:dyDescent="0.25">
      <c r="AB5247" s="207" t="s">
        <v>1738</v>
      </c>
      <c r="AC5247" s="207" t="s">
        <v>5199</v>
      </c>
      <c r="AD5247" s="213">
        <v>7</v>
      </c>
    </row>
    <row r="5248" spans="28:30" x14ac:dyDescent="0.25">
      <c r="AB5248" s="207" t="s">
        <v>1691</v>
      </c>
      <c r="AC5248" s="207" t="s">
        <v>4553</v>
      </c>
      <c r="AD5248" s="213">
        <v>8</v>
      </c>
    </row>
    <row r="5249" spans="28:30" x14ac:dyDescent="0.25">
      <c r="AB5249" s="207" t="s">
        <v>1691</v>
      </c>
      <c r="AC5249" s="207" t="s">
        <v>5200</v>
      </c>
      <c r="AD5249" s="213">
        <v>8</v>
      </c>
    </row>
    <row r="5250" spans="28:30" x14ac:dyDescent="0.25">
      <c r="AB5250" s="207" t="s">
        <v>1691</v>
      </c>
      <c r="AC5250" s="207" t="s">
        <v>5201</v>
      </c>
      <c r="AD5250" s="213">
        <v>8</v>
      </c>
    </row>
    <row r="5251" spans="28:30" x14ac:dyDescent="0.25">
      <c r="AB5251" s="207" t="s">
        <v>1691</v>
      </c>
      <c r="AC5251" s="207" t="s">
        <v>5202</v>
      </c>
      <c r="AD5251" s="213">
        <v>8</v>
      </c>
    </row>
    <row r="5252" spans="28:30" x14ac:dyDescent="0.25">
      <c r="AB5252" s="207" t="s">
        <v>1738</v>
      </c>
      <c r="AC5252" s="207" t="s">
        <v>5203</v>
      </c>
      <c r="AD5252" s="213">
        <v>7</v>
      </c>
    </row>
    <row r="5253" spans="28:30" x14ac:dyDescent="0.25">
      <c r="AB5253" s="207" t="s">
        <v>1691</v>
      </c>
      <c r="AC5253" s="207" t="s">
        <v>5204</v>
      </c>
      <c r="AD5253" s="213">
        <v>8</v>
      </c>
    </row>
    <row r="5254" spans="28:30" x14ac:dyDescent="0.25">
      <c r="AB5254" s="207" t="s">
        <v>217</v>
      </c>
      <c r="AC5254" s="207" t="s">
        <v>4750</v>
      </c>
      <c r="AD5254" s="213">
        <v>7</v>
      </c>
    </row>
    <row r="5255" spans="28:30" x14ac:dyDescent="0.25">
      <c r="AB5255" s="207" t="s">
        <v>1691</v>
      </c>
      <c r="AC5255" s="207" t="s">
        <v>5205</v>
      </c>
      <c r="AD5255" s="213">
        <v>8</v>
      </c>
    </row>
    <row r="5256" spans="28:30" x14ac:dyDescent="0.25">
      <c r="AB5256" s="207" t="s">
        <v>1691</v>
      </c>
      <c r="AC5256" s="207" t="s">
        <v>5206</v>
      </c>
      <c r="AD5256" s="213">
        <v>8</v>
      </c>
    </row>
    <row r="5257" spans="28:30" x14ac:dyDescent="0.25">
      <c r="AB5257" s="207" t="s">
        <v>1918</v>
      </c>
      <c r="AC5257" s="207" t="s">
        <v>1129</v>
      </c>
      <c r="AD5257" s="213">
        <v>7</v>
      </c>
    </row>
    <row r="5258" spans="28:30" x14ac:dyDescent="0.25">
      <c r="AB5258" s="207" t="s">
        <v>1738</v>
      </c>
      <c r="AC5258" s="207" t="s">
        <v>5207</v>
      </c>
      <c r="AD5258" s="213">
        <v>7</v>
      </c>
    </row>
    <row r="5259" spans="28:30" x14ac:dyDescent="0.25">
      <c r="AB5259" s="207" t="s">
        <v>1691</v>
      </c>
      <c r="AC5259" s="207" t="s">
        <v>5208</v>
      </c>
      <c r="AD5259" s="213">
        <v>8</v>
      </c>
    </row>
    <row r="5260" spans="28:30" x14ac:dyDescent="0.25">
      <c r="AB5260" s="207" t="s">
        <v>2173</v>
      </c>
      <c r="AC5260" s="207" t="s">
        <v>5209</v>
      </c>
      <c r="AD5260" s="213">
        <v>8</v>
      </c>
    </row>
    <row r="5261" spans="28:30" x14ac:dyDescent="0.25">
      <c r="AB5261" s="207" t="s">
        <v>1691</v>
      </c>
      <c r="AC5261" s="207" t="s">
        <v>5210</v>
      </c>
      <c r="AD5261" s="213">
        <v>8</v>
      </c>
    </row>
    <row r="5262" spans="28:30" x14ac:dyDescent="0.25">
      <c r="AB5262" s="207" t="s">
        <v>1738</v>
      </c>
      <c r="AC5262" s="207" t="s">
        <v>5211</v>
      </c>
      <c r="AD5262" s="213">
        <v>7</v>
      </c>
    </row>
    <row r="5263" spans="28:30" x14ac:dyDescent="0.25">
      <c r="AB5263" s="207" t="s">
        <v>1738</v>
      </c>
      <c r="AC5263" s="207" t="s">
        <v>1566</v>
      </c>
      <c r="AD5263" s="213">
        <v>7</v>
      </c>
    </row>
    <row r="5264" spans="28:30" x14ac:dyDescent="0.25">
      <c r="AB5264" s="207" t="s">
        <v>56</v>
      </c>
      <c r="AC5264" s="207" t="s">
        <v>5212</v>
      </c>
      <c r="AD5264" s="213">
        <v>8</v>
      </c>
    </row>
    <row r="5265" spans="28:30" x14ac:dyDescent="0.25">
      <c r="AB5265" s="207" t="s">
        <v>3845</v>
      </c>
      <c r="AC5265" s="207" t="s">
        <v>5213</v>
      </c>
      <c r="AD5265" s="213">
        <v>7</v>
      </c>
    </row>
    <row r="5266" spans="28:30" x14ac:dyDescent="0.25">
      <c r="AB5266" s="207" t="s">
        <v>1691</v>
      </c>
      <c r="AC5266" s="207" t="s">
        <v>5214</v>
      </c>
      <c r="AD5266" s="213">
        <v>8</v>
      </c>
    </row>
    <row r="5267" spans="28:30" x14ac:dyDescent="0.25">
      <c r="AB5267" s="207" t="s">
        <v>3845</v>
      </c>
      <c r="AC5267" s="207" t="s">
        <v>5215</v>
      </c>
      <c r="AD5267" s="213">
        <v>7</v>
      </c>
    </row>
    <row r="5268" spans="28:30" x14ac:dyDescent="0.25">
      <c r="AB5268" s="207" t="s">
        <v>1691</v>
      </c>
      <c r="AC5268" s="207" t="s">
        <v>5216</v>
      </c>
      <c r="AD5268" s="213">
        <v>8</v>
      </c>
    </row>
    <row r="5269" spans="28:30" x14ac:dyDescent="0.25">
      <c r="AB5269" s="207" t="s">
        <v>1738</v>
      </c>
      <c r="AC5269" s="207" t="s">
        <v>5217</v>
      </c>
      <c r="AD5269" s="213">
        <v>7</v>
      </c>
    </row>
    <row r="5270" spans="28:30" x14ac:dyDescent="0.25">
      <c r="AB5270" s="207" t="s">
        <v>56</v>
      </c>
      <c r="AC5270" s="207" t="s">
        <v>5218</v>
      </c>
      <c r="AD5270" s="213">
        <v>8</v>
      </c>
    </row>
    <row r="5271" spans="28:30" x14ac:dyDescent="0.25">
      <c r="AB5271" s="207" t="s">
        <v>217</v>
      </c>
      <c r="AC5271" s="207" t="s">
        <v>1132</v>
      </c>
      <c r="AD5271" s="213">
        <v>8</v>
      </c>
    </row>
    <row r="5272" spans="28:30" x14ac:dyDescent="0.25">
      <c r="AB5272" s="207" t="s">
        <v>1738</v>
      </c>
      <c r="AC5272" s="207" t="s">
        <v>5219</v>
      </c>
      <c r="AD5272" s="213">
        <v>7</v>
      </c>
    </row>
    <row r="5273" spans="28:30" x14ac:dyDescent="0.25">
      <c r="AB5273" s="207" t="s">
        <v>1738</v>
      </c>
      <c r="AC5273" s="207" t="s">
        <v>5220</v>
      </c>
      <c r="AD5273" s="213">
        <v>7</v>
      </c>
    </row>
    <row r="5274" spans="28:30" x14ac:dyDescent="0.25">
      <c r="AB5274" s="207" t="s">
        <v>1738</v>
      </c>
      <c r="AC5274" s="207" t="s">
        <v>4239</v>
      </c>
      <c r="AD5274" s="213">
        <v>6</v>
      </c>
    </row>
    <row r="5275" spans="28:30" x14ac:dyDescent="0.25">
      <c r="AB5275" s="207" t="s">
        <v>2160</v>
      </c>
      <c r="AC5275" s="207" t="s">
        <v>5221</v>
      </c>
      <c r="AD5275" s="213">
        <v>8</v>
      </c>
    </row>
    <row r="5276" spans="28:30" x14ac:dyDescent="0.25">
      <c r="AB5276" s="207" t="s">
        <v>249</v>
      </c>
      <c r="AC5276" s="207" t="s">
        <v>5222</v>
      </c>
      <c r="AD5276" s="213">
        <v>6</v>
      </c>
    </row>
    <row r="5277" spans="28:30" x14ac:dyDescent="0.25">
      <c r="AB5277" s="207" t="s">
        <v>29</v>
      </c>
      <c r="AC5277" s="207" t="s">
        <v>5223</v>
      </c>
      <c r="AD5277" s="213">
        <v>8</v>
      </c>
    </row>
    <row r="5278" spans="28:30" x14ac:dyDescent="0.25">
      <c r="AB5278" s="207" t="s">
        <v>373</v>
      </c>
      <c r="AC5278" s="207" t="s">
        <v>5224</v>
      </c>
      <c r="AD5278" s="213">
        <v>6</v>
      </c>
    </row>
    <row r="5279" spans="28:30" x14ac:dyDescent="0.25">
      <c r="AB5279" s="207" t="s">
        <v>249</v>
      </c>
      <c r="AC5279" s="207" t="s">
        <v>5225</v>
      </c>
      <c r="AD5279" s="213">
        <v>6</v>
      </c>
    </row>
    <row r="5280" spans="28:30" x14ac:dyDescent="0.25">
      <c r="AB5280" s="207" t="s">
        <v>1738</v>
      </c>
      <c r="AC5280" s="207" t="s">
        <v>5226</v>
      </c>
      <c r="AD5280" s="213">
        <v>7</v>
      </c>
    </row>
    <row r="5281" spans="28:30" x14ac:dyDescent="0.25">
      <c r="AB5281" s="207" t="s">
        <v>249</v>
      </c>
      <c r="AC5281" s="207" t="s">
        <v>5227</v>
      </c>
      <c r="AD5281" s="213">
        <v>6</v>
      </c>
    </row>
    <row r="5282" spans="28:30" x14ac:dyDescent="0.25">
      <c r="AB5282" s="207" t="s">
        <v>1918</v>
      </c>
      <c r="AC5282" s="207" t="s">
        <v>5228</v>
      </c>
      <c r="AD5282" s="213">
        <v>7</v>
      </c>
    </row>
    <row r="5283" spans="28:30" x14ac:dyDescent="0.25">
      <c r="AB5283" s="207" t="s">
        <v>3847</v>
      </c>
      <c r="AC5283" s="207" t="s">
        <v>5229</v>
      </c>
      <c r="AD5283" s="213">
        <v>8</v>
      </c>
    </row>
    <row r="5284" spans="28:30" x14ac:dyDescent="0.25">
      <c r="AB5284" s="207" t="s">
        <v>1738</v>
      </c>
      <c r="AC5284" s="207" t="s">
        <v>5230</v>
      </c>
      <c r="AD5284" s="213">
        <v>7</v>
      </c>
    </row>
    <row r="5285" spans="28:30" x14ac:dyDescent="0.25">
      <c r="AB5285" s="207" t="s">
        <v>1691</v>
      </c>
      <c r="AC5285" s="207" t="s">
        <v>2156</v>
      </c>
      <c r="AD5285" s="213">
        <v>8</v>
      </c>
    </row>
    <row r="5286" spans="28:30" x14ac:dyDescent="0.25">
      <c r="AB5286" s="207" t="s">
        <v>1738</v>
      </c>
      <c r="AC5286" s="207" t="s">
        <v>5231</v>
      </c>
      <c r="AD5286" s="213">
        <v>7</v>
      </c>
    </row>
    <row r="5287" spans="28:30" x14ac:dyDescent="0.25">
      <c r="AB5287" s="207" t="s">
        <v>1738</v>
      </c>
      <c r="AC5287" s="207" t="s">
        <v>5232</v>
      </c>
      <c r="AD5287" s="213">
        <v>7</v>
      </c>
    </row>
    <row r="5288" spans="28:30" x14ac:dyDescent="0.25">
      <c r="AB5288" s="207" t="s">
        <v>1918</v>
      </c>
      <c r="AC5288" s="207" t="s">
        <v>5233</v>
      </c>
      <c r="AD5288" s="213">
        <v>7</v>
      </c>
    </row>
    <row r="5289" spans="28:30" x14ac:dyDescent="0.25">
      <c r="AB5289" s="207" t="s">
        <v>1738</v>
      </c>
      <c r="AC5289" s="207" t="s">
        <v>1505</v>
      </c>
      <c r="AD5289" s="213">
        <v>7</v>
      </c>
    </row>
    <row r="5290" spans="28:30" x14ac:dyDescent="0.25">
      <c r="AB5290" s="207" t="s">
        <v>217</v>
      </c>
      <c r="AC5290" s="207" t="s">
        <v>5234</v>
      </c>
      <c r="AD5290" s="213">
        <v>8</v>
      </c>
    </row>
    <row r="5291" spans="28:30" x14ac:dyDescent="0.25">
      <c r="AB5291" s="207" t="s">
        <v>1738</v>
      </c>
      <c r="AC5291" s="207" t="s">
        <v>5235</v>
      </c>
      <c r="AD5291" s="213">
        <v>7</v>
      </c>
    </row>
    <row r="5292" spans="28:30" x14ac:dyDescent="0.25">
      <c r="AB5292" s="207" t="s">
        <v>1738</v>
      </c>
      <c r="AC5292" s="207" t="s">
        <v>1318</v>
      </c>
      <c r="AD5292" s="213">
        <v>7</v>
      </c>
    </row>
    <row r="5293" spans="28:30" x14ac:dyDescent="0.25">
      <c r="AB5293" s="207" t="s">
        <v>3845</v>
      </c>
      <c r="AC5293" s="207" t="s">
        <v>5236</v>
      </c>
      <c r="AD5293" s="213">
        <v>7</v>
      </c>
    </row>
    <row r="5294" spans="28:30" x14ac:dyDescent="0.25">
      <c r="AB5294" s="207" t="s">
        <v>1738</v>
      </c>
      <c r="AC5294" s="207" t="s">
        <v>5237</v>
      </c>
      <c r="AD5294" s="213">
        <v>6</v>
      </c>
    </row>
    <row r="5295" spans="28:30" x14ac:dyDescent="0.25">
      <c r="AB5295" s="207" t="s">
        <v>1918</v>
      </c>
      <c r="AC5295" s="207" t="s">
        <v>5238</v>
      </c>
      <c r="AD5295" s="213">
        <v>7</v>
      </c>
    </row>
    <row r="5296" spans="28:30" x14ac:dyDescent="0.25">
      <c r="AB5296" s="207" t="s">
        <v>249</v>
      </c>
      <c r="AC5296" s="207" t="s">
        <v>5239</v>
      </c>
      <c r="AD5296" s="213">
        <v>3</v>
      </c>
    </row>
    <row r="5297" spans="28:30" x14ac:dyDescent="0.25">
      <c r="AB5297" s="207" t="s">
        <v>1738</v>
      </c>
      <c r="AC5297" s="207" t="s">
        <v>5240</v>
      </c>
      <c r="AD5297" s="213">
        <v>7</v>
      </c>
    </row>
    <row r="5298" spans="28:30" x14ac:dyDescent="0.25">
      <c r="AB5298" s="207" t="s">
        <v>1738</v>
      </c>
      <c r="AC5298" s="207" t="s">
        <v>5241</v>
      </c>
      <c r="AD5298" s="213">
        <v>7</v>
      </c>
    </row>
    <row r="5299" spans="28:30" x14ac:dyDescent="0.25">
      <c r="AB5299" s="207" t="s">
        <v>3845</v>
      </c>
      <c r="AC5299" s="207" t="s">
        <v>5242</v>
      </c>
      <c r="AD5299" s="213">
        <v>7</v>
      </c>
    </row>
    <row r="5300" spans="28:30" x14ac:dyDescent="0.25">
      <c r="AB5300" s="207" t="s">
        <v>373</v>
      </c>
      <c r="AC5300" s="207" t="s">
        <v>5243</v>
      </c>
      <c r="AD5300" s="213">
        <v>8</v>
      </c>
    </row>
    <row r="5301" spans="28:30" x14ac:dyDescent="0.25">
      <c r="AB5301" s="207" t="s">
        <v>3845</v>
      </c>
      <c r="AC5301" s="207" t="s">
        <v>5244</v>
      </c>
      <c r="AD5301" s="213">
        <v>7</v>
      </c>
    </row>
    <row r="5302" spans="28:30" x14ac:dyDescent="0.25">
      <c r="AB5302" s="207" t="s">
        <v>1715</v>
      </c>
      <c r="AC5302" s="207" t="s">
        <v>5245</v>
      </c>
      <c r="AD5302" s="213">
        <v>7</v>
      </c>
    </row>
    <row r="5303" spans="28:30" x14ac:dyDescent="0.25">
      <c r="AB5303" s="207" t="s">
        <v>373</v>
      </c>
      <c r="AC5303" s="207" t="s">
        <v>5246</v>
      </c>
      <c r="AD5303" s="213">
        <v>8</v>
      </c>
    </row>
    <row r="5304" spans="28:30" x14ac:dyDescent="0.25">
      <c r="AB5304" s="207" t="s">
        <v>373</v>
      </c>
      <c r="AC5304" s="207" t="s">
        <v>5247</v>
      </c>
      <c r="AD5304" s="213">
        <v>6</v>
      </c>
    </row>
    <row r="5305" spans="28:30" x14ac:dyDescent="0.25">
      <c r="AB5305" s="207" t="s">
        <v>3845</v>
      </c>
      <c r="AC5305" s="207" t="s">
        <v>5248</v>
      </c>
      <c r="AD5305" s="213">
        <v>7</v>
      </c>
    </row>
    <row r="5306" spans="28:30" x14ac:dyDescent="0.25">
      <c r="AB5306" s="207" t="s">
        <v>3845</v>
      </c>
      <c r="AC5306" s="207" t="s">
        <v>5249</v>
      </c>
      <c r="AD5306" s="213">
        <v>7</v>
      </c>
    </row>
    <row r="5307" spans="28:30" x14ac:dyDescent="0.25">
      <c r="AB5307" s="207" t="s">
        <v>3845</v>
      </c>
      <c r="AC5307" s="207" t="s">
        <v>5250</v>
      </c>
      <c r="AD5307" s="213">
        <v>7</v>
      </c>
    </row>
    <row r="5308" spans="28:30" x14ac:dyDescent="0.25">
      <c r="AB5308" s="207" t="s">
        <v>373</v>
      </c>
      <c r="AC5308" s="207" t="s">
        <v>5251</v>
      </c>
      <c r="AD5308" s="213">
        <v>8</v>
      </c>
    </row>
    <row r="5309" spans="28:30" x14ac:dyDescent="0.25">
      <c r="AB5309" s="207" t="s">
        <v>3845</v>
      </c>
      <c r="AC5309" s="207" t="s">
        <v>5252</v>
      </c>
      <c r="AD5309" s="213">
        <v>7</v>
      </c>
    </row>
    <row r="5310" spans="28:30" x14ac:dyDescent="0.25">
      <c r="AB5310" s="207" t="s">
        <v>373</v>
      </c>
      <c r="AC5310" s="207" t="s">
        <v>5253</v>
      </c>
      <c r="AD5310" s="213">
        <v>6</v>
      </c>
    </row>
    <row r="5311" spans="28:30" x14ac:dyDescent="0.25">
      <c r="AB5311" s="207" t="s">
        <v>29</v>
      </c>
      <c r="AC5311" s="207" t="s">
        <v>5254</v>
      </c>
      <c r="AD5311" s="213">
        <v>8</v>
      </c>
    </row>
    <row r="5312" spans="28:30" x14ac:dyDescent="0.25">
      <c r="AB5312" s="207" t="s">
        <v>249</v>
      </c>
      <c r="AC5312" s="207" t="s">
        <v>5255</v>
      </c>
      <c r="AD5312" s="213">
        <v>3</v>
      </c>
    </row>
    <row r="5313" spans="28:30" x14ac:dyDescent="0.25">
      <c r="AB5313" s="207" t="s">
        <v>3845</v>
      </c>
      <c r="AC5313" s="207" t="s">
        <v>5256</v>
      </c>
      <c r="AD5313" s="213">
        <v>7</v>
      </c>
    </row>
    <row r="5314" spans="28:30" x14ac:dyDescent="0.25">
      <c r="AB5314" s="207" t="s">
        <v>1918</v>
      </c>
      <c r="AC5314" s="207" t="s">
        <v>5257</v>
      </c>
      <c r="AD5314" s="213">
        <v>7</v>
      </c>
    </row>
    <row r="5315" spans="28:30" x14ac:dyDescent="0.25">
      <c r="AB5315" s="207" t="s">
        <v>217</v>
      </c>
      <c r="AC5315" s="207" t="s">
        <v>4775</v>
      </c>
      <c r="AD5315" s="213">
        <v>7</v>
      </c>
    </row>
    <row r="5316" spans="28:30" x14ac:dyDescent="0.25">
      <c r="AB5316" s="207" t="s">
        <v>217</v>
      </c>
      <c r="AC5316" s="207" t="s">
        <v>5258</v>
      </c>
      <c r="AD5316" s="213">
        <v>7</v>
      </c>
    </row>
    <row r="5317" spans="28:30" x14ac:dyDescent="0.25">
      <c r="AB5317" s="207" t="s">
        <v>3845</v>
      </c>
      <c r="AC5317" s="207" t="s">
        <v>5259</v>
      </c>
      <c r="AD5317" s="213">
        <v>7</v>
      </c>
    </row>
    <row r="5318" spans="28:30" x14ac:dyDescent="0.25">
      <c r="AB5318" s="207" t="s">
        <v>373</v>
      </c>
      <c r="AC5318" s="207" t="s">
        <v>5260</v>
      </c>
      <c r="AD5318" s="213">
        <v>8</v>
      </c>
    </row>
    <row r="5319" spans="28:30" x14ac:dyDescent="0.25">
      <c r="AB5319" s="207" t="s">
        <v>3845</v>
      </c>
      <c r="AC5319" s="207" t="s">
        <v>5261</v>
      </c>
      <c r="AD5319" s="213">
        <v>7</v>
      </c>
    </row>
    <row r="5320" spans="28:30" x14ac:dyDescent="0.25">
      <c r="AB5320" s="207" t="s">
        <v>3845</v>
      </c>
      <c r="AC5320" s="207" t="s">
        <v>5262</v>
      </c>
      <c r="AD5320" s="213">
        <v>7</v>
      </c>
    </row>
    <row r="5321" spans="28:30" x14ac:dyDescent="0.25">
      <c r="AB5321" s="207" t="s">
        <v>1918</v>
      </c>
      <c r="AC5321" s="207" t="s">
        <v>5263</v>
      </c>
      <c r="AD5321" s="213">
        <v>7</v>
      </c>
    </row>
    <row r="5322" spans="28:30" x14ac:dyDescent="0.25">
      <c r="AB5322" s="207" t="s">
        <v>2173</v>
      </c>
      <c r="AC5322" s="207" t="s">
        <v>5264</v>
      </c>
      <c r="AD5322" s="213">
        <v>8</v>
      </c>
    </row>
    <row r="5323" spans="28:30" x14ac:dyDescent="0.25">
      <c r="AB5323" s="207" t="s">
        <v>3845</v>
      </c>
      <c r="AC5323" s="207" t="s">
        <v>5265</v>
      </c>
      <c r="AD5323" s="213">
        <v>7</v>
      </c>
    </row>
    <row r="5324" spans="28:30" x14ac:dyDescent="0.25">
      <c r="AB5324" s="207" t="s">
        <v>217</v>
      </c>
      <c r="AC5324" s="207" t="s">
        <v>5266</v>
      </c>
      <c r="AD5324" s="213">
        <v>7</v>
      </c>
    </row>
    <row r="5325" spans="28:30" x14ac:dyDescent="0.25">
      <c r="AB5325" s="207" t="s">
        <v>3845</v>
      </c>
      <c r="AC5325" s="207" t="s">
        <v>5267</v>
      </c>
      <c r="AD5325" s="213">
        <v>7</v>
      </c>
    </row>
    <row r="5326" spans="28:30" x14ac:dyDescent="0.25">
      <c r="AB5326" s="207" t="s">
        <v>2173</v>
      </c>
      <c r="AC5326" s="207" t="s">
        <v>5268</v>
      </c>
      <c r="AD5326" s="213">
        <v>8</v>
      </c>
    </row>
    <row r="5327" spans="28:30" x14ac:dyDescent="0.25">
      <c r="AB5327" s="207" t="s">
        <v>3845</v>
      </c>
      <c r="AC5327" s="207" t="s">
        <v>5269</v>
      </c>
      <c r="AD5327" s="213">
        <v>7</v>
      </c>
    </row>
    <row r="5328" spans="28:30" x14ac:dyDescent="0.25">
      <c r="AB5328" s="207" t="s">
        <v>1642</v>
      </c>
      <c r="AC5328" s="207" t="s">
        <v>5270</v>
      </c>
      <c r="AD5328" s="213">
        <v>7</v>
      </c>
    </row>
    <row r="5329" spans="28:30" x14ac:dyDescent="0.25">
      <c r="AB5329" s="207" t="s">
        <v>3845</v>
      </c>
      <c r="AC5329" s="207" t="s">
        <v>5271</v>
      </c>
      <c r="AD5329" s="213">
        <v>7</v>
      </c>
    </row>
    <row r="5330" spans="28:30" x14ac:dyDescent="0.25">
      <c r="AB5330" s="207" t="s">
        <v>3845</v>
      </c>
      <c r="AC5330" s="207" t="s">
        <v>5272</v>
      </c>
      <c r="AD5330" s="213">
        <v>6</v>
      </c>
    </row>
    <row r="5331" spans="28:30" x14ac:dyDescent="0.25">
      <c r="AB5331" s="207" t="s">
        <v>1715</v>
      </c>
      <c r="AC5331" s="207" t="s">
        <v>2633</v>
      </c>
      <c r="AD5331" s="213">
        <v>7</v>
      </c>
    </row>
    <row r="5332" spans="28:30" x14ac:dyDescent="0.25">
      <c r="AB5332" s="207" t="s">
        <v>1738</v>
      </c>
      <c r="AC5332" s="207" t="s">
        <v>1076</v>
      </c>
      <c r="AD5332" s="213">
        <v>6</v>
      </c>
    </row>
    <row r="5333" spans="28:30" x14ac:dyDescent="0.25">
      <c r="AB5333" s="207" t="s">
        <v>1918</v>
      </c>
      <c r="AC5333" s="207" t="s">
        <v>5273</v>
      </c>
      <c r="AD5333" s="213">
        <v>7</v>
      </c>
    </row>
    <row r="5334" spans="28:30" x14ac:dyDescent="0.25">
      <c r="AB5334" s="207" t="s">
        <v>217</v>
      </c>
      <c r="AC5334" s="207" t="s">
        <v>4385</v>
      </c>
      <c r="AD5334" s="213">
        <v>7</v>
      </c>
    </row>
    <row r="5335" spans="28:30" x14ac:dyDescent="0.25">
      <c r="AB5335" s="207" t="s">
        <v>1918</v>
      </c>
      <c r="AC5335" s="207" t="s">
        <v>3239</v>
      </c>
      <c r="AD5335" s="213">
        <v>7</v>
      </c>
    </row>
    <row r="5336" spans="28:30" x14ac:dyDescent="0.25">
      <c r="AB5336" s="207" t="s">
        <v>1715</v>
      </c>
      <c r="AC5336" s="207" t="s">
        <v>5274</v>
      </c>
      <c r="AD5336" s="213">
        <v>6</v>
      </c>
    </row>
    <row r="5337" spans="28:30" x14ac:dyDescent="0.25">
      <c r="AB5337" s="207" t="s">
        <v>373</v>
      </c>
      <c r="AC5337" s="207" t="s">
        <v>4338</v>
      </c>
      <c r="AD5337" s="213">
        <v>6</v>
      </c>
    </row>
    <row r="5338" spans="28:30" x14ac:dyDescent="0.25">
      <c r="AB5338" s="207" t="s">
        <v>2173</v>
      </c>
      <c r="AC5338" s="207" t="s">
        <v>5275</v>
      </c>
      <c r="AD5338" s="213">
        <v>8</v>
      </c>
    </row>
    <row r="5339" spans="28:30" x14ac:dyDescent="0.25">
      <c r="AB5339" s="207" t="s">
        <v>1738</v>
      </c>
      <c r="AC5339" s="207" t="s">
        <v>5276</v>
      </c>
      <c r="AD5339" s="213">
        <v>6</v>
      </c>
    </row>
    <row r="5340" spans="28:30" x14ac:dyDescent="0.25">
      <c r="AB5340" s="207" t="s">
        <v>3845</v>
      </c>
      <c r="AC5340" s="207" t="s">
        <v>5277</v>
      </c>
      <c r="AD5340" s="213">
        <v>7</v>
      </c>
    </row>
    <row r="5341" spans="28:30" x14ac:dyDescent="0.25">
      <c r="AB5341" s="207" t="s">
        <v>1918</v>
      </c>
      <c r="AC5341" s="207" t="s">
        <v>5278</v>
      </c>
      <c r="AD5341" s="213">
        <v>7</v>
      </c>
    </row>
    <row r="5342" spans="28:30" x14ac:dyDescent="0.25">
      <c r="AB5342" s="207" t="s">
        <v>217</v>
      </c>
      <c r="AC5342" s="207" t="s">
        <v>5279</v>
      </c>
      <c r="AD5342" s="213">
        <v>6</v>
      </c>
    </row>
    <row r="5343" spans="28:30" x14ac:dyDescent="0.25">
      <c r="AB5343" s="207" t="s">
        <v>217</v>
      </c>
      <c r="AC5343" s="207" t="s">
        <v>5280</v>
      </c>
      <c r="AD5343" s="213">
        <v>8</v>
      </c>
    </row>
    <row r="5344" spans="28:30" x14ac:dyDescent="0.25">
      <c r="AB5344" s="207" t="s">
        <v>1738</v>
      </c>
      <c r="AC5344" s="207" t="s">
        <v>5281</v>
      </c>
      <c r="AD5344" s="213">
        <v>7</v>
      </c>
    </row>
    <row r="5345" spans="28:30" x14ac:dyDescent="0.25">
      <c r="AB5345" s="207" t="s">
        <v>2173</v>
      </c>
      <c r="AC5345" s="207" t="s">
        <v>5282</v>
      </c>
      <c r="AD5345" s="213">
        <v>8</v>
      </c>
    </row>
    <row r="5346" spans="28:30" x14ac:dyDescent="0.25">
      <c r="AB5346" s="207" t="s">
        <v>1918</v>
      </c>
      <c r="AC5346" s="207" t="s">
        <v>5283</v>
      </c>
      <c r="AD5346" s="213">
        <v>7</v>
      </c>
    </row>
    <row r="5347" spans="28:30" x14ac:dyDescent="0.25">
      <c r="AB5347" s="207" t="s">
        <v>1918</v>
      </c>
      <c r="AC5347" s="207" t="s">
        <v>5284</v>
      </c>
      <c r="AD5347" s="213">
        <v>7</v>
      </c>
    </row>
    <row r="5348" spans="28:30" x14ac:dyDescent="0.25">
      <c r="AB5348" s="207" t="s">
        <v>3845</v>
      </c>
      <c r="AC5348" s="207" t="s">
        <v>5285</v>
      </c>
      <c r="AD5348" s="213">
        <v>7</v>
      </c>
    </row>
    <row r="5349" spans="28:30" x14ac:dyDescent="0.25">
      <c r="AB5349" s="207" t="s">
        <v>373</v>
      </c>
      <c r="AC5349" s="207" t="s">
        <v>5286</v>
      </c>
      <c r="AD5349" s="213">
        <v>6</v>
      </c>
    </row>
    <row r="5350" spans="28:30" x14ac:dyDescent="0.25">
      <c r="AB5350" s="207" t="s">
        <v>373</v>
      </c>
      <c r="AC5350" s="207" t="s">
        <v>5287</v>
      </c>
      <c r="AD5350" s="213">
        <v>6</v>
      </c>
    </row>
    <row r="5351" spans="28:30" x14ac:dyDescent="0.25">
      <c r="AB5351" s="207" t="s">
        <v>2173</v>
      </c>
      <c r="AC5351" s="207" t="s">
        <v>5288</v>
      </c>
      <c r="AD5351" s="213">
        <v>8</v>
      </c>
    </row>
    <row r="5352" spans="28:30" x14ac:dyDescent="0.25">
      <c r="AB5352" s="207" t="s">
        <v>3845</v>
      </c>
      <c r="AC5352" s="207" t="s">
        <v>5289</v>
      </c>
      <c r="AD5352" s="213">
        <v>7</v>
      </c>
    </row>
    <row r="5353" spans="28:30" x14ac:dyDescent="0.25">
      <c r="AB5353" s="207" t="s">
        <v>373</v>
      </c>
      <c r="AC5353" s="207" t="s">
        <v>5290</v>
      </c>
      <c r="AD5353" s="213">
        <v>6</v>
      </c>
    </row>
    <row r="5354" spans="28:30" x14ac:dyDescent="0.25">
      <c r="AB5354" s="207" t="s">
        <v>2173</v>
      </c>
      <c r="AC5354" s="207" t="s">
        <v>5291</v>
      </c>
      <c r="AD5354" s="213">
        <v>8</v>
      </c>
    </row>
    <row r="5355" spans="28:30" x14ac:dyDescent="0.25">
      <c r="AB5355" s="207" t="s">
        <v>3845</v>
      </c>
      <c r="AC5355" s="207" t="s">
        <v>5292</v>
      </c>
      <c r="AD5355" s="213">
        <v>7</v>
      </c>
    </row>
    <row r="5356" spans="28:30" x14ac:dyDescent="0.25">
      <c r="AB5356" s="207" t="s">
        <v>3845</v>
      </c>
      <c r="AC5356" s="207" t="s">
        <v>5293</v>
      </c>
      <c r="AD5356" s="213">
        <v>7</v>
      </c>
    </row>
    <row r="5357" spans="28:30" x14ac:dyDescent="0.25">
      <c r="AB5357" s="207" t="s">
        <v>3845</v>
      </c>
      <c r="AC5357" s="207" t="s">
        <v>5294</v>
      </c>
      <c r="AD5357" s="213">
        <v>6</v>
      </c>
    </row>
    <row r="5358" spans="28:30" x14ac:dyDescent="0.25">
      <c r="AB5358" s="207" t="s">
        <v>3845</v>
      </c>
      <c r="AC5358" s="207" t="s">
        <v>5295</v>
      </c>
      <c r="AD5358" s="213">
        <v>7</v>
      </c>
    </row>
    <row r="5359" spans="28:30" x14ac:dyDescent="0.25">
      <c r="AB5359" s="207" t="s">
        <v>3845</v>
      </c>
      <c r="AC5359" s="207" t="s">
        <v>5296</v>
      </c>
      <c r="AD5359" s="213">
        <v>7</v>
      </c>
    </row>
    <row r="5360" spans="28:30" x14ac:dyDescent="0.25">
      <c r="AB5360" s="207" t="s">
        <v>373</v>
      </c>
      <c r="AC5360" s="207" t="s">
        <v>5297</v>
      </c>
      <c r="AD5360" s="213">
        <v>6</v>
      </c>
    </row>
    <row r="5361" spans="28:30" x14ac:dyDescent="0.25">
      <c r="AB5361" s="207" t="s">
        <v>373</v>
      </c>
      <c r="AC5361" s="207" t="s">
        <v>5298</v>
      </c>
      <c r="AD5361" s="213">
        <v>6</v>
      </c>
    </row>
    <row r="5362" spans="28:30" x14ac:dyDescent="0.25">
      <c r="AB5362" s="207" t="s">
        <v>3845</v>
      </c>
      <c r="AC5362" s="207" t="s">
        <v>3499</v>
      </c>
      <c r="AD5362" s="213">
        <v>7</v>
      </c>
    </row>
    <row r="5363" spans="28:30" x14ac:dyDescent="0.25">
      <c r="AB5363" s="207" t="s">
        <v>2173</v>
      </c>
      <c r="AC5363" s="207" t="s">
        <v>5299</v>
      </c>
      <c r="AD5363" s="213">
        <v>8</v>
      </c>
    </row>
    <row r="5364" spans="28:30" x14ac:dyDescent="0.25">
      <c r="AB5364" s="207" t="s">
        <v>2173</v>
      </c>
      <c r="AC5364" s="207" t="s">
        <v>5300</v>
      </c>
      <c r="AD5364" s="213">
        <v>8</v>
      </c>
    </row>
    <row r="5365" spans="28:30" x14ac:dyDescent="0.25">
      <c r="AB5365" s="207" t="s">
        <v>1642</v>
      </c>
      <c r="AC5365" s="207" t="s">
        <v>5301</v>
      </c>
      <c r="AD5365" s="213">
        <v>7</v>
      </c>
    </row>
    <row r="5366" spans="28:30" x14ac:dyDescent="0.25">
      <c r="AB5366" s="207" t="s">
        <v>1642</v>
      </c>
      <c r="AC5366" s="207" t="s">
        <v>5302</v>
      </c>
      <c r="AD5366" s="213">
        <v>8</v>
      </c>
    </row>
    <row r="5367" spans="28:30" x14ac:dyDescent="0.25">
      <c r="AB5367" s="207" t="s">
        <v>3845</v>
      </c>
      <c r="AC5367" s="207" t="s">
        <v>5303</v>
      </c>
      <c r="AD5367" s="213">
        <v>7</v>
      </c>
    </row>
    <row r="5368" spans="28:30" x14ac:dyDescent="0.25">
      <c r="AB5368" s="207" t="s">
        <v>3845</v>
      </c>
      <c r="AC5368" s="207" t="s">
        <v>5304</v>
      </c>
      <c r="AD5368" s="213">
        <v>7</v>
      </c>
    </row>
    <row r="5369" spans="28:30" x14ac:dyDescent="0.25">
      <c r="AB5369" s="207" t="s">
        <v>2160</v>
      </c>
      <c r="AC5369" s="207" t="s">
        <v>5305</v>
      </c>
      <c r="AD5369" s="213">
        <v>8</v>
      </c>
    </row>
    <row r="5370" spans="28:30" x14ac:dyDescent="0.25">
      <c r="AB5370" s="207" t="s">
        <v>373</v>
      </c>
      <c r="AC5370" s="207" t="s">
        <v>4241</v>
      </c>
      <c r="AD5370" s="213">
        <v>6</v>
      </c>
    </row>
    <row r="5371" spans="28:30" x14ac:dyDescent="0.25">
      <c r="AB5371" s="207" t="s">
        <v>373</v>
      </c>
      <c r="AC5371" s="207" t="s">
        <v>5306</v>
      </c>
      <c r="AD5371" s="213">
        <v>6</v>
      </c>
    </row>
    <row r="5372" spans="28:30" x14ac:dyDescent="0.25">
      <c r="AB5372" s="207" t="s">
        <v>373</v>
      </c>
      <c r="AC5372" s="207" t="s">
        <v>5307</v>
      </c>
      <c r="AD5372" s="213">
        <v>6</v>
      </c>
    </row>
    <row r="5373" spans="28:30" x14ac:dyDescent="0.25">
      <c r="AB5373" s="207" t="s">
        <v>1715</v>
      </c>
      <c r="AC5373" s="207" t="s">
        <v>5308</v>
      </c>
      <c r="AD5373" s="213">
        <v>7</v>
      </c>
    </row>
    <row r="5374" spans="28:30" x14ac:dyDescent="0.25">
      <c r="AB5374" s="207" t="s">
        <v>3845</v>
      </c>
      <c r="AC5374" s="207" t="s">
        <v>5309</v>
      </c>
      <c r="AD5374" s="213">
        <v>7</v>
      </c>
    </row>
    <row r="5375" spans="28:30" x14ac:dyDescent="0.25">
      <c r="AB5375" s="207" t="s">
        <v>2173</v>
      </c>
      <c r="AC5375" s="207" t="s">
        <v>4122</v>
      </c>
      <c r="AD5375" s="213">
        <v>8</v>
      </c>
    </row>
    <row r="5376" spans="28:30" x14ac:dyDescent="0.25">
      <c r="AB5376" s="207" t="s">
        <v>1715</v>
      </c>
      <c r="AC5376" s="207" t="s">
        <v>5310</v>
      </c>
      <c r="AD5376" s="213">
        <v>6</v>
      </c>
    </row>
    <row r="5377" spans="28:30" x14ac:dyDescent="0.25">
      <c r="AB5377" s="207" t="s">
        <v>3845</v>
      </c>
      <c r="AC5377" s="207" t="s">
        <v>5311</v>
      </c>
      <c r="AD5377" s="213">
        <v>7</v>
      </c>
    </row>
    <row r="5378" spans="28:30" x14ac:dyDescent="0.25">
      <c r="AB5378" s="207" t="s">
        <v>3845</v>
      </c>
      <c r="AC5378" s="207" t="s">
        <v>5312</v>
      </c>
      <c r="AD5378" s="213">
        <v>7</v>
      </c>
    </row>
    <row r="5379" spans="28:30" x14ac:dyDescent="0.25">
      <c r="AB5379" s="207" t="s">
        <v>373</v>
      </c>
      <c r="AC5379" s="207" t="s">
        <v>5313</v>
      </c>
      <c r="AD5379" s="213">
        <v>7</v>
      </c>
    </row>
    <row r="5380" spans="28:30" x14ac:dyDescent="0.25">
      <c r="AB5380" s="207" t="s">
        <v>217</v>
      </c>
      <c r="AC5380" s="207" t="s">
        <v>5314</v>
      </c>
      <c r="AD5380" s="213">
        <v>6</v>
      </c>
    </row>
    <row r="5381" spans="28:30" x14ac:dyDescent="0.25">
      <c r="AB5381" s="207" t="s">
        <v>3845</v>
      </c>
      <c r="AC5381" s="207" t="s">
        <v>5315</v>
      </c>
      <c r="AD5381" s="213">
        <v>7</v>
      </c>
    </row>
    <row r="5382" spans="28:30" x14ac:dyDescent="0.25">
      <c r="AB5382" s="207" t="s">
        <v>3845</v>
      </c>
      <c r="AC5382" s="207" t="s">
        <v>5316</v>
      </c>
      <c r="AD5382" s="213">
        <v>7</v>
      </c>
    </row>
    <row r="5383" spans="28:30" x14ac:dyDescent="0.25">
      <c r="AB5383" s="207" t="s">
        <v>3845</v>
      </c>
      <c r="AC5383" s="207" t="s">
        <v>5317</v>
      </c>
      <c r="AD5383" s="213">
        <v>7</v>
      </c>
    </row>
    <row r="5384" spans="28:30" x14ac:dyDescent="0.25">
      <c r="AB5384" s="207" t="s">
        <v>3845</v>
      </c>
      <c r="AC5384" s="207" t="s">
        <v>5318</v>
      </c>
      <c r="AD5384" s="213">
        <v>7</v>
      </c>
    </row>
    <row r="5385" spans="28:30" x14ac:dyDescent="0.25">
      <c r="AB5385" s="207" t="s">
        <v>3845</v>
      </c>
      <c r="AC5385" s="207" t="s">
        <v>5319</v>
      </c>
      <c r="AD5385" s="213">
        <v>7</v>
      </c>
    </row>
    <row r="5386" spans="28:30" x14ac:dyDescent="0.25">
      <c r="AB5386" s="207" t="s">
        <v>3845</v>
      </c>
      <c r="AC5386" s="207" t="s">
        <v>5320</v>
      </c>
      <c r="AD5386" s="213">
        <v>7</v>
      </c>
    </row>
    <row r="5387" spans="28:30" x14ac:dyDescent="0.25">
      <c r="AB5387" s="207" t="s">
        <v>1691</v>
      </c>
      <c r="AC5387" s="207" t="s">
        <v>5321</v>
      </c>
      <c r="AD5387" s="213">
        <v>8</v>
      </c>
    </row>
    <row r="5388" spans="28:30" x14ac:dyDescent="0.25">
      <c r="AB5388" s="207" t="s">
        <v>249</v>
      </c>
      <c r="AC5388" s="207" t="s">
        <v>5322</v>
      </c>
      <c r="AD5388" s="213">
        <v>6</v>
      </c>
    </row>
    <row r="5389" spans="28:30" x14ac:dyDescent="0.25">
      <c r="AB5389" s="207" t="s">
        <v>3845</v>
      </c>
      <c r="AC5389" s="207" t="s">
        <v>5323</v>
      </c>
      <c r="AD5389" s="213">
        <v>8</v>
      </c>
    </row>
    <row r="5390" spans="28:30" x14ac:dyDescent="0.25">
      <c r="AB5390" s="207" t="s">
        <v>249</v>
      </c>
      <c r="AC5390" s="207" t="s">
        <v>4768</v>
      </c>
      <c r="AD5390" s="213">
        <v>6</v>
      </c>
    </row>
    <row r="5391" spans="28:30" x14ac:dyDescent="0.25">
      <c r="AB5391" s="207" t="s">
        <v>3845</v>
      </c>
      <c r="AC5391" s="207" t="s">
        <v>5324</v>
      </c>
      <c r="AD5391" s="213">
        <v>7</v>
      </c>
    </row>
    <row r="5392" spans="28:30" x14ac:dyDescent="0.25">
      <c r="AB5392" s="207" t="s">
        <v>3845</v>
      </c>
      <c r="AC5392" s="207" t="s">
        <v>5325</v>
      </c>
      <c r="AD5392" s="213">
        <v>7</v>
      </c>
    </row>
    <row r="5393" spans="28:30" x14ac:dyDescent="0.25">
      <c r="AB5393" s="207" t="s">
        <v>2173</v>
      </c>
      <c r="AC5393" s="207" t="s">
        <v>5326</v>
      </c>
      <c r="AD5393" s="213">
        <v>8</v>
      </c>
    </row>
    <row r="5394" spans="28:30" x14ac:dyDescent="0.25">
      <c r="AB5394" s="207" t="s">
        <v>1642</v>
      </c>
      <c r="AC5394" s="207" t="s">
        <v>5327</v>
      </c>
      <c r="AD5394" s="213">
        <v>7</v>
      </c>
    </row>
    <row r="5395" spans="28:30" x14ac:dyDescent="0.25">
      <c r="AB5395" s="207" t="s">
        <v>1953</v>
      </c>
      <c r="AC5395" s="207" t="s">
        <v>5328</v>
      </c>
      <c r="AD5395" s="213">
        <v>5</v>
      </c>
    </row>
    <row r="5396" spans="28:30" x14ac:dyDescent="0.25">
      <c r="AB5396" s="207" t="s">
        <v>2160</v>
      </c>
      <c r="AC5396" s="207" t="s">
        <v>5329</v>
      </c>
      <c r="AD5396" s="213">
        <v>5</v>
      </c>
    </row>
    <row r="5397" spans="28:30" x14ac:dyDescent="0.25">
      <c r="AB5397" s="207" t="s">
        <v>3845</v>
      </c>
      <c r="AC5397" s="207" t="s">
        <v>5330</v>
      </c>
      <c r="AD5397" s="213">
        <v>7</v>
      </c>
    </row>
    <row r="5398" spans="28:30" x14ac:dyDescent="0.25">
      <c r="AB5398" s="207" t="s">
        <v>3847</v>
      </c>
      <c r="AC5398" s="207" t="s">
        <v>5331</v>
      </c>
      <c r="AD5398" s="213">
        <v>8</v>
      </c>
    </row>
    <row r="5399" spans="28:30" x14ac:dyDescent="0.25">
      <c r="AB5399" s="207" t="s">
        <v>3845</v>
      </c>
      <c r="AC5399" s="207" t="s">
        <v>5332</v>
      </c>
      <c r="AD5399" s="213">
        <v>7</v>
      </c>
    </row>
    <row r="5400" spans="28:30" x14ac:dyDescent="0.25">
      <c r="AB5400" s="207" t="s">
        <v>1715</v>
      </c>
      <c r="AC5400" s="207" t="s">
        <v>5333</v>
      </c>
      <c r="AD5400" s="213">
        <v>6</v>
      </c>
    </row>
    <row r="5401" spans="28:30" x14ac:dyDescent="0.25">
      <c r="AB5401" s="207" t="s">
        <v>3845</v>
      </c>
      <c r="AC5401" s="207" t="s">
        <v>5334</v>
      </c>
      <c r="AD5401" s="213">
        <v>7</v>
      </c>
    </row>
    <row r="5402" spans="28:30" x14ac:dyDescent="0.25">
      <c r="AB5402" s="207" t="s">
        <v>249</v>
      </c>
      <c r="AC5402" s="207" t="s">
        <v>5335</v>
      </c>
      <c r="AD5402" s="213">
        <v>6</v>
      </c>
    </row>
    <row r="5403" spans="28:30" x14ac:dyDescent="0.25">
      <c r="AB5403" s="207" t="s">
        <v>2173</v>
      </c>
      <c r="AC5403" s="207" t="s">
        <v>5336</v>
      </c>
      <c r="AD5403" s="213">
        <v>8</v>
      </c>
    </row>
    <row r="5404" spans="28:30" x14ac:dyDescent="0.25">
      <c r="AB5404" s="207" t="s">
        <v>373</v>
      </c>
      <c r="AC5404" s="207" t="s">
        <v>5337</v>
      </c>
      <c r="AD5404" s="213">
        <v>6</v>
      </c>
    </row>
    <row r="5405" spans="28:30" x14ac:dyDescent="0.25">
      <c r="AB5405" s="207" t="s">
        <v>373</v>
      </c>
      <c r="AC5405" s="207" t="s">
        <v>5338</v>
      </c>
      <c r="AD5405" s="213">
        <v>6</v>
      </c>
    </row>
    <row r="5406" spans="28:30" x14ac:dyDescent="0.25">
      <c r="AB5406" s="207" t="s">
        <v>2160</v>
      </c>
      <c r="AC5406" s="207" t="s">
        <v>5339</v>
      </c>
      <c r="AD5406" s="213">
        <v>5</v>
      </c>
    </row>
    <row r="5407" spans="28:30" x14ac:dyDescent="0.25">
      <c r="AB5407" s="207" t="s">
        <v>373</v>
      </c>
      <c r="AC5407" s="207" t="s">
        <v>2793</v>
      </c>
      <c r="AD5407" s="213">
        <v>6</v>
      </c>
    </row>
    <row r="5408" spans="28:30" x14ac:dyDescent="0.25">
      <c r="AB5408" s="207" t="s">
        <v>3845</v>
      </c>
      <c r="AC5408" s="207" t="s">
        <v>5340</v>
      </c>
      <c r="AD5408" s="213">
        <v>7</v>
      </c>
    </row>
    <row r="5409" spans="28:30" x14ac:dyDescent="0.25">
      <c r="AB5409" s="207" t="s">
        <v>1715</v>
      </c>
      <c r="AC5409" s="207" t="s">
        <v>5341</v>
      </c>
      <c r="AD5409" s="213">
        <v>6</v>
      </c>
    </row>
    <row r="5410" spans="28:30" x14ac:dyDescent="0.25">
      <c r="AB5410" s="207" t="s">
        <v>3845</v>
      </c>
      <c r="AC5410" s="207" t="s">
        <v>5342</v>
      </c>
      <c r="AD5410" s="213">
        <v>8</v>
      </c>
    </row>
    <row r="5411" spans="28:30" x14ac:dyDescent="0.25">
      <c r="AB5411" s="207" t="s">
        <v>1953</v>
      </c>
      <c r="AC5411" s="207" t="s">
        <v>5343</v>
      </c>
      <c r="AD5411" s="213">
        <v>6</v>
      </c>
    </row>
    <row r="5412" spans="28:30" x14ac:dyDescent="0.25">
      <c r="AB5412" s="207" t="s">
        <v>373</v>
      </c>
      <c r="AC5412" s="207" t="s">
        <v>5344</v>
      </c>
      <c r="AD5412" s="213">
        <v>6</v>
      </c>
    </row>
    <row r="5413" spans="28:30" x14ac:dyDescent="0.25">
      <c r="AB5413" s="207" t="s">
        <v>373</v>
      </c>
      <c r="AC5413" s="207" t="s">
        <v>5345</v>
      </c>
      <c r="AD5413" s="213">
        <v>6</v>
      </c>
    </row>
    <row r="5414" spans="28:30" x14ac:dyDescent="0.25">
      <c r="AB5414" s="207" t="s">
        <v>373</v>
      </c>
      <c r="AC5414" s="207" t="s">
        <v>5346</v>
      </c>
      <c r="AD5414" s="213">
        <v>6</v>
      </c>
    </row>
    <row r="5415" spans="28:30" x14ac:dyDescent="0.25">
      <c r="AB5415" s="207" t="s">
        <v>1715</v>
      </c>
      <c r="AC5415" s="207" t="s">
        <v>5347</v>
      </c>
      <c r="AD5415" s="213">
        <v>6</v>
      </c>
    </row>
    <row r="5416" spans="28:30" x14ac:dyDescent="0.25">
      <c r="AB5416" s="207" t="s">
        <v>3845</v>
      </c>
      <c r="AC5416" s="207" t="s">
        <v>5348</v>
      </c>
      <c r="AD5416" s="213">
        <v>7</v>
      </c>
    </row>
    <row r="5417" spans="28:30" x14ac:dyDescent="0.25">
      <c r="AB5417" s="207" t="s">
        <v>3845</v>
      </c>
      <c r="AC5417" s="207" t="s">
        <v>5349</v>
      </c>
      <c r="AD5417" s="213">
        <v>7</v>
      </c>
    </row>
    <row r="5418" spans="28:30" x14ac:dyDescent="0.25">
      <c r="AB5418" s="207" t="s">
        <v>1715</v>
      </c>
      <c r="AC5418" s="207" t="s">
        <v>2384</v>
      </c>
      <c r="AD5418" s="213">
        <v>6</v>
      </c>
    </row>
    <row r="5419" spans="28:30" x14ac:dyDescent="0.25">
      <c r="AB5419" s="207" t="s">
        <v>2160</v>
      </c>
      <c r="AC5419" s="207" t="s">
        <v>5350</v>
      </c>
      <c r="AD5419" s="213">
        <v>5</v>
      </c>
    </row>
    <row r="5420" spans="28:30" x14ac:dyDescent="0.25">
      <c r="AB5420" s="207" t="s">
        <v>3845</v>
      </c>
      <c r="AC5420" s="207" t="s">
        <v>5351</v>
      </c>
      <c r="AD5420" s="213">
        <v>7</v>
      </c>
    </row>
    <row r="5421" spans="28:30" x14ac:dyDescent="0.25">
      <c r="AB5421" s="207" t="s">
        <v>1715</v>
      </c>
      <c r="AC5421" s="207" t="s">
        <v>5352</v>
      </c>
      <c r="AD5421" s="213">
        <v>6</v>
      </c>
    </row>
    <row r="5422" spans="28:30" x14ac:dyDescent="0.25">
      <c r="AB5422" s="207" t="s">
        <v>3847</v>
      </c>
      <c r="AC5422" s="207" t="s">
        <v>5353</v>
      </c>
      <c r="AD5422" s="213">
        <v>8</v>
      </c>
    </row>
    <row r="5423" spans="28:30" x14ac:dyDescent="0.25">
      <c r="AB5423" s="207" t="s">
        <v>373</v>
      </c>
      <c r="AC5423" s="207" t="s">
        <v>5354</v>
      </c>
      <c r="AD5423" s="213">
        <v>6</v>
      </c>
    </row>
    <row r="5424" spans="28:30" x14ac:dyDescent="0.25">
      <c r="AB5424" s="207" t="s">
        <v>3845</v>
      </c>
      <c r="AC5424" s="207" t="s">
        <v>5355</v>
      </c>
      <c r="AD5424" s="213">
        <v>8</v>
      </c>
    </row>
    <row r="5425" spans="28:30" x14ac:dyDescent="0.25">
      <c r="AB5425" s="207" t="s">
        <v>3845</v>
      </c>
      <c r="AC5425" s="207" t="s">
        <v>5356</v>
      </c>
      <c r="AD5425" s="213">
        <v>7</v>
      </c>
    </row>
    <row r="5426" spans="28:30" x14ac:dyDescent="0.25">
      <c r="AB5426" s="207" t="s">
        <v>3847</v>
      </c>
      <c r="AC5426" s="207" t="s">
        <v>5357</v>
      </c>
      <c r="AD5426" s="213">
        <v>8</v>
      </c>
    </row>
    <row r="5427" spans="28:30" x14ac:dyDescent="0.25">
      <c r="AB5427" s="207" t="s">
        <v>2160</v>
      </c>
      <c r="AC5427" s="207" t="s">
        <v>5358</v>
      </c>
      <c r="AD5427" s="213">
        <v>5</v>
      </c>
    </row>
    <row r="5428" spans="28:30" x14ac:dyDescent="0.25">
      <c r="AB5428" s="207" t="s">
        <v>3845</v>
      </c>
      <c r="AC5428" s="207" t="s">
        <v>5359</v>
      </c>
      <c r="AD5428" s="213">
        <v>7</v>
      </c>
    </row>
    <row r="5429" spans="28:30" x14ac:dyDescent="0.25">
      <c r="AB5429" s="207" t="s">
        <v>373</v>
      </c>
      <c r="AC5429" s="207" t="s">
        <v>5360</v>
      </c>
      <c r="AD5429" s="213">
        <v>7</v>
      </c>
    </row>
    <row r="5430" spans="28:30" x14ac:dyDescent="0.25">
      <c r="AB5430" s="207" t="s">
        <v>3847</v>
      </c>
      <c r="AC5430" s="207" t="s">
        <v>5361</v>
      </c>
      <c r="AD5430" s="213">
        <v>8</v>
      </c>
    </row>
    <row r="5431" spans="28:30" x14ac:dyDescent="0.25">
      <c r="AB5431" s="207" t="s">
        <v>3845</v>
      </c>
      <c r="AC5431" s="207" t="s">
        <v>5362</v>
      </c>
      <c r="AD5431" s="213">
        <v>7</v>
      </c>
    </row>
    <row r="5432" spans="28:30" x14ac:dyDescent="0.25">
      <c r="AB5432" s="207" t="s">
        <v>373</v>
      </c>
      <c r="AC5432" s="207" t="s">
        <v>5363</v>
      </c>
      <c r="AD5432" s="213">
        <v>7</v>
      </c>
    </row>
    <row r="5433" spans="28:30" x14ac:dyDescent="0.25">
      <c r="AB5433" s="207" t="s">
        <v>3847</v>
      </c>
      <c r="AC5433" s="207" t="s">
        <v>5364</v>
      </c>
      <c r="AD5433" s="213">
        <v>8</v>
      </c>
    </row>
    <row r="5434" spans="28:30" x14ac:dyDescent="0.25">
      <c r="AB5434" s="207" t="s">
        <v>1715</v>
      </c>
      <c r="AC5434" s="207" t="s">
        <v>5365</v>
      </c>
      <c r="AD5434" s="213">
        <v>6</v>
      </c>
    </row>
    <row r="5435" spans="28:30" x14ac:dyDescent="0.25">
      <c r="AB5435" s="207" t="s">
        <v>3845</v>
      </c>
      <c r="AC5435" s="207" t="s">
        <v>5366</v>
      </c>
      <c r="AD5435" s="213">
        <v>7</v>
      </c>
    </row>
    <row r="5436" spans="28:30" x14ac:dyDescent="0.25">
      <c r="AB5436" s="207" t="s">
        <v>1715</v>
      </c>
      <c r="AC5436" s="207" t="s">
        <v>5367</v>
      </c>
      <c r="AD5436" s="213">
        <v>6</v>
      </c>
    </row>
    <row r="5437" spans="28:30" x14ac:dyDescent="0.25">
      <c r="AB5437" s="207" t="s">
        <v>3845</v>
      </c>
      <c r="AC5437" s="207" t="s">
        <v>5368</v>
      </c>
      <c r="AD5437" s="213">
        <v>7</v>
      </c>
    </row>
    <row r="5438" spans="28:30" x14ac:dyDescent="0.25">
      <c r="AB5438" s="207" t="s">
        <v>3845</v>
      </c>
      <c r="AC5438" s="207" t="s">
        <v>5369</v>
      </c>
      <c r="AD5438" s="213">
        <v>7</v>
      </c>
    </row>
    <row r="5439" spans="28:30" x14ac:dyDescent="0.25">
      <c r="AB5439" s="207" t="s">
        <v>3845</v>
      </c>
      <c r="AC5439" s="207" t="s">
        <v>5370</v>
      </c>
      <c r="AD5439" s="213">
        <v>7</v>
      </c>
    </row>
    <row r="5440" spans="28:30" x14ac:dyDescent="0.25">
      <c r="AB5440" s="207" t="s">
        <v>3847</v>
      </c>
      <c r="AC5440" s="207" t="s">
        <v>5371</v>
      </c>
      <c r="AD5440" s="213">
        <v>8</v>
      </c>
    </row>
    <row r="5441" spans="28:30" x14ac:dyDescent="0.25">
      <c r="AB5441" s="207" t="s">
        <v>249</v>
      </c>
      <c r="AC5441" s="207" t="s">
        <v>5372</v>
      </c>
      <c r="AD5441" s="213">
        <v>6</v>
      </c>
    </row>
    <row r="5442" spans="28:30" x14ac:dyDescent="0.25">
      <c r="AB5442" s="207" t="s">
        <v>3845</v>
      </c>
      <c r="AC5442" s="207" t="s">
        <v>5373</v>
      </c>
      <c r="AD5442" s="213">
        <v>7</v>
      </c>
    </row>
    <row r="5443" spans="28:30" x14ac:dyDescent="0.25">
      <c r="AB5443" s="207" t="s">
        <v>2160</v>
      </c>
      <c r="AC5443" s="207" t="s">
        <v>5374</v>
      </c>
      <c r="AD5443" s="213">
        <v>5</v>
      </c>
    </row>
    <row r="5444" spans="28:30" x14ac:dyDescent="0.25">
      <c r="AB5444" s="207" t="s">
        <v>3845</v>
      </c>
      <c r="AC5444" s="207" t="s">
        <v>5375</v>
      </c>
      <c r="AD5444" s="213">
        <v>7</v>
      </c>
    </row>
    <row r="5445" spans="28:30" x14ac:dyDescent="0.25">
      <c r="AB5445" s="207" t="s">
        <v>373</v>
      </c>
      <c r="AC5445" s="207" t="s">
        <v>5376</v>
      </c>
      <c r="AD5445" s="213">
        <v>6</v>
      </c>
    </row>
    <row r="5446" spans="28:30" x14ac:dyDescent="0.25">
      <c r="AB5446" s="207" t="s">
        <v>3845</v>
      </c>
      <c r="AC5446" s="207" t="s">
        <v>5377</v>
      </c>
      <c r="AD5446" s="213">
        <v>7</v>
      </c>
    </row>
    <row r="5447" spans="28:30" x14ac:dyDescent="0.25">
      <c r="AB5447" s="207" t="s">
        <v>3845</v>
      </c>
      <c r="AC5447" s="207" t="s">
        <v>5378</v>
      </c>
      <c r="AD5447" s="213">
        <v>8</v>
      </c>
    </row>
    <row r="5448" spans="28:30" x14ac:dyDescent="0.25">
      <c r="AB5448" s="207" t="s">
        <v>3845</v>
      </c>
      <c r="AC5448" s="207" t="s">
        <v>5379</v>
      </c>
      <c r="AD5448" s="213">
        <v>7</v>
      </c>
    </row>
    <row r="5449" spans="28:30" x14ac:dyDescent="0.25">
      <c r="AB5449" s="207" t="s">
        <v>2160</v>
      </c>
      <c r="AC5449" s="207" t="s">
        <v>5380</v>
      </c>
      <c r="AD5449" s="213">
        <v>7</v>
      </c>
    </row>
    <row r="5450" spans="28:30" x14ac:dyDescent="0.25">
      <c r="AB5450" s="207" t="s">
        <v>3847</v>
      </c>
      <c r="AC5450" s="207" t="s">
        <v>5381</v>
      </c>
      <c r="AD5450" s="213">
        <v>8</v>
      </c>
    </row>
    <row r="5451" spans="28:30" x14ac:dyDescent="0.25">
      <c r="AB5451" s="207" t="s">
        <v>3845</v>
      </c>
      <c r="AC5451" s="207" t="s">
        <v>5382</v>
      </c>
      <c r="AD5451" s="213">
        <v>7</v>
      </c>
    </row>
    <row r="5452" spans="28:30" x14ac:dyDescent="0.25">
      <c r="AB5452" s="207" t="s">
        <v>3845</v>
      </c>
      <c r="AC5452" s="207" t="s">
        <v>5383</v>
      </c>
      <c r="AD5452" s="213">
        <v>8</v>
      </c>
    </row>
    <row r="5453" spans="28:30" x14ac:dyDescent="0.25">
      <c r="AB5453" s="207" t="s">
        <v>373</v>
      </c>
      <c r="AC5453" s="207" t="s">
        <v>5384</v>
      </c>
      <c r="AD5453" s="213">
        <v>6</v>
      </c>
    </row>
    <row r="5454" spans="28:30" x14ac:dyDescent="0.25">
      <c r="AB5454" s="207" t="s">
        <v>3845</v>
      </c>
      <c r="AC5454" s="207" t="s">
        <v>5385</v>
      </c>
      <c r="AD5454" s="213">
        <v>7</v>
      </c>
    </row>
    <row r="5455" spans="28:30" x14ac:dyDescent="0.25">
      <c r="AB5455" s="207" t="s">
        <v>2160</v>
      </c>
      <c r="AC5455" s="207" t="s">
        <v>5386</v>
      </c>
      <c r="AD5455" s="213">
        <v>5</v>
      </c>
    </row>
    <row r="5456" spans="28:30" x14ac:dyDescent="0.25">
      <c r="AB5456" s="207" t="s">
        <v>373</v>
      </c>
      <c r="AC5456" s="207" t="s">
        <v>5387</v>
      </c>
      <c r="AD5456" s="213">
        <v>6</v>
      </c>
    </row>
    <row r="5457" spans="28:30" x14ac:dyDescent="0.25">
      <c r="AB5457" s="207" t="s">
        <v>3845</v>
      </c>
      <c r="AC5457" s="207" t="s">
        <v>5388</v>
      </c>
      <c r="AD5457" s="213">
        <v>8</v>
      </c>
    </row>
    <row r="5458" spans="28:30" x14ac:dyDescent="0.25">
      <c r="AB5458" s="207" t="s">
        <v>2160</v>
      </c>
      <c r="AC5458" s="207" t="s">
        <v>5389</v>
      </c>
      <c r="AD5458" s="213">
        <v>5</v>
      </c>
    </row>
    <row r="5459" spans="28:30" x14ac:dyDescent="0.25">
      <c r="AB5459" s="207" t="s">
        <v>3845</v>
      </c>
      <c r="AC5459" s="207" t="s">
        <v>5390</v>
      </c>
      <c r="AD5459" s="213">
        <v>8</v>
      </c>
    </row>
    <row r="5460" spans="28:30" x14ac:dyDescent="0.25">
      <c r="AB5460" s="207" t="s">
        <v>3845</v>
      </c>
      <c r="AC5460" s="207" t="s">
        <v>5391</v>
      </c>
      <c r="AD5460" s="213">
        <v>8</v>
      </c>
    </row>
    <row r="5461" spans="28:30" x14ac:dyDescent="0.25">
      <c r="AB5461" s="207" t="s">
        <v>3845</v>
      </c>
      <c r="AC5461" s="207" t="s">
        <v>5392</v>
      </c>
      <c r="AD5461" s="213">
        <v>7</v>
      </c>
    </row>
    <row r="5462" spans="28:30" x14ac:dyDescent="0.25">
      <c r="AB5462" s="207" t="s">
        <v>3845</v>
      </c>
      <c r="AC5462" s="207" t="s">
        <v>5393</v>
      </c>
      <c r="AD5462" s="213">
        <v>7</v>
      </c>
    </row>
    <row r="5463" spans="28:30" x14ac:dyDescent="0.25">
      <c r="AB5463" s="207" t="s">
        <v>217</v>
      </c>
      <c r="AC5463" s="207" t="s">
        <v>5394</v>
      </c>
      <c r="AD5463" s="213">
        <v>8</v>
      </c>
    </row>
    <row r="5464" spans="28:30" x14ac:dyDescent="0.25">
      <c r="AB5464" s="207" t="s">
        <v>3845</v>
      </c>
      <c r="AC5464" s="207" t="s">
        <v>5395</v>
      </c>
      <c r="AD5464" s="213">
        <v>7</v>
      </c>
    </row>
    <row r="5465" spans="28:30" x14ac:dyDescent="0.25">
      <c r="AB5465" s="207" t="s">
        <v>2160</v>
      </c>
      <c r="AC5465" s="207" t="s">
        <v>5396</v>
      </c>
      <c r="AD5465" s="213">
        <v>7</v>
      </c>
    </row>
    <row r="5466" spans="28:30" x14ac:dyDescent="0.25">
      <c r="AB5466" s="207" t="s">
        <v>249</v>
      </c>
      <c r="AC5466" s="207" t="s">
        <v>5397</v>
      </c>
      <c r="AD5466" s="213">
        <v>6</v>
      </c>
    </row>
    <row r="5467" spans="28:30" x14ac:dyDescent="0.25">
      <c r="AB5467" s="207" t="s">
        <v>3845</v>
      </c>
      <c r="AC5467" s="207" t="s">
        <v>5398</v>
      </c>
      <c r="AD5467" s="213">
        <v>8</v>
      </c>
    </row>
    <row r="5468" spans="28:30" x14ac:dyDescent="0.25">
      <c r="AB5468" s="207" t="s">
        <v>3845</v>
      </c>
      <c r="AC5468" s="207" t="s">
        <v>5399</v>
      </c>
      <c r="AD5468" s="213">
        <v>7</v>
      </c>
    </row>
    <row r="5469" spans="28:30" x14ac:dyDescent="0.25">
      <c r="AB5469" s="207" t="s">
        <v>1715</v>
      </c>
      <c r="AC5469" s="207" t="s">
        <v>5400</v>
      </c>
      <c r="AD5469" s="213">
        <v>6</v>
      </c>
    </row>
    <row r="5470" spans="28:30" x14ac:dyDescent="0.25">
      <c r="AB5470" s="207" t="s">
        <v>3845</v>
      </c>
      <c r="AC5470" s="207" t="s">
        <v>5401</v>
      </c>
      <c r="AD5470" s="213">
        <v>6</v>
      </c>
    </row>
    <row r="5471" spans="28:30" x14ac:dyDescent="0.25">
      <c r="AB5471" s="207" t="s">
        <v>3845</v>
      </c>
      <c r="AC5471" s="207" t="s">
        <v>5402</v>
      </c>
      <c r="AD5471" s="213">
        <v>8</v>
      </c>
    </row>
    <row r="5472" spans="28:30" x14ac:dyDescent="0.25">
      <c r="AB5472" s="207" t="s">
        <v>3845</v>
      </c>
      <c r="AC5472" s="207" t="s">
        <v>5403</v>
      </c>
      <c r="AD5472" s="213">
        <v>7</v>
      </c>
    </row>
    <row r="5473" spans="28:30" x14ac:dyDescent="0.25">
      <c r="AB5473" s="207" t="s">
        <v>3845</v>
      </c>
      <c r="AC5473" s="207" t="s">
        <v>5404</v>
      </c>
      <c r="AD5473" s="213">
        <v>7</v>
      </c>
    </row>
    <row r="5474" spans="28:30" x14ac:dyDescent="0.25">
      <c r="AB5474" s="207" t="s">
        <v>3845</v>
      </c>
      <c r="AC5474" s="207" t="s">
        <v>5405</v>
      </c>
      <c r="AD5474" s="213">
        <v>7</v>
      </c>
    </row>
    <row r="5475" spans="28:30" x14ac:dyDescent="0.25">
      <c r="AB5475" s="207" t="s">
        <v>1715</v>
      </c>
      <c r="AC5475" s="207" t="s">
        <v>5406</v>
      </c>
      <c r="AD5475" s="213">
        <v>6</v>
      </c>
    </row>
    <row r="5476" spans="28:30" x14ac:dyDescent="0.25">
      <c r="AB5476" s="207" t="s">
        <v>2160</v>
      </c>
      <c r="AC5476" s="207" t="s">
        <v>5407</v>
      </c>
      <c r="AD5476" s="213">
        <v>7</v>
      </c>
    </row>
    <row r="5477" spans="28:30" x14ac:dyDescent="0.25">
      <c r="AB5477" s="207" t="s">
        <v>3845</v>
      </c>
      <c r="AC5477" s="207" t="s">
        <v>5408</v>
      </c>
      <c r="AD5477" s="213">
        <v>7</v>
      </c>
    </row>
    <row r="5478" spans="28:30" x14ac:dyDescent="0.25">
      <c r="AB5478" s="207" t="s">
        <v>2160</v>
      </c>
      <c r="AC5478" s="207" t="s">
        <v>5409</v>
      </c>
      <c r="AD5478" s="213">
        <v>7</v>
      </c>
    </row>
    <row r="5479" spans="28:30" x14ac:dyDescent="0.25">
      <c r="AB5479" s="207" t="s">
        <v>3845</v>
      </c>
      <c r="AC5479" s="207" t="s">
        <v>5410</v>
      </c>
      <c r="AD5479" s="213">
        <v>7</v>
      </c>
    </row>
    <row r="5480" spans="28:30" x14ac:dyDescent="0.25">
      <c r="AB5480" s="207" t="s">
        <v>2160</v>
      </c>
      <c r="AC5480" s="207" t="s">
        <v>5411</v>
      </c>
      <c r="AD5480" s="213">
        <v>8</v>
      </c>
    </row>
    <row r="5481" spans="28:30" x14ac:dyDescent="0.25">
      <c r="AB5481" s="207" t="s">
        <v>2160</v>
      </c>
      <c r="AC5481" s="207" t="s">
        <v>5412</v>
      </c>
      <c r="AD5481" s="213">
        <v>8</v>
      </c>
    </row>
    <row r="5482" spans="28:30" x14ac:dyDescent="0.25">
      <c r="AB5482" s="207" t="s">
        <v>1715</v>
      </c>
      <c r="AC5482" s="207" t="s">
        <v>5413</v>
      </c>
      <c r="AD5482" s="213">
        <v>7</v>
      </c>
    </row>
    <row r="5483" spans="28:30" x14ac:dyDescent="0.25">
      <c r="AB5483" s="207" t="s">
        <v>2160</v>
      </c>
      <c r="AC5483" s="207" t="s">
        <v>5414</v>
      </c>
      <c r="AD5483" s="213">
        <v>8</v>
      </c>
    </row>
    <row r="5484" spans="28:30" x14ac:dyDescent="0.25">
      <c r="AB5484" s="207" t="s">
        <v>3845</v>
      </c>
      <c r="AC5484" s="207" t="s">
        <v>5415</v>
      </c>
      <c r="AD5484" s="213">
        <v>8</v>
      </c>
    </row>
    <row r="5485" spans="28:30" x14ac:dyDescent="0.25">
      <c r="AB5485" s="207" t="s">
        <v>2160</v>
      </c>
      <c r="AC5485" s="207" t="s">
        <v>5416</v>
      </c>
      <c r="AD5485" s="213">
        <v>7</v>
      </c>
    </row>
    <row r="5486" spans="28:30" x14ac:dyDescent="0.25">
      <c r="AB5486" s="207" t="s">
        <v>2160</v>
      </c>
      <c r="AC5486" s="207" t="s">
        <v>5417</v>
      </c>
      <c r="AD5486" s="213">
        <v>5</v>
      </c>
    </row>
    <row r="5487" spans="28:30" x14ac:dyDescent="0.25">
      <c r="AB5487" s="207" t="s">
        <v>2160</v>
      </c>
      <c r="AC5487" s="207" t="s">
        <v>5418</v>
      </c>
      <c r="AD5487" s="213">
        <v>7</v>
      </c>
    </row>
    <row r="5488" spans="28:30" x14ac:dyDescent="0.25">
      <c r="AB5488" s="207" t="s">
        <v>3845</v>
      </c>
      <c r="AC5488" s="207" t="s">
        <v>5419</v>
      </c>
      <c r="AD5488" s="213">
        <v>7</v>
      </c>
    </row>
    <row r="5489" spans="28:30" x14ac:dyDescent="0.25">
      <c r="AB5489" s="207" t="s">
        <v>3845</v>
      </c>
      <c r="AC5489" s="207" t="s">
        <v>5420</v>
      </c>
      <c r="AD5489" s="213">
        <v>7</v>
      </c>
    </row>
    <row r="5490" spans="28:30" x14ac:dyDescent="0.25">
      <c r="AB5490" s="207" t="s">
        <v>2160</v>
      </c>
      <c r="AC5490" s="207" t="s">
        <v>4569</v>
      </c>
      <c r="AD5490" s="213">
        <v>5</v>
      </c>
    </row>
    <row r="5491" spans="28:30" x14ac:dyDescent="0.25">
      <c r="AB5491" s="207" t="s">
        <v>2160</v>
      </c>
      <c r="AC5491" s="207" t="s">
        <v>5421</v>
      </c>
      <c r="AD5491" s="213">
        <v>7</v>
      </c>
    </row>
    <row r="5492" spans="28:30" x14ac:dyDescent="0.25">
      <c r="AB5492" s="207" t="s">
        <v>2160</v>
      </c>
      <c r="AC5492" s="207" t="s">
        <v>5422</v>
      </c>
      <c r="AD5492" s="213">
        <v>7</v>
      </c>
    </row>
    <row r="5493" spans="28:30" x14ac:dyDescent="0.25">
      <c r="AB5493" s="207" t="s">
        <v>3845</v>
      </c>
      <c r="AC5493" s="207" t="s">
        <v>5423</v>
      </c>
      <c r="AD5493" s="213">
        <v>7</v>
      </c>
    </row>
    <row r="5494" spans="28:30" x14ac:dyDescent="0.25">
      <c r="AB5494" s="207" t="s">
        <v>1715</v>
      </c>
      <c r="AC5494" s="207" t="s">
        <v>5424</v>
      </c>
      <c r="AD5494" s="213">
        <v>6</v>
      </c>
    </row>
    <row r="5495" spans="28:30" x14ac:dyDescent="0.25">
      <c r="AB5495" s="207" t="s">
        <v>2160</v>
      </c>
      <c r="AC5495" s="207" t="s">
        <v>2976</v>
      </c>
      <c r="AD5495" s="213">
        <v>7</v>
      </c>
    </row>
    <row r="5496" spans="28:30" x14ac:dyDescent="0.25">
      <c r="AB5496" s="207" t="s">
        <v>2160</v>
      </c>
      <c r="AC5496" s="207" t="s">
        <v>5425</v>
      </c>
      <c r="AD5496" s="213">
        <v>7</v>
      </c>
    </row>
    <row r="5497" spans="28:30" x14ac:dyDescent="0.25">
      <c r="AB5497" s="207" t="s">
        <v>3845</v>
      </c>
      <c r="AC5497" s="207" t="s">
        <v>4542</v>
      </c>
      <c r="AD5497" s="213">
        <v>7</v>
      </c>
    </row>
    <row r="5498" spans="28:30" x14ac:dyDescent="0.25">
      <c r="AB5498" s="207" t="s">
        <v>373</v>
      </c>
      <c r="AC5498" s="207" t="s">
        <v>5426</v>
      </c>
      <c r="AD5498" s="213">
        <v>6</v>
      </c>
    </row>
    <row r="5499" spans="28:30" x14ac:dyDescent="0.25">
      <c r="AB5499" s="207" t="s">
        <v>249</v>
      </c>
      <c r="AC5499" s="207" t="s">
        <v>2736</v>
      </c>
      <c r="AD5499" s="213">
        <v>6</v>
      </c>
    </row>
    <row r="5500" spans="28:30" x14ac:dyDescent="0.25">
      <c r="AB5500" s="207" t="s">
        <v>3845</v>
      </c>
      <c r="AC5500" s="207" t="s">
        <v>3091</v>
      </c>
      <c r="AD5500" s="213">
        <v>7</v>
      </c>
    </row>
    <row r="5501" spans="28:30" x14ac:dyDescent="0.25">
      <c r="AB5501" s="207" t="s">
        <v>2160</v>
      </c>
      <c r="AC5501" s="207" t="s">
        <v>5427</v>
      </c>
      <c r="AD5501" s="213">
        <v>7</v>
      </c>
    </row>
    <row r="5502" spans="28:30" x14ac:dyDescent="0.25">
      <c r="AB5502" s="207" t="s">
        <v>3845</v>
      </c>
      <c r="AC5502" s="207" t="s">
        <v>1712</v>
      </c>
      <c r="AD5502" s="213">
        <v>7</v>
      </c>
    </row>
    <row r="5503" spans="28:30" x14ac:dyDescent="0.25">
      <c r="AB5503" s="207" t="s">
        <v>3845</v>
      </c>
      <c r="AC5503" s="207" t="s">
        <v>5407</v>
      </c>
      <c r="AD5503" s="213">
        <v>7</v>
      </c>
    </row>
    <row r="5504" spans="28:30" x14ac:dyDescent="0.25">
      <c r="AB5504" s="207" t="s">
        <v>1715</v>
      </c>
      <c r="AC5504" s="207" t="s">
        <v>5428</v>
      </c>
      <c r="AD5504" s="213">
        <v>6</v>
      </c>
    </row>
    <row r="5505" spans="28:30" x14ac:dyDescent="0.25">
      <c r="AB5505" s="207" t="s">
        <v>2160</v>
      </c>
      <c r="AC5505" s="207" t="s">
        <v>5429</v>
      </c>
      <c r="AD5505" s="213">
        <v>5</v>
      </c>
    </row>
    <row r="5506" spans="28:30" x14ac:dyDescent="0.25">
      <c r="AB5506" s="207" t="s">
        <v>2160</v>
      </c>
      <c r="AC5506" s="207" t="s">
        <v>5430</v>
      </c>
      <c r="AD5506" s="213">
        <v>5</v>
      </c>
    </row>
    <row r="5507" spans="28:30" x14ac:dyDescent="0.25">
      <c r="AB5507" s="207" t="s">
        <v>3845</v>
      </c>
      <c r="AC5507" s="207" t="s">
        <v>5431</v>
      </c>
      <c r="AD5507" s="213">
        <v>7</v>
      </c>
    </row>
    <row r="5508" spans="28:30" x14ac:dyDescent="0.25">
      <c r="AB5508" s="207" t="s">
        <v>2160</v>
      </c>
      <c r="AC5508" s="207" t="s">
        <v>5432</v>
      </c>
      <c r="AD5508" s="213">
        <v>7</v>
      </c>
    </row>
    <row r="5509" spans="28:30" x14ac:dyDescent="0.25">
      <c r="AB5509" s="207" t="s">
        <v>3845</v>
      </c>
      <c r="AC5509" s="207" t="s">
        <v>5433</v>
      </c>
      <c r="AD5509" s="213">
        <v>7</v>
      </c>
    </row>
    <row r="5510" spans="28:30" x14ac:dyDescent="0.25">
      <c r="AB5510" s="207" t="s">
        <v>3845</v>
      </c>
      <c r="AC5510" s="207" t="s">
        <v>5434</v>
      </c>
      <c r="AD5510" s="213">
        <v>8</v>
      </c>
    </row>
    <row r="5511" spans="28:30" x14ac:dyDescent="0.25">
      <c r="AB5511" s="207" t="s">
        <v>2160</v>
      </c>
      <c r="AC5511" s="207" t="s">
        <v>5435</v>
      </c>
      <c r="AD5511" s="213">
        <v>7</v>
      </c>
    </row>
    <row r="5512" spans="28:30" x14ac:dyDescent="0.25">
      <c r="AB5512" s="207" t="s">
        <v>3845</v>
      </c>
      <c r="AC5512" s="207" t="s">
        <v>5436</v>
      </c>
      <c r="AD5512" s="213">
        <v>8</v>
      </c>
    </row>
    <row r="5513" spans="28:30" x14ac:dyDescent="0.25">
      <c r="AB5513" s="207" t="s">
        <v>2160</v>
      </c>
      <c r="AC5513" s="207" t="s">
        <v>5437</v>
      </c>
      <c r="AD5513" s="213">
        <v>8</v>
      </c>
    </row>
    <row r="5514" spans="28:30" x14ac:dyDescent="0.25">
      <c r="AB5514" s="207" t="s">
        <v>2160</v>
      </c>
      <c r="AC5514" s="207" t="s">
        <v>5438</v>
      </c>
      <c r="AD5514" s="213">
        <v>8</v>
      </c>
    </row>
    <row r="5515" spans="28:30" x14ac:dyDescent="0.25">
      <c r="AB5515" s="207" t="s">
        <v>1715</v>
      </c>
      <c r="AC5515" s="207" t="s">
        <v>5439</v>
      </c>
      <c r="AD5515" s="213">
        <v>6</v>
      </c>
    </row>
    <row r="5516" spans="28:30" x14ac:dyDescent="0.25">
      <c r="AB5516" s="207" t="s">
        <v>3845</v>
      </c>
      <c r="AC5516" s="207" t="s">
        <v>5440</v>
      </c>
      <c r="AD5516" s="213">
        <v>7</v>
      </c>
    </row>
    <row r="5517" spans="28:30" x14ac:dyDescent="0.25">
      <c r="AB5517" s="207" t="s">
        <v>3845</v>
      </c>
      <c r="AC5517" s="207" t="s">
        <v>5441</v>
      </c>
      <c r="AD5517" s="213">
        <v>7</v>
      </c>
    </row>
    <row r="5518" spans="28:30" x14ac:dyDescent="0.25">
      <c r="AB5518" s="207" t="s">
        <v>2160</v>
      </c>
      <c r="AC5518" s="207" t="s">
        <v>5442</v>
      </c>
      <c r="AD5518" s="213">
        <v>7</v>
      </c>
    </row>
    <row r="5519" spans="28:30" x14ac:dyDescent="0.25">
      <c r="AB5519" s="207" t="s">
        <v>2160</v>
      </c>
      <c r="AC5519" s="207" t="s">
        <v>5443</v>
      </c>
      <c r="AD5519" s="213">
        <v>7</v>
      </c>
    </row>
    <row r="5520" spans="28:30" x14ac:dyDescent="0.25">
      <c r="AB5520" s="207" t="s">
        <v>3845</v>
      </c>
      <c r="AC5520" s="207" t="s">
        <v>5444</v>
      </c>
      <c r="AD5520" s="213">
        <v>7</v>
      </c>
    </row>
    <row r="5521" spans="28:30" x14ac:dyDescent="0.25">
      <c r="AB5521" s="207" t="s">
        <v>3845</v>
      </c>
      <c r="AC5521" s="207" t="s">
        <v>5445</v>
      </c>
      <c r="AD5521" s="213">
        <v>7</v>
      </c>
    </row>
    <row r="5522" spans="28:30" x14ac:dyDescent="0.25">
      <c r="AB5522" s="207" t="s">
        <v>3845</v>
      </c>
      <c r="AC5522" s="207" t="s">
        <v>5446</v>
      </c>
      <c r="AD5522" s="213">
        <v>7</v>
      </c>
    </row>
    <row r="5523" spans="28:30" x14ac:dyDescent="0.25">
      <c r="AB5523" s="207" t="s">
        <v>3845</v>
      </c>
      <c r="AC5523" s="207" t="s">
        <v>5447</v>
      </c>
      <c r="AD5523" s="213">
        <v>7</v>
      </c>
    </row>
    <row r="5524" spans="28:30" x14ac:dyDescent="0.25">
      <c r="AB5524" s="207" t="s">
        <v>3845</v>
      </c>
      <c r="AC5524" s="207" t="s">
        <v>1318</v>
      </c>
      <c r="AD5524" s="213">
        <v>7</v>
      </c>
    </row>
    <row r="5525" spans="28:30" x14ac:dyDescent="0.25">
      <c r="AB5525" s="207" t="s">
        <v>217</v>
      </c>
      <c r="AC5525" s="207" t="s">
        <v>5448</v>
      </c>
      <c r="AD5525" s="213">
        <v>8</v>
      </c>
    </row>
    <row r="5526" spans="28:30" x14ac:dyDescent="0.25">
      <c r="AB5526" s="207" t="s">
        <v>2160</v>
      </c>
      <c r="AC5526" s="207" t="s">
        <v>5449</v>
      </c>
      <c r="AD5526" s="213">
        <v>5</v>
      </c>
    </row>
    <row r="5527" spans="28:30" x14ac:dyDescent="0.25">
      <c r="AB5527" s="207" t="s">
        <v>3845</v>
      </c>
      <c r="AC5527" s="207" t="s">
        <v>5450</v>
      </c>
      <c r="AD5527" s="213">
        <v>7</v>
      </c>
    </row>
    <row r="5528" spans="28:30" x14ac:dyDescent="0.25">
      <c r="AB5528" s="207" t="s">
        <v>3845</v>
      </c>
      <c r="AC5528" s="207" t="s">
        <v>5451</v>
      </c>
      <c r="AD5528" s="213">
        <v>7</v>
      </c>
    </row>
    <row r="5529" spans="28:30" x14ac:dyDescent="0.25">
      <c r="AB5529" s="207" t="s">
        <v>3845</v>
      </c>
      <c r="AC5529" s="207" t="s">
        <v>5452</v>
      </c>
      <c r="AD5529" s="213">
        <v>7</v>
      </c>
    </row>
    <row r="5530" spans="28:30" x14ac:dyDescent="0.25">
      <c r="AB5530" s="207" t="s">
        <v>1951</v>
      </c>
      <c r="AC5530" s="207" t="s">
        <v>5453</v>
      </c>
      <c r="AD5530" s="213">
        <v>7</v>
      </c>
    </row>
    <row r="5531" spans="28:30" x14ac:dyDescent="0.25">
      <c r="AB5531" s="207" t="s">
        <v>2160</v>
      </c>
      <c r="AC5531" s="207" t="s">
        <v>3922</v>
      </c>
      <c r="AD5531" s="213">
        <v>6</v>
      </c>
    </row>
    <row r="5532" spans="28:30" x14ac:dyDescent="0.25">
      <c r="AB5532" s="207" t="s">
        <v>2160</v>
      </c>
      <c r="AC5532" s="207" t="s">
        <v>5454</v>
      </c>
      <c r="AD5532" s="213">
        <v>7</v>
      </c>
    </row>
    <row r="5533" spans="28:30" x14ac:dyDescent="0.25">
      <c r="AB5533" s="207" t="s">
        <v>1715</v>
      </c>
      <c r="AC5533" s="207" t="s">
        <v>5455</v>
      </c>
      <c r="AD5533" s="213">
        <v>6</v>
      </c>
    </row>
    <row r="5534" spans="28:30" x14ac:dyDescent="0.25">
      <c r="AB5534" s="207" t="s">
        <v>3845</v>
      </c>
      <c r="AC5534" s="207" t="s">
        <v>5456</v>
      </c>
      <c r="AD5534" s="213">
        <v>7</v>
      </c>
    </row>
    <row r="5535" spans="28:30" x14ac:dyDescent="0.25">
      <c r="AB5535" s="207" t="s">
        <v>2160</v>
      </c>
      <c r="AC5535" s="207" t="s">
        <v>5457</v>
      </c>
      <c r="AD5535" s="213">
        <v>6</v>
      </c>
    </row>
    <row r="5536" spans="28:30" x14ac:dyDescent="0.25">
      <c r="AB5536" s="207" t="s">
        <v>2160</v>
      </c>
      <c r="AC5536" s="207" t="s">
        <v>5458</v>
      </c>
      <c r="AD5536" s="213">
        <v>5</v>
      </c>
    </row>
    <row r="5537" spans="28:30" x14ac:dyDescent="0.25">
      <c r="AB5537" s="207" t="s">
        <v>1953</v>
      </c>
      <c r="AC5537" s="207" t="s">
        <v>5459</v>
      </c>
      <c r="AD5537" s="213">
        <v>5</v>
      </c>
    </row>
    <row r="5538" spans="28:30" x14ac:dyDescent="0.25">
      <c r="AB5538" s="207" t="s">
        <v>2160</v>
      </c>
      <c r="AC5538" s="207" t="s">
        <v>5460</v>
      </c>
      <c r="AD5538" s="213">
        <v>5</v>
      </c>
    </row>
    <row r="5539" spans="28:30" x14ac:dyDescent="0.25">
      <c r="AB5539" s="207" t="s">
        <v>2173</v>
      </c>
      <c r="AC5539" s="207" t="s">
        <v>5461</v>
      </c>
      <c r="AD5539" s="213">
        <v>8</v>
      </c>
    </row>
    <row r="5540" spans="28:30" x14ac:dyDescent="0.25">
      <c r="AB5540" s="207" t="s">
        <v>1715</v>
      </c>
      <c r="AC5540" s="207" t="s">
        <v>5462</v>
      </c>
      <c r="AD5540" s="213">
        <v>6</v>
      </c>
    </row>
    <row r="5541" spans="28:30" x14ac:dyDescent="0.25">
      <c r="AB5541" s="207" t="s">
        <v>2160</v>
      </c>
      <c r="AC5541" s="207" t="s">
        <v>5463</v>
      </c>
      <c r="AD5541" s="213">
        <v>6</v>
      </c>
    </row>
    <row r="5542" spans="28:30" x14ac:dyDescent="0.25">
      <c r="AB5542" s="207" t="s">
        <v>2160</v>
      </c>
      <c r="AC5542" s="207" t="s">
        <v>5464</v>
      </c>
      <c r="AD5542" s="213">
        <v>6</v>
      </c>
    </row>
    <row r="5543" spans="28:30" x14ac:dyDescent="0.25">
      <c r="AB5543" s="207" t="s">
        <v>3845</v>
      </c>
      <c r="AC5543" s="207" t="s">
        <v>5465</v>
      </c>
      <c r="AD5543" s="213">
        <v>7</v>
      </c>
    </row>
    <row r="5544" spans="28:30" x14ac:dyDescent="0.25">
      <c r="AB5544" s="207" t="s">
        <v>1715</v>
      </c>
      <c r="AC5544" s="207" t="s">
        <v>5466</v>
      </c>
      <c r="AD5544" s="213">
        <v>6</v>
      </c>
    </row>
    <row r="5545" spans="28:30" x14ac:dyDescent="0.25">
      <c r="AB5545" s="207" t="s">
        <v>2160</v>
      </c>
      <c r="AC5545" s="207" t="s">
        <v>5467</v>
      </c>
      <c r="AD5545" s="213">
        <v>6</v>
      </c>
    </row>
    <row r="5546" spans="28:30" x14ac:dyDescent="0.25">
      <c r="AB5546" s="207" t="s">
        <v>2160</v>
      </c>
      <c r="AC5546" s="207" t="s">
        <v>5468</v>
      </c>
      <c r="AD5546" s="213">
        <v>7</v>
      </c>
    </row>
    <row r="5547" spans="28:30" x14ac:dyDescent="0.25">
      <c r="AB5547" s="207" t="s">
        <v>2160</v>
      </c>
      <c r="AC5547" s="207" t="s">
        <v>5469</v>
      </c>
      <c r="AD5547" s="213">
        <v>5</v>
      </c>
    </row>
    <row r="5548" spans="28:30" x14ac:dyDescent="0.25">
      <c r="AB5548" s="207" t="s">
        <v>1715</v>
      </c>
      <c r="AC5548" s="207" t="s">
        <v>5470</v>
      </c>
      <c r="AD5548" s="213">
        <v>6</v>
      </c>
    </row>
    <row r="5549" spans="28:30" x14ac:dyDescent="0.25">
      <c r="AB5549" s="207" t="s">
        <v>2160</v>
      </c>
      <c r="AC5549" s="207" t="s">
        <v>5471</v>
      </c>
      <c r="AD5549" s="213">
        <v>6</v>
      </c>
    </row>
    <row r="5550" spans="28:30" x14ac:dyDescent="0.25">
      <c r="AB5550" s="207" t="s">
        <v>373</v>
      </c>
      <c r="AC5550" s="207" t="s">
        <v>5472</v>
      </c>
      <c r="AD5550" s="213">
        <v>6</v>
      </c>
    </row>
    <row r="5551" spans="28:30" x14ac:dyDescent="0.25">
      <c r="AB5551" s="207" t="s">
        <v>2160</v>
      </c>
      <c r="AC5551" s="207" t="s">
        <v>5473</v>
      </c>
      <c r="AD5551" s="213">
        <v>7</v>
      </c>
    </row>
    <row r="5552" spans="28:30" x14ac:dyDescent="0.25">
      <c r="AB5552" s="207" t="s">
        <v>373</v>
      </c>
      <c r="AC5552" s="207" t="s">
        <v>5474</v>
      </c>
      <c r="AD5552" s="213">
        <v>7</v>
      </c>
    </row>
    <row r="5553" spans="28:30" x14ac:dyDescent="0.25">
      <c r="AB5553" s="207" t="s">
        <v>2160</v>
      </c>
      <c r="AC5553" s="207" t="s">
        <v>5475</v>
      </c>
      <c r="AD5553" s="213">
        <v>6</v>
      </c>
    </row>
    <row r="5554" spans="28:30" x14ac:dyDescent="0.25">
      <c r="AB5554" s="207" t="s">
        <v>2160</v>
      </c>
      <c r="AC5554" s="207" t="s">
        <v>5476</v>
      </c>
      <c r="AD5554" s="213">
        <v>6</v>
      </c>
    </row>
    <row r="5555" spans="28:30" x14ac:dyDescent="0.25">
      <c r="AB5555" s="207" t="s">
        <v>3845</v>
      </c>
      <c r="AC5555" s="207" t="s">
        <v>5477</v>
      </c>
      <c r="AD5555" s="213">
        <v>7</v>
      </c>
    </row>
    <row r="5556" spans="28:30" x14ac:dyDescent="0.25">
      <c r="AB5556" s="207" t="s">
        <v>1951</v>
      </c>
      <c r="AC5556" s="207" t="s">
        <v>5478</v>
      </c>
      <c r="AD5556" s="213">
        <v>7</v>
      </c>
    </row>
    <row r="5557" spans="28:30" x14ac:dyDescent="0.25">
      <c r="AB5557" s="207" t="s">
        <v>3845</v>
      </c>
      <c r="AC5557" s="207" t="s">
        <v>5479</v>
      </c>
      <c r="AD5557" s="213">
        <v>7</v>
      </c>
    </row>
    <row r="5558" spans="28:30" x14ac:dyDescent="0.25">
      <c r="AB5558" s="207" t="s">
        <v>2160</v>
      </c>
      <c r="AC5558" s="207" t="s">
        <v>5480</v>
      </c>
      <c r="AD5558" s="213">
        <v>6</v>
      </c>
    </row>
    <row r="5559" spans="28:30" x14ac:dyDescent="0.25">
      <c r="AB5559" s="207" t="s">
        <v>1953</v>
      </c>
      <c r="AC5559" s="207" t="s">
        <v>5481</v>
      </c>
      <c r="AD5559" s="213">
        <v>6</v>
      </c>
    </row>
    <row r="5560" spans="28:30" x14ac:dyDescent="0.25">
      <c r="AB5560" s="207" t="s">
        <v>2160</v>
      </c>
      <c r="AC5560" s="207" t="s">
        <v>5482</v>
      </c>
      <c r="AD5560" s="213">
        <v>5</v>
      </c>
    </row>
    <row r="5561" spans="28:30" x14ac:dyDescent="0.25">
      <c r="AB5561" s="207" t="s">
        <v>2160</v>
      </c>
      <c r="AC5561" s="207" t="s">
        <v>5483</v>
      </c>
      <c r="AD5561" s="213">
        <v>5</v>
      </c>
    </row>
    <row r="5562" spans="28:30" x14ac:dyDescent="0.25">
      <c r="AB5562" s="207" t="s">
        <v>2160</v>
      </c>
      <c r="AC5562" s="207" t="s">
        <v>5484</v>
      </c>
      <c r="AD5562" s="213">
        <v>6</v>
      </c>
    </row>
    <row r="5563" spans="28:30" x14ac:dyDescent="0.25">
      <c r="AB5563" s="207" t="s">
        <v>2160</v>
      </c>
      <c r="AC5563" s="207" t="s">
        <v>5485</v>
      </c>
      <c r="AD5563" s="213">
        <v>8</v>
      </c>
    </row>
    <row r="5564" spans="28:30" x14ac:dyDescent="0.25">
      <c r="AB5564" s="207" t="s">
        <v>2160</v>
      </c>
      <c r="AC5564" s="207" t="s">
        <v>5486</v>
      </c>
      <c r="AD5564" s="213">
        <v>6</v>
      </c>
    </row>
    <row r="5565" spans="28:30" x14ac:dyDescent="0.25">
      <c r="AB5565" s="207" t="s">
        <v>1951</v>
      </c>
      <c r="AC5565" s="207" t="s">
        <v>5487</v>
      </c>
      <c r="AD5565" s="213">
        <v>7</v>
      </c>
    </row>
  </sheetData>
  <sortState xmlns:xlrd2="http://schemas.microsoft.com/office/spreadsheetml/2017/richdata2" ref="Z2:Z28">
    <sortCondition ref="Z2:Z28"/>
  </sortState>
  <mergeCells count="2">
    <mergeCell ref="AN7:AN8"/>
    <mergeCell ref="AO7:AO8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17470-815F-4F4E-B269-DF945B6D31C8}">
  <dimension ref="A1:U413"/>
  <sheetViews>
    <sheetView workbookViewId="0">
      <selection activeCell="C1" sqref="C1:R1048576"/>
    </sheetView>
  </sheetViews>
  <sheetFormatPr defaultRowHeight="15" x14ac:dyDescent="0.25"/>
  <cols>
    <col min="1" max="1" width="28.5703125" customWidth="1"/>
    <col min="3" max="3" width="33.85546875" bestFit="1" customWidth="1"/>
  </cols>
  <sheetData>
    <row r="1" spans="1:21" x14ac:dyDescent="0.25">
      <c r="A1" s="482" t="s">
        <v>7</v>
      </c>
      <c r="B1" s="481" t="s">
        <v>5850</v>
      </c>
      <c r="C1" s="483" t="s">
        <v>6028</v>
      </c>
      <c r="D1" s="481" t="s">
        <v>5990</v>
      </c>
      <c r="E1" s="481" t="s">
        <v>5991</v>
      </c>
      <c r="F1" s="481" t="s">
        <v>5992</v>
      </c>
      <c r="G1" s="481"/>
      <c r="H1" s="481"/>
      <c r="I1" s="481"/>
      <c r="J1" s="481"/>
      <c r="K1" s="481"/>
      <c r="L1" s="481"/>
      <c r="M1" s="481"/>
      <c r="N1" s="481"/>
      <c r="O1" s="481"/>
      <c r="P1" s="481"/>
      <c r="Q1" s="481"/>
      <c r="R1" s="481"/>
      <c r="S1" s="267"/>
      <c r="T1" s="267"/>
      <c r="U1" s="267"/>
    </row>
    <row r="2" spans="1:21" ht="45" x14ac:dyDescent="0.25">
      <c r="A2" s="482"/>
      <c r="B2" s="481"/>
      <c r="C2" s="484"/>
      <c r="D2" s="481"/>
      <c r="E2" s="481"/>
      <c r="F2" s="268" t="s">
        <v>5993</v>
      </c>
      <c r="G2" s="268" t="s">
        <v>5994</v>
      </c>
      <c r="H2" s="268" t="s">
        <v>5995</v>
      </c>
      <c r="I2" s="268" t="s">
        <v>5996</v>
      </c>
      <c r="J2" s="268" t="s">
        <v>5997</v>
      </c>
      <c r="K2" s="268" t="s">
        <v>5998</v>
      </c>
      <c r="L2" s="268" t="s">
        <v>5999</v>
      </c>
      <c r="M2" s="268" t="s">
        <v>6000</v>
      </c>
      <c r="N2" s="268" t="s">
        <v>6001</v>
      </c>
      <c r="O2" s="268" t="s">
        <v>6002</v>
      </c>
      <c r="P2" s="268" t="s">
        <v>6003</v>
      </c>
      <c r="Q2" s="268" t="s">
        <v>6004</v>
      </c>
      <c r="R2" s="268" t="s">
        <v>6005</v>
      </c>
      <c r="S2" s="267"/>
      <c r="T2" s="268" t="s">
        <v>6013</v>
      </c>
      <c r="U2" s="269" t="s">
        <v>6012</v>
      </c>
    </row>
    <row r="3" spans="1:21" x14ac:dyDescent="0.25">
      <c r="A3" s="270" t="s">
        <v>4117</v>
      </c>
      <c r="B3" s="251" t="s">
        <v>205</v>
      </c>
      <c r="C3" s="267" t="str">
        <f t="shared" ref="C3:C66" si="0">CONCATENATE(A3,", ",B3)</f>
        <v>Feijó, AC</v>
      </c>
      <c r="D3" s="271">
        <v>-8.14</v>
      </c>
      <c r="E3" s="251">
        <v>163</v>
      </c>
      <c r="F3" s="272">
        <v>25.534811829999999</v>
      </c>
      <c r="G3" s="272">
        <v>25.957440479999999</v>
      </c>
      <c r="H3" s="272">
        <v>25.97150538</v>
      </c>
      <c r="I3" s="272">
        <v>26.150138890000001</v>
      </c>
      <c r="J3" s="272">
        <v>25.0625</v>
      </c>
      <c r="K3" s="272">
        <v>26.854861110000002</v>
      </c>
      <c r="L3" s="272">
        <v>24.984677420000001</v>
      </c>
      <c r="M3" s="272">
        <v>27.392607529999999</v>
      </c>
      <c r="N3" s="272">
        <v>27.49319444</v>
      </c>
      <c r="O3" s="272">
        <v>26.346774190000001</v>
      </c>
      <c r="P3" s="272">
        <v>26.047361110000001</v>
      </c>
      <c r="Q3" s="272">
        <v>25.17486559</v>
      </c>
      <c r="R3" s="272">
        <v>26.080894830833333</v>
      </c>
      <c r="S3" s="267">
        <f>SUMIFS(Aux_Lista!AD:AD,Aux_Lista!AB:AB,Aux_TBS!B3,Aux_Lista!AC:AC,Aux_TBS!A3)</f>
        <v>8</v>
      </c>
      <c r="T3" s="267" t="s">
        <v>6014</v>
      </c>
      <c r="U3" s="267">
        <v>38</v>
      </c>
    </row>
    <row r="4" spans="1:21" x14ac:dyDescent="0.25">
      <c r="A4" s="270" t="s">
        <v>4198</v>
      </c>
      <c r="B4" s="251" t="s">
        <v>205</v>
      </c>
      <c r="C4" s="267" t="str">
        <f t="shared" si="0"/>
        <v>Manoel Urbano, AC</v>
      </c>
      <c r="D4" s="271">
        <v>-9.3699999999999992</v>
      </c>
      <c r="E4" s="251">
        <v>206</v>
      </c>
      <c r="F4" s="272">
        <v>24.802284950000001</v>
      </c>
      <c r="G4" s="272">
        <v>24.62723214</v>
      </c>
      <c r="H4" s="272">
        <v>24.745026880000001</v>
      </c>
      <c r="I4" s="272">
        <v>24.852499999999999</v>
      </c>
      <c r="J4" s="272">
        <v>25.174193549999998</v>
      </c>
      <c r="K4" s="272">
        <v>23.280972219999999</v>
      </c>
      <c r="L4" s="272">
        <v>23.69919355</v>
      </c>
      <c r="M4" s="272">
        <v>24.623790320000001</v>
      </c>
      <c r="N4" s="272">
        <v>25.553611109999999</v>
      </c>
      <c r="O4" s="272">
        <v>26.058870970000001</v>
      </c>
      <c r="P4" s="272">
        <v>25.814861109999999</v>
      </c>
      <c r="Q4" s="272">
        <v>25.198924730000002</v>
      </c>
      <c r="R4" s="272">
        <v>24.869288460833332</v>
      </c>
      <c r="S4" s="267">
        <f>SUMIFS(Aux_Lista!AD:AD,Aux_Lista!AB:AB,Aux_TBS!B4,Aux_Lista!AC:AC,Aux_TBS!A4)</f>
        <v>8</v>
      </c>
      <c r="T4" s="267" t="s">
        <v>6014</v>
      </c>
      <c r="U4" s="267">
        <v>38</v>
      </c>
    </row>
    <row r="5" spans="1:21" x14ac:dyDescent="0.25">
      <c r="A5" s="270" t="s">
        <v>3992</v>
      </c>
      <c r="B5" s="251" t="s">
        <v>205</v>
      </c>
      <c r="C5" s="267" t="str">
        <f t="shared" si="0"/>
        <v>Porto Walter, AC</v>
      </c>
      <c r="D5" s="271">
        <v>-8.27</v>
      </c>
      <c r="E5" s="251">
        <v>240</v>
      </c>
      <c r="F5" s="272">
        <v>25.931586020000001</v>
      </c>
      <c r="G5" s="272">
        <v>25.95044643</v>
      </c>
      <c r="H5" s="272">
        <v>25.831317200000001</v>
      </c>
      <c r="I5" s="272">
        <v>26.242361110000001</v>
      </c>
      <c r="J5" s="272">
        <v>25.43185484</v>
      </c>
      <c r="K5" s="272">
        <v>26.840972220000001</v>
      </c>
      <c r="L5" s="272">
        <v>24.97715054</v>
      </c>
      <c r="M5" s="272">
        <v>27.393951609999998</v>
      </c>
      <c r="N5" s="272">
        <v>28.477083329999999</v>
      </c>
      <c r="O5" s="272">
        <v>27.314516130000001</v>
      </c>
      <c r="P5" s="272">
        <v>26.47583333</v>
      </c>
      <c r="Q5" s="272">
        <v>25.537903230000001</v>
      </c>
      <c r="R5" s="272">
        <v>26.367081332499996</v>
      </c>
      <c r="S5" s="267">
        <f>SUMIFS(Aux_Lista!AD:AD,Aux_Lista!AB:AB,Aux_TBS!B5,Aux_Lista!AC:AC,Aux_TBS!A5)</f>
        <v>8</v>
      </c>
      <c r="T5" s="267" t="s">
        <v>6014</v>
      </c>
      <c r="U5" s="267">
        <v>38</v>
      </c>
    </row>
    <row r="6" spans="1:21" x14ac:dyDescent="0.25">
      <c r="A6" s="270" t="s">
        <v>4569</v>
      </c>
      <c r="B6" s="251" t="s">
        <v>205</v>
      </c>
      <c r="C6" s="267" t="str">
        <f t="shared" si="0"/>
        <v>Rio Branco, AC</v>
      </c>
      <c r="D6" s="271">
        <v>-9.9600000000000009</v>
      </c>
      <c r="E6" s="251">
        <v>220</v>
      </c>
      <c r="F6" s="272">
        <v>25.056989250000001</v>
      </c>
      <c r="G6" s="272">
        <v>24.5827381</v>
      </c>
      <c r="H6" s="272">
        <v>24.93239247</v>
      </c>
      <c r="I6" s="272">
        <v>24.661944439999999</v>
      </c>
      <c r="J6" s="272">
        <v>24.88104839</v>
      </c>
      <c r="K6" s="272">
        <v>22.95972222</v>
      </c>
      <c r="L6" s="272">
        <v>24.157392470000001</v>
      </c>
      <c r="M6" s="272">
        <v>26.00564516</v>
      </c>
      <c r="N6" s="272">
        <v>26.354166670000001</v>
      </c>
      <c r="O6" s="272">
        <v>26.737500000000001</v>
      </c>
      <c r="P6" s="272">
        <v>26.162777779999999</v>
      </c>
      <c r="Q6" s="272">
        <v>24.844892470000001</v>
      </c>
      <c r="R6" s="272">
        <v>25.111434118333335</v>
      </c>
      <c r="S6" s="267">
        <f>SUMIFS(Aux_Lista!AD:AD,Aux_Lista!AB:AB,Aux_TBS!B6,Aux_Lista!AC:AC,Aux_TBS!A6)</f>
        <v>8</v>
      </c>
      <c r="T6" s="267" t="s">
        <v>6014</v>
      </c>
      <c r="U6" s="267">
        <v>38</v>
      </c>
    </row>
    <row r="7" spans="1:21" x14ac:dyDescent="0.25">
      <c r="A7" s="270" t="s">
        <v>4909</v>
      </c>
      <c r="B7" s="251" t="s">
        <v>1691</v>
      </c>
      <c r="C7" s="267" t="str">
        <f t="shared" si="0"/>
        <v>Arapiraca, AL</v>
      </c>
      <c r="D7" s="271">
        <v>-9.8000000000000007</v>
      </c>
      <c r="E7" s="251">
        <v>241</v>
      </c>
      <c r="F7" s="272">
        <v>26.406989249999999</v>
      </c>
      <c r="G7" s="272">
        <v>25.772916670000001</v>
      </c>
      <c r="H7" s="272">
        <v>26.377553760000001</v>
      </c>
      <c r="I7" s="272">
        <v>26.119444439999999</v>
      </c>
      <c r="J7" s="272">
        <v>24.18467742</v>
      </c>
      <c r="K7" s="272">
        <v>23.268611109999998</v>
      </c>
      <c r="L7" s="272">
        <v>22.70752688</v>
      </c>
      <c r="M7" s="272">
        <v>22.478897849999999</v>
      </c>
      <c r="N7" s="272">
        <v>23.680972220000001</v>
      </c>
      <c r="O7" s="272">
        <v>25.480107530000002</v>
      </c>
      <c r="P7" s="272">
        <v>25.608472219999999</v>
      </c>
      <c r="Q7" s="272">
        <v>26.097311829999999</v>
      </c>
      <c r="R7" s="272">
        <v>24.848623431666667</v>
      </c>
      <c r="S7" s="267">
        <f>SUMIFS(Aux_Lista!AD:AD,Aux_Lista!AB:AB,Aux_TBS!B7,Aux_Lista!AC:AC,Aux_TBS!A7)</f>
        <v>8</v>
      </c>
      <c r="T7" s="267" t="s">
        <v>6015</v>
      </c>
      <c r="U7" s="267">
        <v>38</v>
      </c>
    </row>
    <row r="8" spans="1:21" x14ac:dyDescent="0.25">
      <c r="A8" s="270" t="s">
        <v>4870</v>
      </c>
      <c r="B8" s="251" t="s">
        <v>1691</v>
      </c>
      <c r="C8" s="267" t="str">
        <f t="shared" si="0"/>
        <v>Coruripe, AL</v>
      </c>
      <c r="D8" s="271">
        <v>-10.130000000000001</v>
      </c>
      <c r="E8" s="251">
        <v>74</v>
      </c>
      <c r="F8" s="272">
        <v>26.892876340000001</v>
      </c>
      <c r="G8" s="272">
        <v>26.575595239999998</v>
      </c>
      <c r="H8" s="272">
        <v>27.165994619999999</v>
      </c>
      <c r="I8" s="272">
        <v>26.823472219999999</v>
      </c>
      <c r="J8" s="272">
        <v>25.16370968</v>
      </c>
      <c r="K8" s="272">
        <v>24.549166670000002</v>
      </c>
      <c r="L8" s="272">
        <v>23.970967739999999</v>
      </c>
      <c r="M8" s="272">
        <v>23.83534946</v>
      </c>
      <c r="N8" s="272">
        <v>24.667361110000002</v>
      </c>
      <c r="O8" s="272">
        <v>25.984946239999999</v>
      </c>
      <c r="P8" s="272">
        <v>26.264722219999999</v>
      </c>
      <c r="Q8" s="272">
        <v>26.821639780000002</v>
      </c>
      <c r="R8" s="272">
        <v>25.726316776666664</v>
      </c>
      <c r="S8" s="267">
        <f>SUMIFS(Aux_Lista!AD:AD,Aux_Lista!AB:AB,Aux_TBS!B8,Aux_Lista!AC:AC,Aux_TBS!A8)</f>
        <v>8</v>
      </c>
      <c r="T8" s="267" t="s">
        <v>6015</v>
      </c>
      <c r="U8" s="267">
        <v>38</v>
      </c>
    </row>
    <row r="9" spans="1:21" x14ac:dyDescent="0.25">
      <c r="A9" s="270" t="s">
        <v>4928</v>
      </c>
      <c r="B9" s="251" t="s">
        <v>1691</v>
      </c>
      <c r="C9" s="267" t="str">
        <f t="shared" si="0"/>
        <v>Maceió, AL</v>
      </c>
      <c r="D9" s="271">
        <v>-9.67</v>
      </c>
      <c r="E9" s="251">
        <v>64</v>
      </c>
      <c r="F9" s="272">
        <v>26.736693549999998</v>
      </c>
      <c r="G9" s="272">
        <v>26.294791669999999</v>
      </c>
      <c r="H9" s="272">
        <v>26.84798387</v>
      </c>
      <c r="I9" s="272">
        <v>26.621527780000001</v>
      </c>
      <c r="J9" s="272">
        <v>25.106048390000002</v>
      </c>
      <c r="K9" s="272">
        <v>24.23416667</v>
      </c>
      <c r="L9" s="272">
        <v>23.809543009999999</v>
      </c>
      <c r="M9" s="272">
        <v>23.655913980000001</v>
      </c>
      <c r="N9" s="272">
        <v>24.483611109999998</v>
      </c>
      <c r="O9" s="272">
        <v>25.766935480000001</v>
      </c>
      <c r="P9" s="272">
        <v>26.04972222</v>
      </c>
      <c r="Q9" s="272">
        <v>26.714381719999999</v>
      </c>
      <c r="R9" s="272">
        <v>25.526776620833335</v>
      </c>
      <c r="S9" s="267">
        <f>SUMIFS(Aux_Lista!AD:AD,Aux_Lista!AB:AB,Aux_TBS!B9,Aux_Lista!AC:AC,Aux_TBS!A9)</f>
        <v>8</v>
      </c>
      <c r="T9" s="267" t="s">
        <v>6015</v>
      </c>
      <c r="U9" s="267">
        <v>38</v>
      </c>
    </row>
    <row r="10" spans="1:21" x14ac:dyDescent="0.25">
      <c r="A10" s="270" t="s">
        <v>5103</v>
      </c>
      <c r="B10" s="251" t="s">
        <v>1691</v>
      </c>
      <c r="C10" s="267" t="str">
        <f t="shared" si="0"/>
        <v>Palmeira dos Índios, AL</v>
      </c>
      <c r="D10" s="271">
        <v>-9.41</v>
      </c>
      <c r="E10" s="251">
        <v>275</v>
      </c>
      <c r="F10" s="272">
        <v>27.204973119999998</v>
      </c>
      <c r="G10" s="272">
        <v>26.251339290000001</v>
      </c>
      <c r="H10" s="272">
        <v>26.96599462</v>
      </c>
      <c r="I10" s="272">
        <v>26.498055560000001</v>
      </c>
      <c r="J10" s="272">
        <v>24.2405914</v>
      </c>
      <c r="K10" s="272">
        <v>23.202777780000002</v>
      </c>
      <c r="L10" s="272">
        <v>22.75887097</v>
      </c>
      <c r="M10" s="272">
        <v>22.620161289999999</v>
      </c>
      <c r="N10" s="272">
        <v>24.086805559999998</v>
      </c>
      <c r="O10" s="272">
        <v>26.31155914</v>
      </c>
      <c r="P10" s="272">
        <v>26.42736111</v>
      </c>
      <c r="Q10" s="272">
        <v>26.84704301</v>
      </c>
      <c r="R10" s="272">
        <v>25.284627737499999</v>
      </c>
      <c r="S10" s="267">
        <f>SUMIFS(Aux_Lista!AD:AD,Aux_Lista!AB:AB,Aux_TBS!B10,Aux_Lista!AC:AC,Aux_TBS!A10)</f>
        <v>8</v>
      </c>
      <c r="T10" s="267" t="s">
        <v>6015</v>
      </c>
      <c r="U10" s="267">
        <v>38</v>
      </c>
    </row>
    <row r="11" spans="1:21" x14ac:dyDescent="0.25">
      <c r="A11" s="270" t="s">
        <v>5321</v>
      </c>
      <c r="B11" s="251" t="s">
        <v>1691</v>
      </c>
      <c r="C11" s="267" t="str">
        <f t="shared" si="0"/>
        <v>Pão de Açúcar, AL</v>
      </c>
      <c r="D11" s="271">
        <v>-9.75</v>
      </c>
      <c r="E11" s="251">
        <v>19</v>
      </c>
      <c r="F11" s="272">
        <v>29.765725809999999</v>
      </c>
      <c r="G11" s="272">
        <v>28.811755949999998</v>
      </c>
      <c r="H11" s="272">
        <v>29.975403230000001</v>
      </c>
      <c r="I11" s="272">
        <v>28.62916667</v>
      </c>
      <c r="J11" s="272">
        <v>25.990725810000001</v>
      </c>
      <c r="K11" s="272">
        <v>24.76388889</v>
      </c>
      <c r="L11" s="272">
        <v>24.181182799999998</v>
      </c>
      <c r="M11" s="272">
        <v>24.127553760000001</v>
      </c>
      <c r="N11" s="272">
        <v>25.40291667</v>
      </c>
      <c r="O11" s="272">
        <v>28.138709680000002</v>
      </c>
      <c r="P11" s="272">
        <v>28.673472220000001</v>
      </c>
      <c r="Q11" s="272">
        <v>29.01491935</v>
      </c>
      <c r="R11" s="272">
        <v>27.289618403333336</v>
      </c>
      <c r="S11" s="267">
        <f>SUMIFS(Aux_Lista!AD:AD,Aux_Lista!AB:AB,Aux_TBS!B11,Aux_Lista!AC:AC,Aux_TBS!A11)</f>
        <v>8</v>
      </c>
      <c r="T11" s="267" t="s">
        <v>6015</v>
      </c>
      <c r="U11" s="267">
        <v>38</v>
      </c>
    </row>
    <row r="12" spans="1:21" x14ac:dyDescent="0.25">
      <c r="A12" s="270" t="s">
        <v>4927</v>
      </c>
      <c r="B12" s="251" t="s">
        <v>1691</v>
      </c>
      <c r="C12" s="267" t="str">
        <f t="shared" si="0"/>
        <v>São Luís do Quitunde, AL</v>
      </c>
      <c r="D12" s="271">
        <v>-9.2899999999999991</v>
      </c>
      <c r="E12" s="251">
        <v>19</v>
      </c>
      <c r="F12" s="272">
        <v>26.621102149999999</v>
      </c>
      <c r="G12" s="272">
        <v>26.144196430000001</v>
      </c>
      <c r="H12" s="272">
        <v>26.67862903</v>
      </c>
      <c r="I12" s="272">
        <v>26.490694439999999</v>
      </c>
      <c r="J12" s="272">
        <v>25.180376339999999</v>
      </c>
      <c r="K12" s="272">
        <v>24.184583329999999</v>
      </c>
      <c r="L12" s="272">
        <v>23.710215049999999</v>
      </c>
      <c r="M12" s="272">
        <v>23.567741940000001</v>
      </c>
      <c r="N12" s="272">
        <v>24.42930556</v>
      </c>
      <c r="O12" s="272">
        <v>25.645564520000001</v>
      </c>
      <c r="P12" s="272">
        <v>25.891388890000002</v>
      </c>
      <c r="Q12" s="272">
        <v>26.56908602</v>
      </c>
      <c r="R12" s="272">
        <v>25.426073641666665</v>
      </c>
      <c r="S12" s="267">
        <f>SUMIFS(Aux_Lista!AD:AD,Aux_Lista!AB:AB,Aux_TBS!B12,Aux_Lista!AC:AC,Aux_TBS!A12)</f>
        <v>8</v>
      </c>
      <c r="T12" s="267" t="s">
        <v>6015</v>
      </c>
      <c r="U12" s="267">
        <v>38</v>
      </c>
    </row>
    <row r="13" spans="1:21" x14ac:dyDescent="0.25">
      <c r="A13" s="270" t="s">
        <v>4174</v>
      </c>
      <c r="B13" s="251" t="s">
        <v>206</v>
      </c>
      <c r="C13" s="267" t="str">
        <f t="shared" si="0"/>
        <v>Autazes, AM</v>
      </c>
      <c r="D13" s="271">
        <v>-3.58</v>
      </c>
      <c r="E13" s="251">
        <v>28</v>
      </c>
      <c r="F13" s="272">
        <v>26.04153226</v>
      </c>
      <c r="G13" s="272">
        <v>25.960863100000001</v>
      </c>
      <c r="H13" s="272">
        <v>26.107526880000002</v>
      </c>
      <c r="I13" s="272">
        <v>26.322916670000001</v>
      </c>
      <c r="J13" s="272">
        <v>26.003629029999999</v>
      </c>
      <c r="K13" s="272">
        <v>26.131111109999999</v>
      </c>
      <c r="L13" s="272">
        <v>26.89596774</v>
      </c>
      <c r="M13" s="272">
        <v>27.431182799999998</v>
      </c>
      <c r="N13" s="272">
        <v>27.05763889</v>
      </c>
      <c r="O13" s="272">
        <v>26.861962370000001</v>
      </c>
      <c r="P13" s="272">
        <v>26.740416669999998</v>
      </c>
      <c r="Q13" s="272">
        <v>26.458064520000001</v>
      </c>
      <c r="R13" s="272">
        <v>26.501067669999998</v>
      </c>
      <c r="S13" s="267">
        <f>SUMIFS(Aux_Lista!AD:AD,Aux_Lista!AB:AB,Aux_TBS!B13,Aux_Lista!AC:AC,Aux_TBS!A13)</f>
        <v>8</v>
      </c>
      <c r="T13" s="267" t="s">
        <v>6014</v>
      </c>
      <c r="U13" s="267">
        <v>38</v>
      </c>
    </row>
    <row r="14" spans="1:21" x14ac:dyDescent="0.25">
      <c r="A14" s="270" t="s">
        <v>4170</v>
      </c>
      <c r="B14" s="251" t="s">
        <v>206</v>
      </c>
      <c r="C14" s="267" t="str">
        <f t="shared" si="0"/>
        <v>Barcelos, AM</v>
      </c>
      <c r="D14" s="271">
        <v>-0.99</v>
      </c>
      <c r="E14" s="251">
        <v>17</v>
      </c>
      <c r="F14" s="272">
        <v>25.436424729999999</v>
      </c>
      <c r="G14" s="272">
        <v>26.15848214</v>
      </c>
      <c r="H14" s="272">
        <v>25.591129030000001</v>
      </c>
      <c r="I14" s="272">
        <v>26.128611110000001</v>
      </c>
      <c r="J14" s="272">
        <v>25.900940859999999</v>
      </c>
      <c r="K14" s="272">
        <v>25.4925</v>
      </c>
      <c r="L14" s="272">
        <v>26.018413979999998</v>
      </c>
      <c r="M14" s="272">
        <v>26.411155910000002</v>
      </c>
      <c r="N14" s="272">
        <v>26.930277780000001</v>
      </c>
      <c r="O14" s="272">
        <v>26.684946239999999</v>
      </c>
      <c r="P14" s="272">
        <v>27.229444440000002</v>
      </c>
      <c r="Q14" s="272">
        <v>27.2672043</v>
      </c>
      <c r="R14" s="272">
        <v>26.270794210000002</v>
      </c>
      <c r="S14" s="267">
        <f>SUMIFS(Aux_Lista!AD:AD,Aux_Lista!AB:AB,Aux_TBS!B14,Aux_Lista!AC:AC,Aux_TBS!A14)</f>
        <v>8</v>
      </c>
      <c r="T14" s="267" t="s">
        <v>6014</v>
      </c>
      <c r="U14" s="267">
        <v>38</v>
      </c>
    </row>
    <row r="15" spans="1:21" x14ac:dyDescent="0.25">
      <c r="A15" s="270" t="s">
        <v>4098</v>
      </c>
      <c r="B15" s="251" t="s">
        <v>206</v>
      </c>
      <c r="C15" s="267" t="str">
        <f t="shared" si="0"/>
        <v>Coari, AM</v>
      </c>
      <c r="D15" s="271">
        <v>-4.0999999999999996</v>
      </c>
      <c r="E15" s="251">
        <v>43</v>
      </c>
      <c r="F15" s="272">
        <v>25.884543010000002</v>
      </c>
      <c r="G15" s="272">
        <v>26.060416669999999</v>
      </c>
      <c r="H15" s="272">
        <v>26.138440859999999</v>
      </c>
      <c r="I15" s="272">
        <v>26.250555559999999</v>
      </c>
      <c r="J15" s="272">
        <v>25.4</v>
      </c>
      <c r="K15" s="272">
        <v>25.542361110000002</v>
      </c>
      <c r="L15" s="272">
        <v>26.443010749999999</v>
      </c>
      <c r="M15" s="272">
        <v>27.308064519999999</v>
      </c>
      <c r="N15" s="272">
        <v>26.499027779999999</v>
      </c>
      <c r="O15" s="272">
        <v>26.429838709999999</v>
      </c>
      <c r="P15" s="272">
        <v>26.740416669999998</v>
      </c>
      <c r="Q15" s="272">
        <v>26.297311830000002</v>
      </c>
      <c r="R15" s="272">
        <v>26.249498955833332</v>
      </c>
      <c r="S15" s="267">
        <f>SUMIFS(Aux_Lista!AD:AD,Aux_Lista!AB:AB,Aux_TBS!B15,Aux_Lista!AC:AC,Aux_TBS!A15)</f>
        <v>8</v>
      </c>
      <c r="T15" s="267" t="s">
        <v>6014</v>
      </c>
      <c r="U15" s="267">
        <v>38</v>
      </c>
    </row>
    <row r="16" spans="1:21" x14ac:dyDescent="0.25">
      <c r="A16" s="270" t="s">
        <v>2968</v>
      </c>
      <c r="B16" s="251" t="s">
        <v>206</v>
      </c>
      <c r="C16" s="267" t="str">
        <f t="shared" si="0"/>
        <v>Humaitá, AM</v>
      </c>
      <c r="D16" s="271">
        <v>-7.55</v>
      </c>
      <c r="E16" s="251">
        <v>72</v>
      </c>
      <c r="F16" s="272">
        <v>26.016532260000002</v>
      </c>
      <c r="G16" s="272">
        <v>25.934374999999999</v>
      </c>
      <c r="H16" s="272">
        <v>25.945295699999999</v>
      </c>
      <c r="I16" s="272">
        <v>25.963750000000001</v>
      </c>
      <c r="J16" s="272">
        <v>25.86236559</v>
      </c>
      <c r="K16" s="272">
        <v>25.5075</v>
      </c>
      <c r="L16" s="272">
        <v>25.952688169999998</v>
      </c>
      <c r="M16" s="272">
        <v>26.735752690000002</v>
      </c>
      <c r="N16" s="272">
        <v>27.228194439999999</v>
      </c>
      <c r="O16" s="272">
        <v>27.351478490000002</v>
      </c>
      <c r="P16" s="272">
        <v>26.96875</v>
      </c>
      <c r="Q16" s="272">
        <v>25.937365589999999</v>
      </c>
      <c r="R16" s="272">
        <v>26.283670660833334</v>
      </c>
      <c r="S16" s="267">
        <f>SUMIFS(Aux_Lista!AD:AD,Aux_Lista!AB:AB,Aux_TBS!B16,Aux_Lista!AC:AC,Aux_TBS!A16)</f>
        <v>8</v>
      </c>
      <c r="T16" s="267" t="s">
        <v>6014</v>
      </c>
      <c r="U16" s="267">
        <v>38</v>
      </c>
    </row>
    <row r="17" spans="1:21" x14ac:dyDescent="0.25">
      <c r="A17" s="270" t="s">
        <v>4085</v>
      </c>
      <c r="B17" s="251" t="s">
        <v>206</v>
      </c>
      <c r="C17" s="267" t="str">
        <f t="shared" si="0"/>
        <v>Itacoatiara, AM</v>
      </c>
      <c r="D17" s="271">
        <v>-3.13</v>
      </c>
      <c r="E17" s="251">
        <v>45</v>
      </c>
      <c r="F17" s="272">
        <v>26.012903229999999</v>
      </c>
      <c r="G17" s="272">
        <v>25.641815480000002</v>
      </c>
      <c r="H17" s="272">
        <v>26.068817200000002</v>
      </c>
      <c r="I17" s="272">
        <v>26.11638889</v>
      </c>
      <c r="J17" s="272">
        <v>25.762903229999999</v>
      </c>
      <c r="K17" s="272">
        <v>26.029861109999999</v>
      </c>
      <c r="L17" s="272">
        <v>26.659677420000001</v>
      </c>
      <c r="M17" s="272">
        <v>27.25282258</v>
      </c>
      <c r="N17" s="272">
        <v>27.28569444</v>
      </c>
      <c r="O17" s="272">
        <v>27.106048390000002</v>
      </c>
      <c r="P17" s="272">
        <v>26.764861109999998</v>
      </c>
      <c r="Q17" s="272">
        <v>26.390591400000002</v>
      </c>
      <c r="R17" s="272">
        <v>26.424365373333334</v>
      </c>
      <c r="S17" s="267">
        <f>SUMIFS(Aux_Lista!AD:AD,Aux_Lista!AB:AB,Aux_TBS!B17,Aux_Lista!AC:AC,Aux_TBS!A17)</f>
        <v>8</v>
      </c>
      <c r="T17" s="267" t="s">
        <v>6014</v>
      </c>
      <c r="U17" s="267">
        <v>38</v>
      </c>
    </row>
    <row r="18" spans="1:21" x14ac:dyDescent="0.25">
      <c r="A18" s="270" t="s">
        <v>4068</v>
      </c>
      <c r="B18" s="251" t="s">
        <v>206</v>
      </c>
      <c r="C18" s="267" t="str">
        <f t="shared" si="0"/>
        <v>Manacapuru, AM</v>
      </c>
      <c r="D18" s="271">
        <v>-3.29</v>
      </c>
      <c r="E18" s="251">
        <v>19</v>
      </c>
      <c r="F18" s="272">
        <v>26.035618280000001</v>
      </c>
      <c r="G18" s="272">
        <v>25.975000000000001</v>
      </c>
      <c r="H18" s="272">
        <v>26.16653226</v>
      </c>
      <c r="I18" s="272">
        <v>26.333749999999998</v>
      </c>
      <c r="J18" s="272">
        <v>25.928897849999998</v>
      </c>
      <c r="K18" s="272">
        <v>26.473333329999999</v>
      </c>
      <c r="L18" s="272">
        <v>27.39314516</v>
      </c>
      <c r="M18" s="272">
        <v>27.898118279999998</v>
      </c>
      <c r="N18" s="272">
        <v>27.502916670000001</v>
      </c>
      <c r="O18" s="272">
        <v>27.021639780000001</v>
      </c>
      <c r="P18" s="272">
        <v>27.024583329999999</v>
      </c>
      <c r="Q18" s="272">
        <v>26.59556452</v>
      </c>
      <c r="R18" s="272">
        <v>26.695758288333327</v>
      </c>
      <c r="S18" s="267">
        <f>SUMIFS(Aux_Lista!AD:AD,Aux_Lista!AB:AB,Aux_TBS!B18,Aux_Lista!AC:AC,Aux_TBS!A18)</f>
        <v>8</v>
      </c>
      <c r="T18" s="267" t="s">
        <v>6014</v>
      </c>
      <c r="U18" s="267">
        <v>38</v>
      </c>
    </row>
    <row r="19" spans="1:21" x14ac:dyDescent="0.25">
      <c r="A19" s="270" t="s">
        <v>4099</v>
      </c>
      <c r="B19" s="251" t="s">
        <v>206</v>
      </c>
      <c r="C19" s="267" t="str">
        <f t="shared" si="0"/>
        <v>Manaus, AM</v>
      </c>
      <c r="D19" s="271">
        <v>-3.1</v>
      </c>
      <c r="E19" s="251">
        <v>67</v>
      </c>
      <c r="F19" s="272">
        <v>26.754569889999999</v>
      </c>
      <c r="G19" s="272">
        <v>26.819494049999999</v>
      </c>
      <c r="H19" s="272">
        <v>27.571102150000002</v>
      </c>
      <c r="I19" s="272">
        <v>26.424583330000001</v>
      </c>
      <c r="J19" s="272">
        <v>27.00416667</v>
      </c>
      <c r="K19" s="272">
        <v>26.793333329999999</v>
      </c>
      <c r="L19" s="272">
        <v>26.734005379999999</v>
      </c>
      <c r="M19" s="272">
        <v>27.9327957</v>
      </c>
      <c r="N19" s="272">
        <v>28.966944439999999</v>
      </c>
      <c r="O19" s="272">
        <v>28.248252690000001</v>
      </c>
      <c r="P19" s="272">
        <v>27.32680556</v>
      </c>
      <c r="Q19" s="272">
        <v>26.74583333</v>
      </c>
      <c r="R19" s="272">
        <v>27.276823876666665</v>
      </c>
      <c r="S19" s="267">
        <f>SUMIFS(Aux_Lista!AD:AD,Aux_Lista!AB:AB,Aux_TBS!B19,Aux_Lista!AC:AC,Aux_TBS!A19)</f>
        <v>8</v>
      </c>
      <c r="T19" s="267" t="s">
        <v>6014</v>
      </c>
      <c r="U19" s="267">
        <v>38</v>
      </c>
    </row>
    <row r="20" spans="1:21" x14ac:dyDescent="0.25">
      <c r="A20" s="270" t="s">
        <v>4246</v>
      </c>
      <c r="B20" s="251" t="s">
        <v>206</v>
      </c>
      <c r="C20" s="267" t="str">
        <f t="shared" si="0"/>
        <v>Maués, AM</v>
      </c>
      <c r="D20" s="271">
        <v>-3.4</v>
      </c>
      <c r="E20" s="251">
        <v>35</v>
      </c>
      <c r="F20" s="272">
        <v>25.852956989999999</v>
      </c>
      <c r="G20" s="272">
        <v>25.221130949999999</v>
      </c>
      <c r="H20" s="272">
        <v>25.581451609999998</v>
      </c>
      <c r="I20" s="272">
        <v>25.917777780000002</v>
      </c>
      <c r="J20" s="272">
        <v>25.614112899999999</v>
      </c>
      <c r="K20" s="272">
        <v>25.83666667</v>
      </c>
      <c r="L20" s="272">
        <v>26.61747312</v>
      </c>
      <c r="M20" s="272">
        <v>27.536962370000001</v>
      </c>
      <c r="N20" s="272">
        <v>27.78541667</v>
      </c>
      <c r="O20" s="272">
        <v>27.926344090000001</v>
      </c>
      <c r="P20" s="272">
        <v>28.19125</v>
      </c>
      <c r="Q20" s="272">
        <v>26.710215049999999</v>
      </c>
      <c r="R20" s="272">
        <v>26.565979850000002</v>
      </c>
      <c r="S20" s="267">
        <f>SUMIFS(Aux_Lista!AD:AD,Aux_Lista!AB:AB,Aux_TBS!B20,Aux_Lista!AC:AC,Aux_TBS!A20)</f>
        <v>8</v>
      </c>
      <c r="T20" s="267" t="s">
        <v>6014</v>
      </c>
      <c r="U20" s="267">
        <v>38</v>
      </c>
    </row>
    <row r="21" spans="1:21" x14ac:dyDescent="0.25">
      <c r="A21" s="270" t="s">
        <v>4964</v>
      </c>
      <c r="B21" s="251" t="s">
        <v>206</v>
      </c>
      <c r="C21" s="267" t="str">
        <f t="shared" si="0"/>
        <v>Parintins, AM</v>
      </c>
      <c r="D21" s="271">
        <v>-2.64</v>
      </c>
      <c r="E21" s="251">
        <v>35</v>
      </c>
      <c r="F21" s="272">
        <v>26.47768817</v>
      </c>
      <c r="G21" s="272">
        <v>26.006250000000001</v>
      </c>
      <c r="H21" s="272">
        <v>25.978225810000001</v>
      </c>
      <c r="I21" s="272">
        <v>26.34111111</v>
      </c>
      <c r="J21" s="272">
        <v>26.13991935</v>
      </c>
      <c r="K21" s="272">
        <v>26.494444439999999</v>
      </c>
      <c r="L21" s="272">
        <v>27.232123659999999</v>
      </c>
      <c r="M21" s="272">
        <v>28.66653226</v>
      </c>
      <c r="N21" s="272">
        <v>29.303194439999999</v>
      </c>
      <c r="O21" s="272">
        <v>29.231989250000002</v>
      </c>
      <c r="P21" s="272">
        <v>29.735972220000001</v>
      </c>
      <c r="Q21" s="272">
        <v>28.191532259999999</v>
      </c>
      <c r="R21" s="272">
        <v>27.483248580833333</v>
      </c>
      <c r="S21" s="267">
        <f>SUMIFS(Aux_Lista!AD:AD,Aux_Lista!AB:AB,Aux_TBS!B21,Aux_Lista!AC:AC,Aux_TBS!A21)</f>
        <v>8</v>
      </c>
      <c r="T21" s="267" t="s">
        <v>6014</v>
      </c>
      <c r="U21" s="267">
        <v>38</v>
      </c>
    </row>
    <row r="22" spans="1:21" x14ac:dyDescent="0.25">
      <c r="A22" s="270" t="s">
        <v>4253</v>
      </c>
      <c r="B22" s="251" t="s">
        <v>206</v>
      </c>
      <c r="C22" s="267" t="str">
        <f t="shared" si="0"/>
        <v>Presidente Figueiredo, AM</v>
      </c>
      <c r="D22" s="271">
        <v>-2.06</v>
      </c>
      <c r="E22" s="251">
        <v>92</v>
      </c>
      <c r="F22" s="272">
        <v>25.55268817</v>
      </c>
      <c r="G22" s="272">
        <v>25.519940479999999</v>
      </c>
      <c r="H22" s="272">
        <v>25.52284946</v>
      </c>
      <c r="I22" s="272">
        <v>26.11222222</v>
      </c>
      <c r="J22" s="272">
        <v>25.796505379999999</v>
      </c>
      <c r="K22" s="272">
        <v>25.886388889999999</v>
      </c>
      <c r="L22" s="272">
        <v>26.608333330000001</v>
      </c>
      <c r="M22" s="272">
        <v>27.613709679999999</v>
      </c>
      <c r="N22" s="272">
        <v>27.8475</v>
      </c>
      <c r="O22" s="272">
        <v>27.901478489999999</v>
      </c>
      <c r="P22" s="272">
        <v>28.325972220000001</v>
      </c>
      <c r="Q22" s="272">
        <v>26.986693549999998</v>
      </c>
      <c r="R22" s="272">
        <v>26.639523489166663</v>
      </c>
      <c r="S22" s="267">
        <f>SUMIFS(Aux_Lista!AD:AD,Aux_Lista!AB:AB,Aux_TBS!B22,Aux_Lista!AC:AC,Aux_TBS!A22)</f>
        <v>8</v>
      </c>
      <c r="T22" s="267" t="s">
        <v>6014</v>
      </c>
      <c r="U22" s="267">
        <v>38</v>
      </c>
    </row>
    <row r="23" spans="1:21" x14ac:dyDescent="0.25">
      <c r="A23" s="270" t="s">
        <v>5054</v>
      </c>
      <c r="B23" s="251" t="s">
        <v>206</v>
      </c>
      <c r="C23" s="267" t="str">
        <f t="shared" si="0"/>
        <v>Urucará, AM</v>
      </c>
      <c r="D23" s="271">
        <v>-2.5299999999999998</v>
      </c>
      <c r="E23" s="251">
        <v>17</v>
      </c>
      <c r="F23" s="272">
        <v>26.43709677</v>
      </c>
      <c r="G23" s="272">
        <v>25.999255949999998</v>
      </c>
      <c r="H23" s="272">
        <v>26.1077957</v>
      </c>
      <c r="I23" s="272">
        <v>26.341249999999999</v>
      </c>
      <c r="J23" s="272">
        <v>25.98642473</v>
      </c>
      <c r="K23" s="272">
        <v>26.513194439999999</v>
      </c>
      <c r="L23" s="272">
        <v>27.535080650000001</v>
      </c>
      <c r="M23" s="272">
        <v>28.759946240000001</v>
      </c>
      <c r="N23" s="272">
        <v>29.362361109999998</v>
      </c>
      <c r="O23" s="272">
        <v>29.066129029999999</v>
      </c>
      <c r="P23" s="272">
        <v>29.404166669999999</v>
      </c>
      <c r="Q23" s="272">
        <v>27.93790323</v>
      </c>
      <c r="R23" s="272">
        <v>27.454217043333333</v>
      </c>
      <c r="S23" s="267">
        <f>SUMIFS(Aux_Lista!AD:AD,Aux_Lista!AB:AB,Aux_TBS!B23,Aux_Lista!AC:AC,Aux_TBS!A23)</f>
        <v>8</v>
      </c>
      <c r="T23" s="267" t="s">
        <v>6014</v>
      </c>
      <c r="U23" s="267">
        <v>38</v>
      </c>
    </row>
    <row r="24" spans="1:21" x14ac:dyDescent="0.25">
      <c r="A24" s="270" t="s">
        <v>4250</v>
      </c>
      <c r="B24" s="251" t="s">
        <v>3979</v>
      </c>
      <c r="C24" s="267" t="str">
        <f t="shared" si="0"/>
        <v>Macapá, AP</v>
      </c>
      <c r="D24" s="271">
        <v>0.04</v>
      </c>
      <c r="E24" s="251">
        <v>15</v>
      </c>
      <c r="F24" s="272">
        <v>25.107392470000001</v>
      </c>
      <c r="G24" s="272">
        <v>24.63794643</v>
      </c>
      <c r="H24" s="272">
        <v>25.15819892</v>
      </c>
      <c r="I24" s="272">
        <v>25.567499999999999</v>
      </c>
      <c r="J24" s="272">
        <v>25.214381719999999</v>
      </c>
      <c r="K24" s="272">
        <v>25.002777779999999</v>
      </c>
      <c r="L24" s="272">
        <v>25.076747309999998</v>
      </c>
      <c r="M24" s="272">
        <v>26.040456989999999</v>
      </c>
      <c r="N24" s="272">
        <v>26.859722219999998</v>
      </c>
      <c r="O24" s="272">
        <v>27.229301079999999</v>
      </c>
      <c r="P24" s="272">
        <v>27.621111110000001</v>
      </c>
      <c r="Q24" s="272">
        <v>25.77473118</v>
      </c>
      <c r="R24" s="272">
        <v>25.77418893416667</v>
      </c>
      <c r="S24" s="267">
        <f>SUMIFS(Aux_Lista!AD:AD,Aux_Lista!AB:AB,Aux_TBS!B24,Aux_Lista!AC:AC,Aux_TBS!A24)</f>
        <v>8</v>
      </c>
      <c r="T24" s="267" t="s">
        <v>6014</v>
      </c>
      <c r="U24" s="267">
        <v>38</v>
      </c>
    </row>
    <row r="25" spans="1:21" x14ac:dyDescent="0.25">
      <c r="A25" s="270" t="s">
        <v>4255</v>
      </c>
      <c r="B25" s="251" t="s">
        <v>3979</v>
      </c>
      <c r="C25" s="267" t="str">
        <f t="shared" si="0"/>
        <v>Oiapoque, AP</v>
      </c>
      <c r="D25" s="271">
        <v>3.81</v>
      </c>
      <c r="E25" s="251">
        <v>21</v>
      </c>
      <c r="F25" s="272">
        <v>24.450672040000001</v>
      </c>
      <c r="G25" s="272">
        <v>24.586755950000001</v>
      </c>
      <c r="H25" s="272">
        <v>25.153091400000001</v>
      </c>
      <c r="I25" s="272">
        <v>25.462083329999999</v>
      </c>
      <c r="J25" s="272">
        <v>25.43145161</v>
      </c>
      <c r="K25" s="272">
        <v>25.025416669999998</v>
      </c>
      <c r="L25" s="272">
        <v>25.2766129</v>
      </c>
      <c r="M25" s="272">
        <v>26.03776882</v>
      </c>
      <c r="N25" s="272">
        <v>26.33888889</v>
      </c>
      <c r="O25" s="272">
        <v>26.962499999999999</v>
      </c>
      <c r="P25" s="272">
        <v>26.684305559999999</v>
      </c>
      <c r="Q25" s="272">
        <v>25.28306452</v>
      </c>
      <c r="R25" s="272">
        <v>25.557717640833332</v>
      </c>
      <c r="S25" s="267">
        <f>SUMIFS(Aux_Lista!AD:AD,Aux_Lista!AB:AB,Aux_TBS!B25,Aux_Lista!AC:AC,Aux_TBS!A25)</f>
        <v>8</v>
      </c>
      <c r="T25" s="267" t="s">
        <v>6014</v>
      </c>
      <c r="U25" s="267">
        <v>38</v>
      </c>
    </row>
    <row r="26" spans="1:21" x14ac:dyDescent="0.25">
      <c r="A26" s="270" t="s">
        <v>4251</v>
      </c>
      <c r="B26" s="251" t="s">
        <v>3979</v>
      </c>
      <c r="C26" s="267" t="str">
        <f t="shared" si="0"/>
        <v>Porto Grande, AP</v>
      </c>
      <c r="D26" s="271">
        <v>0.7</v>
      </c>
      <c r="E26" s="251">
        <v>77</v>
      </c>
      <c r="F26" s="272">
        <v>25.107392470000001</v>
      </c>
      <c r="G26" s="272">
        <v>24.63794643</v>
      </c>
      <c r="H26" s="272">
        <v>25.15819892</v>
      </c>
      <c r="I26" s="272">
        <v>25.567499999999999</v>
      </c>
      <c r="J26" s="272">
        <v>25.214381719999999</v>
      </c>
      <c r="K26" s="272">
        <v>25.002777779999999</v>
      </c>
      <c r="L26" s="272">
        <v>25.076747309999998</v>
      </c>
      <c r="M26" s="272">
        <v>26.040456989999999</v>
      </c>
      <c r="N26" s="272">
        <v>26.859722219999998</v>
      </c>
      <c r="O26" s="272">
        <v>27.229301079999999</v>
      </c>
      <c r="P26" s="272">
        <v>27.621111110000001</v>
      </c>
      <c r="Q26" s="272">
        <v>25.77473118</v>
      </c>
      <c r="R26" s="272">
        <v>25.77418893416667</v>
      </c>
      <c r="S26" s="267">
        <f>SUMIFS(Aux_Lista!AD:AD,Aux_Lista!AB:AB,Aux_TBS!B26,Aux_Lista!AC:AC,Aux_TBS!A26)</f>
        <v>8</v>
      </c>
      <c r="T26" s="267" t="s">
        <v>6014</v>
      </c>
      <c r="U26" s="267">
        <v>38</v>
      </c>
    </row>
    <row r="27" spans="1:21" x14ac:dyDescent="0.25">
      <c r="A27" s="270" t="s">
        <v>4254</v>
      </c>
      <c r="B27" s="251" t="s">
        <v>3979</v>
      </c>
      <c r="C27" s="267" t="str">
        <f t="shared" si="0"/>
        <v>Tartarugalzinho, AP</v>
      </c>
      <c r="D27" s="271">
        <v>1.5</v>
      </c>
      <c r="E27" s="251">
        <v>21</v>
      </c>
      <c r="F27" s="272">
        <v>25.332795699999998</v>
      </c>
      <c r="G27" s="272">
        <v>24.946279759999999</v>
      </c>
      <c r="H27" s="272">
        <v>25.596774190000001</v>
      </c>
      <c r="I27" s="272">
        <v>25.81555556</v>
      </c>
      <c r="J27" s="272">
        <v>25.36465054</v>
      </c>
      <c r="K27" s="272">
        <v>25.156388889999999</v>
      </c>
      <c r="L27" s="272">
        <v>25.929435479999999</v>
      </c>
      <c r="M27" s="272">
        <v>26.571505380000001</v>
      </c>
      <c r="N27" s="272">
        <v>26.911666669999999</v>
      </c>
      <c r="O27" s="272">
        <v>27.362634409999998</v>
      </c>
      <c r="P27" s="272">
        <v>27.353194439999999</v>
      </c>
      <c r="Q27" s="272">
        <v>25.505241940000001</v>
      </c>
      <c r="R27" s="272">
        <v>25.987176913333329</v>
      </c>
      <c r="S27" s="267">
        <f>SUMIFS(Aux_Lista!AD:AD,Aux_Lista!AB:AB,Aux_TBS!B27,Aux_Lista!AC:AC,Aux_TBS!A27)</f>
        <v>8</v>
      </c>
      <c r="T27" s="267" t="s">
        <v>6014</v>
      </c>
      <c r="U27" s="267">
        <v>38</v>
      </c>
    </row>
    <row r="28" spans="1:21" x14ac:dyDescent="0.25">
      <c r="A28" s="270" t="s">
        <v>1746</v>
      </c>
      <c r="B28" s="251" t="s">
        <v>373</v>
      </c>
      <c r="C28" s="267" t="str">
        <f t="shared" si="0"/>
        <v>Amargosa, BA</v>
      </c>
      <c r="D28" s="271">
        <v>-13.01</v>
      </c>
      <c r="E28" s="251">
        <v>407</v>
      </c>
      <c r="F28" s="272">
        <v>24.718548389999999</v>
      </c>
      <c r="G28" s="272">
        <v>25.16919643</v>
      </c>
      <c r="H28" s="272">
        <v>25.455913979999998</v>
      </c>
      <c r="I28" s="272">
        <v>24.135416670000001</v>
      </c>
      <c r="J28" s="272">
        <v>23.59086022</v>
      </c>
      <c r="K28" s="272">
        <v>21.756250000000001</v>
      </c>
      <c r="L28" s="272">
        <v>20.2188172</v>
      </c>
      <c r="M28" s="272">
        <v>20.59180108</v>
      </c>
      <c r="N28" s="272">
        <v>21.42583333</v>
      </c>
      <c r="O28" s="272">
        <v>22.89408602</v>
      </c>
      <c r="P28" s="272">
        <v>24.403888890000001</v>
      </c>
      <c r="Q28" s="272">
        <v>23.908467739999999</v>
      </c>
      <c r="R28" s="272">
        <v>23.189089995833331</v>
      </c>
      <c r="S28" s="267">
        <f>SUMIFS(Aux_Lista!AD:AD,Aux_Lista!AB:AB,Aux_TBS!B28,Aux_Lista!AC:AC,Aux_TBS!A28)</f>
        <v>8</v>
      </c>
      <c r="T28" s="267" t="s">
        <v>6015</v>
      </c>
      <c r="U28" s="267">
        <v>38</v>
      </c>
    </row>
    <row r="29" spans="1:21" x14ac:dyDescent="0.25">
      <c r="A29" s="270" t="s">
        <v>5384</v>
      </c>
      <c r="B29" s="251" t="s">
        <v>373</v>
      </c>
      <c r="C29" s="267" t="str">
        <f t="shared" si="0"/>
        <v>Barra, BA</v>
      </c>
      <c r="D29" s="271">
        <v>-11.08</v>
      </c>
      <c r="E29" s="251">
        <v>403</v>
      </c>
      <c r="F29" s="272">
        <v>27.166397849999999</v>
      </c>
      <c r="G29" s="272">
        <v>27.324553569999999</v>
      </c>
      <c r="H29" s="272">
        <v>27.163844090000001</v>
      </c>
      <c r="I29" s="272">
        <v>25.933888889999999</v>
      </c>
      <c r="J29" s="272">
        <v>25.260887100000001</v>
      </c>
      <c r="K29" s="272">
        <v>24.72666667</v>
      </c>
      <c r="L29" s="272">
        <v>25.007795699999999</v>
      </c>
      <c r="M29" s="272">
        <v>26.288172039999999</v>
      </c>
      <c r="N29" s="272">
        <v>29.139722219999999</v>
      </c>
      <c r="O29" s="272">
        <v>28.281586019999999</v>
      </c>
      <c r="P29" s="272">
        <v>28.624166670000001</v>
      </c>
      <c r="Q29" s="272">
        <v>26.681048390000001</v>
      </c>
      <c r="R29" s="272">
        <v>26.799894100833338</v>
      </c>
      <c r="S29" s="267">
        <f>SUMIFS(Aux_Lista!AD:AD,Aux_Lista!AB:AB,Aux_TBS!B29,Aux_Lista!AC:AC,Aux_TBS!A29)</f>
        <v>6</v>
      </c>
      <c r="T29" s="267" t="s">
        <v>6015</v>
      </c>
      <c r="U29" s="267">
        <v>38</v>
      </c>
    </row>
    <row r="30" spans="1:21" x14ac:dyDescent="0.25">
      <c r="A30" s="270" t="s">
        <v>5474</v>
      </c>
      <c r="B30" s="251" t="s">
        <v>373</v>
      </c>
      <c r="C30" s="267" t="str">
        <f t="shared" si="0"/>
        <v>Barreiras, BA</v>
      </c>
      <c r="D30" s="271">
        <v>-12.15</v>
      </c>
      <c r="E30" s="251">
        <v>470</v>
      </c>
      <c r="F30" s="272">
        <v>26.284274190000001</v>
      </c>
      <c r="G30" s="272">
        <v>24.269196430000001</v>
      </c>
      <c r="H30" s="272">
        <v>25.20013441</v>
      </c>
      <c r="I30" s="272">
        <v>25.194444440000002</v>
      </c>
      <c r="J30" s="272">
        <v>24.949059139999999</v>
      </c>
      <c r="K30" s="272">
        <v>23.004305559999999</v>
      </c>
      <c r="L30" s="272">
        <v>23.433870970000001</v>
      </c>
      <c r="M30" s="272">
        <v>24.741935479999999</v>
      </c>
      <c r="N30" s="272">
        <v>27.061111109999999</v>
      </c>
      <c r="O30" s="272">
        <v>26.557526880000001</v>
      </c>
      <c r="P30" s="272">
        <v>25.75305556</v>
      </c>
      <c r="Q30" s="272">
        <v>24.984005379999999</v>
      </c>
      <c r="R30" s="272">
        <v>25.119409962500001</v>
      </c>
      <c r="S30" s="267">
        <f>SUMIFS(Aux_Lista!AD:AD,Aux_Lista!AB:AB,Aux_TBS!B30,Aux_Lista!AC:AC,Aux_TBS!A30)</f>
        <v>7</v>
      </c>
      <c r="T30" s="267" t="s">
        <v>6015</v>
      </c>
      <c r="U30" s="267">
        <v>38</v>
      </c>
    </row>
    <row r="31" spans="1:21" x14ac:dyDescent="0.25">
      <c r="A31" s="270" t="s">
        <v>1192</v>
      </c>
      <c r="B31" s="251" t="s">
        <v>373</v>
      </c>
      <c r="C31" s="267" t="str">
        <f t="shared" si="0"/>
        <v>Belmonte, BA</v>
      </c>
      <c r="D31" s="271">
        <v>-16.09</v>
      </c>
      <c r="E31" s="251">
        <v>88</v>
      </c>
      <c r="F31" s="272">
        <v>25.809811830000001</v>
      </c>
      <c r="G31" s="272">
        <v>25.381250000000001</v>
      </c>
      <c r="H31" s="272">
        <v>25.734274190000001</v>
      </c>
      <c r="I31" s="272">
        <v>24.364305559999998</v>
      </c>
      <c r="J31" s="272">
        <v>23.418010750000001</v>
      </c>
      <c r="K31" s="272">
        <v>21.174305560000001</v>
      </c>
      <c r="L31" s="272">
        <v>21.388172040000001</v>
      </c>
      <c r="M31" s="272">
        <v>21.344489249999999</v>
      </c>
      <c r="N31" s="272">
        <v>22.689305560000001</v>
      </c>
      <c r="O31" s="272">
        <v>23.856048390000002</v>
      </c>
      <c r="P31" s="272">
        <v>24.603750000000002</v>
      </c>
      <c r="Q31" s="272">
        <v>25.74811828</v>
      </c>
      <c r="R31" s="272">
        <v>23.792653450833331</v>
      </c>
      <c r="S31" s="267">
        <f>SUMIFS(Aux_Lista!AD:AD,Aux_Lista!AB:AB,Aux_TBS!B31,Aux_Lista!AC:AC,Aux_TBS!A31)</f>
        <v>8</v>
      </c>
      <c r="T31" s="267" t="s">
        <v>6015</v>
      </c>
      <c r="U31" s="267">
        <v>38</v>
      </c>
    </row>
    <row r="32" spans="1:21" x14ac:dyDescent="0.25">
      <c r="A32" s="270" t="s">
        <v>5344</v>
      </c>
      <c r="B32" s="251" t="s">
        <v>373</v>
      </c>
      <c r="C32" s="267" t="str">
        <f t="shared" si="0"/>
        <v>Bom Jesus da Lapa, BA</v>
      </c>
      <c r="D32" s="271">
        <v>-13.26</v>
      </c>
      <c r="E32" s="251">
        <v>440</v>
      </c>
      <c r="F32" s="272">
        <v>26.116666670000001</v>
      </c>
      <c r="G32" s="272">
        <v>26.763988099999999</v>
      </c>
      <c r="H32" s="272">
        <v>27.052553759999999</v>
      </c>
      <c r="I32" s="272">
        <v>25.03430556</v>
      </c>
      <c r="J32" s="272">
        <v>24.038978490000002</v>
      </c>
      <c r="K32" s="272">
        <v>24.067638890000001</v>
      </c>
      <c r="L32" s="272">
        <v>24.9155914</v>
      </c>
      <c r="M32" s="272">
        <v>26.066129029999999</v>
      </c>
      <c r="N32" s="272">
        <v>29.074583329999999</v>
      </c>
      <c r="O32" s="272">
        <v>28.019623660000001</v>
      </c>
      <c r="P32" s="272">
        <v>27.492361110000001</v>
      </c>
      <c r="Q32" s="272">
        <v>26.40766129</v>
      </c>
      <c r="R32" s="272">
        <v>26.254173440833338</v>
      </c>
      <c r="S32" s="267">
        <f>SUMIFS(Aux_Lista!AD:AD,Aux_Lista!AB:AB,Aux_TBS!B32,Aux_Lista!AC:AC,Aux_TBS!A32)</f>
        <v>6</v>
      </c>
      <c r="T32" s="267" t="s">
        <v>6015</v>
      </c>
      <c r="U32" s="267">
        <v>38</v>
      </c>
    </row>
    <row r="33" spans="1:21" x14ac:dyDescent="0.25">
      <c r="A33" s="270" t="s">
        <v>2191</v>
      </c>
      <c r="B33" s="251" t="s">
        <v>373</v>
      </c>
      <c r="C33" s="267" t="str">
        <f t="shared" si="0"/>
        <v>Brumado, BA</v>
      </c>
      <c r="D33" s="271">
        <v>-14.18</v>
      </c>
      <c r="E33" s="251">
        <v>470</v>
      </c>
      <c r="F33" s="272">
        <v>24.64502688</v>
      </c>
      <c r="G33" s="272">
        <v>26.345089290000001</v>
      </c>
      <c r="H33" s="272">
        <v>27.2141129</v>
      </c>
      <c r="I33" s="272">
        <v>24.09486111</v>
      </c>
      <c r="J33" s="272">
        <v>22.468548389999999</v>
      </c>
      <c r="K33" s="272">
        <v>21.793194440000001</v>
      </c>
      <c r="L33" s="272">
        <v>22.564247309999999</v>
      </c>
      <c r="M33" s="272">
        <v>23.72056452</v>
      </c>
      <c r="N33" s="272">
        <v>26.41222222</v>
      </c>
      <c r="O33" s="272">
        <v>27.22715054</v>
      </c>
      <c r="P33" s="272">
        <v>27.885694440000002</v>
      </c>
      <c r="Q33" s="272">
        <v>27.726344090000001</v>
      </c>
      <c r="R33" s="272">
        <v>25.174754677500001</v>
      </c>
      <c r="S33" s="267">
        <f>SUMIFS(Aux_Lista!AD:AD,Aux_Lista!AB:AB,Aux_TBS!B33,Aux_Lista!AC:AC,Aux_TBS!A33)</f>
        <v>5</v>
      </c>
      <c r="T33" s="267" t="s">
        <v>6015</v>
      </c>
      <c r="U33" s="267">
        <v>38</v>
      </c>
    </row>
    <row r="34" spans="1:21" x14ac:dyDescent="0.25">
      <c r="A34" s="270" t="s">
        <v>5387</v>
      </c>
      <c r="B34" s="251" t="s">
        <v>373</v>
      </c>
      <c r="C34" s="267" t="str">
        <f t="shared" si="0"/>
        <v>Buritirama, BA</v>
      </c>
      <c r="D34" s="271">
        <v>-10.72</v>
      </c>
      <c r="E34" s="251">
        <v>502</v>
      </c>
      <c r="F34" s="272">
        <v>25.590725809999999</v>
      </c>
      <c r="G34" s="272">
        <v>27.243005950000001</v>
      </c>
      <c r="H34" s="272">
        <v>25.007123660000001</v>
      </c>
      <c r="I34" s="272">
        <v>24.172361110000001</v>
      </c>
      <c r="J34" s="272">
        <v>23.665860219999999</v>
      </c>
      <c r="K34" s="272">
        <v>23.077222219999999</v>
      </c>
      <c r="L34" s="272">
        <v>23.450403229999999</v>
      </c>
      <c r="M34" s="272">
        <v>25.375672040000001</v>
      </c>
      <c r="N34" s="272">
        <v>27.995972219999999</v>
      </c>
      <c r="O34" s="272">
        <v>26.73185484</v>
      </c>
      <c r="P34" s="272">
        <v>27.731666669999999</v>
      </c>
      <c r="Q34" s="272">
        <v>25.42392473</v>
      </c>
      <c r="R34" s="272">
        <v>25.455482725</v>
      </c>
      <c r="S34" s="267">
        <f>SUMIFS(Aux_Lista!AD:AD,Aux_Lista!AB:AB,Aux_TBS!B34,Aux_Lista!AC:AC,Aux_TBS!A34)</f>
        <v>6</v>
      </c>
      <c r="T34" s="267" t="s">
        <v>6015</v>
      </c>
      <c r="U34" s="267">
        <v>38</v>
      </c>
    </row>
    <row r="35" spans="1:21" x14ac:dyDescent="0.25">
      <c r="A35" s="270" t="s">
        <v>4825</v>
      </c>
      <c r="B35" s="251" t="s">
        <v>373</v>
      </c>
      <c r="C35" s="267" t="str">
        <f t="shared" si="0"/>
        <v>Caravelas, BA</v>
      </c>
      <c r="D35" s="271">
        <v>-17.73</v>
      </c>
      <c r="E35" s="251">
        <v>3</v>
      </c>
      <c r="F35" s="272">
        <v>26.255510749999999</v>
      </c>
      <c r="G35" s="272">
        <v>26.854613100000002</v>
      </c>
      <c r="H35" s="272">
        <v>26.96680108</v>
      </c>
      <c r="I35" s="272">
        <v>25.509861109999999</v>
      </c>
      <c r="J35" s="272">
        <v>24.054704300000001</v>
      </c>
      <c r="K35" s="272">
        <v>22.846666670000001</v>
      </c>
      <c r="L35" s="272">
        <v>22.666263440000002</v>
      </c>
      <c r="M35" s="272">
        <v>23.056317199999999</v>
      </c>
      <c r="N35" s="272">
        <v>24.392222220000001</v>
      </c>
      <c r="O35" s="272">
        <v>25.070833329999999</v>
      </c>
      <c r="P35" s="272">
        <v>25.788888889999999</v>
      </c>
      <c r="Q35" s="272">
        <v>26.912634409999999</v>
      </c>
      <c r="R35" s="272">
        <v>25.031276375000001</v>
      </c>
      <c r="S35" s="267">
        <f>SUMIFS(Aux_Lista!AD:AD,Aux_Lista!AB:AB,Aux_TBS!B35,Aux_Lista!AC:AC,Aux_TBS!A35)</f>
        <v>8</v>
      </c>
      <c r="T35" s="267" t="s">
        <v>6015</v>
      </c>
      <c r="U35" s="267">
        <v>38</v>
      </c>
    </row>
    <row r="36" spans="1:21" x14ac:dyDescent="0.25">
      <c r="A36" s="270" t="s">
        <v>4806</v>
      </c>
      <c r="B36" s="251" t="s">
        <v>373</v>
      </c>
      <c r="C36" s="267" t="str">
        <f t="shared" si="0"/>
        <v>Conde, BA</v>
      </c>
      <c r="D36" s="271">
        <v>-11.81</v>
      </c>
      <c r="E36" s="251">
        <v>14</v>
      </c>
      <c r="F36" s="272">
        <v>27.269354839999998</v>
      </c>
      <c r="G36" s="272">
        <v>26.953422620000001</v>
      </c>
      <c r="H36" s="272">
        <v>27.27701613</v>
      </c>
      <c r="I36" s="272">
        <v>26.821388890000001</v>
      </c>
      <c r="J36" s="272">
        <v>25.026478489999999</v>
      </c>
      <c r="K36" s="272">
        <v>24.682916670000001</v>
      </c>
      <c r="L36" s="272">
        <v>24.027284949999999</v>
      </c>
      <c r="M36" s="272">
        <v>24.055107530000001</v>
      </c>
      <c r="N36" s="272">
        <v>24.780277779999999</v>
      </c>
      <c r="O36" s="272">
        <v>26.229704300000002</v>
      </c>
      <c r="P36" s="272">
        <v>26.62055556</v>
      </c>
      <c r="Q36" s="272">
        <v>27.54206989</v>
      </c>
      <c r="R36" s="272">
        <v>25.940464804166666</v>
      </c>
      <c r="S36" s="267">
        <f>SUMIFS(Aux_Lista!AD:AD,Aux_Lista!AB:AB,Aux_TBS!B36,Aux_Lista!AC:AC,Aux_TBS!A36)</f>
        <v>8</v>
      </c>
      <c r="T36" s="267" t="s">
        <v>6015</v>
      </c>
      <c r="U36" s="267">
        <v>38</v>
      </c>
    </row>
    <row r="37" spans="1:21" x14ac:dyDescent="0.25">
      <c r="A37" s="270" t="s">
        <v>2852</v>
      </c>
      <c r="B37" s="251" t="s">
        <v>373</v>
      </c>
      <c r="C37" s="267" t="str">
        <f t="shared" si="0"/>
        <v>Correntina, BA</v>
      </c>
      <c r="D37" s="271">
        <v>-13.33</v>
      </c>
      <c r="E37" s="251">
        <v>549</v>
      </c>
      <c r="F37" s="272">
        <v>24.263709680000002</v>
      </c>
      <c r="G37" s="272">
        <v>24.50327381</v>
      </c>
      <c r="H37" s="272">
        <v>23.775806450000001</v>
      </c>
      <c r="I37" s="272">
        <v>23.82152778</v>
      </c>
      <c r="J37" s="272">
        <v>22.81155914</v>
      </c>
      <c r="K37" s="272">
        <v>21.318611109999999</v>
      </c>
      <c r="L37" s="272">
        <v>20.541935479999999</v>
      </c>
      <c r="M37" s="272">
        <v>22.760483870000002</v>
      </c>
      <c r="N37" s="272">
        <v>25.226805559999999</v>
      </c>
      <c r="O37" s="272">
        <v>27.431048390000001</v>
      </c>
      <c r="P37" s="272">
        <v>25.31666667</v>
      </c>
      <c r="Q37" s="272">
        <v>24.163575269999999</v>
      </c>
      <c r="R37" s="272">
        <v>23.827916934166669</v>
      </c>
      <c r="S37" s="267">
        <f>SUMIFS(Aux_Lista!AD:AD,Aux_Lista!AB:AB,Aux_TBS!B37,Aux_Lista!AC:AC,Aux_TBS!A37)</f>
        <v>6</v>
      </c>
      <c r="T37" s="267" t="s">
        <v>6015</v>
      </c>
      <c r="U37" s="267">
        <v>38</v>
      </c>
    </row>
    <row r="38" spans="1:21" x14ac:dyDescent="0.25">
      <c r="A38" s="270" t="s">
        <v>2013</v>
      </c>
      <c r="B38" s="251" t="s">
        <v>373</v>
      </c>
      <c r="C38" s="267" t="str">
        <f t="shared" si="0"/>
        <v>Cruz das Almas, BA</v>
      </c>
      <c r="D38" s="271">
        <v>-12.67</v>
      </c>
      <c r="E38" s="251">
        <v>226</v>
      </c>
      <c r="F38" s="272">
        <v>26.188172040000001</v>
      </c>
      <c r="G38" s="272">
        <v>25.981547620000001</v>
      </c>
      <c r="H38" s="272">
        <v>25.263709680000002</v>
      </c>
      <c r="I38" s="272">
        <v>24.765972219999998</v>
      </c>
      <c r="J38" s="272">
        <v>24.232392470000001</v>
      </c>
      <c r="K38" s="272">
        <v>21.854583330000001</v>
      </c>
      <c r="L38" s="272">
        <v>21.064650539999999</v>
      </c>
      <c r="M38" s="272">
        <v>21.26034946</v>
      </c>
      <c r="N38" s="272">
        <v>22.220833330000001</v>
      </c>
      <c r="O38" s="272">
        <v>23.803494619999999</v>
      </c>
      <c r="P38" s="272">
        <v>24.893888889999999</v>
      </c>
      <c r="Q38" s="272">
        <v>25.68655914</v>
      </c>
      <c r="R38" s="272">
        <v>23.934679445</v>
      </c>
      <c r="S38" s="267">
        <f>SUMIFS(Aux_Lista!AD:AD,Aux_Lista!AB:AB,Aux_TBS!B38,Aux_Lista!AC:AC,Aux_TBS!A38)</f>
        <v>8</v>
      </c>
      <c r="T38" s="267" t="s">
        <v>6015</v>
      </c>
      <c r="U38" s="267">
        <v>38</v>
      </c>
    </row>
    <row r="39" spans="1:21" x14ac:dyDescent="0.25">
      <c r="A39" s="270" t="s">
        <v>2464</v>
      </c>
      <c r="B39" s="251" t="s">
        <v>373</v>
      </c>
      <c r="C39" s="267" t="str">
        <f t="shared" si="0"/>
        <v>Umburanas, BA</v>
      </c>
      <c r="D39" s="271">
        <v>-10.46</v>
      </c>
      <c r="E39" s="251">
        <v>637</v>
      </c>
      <c r="F39" s="272">
        <v>25.097311829999999</v>
      </c>
      <c r="G39" s="272">
        <v>24.790178569999998</v>
      </c>
      <c r="H39" s="272">
        <v>25.695161290000001</v>
      </c>
      <c r="I39" s="272">
        <v>23.602222220000002</v>
      </c>
      <c r="J39" s="272">
        <v>22.455107529999999</v>
      </c>
      <c r="K39" s="272">
        <v>21.698472219999999</v>
      </c>
      <c r="L39" s="272">
        <v>21.786021510000001</v>
      </c>
      <c r="M39" s="272">
        <v>22.578763439999999</v>
      </c>
      <c r="N39" s="272">
        <v>24.765138889999999</v>
      </c>
      <c r="O39" s="272">
        <v>24.601478490000002</v>
      </c>
      <c r="P39" s="272">
        <v>23.93375</v>
      </c>
      <c r="Q39" s="272">
        <v>25.162096770000002</v>
      </c>
      <c r="R39" s="272">
        <v>23.84714189666667</v>
      </c>
      <c r="S39" s="267">
        <f>SUMIFS(Aux_Lista!AD:AD,Aux_Lista!AB:AB,Aux_TBS!B39,Aux_Lista!AC:AC,Aux_TBS!A39)</f>
        <v>5</v>
      </c>
      <c r="T39" s="267" t="s">
        <v>6015</v>
      </c>
      <c r="U39" s="267">
        <v>38</v>
      </c>
    </row>
    <row r="40" spans="1:21" x14ac:dyDescent="0.25">
      <c r="A40" s="270" t="s">
        <v>3341</v>
      </c>
      <c r="B40" s="251" t="s">
        <v>373</v>
      </c>
      <c r="C40" s="267" t="str">
        <f t="shared" si="0"/>
        <v>Euclides da Cunha, BA</v>
      </c>
      <c r="D40" s="271">
        <v>-10.54</v>
      </c>
      <c r="E40" s="251">
        <v>432</v>
      </c>
      <c r="F40" s="272">
        <v>26.076344089999999</v>
      </c>
      <c r="G40" s="272">
        <v>26.585267859999998</v>
      </c>
      <c r="H40" s="272">
        <v>26.59663978</v>
      </c>
      <c r="I40" s="272">
        <v>24.507361110000002</v>
      </c>
      <c r="J40" s="272">
        <v>22.43844086</v>
      </c>
      <c r="K40" s="272">
        <v>21.248333330000001</v>
      </c>
      <c r="L40" s="272">
        <v>20.25053763</v>
      </c>
      <c r="M40" s="272">
        <v>21.237231179999998</v>
      </c>
      <c r="N40" s="272">
        <v>22.88625</v>
      </c>
      <c r="O40" s="272">
        <v>24.771102150000001</v>
      </c>
      <c r="P40" s="272">
        <v>26.69722222</v>
      </c>
      <c r="Q40" s="272">
        <v>26.209274189999999</v>
      </c>
      <c r="R40" s="272">
        <v>24.125333699999999</v>
      </c>
      <c r="S40" s="267">
        <f>SUMIFS(Aux_Lista!AD:AD,Aux_Lista!AB:AB,Aux_TBS!B40,Aux_Lista!AC:AC,Aux_TBS!A40)</f>
        <v>7</v>
      </c>
      <c r="T40" s="267" t="s">
        <v>6015</v>
      </c>
      <c r="U40" s="267">
        <v>38</v>
      </c>
    </row>
    <row r="41" spans="1:21" x14ac:dyDescent="0.25">
      <c r="A41" s="270" t="s">
        <v>5088</v>
      </c>
      <c r="B41" s="251" t="s">
        <v>373</v>
      </c>
      <c r="C41" s="267" t="str">
        <f t="shared" si="0"/>
        <v>Feira de Santana, BA</v>
      </c>
      <c r="D41" s="271">
        <v>-12.27</v>
      </c>
      <c r="E41" s="251">
        <v>231</v>
      </c>
      <c r="F41" s="272">
        <v>26.430376339999999</v>
      </c>
      <c r="G41" s="272">
        <v>27.1391369</v>
      </c>
      <c r="H41" s="272">
        <v>27.097580650000001</v>
      </c>
      <c r="I41" s="272">
        <v>25.17013889</v>
      </c>
      <c r="J41" s="272">
        <v>24.428360219999998</v>
      </c>
      <c r="K41" s="272">
        <v>22.653472220000001</v>
      </c>
      <c r="L41" s="272">
        <v>21.631854839999999</v>
      </c>
      <c r="M41" s="272">
        <v>21.207661290000001</v>
      </c>
      <c r="N41" s="272">
        <v>22.142638890000001</v>
      </c>
      <c r="O41" s="272">
        <v>25.062634410000001</v>
      </c>
      <c r="P41" s="272">
        <v>26.064166669999999</v>
      </c>
      <c r="Q41" s="272">
        <v>26.315456990000001</v>
      </c>
      <c r="R41" s="272">
        <v>24.611956525833335</v>
      </c>
      <c r="S41" s="267">
        <f>SUMIFS(Aux_Lista!AD:AD,Aux_Lista!AB:AB,Aux_TBS!B41,Aux_Lista!AC:AC,Aux_TBS!A41)</f>
        <v>8</v>
      </c>
      <c r="T41" s="267" t="s">
        <v>6015</v>
      </c>
      <c r="U41" s="267">
        <v>38</v>
      </c>
    </row>
    <row r="42" spans="1:21" x14ac:dyDescent="0.25">
      <c r="A42" s="270" t="s">
        <v>4950</v>
      </c>
      <c r="B42" s="251" t="s">
        <v>373</v>
      </c>
      <c r="C42" s="267" t="str">
        <f t="shared" si="0"/>
        <v>Guanambi, BA</v>
      </c>
      <c r="D42" s="271">
        <v>-14.21</v>
      </c>
      <c r="E42" s="251">
        <v>551</v>
      </c>
      <c r="F42" s="272">
        <v>25.930376339999999</v>
      </c>
      <c r="G42" s="272">
        <v>27.126934519999999</v>
      </c>
      <c r="H42" s="272">
        <v>27.231586020000002</v>
      </c>
      <c r="I42" s="272">
        <v>24.73986111</v>
      </c>
      <c r="J42" s="272">
        <v>23.59610215</v>
      </c>
      <c r="K42" s="272">
        <v>23.594583329999999</v>
      </c>
      <c r="L42" s="272">
        <v>23.9733871</v>
      </c>
      <c r="M42" s="272">
        <v>24.531989249999999</v>
      </c>
      <c r="N42" s="272">
        <v>27.477222220000002</v>
      </c>
      <c r="O42" s="272">
        <v>26.74153226</v>
      </c>
      <c r="P42" s="272">
        <v>26.885277779999999</v>
      </c>
      <c r="Q42" s="272">
        <v>26.142473119999998</v>
      </c>
      <c r="R42" s="272">
        <v>25.664277100000003</v>
      </c>
      <c r="S42" s="267">
        <f>SUMIFS(Aux_Lista!AD:AD,Aux_Lista!AB:AB,Aux_TBS!B42,Aux_Lista!AC:AC,Aux_TBS!A42)</f>
        <v>6</v>
      </c>
      <c r="T42" s="267" t="s">
        <v>6015</v>
      </c>
      <c r="U42" s="267">
        <v>38</v>
      </c>
    </row>
    <row r="43" spans="1:21" x14ac:dyDescent="0.25">
      <c r="A43" s="270" t="s">
        <v>5360</v>
      </c>
      <c r="B43" s="251" t="s">
        <v>373</v>
      </c>
      <c r="C43" s="267" t="str">
        <f t="shared" si="0"/>
        <v>Ibotirama, BA</v>
      </c>
      <c r="D43" s="271">
        <v>-12.19</v>
      </c>
      <c r="E43" s="251">
        <v>430</v>
      </c>
      <c r="F43" s="272">
        <v>26.397715049999999</v>
      </c>
      <c r="G43" s="272">
        <v>26.72931548</v>
      </c>
      <c r="H43" s="272">
        <v>26.81196237</v>
      </c>
      <c r="I43" s="272">
        <v>25.187638889999999</v>
      </c>
      <c r="J43" s="272">
        <v>25.964784949999999</v>
      </c>
      <c r="K43" s="272">
        <v>25.176527780000001</v>
      </c>
      <c r="L43" s="272">
        <v>24.86518817</v>
      </c>
      <c r="M43" s="272">
        <v>26.581317200000001</v>
      </c>
      <c r="N43" s="272">
        <v>28.758749999999999</v>
      </c>
      <c r="O43" s="272">
        <v>30.420564519999999</v>
      </c>
      <c r="P43" s="272">
        <v>28.14083333</v>
      </c>
      <c r="Q43" s="272">
        <v>25.75846774</v>
      </c>
      <c r="R43" s="272">
        <v>26.73275545666667</v>
      </c>
      <c r="S43" s="267">
        <f>SUMIFS(Aux_Lista!AD:AD,Aux_Lista!AB:AB,Aux_TBS!B43,Aux_Lista!AC:AC,Aux_TBS!A43)</f>
        <v>7</v>
      </c>
      <c r="T43" s="267" t="s">
        <v>6015</v>
      </c>
      <c r="U43" s="267">
        <v>38</v>
      </c>
    </row>
    <row r="44" spans="1:21" x14ac:dyDescent="0.25">
      <c r="A44" s="270" t="s">
        <v>1749</v>
      </c>
      <c r="B44" s="251" t="s">
        <v>373</v>
      </c>
      <c r="C44" s="267" t="str">
        <f t="shared" si="0"/>
        <v>Ilhéus, BA</v>
      </c>
      <c r="D44" s="271">
        <v>-14.79</v>
      </c>
      <c r="E44" s="251">
        <v>78</v>
      </c>
      <c r="F44" s="272">
        <v>25.190994620000001</v>
      </c>
      <c r="G44" s="272">
        <v>25.211755950000001</v>
      </c>
      <c r="H44" s="272">
        <v>24.762231180000001</v>
      </c>
      <c r="I44" s="272">
        <v>24.229722219999999</v>
      </c>
      <c r="J44" s="272">
        <v>23.337096769999999</v>
      </c>
      <c r="K44" s="272">
        <v>22.038194440000002</v>
      </c>
      <c r="L44" s="272">
        <v>21.049327959999999</v>
      </c>
      <c r="M44" s="272">
        <v>21.412231179999999</v>
      </c>
      <c r="N44" s="272">
        <v>21.854583330000001</v>
      </c>
      <c r="O44" s="272">
        <v>23.35268817</v>
      </c>
      <c r="P44" s="272">
        <v>24.056805560000001</v>
      </c>
      <c r="Q44" s="272">
        <v>25.006182800000001</v>
      </c>
      <c r="R44" s="272">
        <v>23.458484514999999</v>
      </c>
      <c r="S44" s="267">
        <f>SUMIFS(Aux_Lista!AD:AD,Aux_Lista!AB:AB,Aux_TBS!B44,Aux_Lista!AC:AC,Aux_TBS!A44)</f>
        <v>8</v>
      </c>
      <c r="T44" s="267" t="s">
        <v>6015</v>
      </c>
      <c r="U44" s="267">
        <v>38</v>
      </c>
    </row>
    <row r="45" spans="1:21" x14ac:dyDescent="0.25">
      <c r="A45" s="270" t="s">
        <v>5087</v>
      </c>
      <c r="B45" s="251" t="s">
        <v>373</v>
      </c>
      <c r="C45" s="267" t="str">
        <f t="shared" si="0"/>
        <v>Ipiaú, BA</v>
      </c>
      <c r="D45" s="271">
        <v>-14.14</v>
      </c>
      <c r="E45" s="251">
        <v>135</v>
      </c>
      <c r="F45" s="272">
        <v>25.782795700000001</v>
      </c>
      <c r="G45" s="272">
        <v>26.113244049999999</v>
      </c>
      <c r="H45" s="272">
        <v>26.219892470000001</v>
      </c>
      <c r="I45" s="272">
        <v>24.838194439999999</v>
      </c>
      <c r="J45" s="272">
        <v>24.250806449999999</v>
      </c>
      <c r="K45" s="272">
        <v>23.966249999999999</v>
      </c>
      <c r="L45" s="272">
        <v>21.975940860000001</v>
      </c>
      <c r="M45" s="272">
        <v>21.8483871</v>
      </c>
      <c r="N45" s="272">
        <v>23.435555560000001</v>
      </c>
      <c r="O45" s="272">
        <v>25.09798387</v>
      </c>
      <c r="P45" s="272">
        <v>24.979027779999999</v>
      </c>
      <c r="Q45" s="272">
        <v>26.358602149999999</v>
      </c>
      <c r="R45" s="272">
        <v>24.572223369166668</v>
      </c>
      <c r="S45" s="267">
        <f>SUMIFS(Aux_Lista!AD:AD,Aux_Lista!AB:AB,Aux_TBS!B45,Aux_Lista!AC:AC,Aux_TBS!A45)</f>
        <v>8</v>
      </c>
      <c r="T45" s="267" t="s">
        <v>6015</v>
      </c>
      <c r="U45" s="267">
        <v>38</v>
      </c>
    </row>
    <row r="46" spans="1:21" x14ac:dyDescent="0.25">
      <c r="A46" s="270" t="s">
        <v>2476</v>
      </c>
      <c r="B46" s="251" t="s">
        <v>373</v>
      </c>
      <c r="C46" s="267" t="str">
        <f t="shared" si="0"/>
        <v>Irecê, BA</v>
      </c>
      <c r="D46" s="271">
        <v>-11.33</v>
      </c>
      <c r="E46" s="251">
        <v>755</v>
      </c>
      <c r="F46" s="272">
        <v>24.14973118</v>
      </c>
      <c r="G46" s="272">
        <v>24.59925595</v>
      </c>
      <c r="H46" s="272">
        <v>25.956451609999998</v>
      </c>
      <c r="I46" s="272">
        <v>23.700694439999999</v>
      </c>
      <c r="J46" s="272">
        <v>22.779704299999999</v>
      </c>
      <c r="K46" s="272">
        <v>22.129027780000001</v>
      </c>
      <c r="L46" s="272">
        <v>22.009677419999999</v>
      </c>
      <c r="M46" s="272">
        <v>22.512365590000002</v>
      </c>
      <c r="N46" s="272">
        <v>25.186111109999999</v>
      </c>
      <c r="O46" s="272">
        <v>24.96787634</v>
      </c>
      <c r="P46" s="272">
        <v>24.913888889999999</v>
      </c>
      <c r="Q46" s="272">
        <v>24.506317200000002</v>
      </c>
      <c r="R46" s="272">
        <v>23.950925150833331</v>
      </c>
      <c r="S46" s="267">
        <f>SUMIFS(Aux_Lista!AD:AD,Aux_Lista!AB:AB,Aux_TBS!B46,Aux_Lista!AC:AC,Aux_TBS!A46)</f>
        <v>6</v>
      </c>
      <c r="T46" s="267" t="s">
        <v>6015</v>
      </c>
      <c r="U46" s="267">
        <v>38</v>
      </c>
    </row>
    <row r="47" spans="1:21" x14ac:dyDescent="0.25">
      <c r="A47" s="270" t="s">
        <v>4971</v>
      </c>
      <c r="B47" s="251" t="s">
        <v>373</v>
      </c>
      <c r="C47" s="267" t="str">
        <f t="shared" si="0"/>
        <v>Itaberaba, BA</v>
      </c>
      <c r="D47" s="271">
        <v>-12.53</v>
      </c>
      <c r="E47" s="251">
        <v>250</v>
      </c>
      <c r="F47" s="272">
        <v>26.226881720000002</v>
      </c>
      <c r="G47" s="272">
        <v>26.219494050000002</v>
      </c>
      <c r="H47" s="272">
        <v>25.787634409999999</v>
      </c>
      <c r="I47" s="272">
        <v>25.650416669999998</v>
      </c>
      <c r="J47" s="272">
        <v>24.39637097</v>
      </c>
      <c r="K47" s="272">
        <v>22.268194439999998</v>
      </c>
      <c r="L47" s="272">
        <v>22.3077957</v>
      </c>
      <c r="M47" s="272">
        <v>23.269354839999998</v>
      </c>
      <c r="N47" s="272">
        <v>24.043194440000001</v>
      </c>
      <c r="O47" s="272">
        <v>25.66236559</v>
      </c>
      <c r="P47" s="272">
        <v>26.508472220000002</v>
      </c>
      <c r="Q47" s="272">
        <v>26.901747310000001</v>
      </c>
      <c r="R47" s="272">
        <v>24.936826863333337</v>
      </c>
      <c r="S47" s="267">
        <f>SUMIFS(Aux_Lista!AD:AD,Aux_Lista!AB:AB,Aux_TBS!B47,Aux_Lista!AC:AC,Aux_TBS!A47)</f>
        <v>8</v>
      </c>
      <c r="T47" s="267" t="s">
        <v>6015</v>
      </c>
      <c r="U47" s="267">
        <v>38</v>
      </c>
    </row>
    <row r="48" spans="1:21" x14ac:dyDescent="0.25">
      <c r="A48" s="270" t="s">
        <v>4957</v>
      </c>
      <c r="B48" s="251" t="s">
        <v>373</v>
      </c>
      <c r="C48" s="267" t="str">
        <f t="shared" si="0"/>
        <v>Itapetinga, BA</v>
      </c>
      <c r="D48" s="271">
        <v>-15.24</v>
      </c>
      <c r="E48" s="251">
        <v>279</v>
      </c>
      <c r="F48" s="272">
        <v>26.914381720000002</v>
      </c>
      <c r="G48" s="272">
        <v>27.018750000000001</v>
      </c>
      <c r="H48" s="272">
        <v>25.94032258</v>
      </c>
      <c r="I48" s="272">
        <v>24.642222220000001</v>
      </c>
      <c r="J48" s="272">
        <v>23.716263439999999</v>
      </c>
      <c r="K48" s="272">
        <v>22.320138889999999</v>
      </c>
      <c r="L48" s="272">
        <v>21.799731179999998</v>
      </c>
      <c r="M48" s="272">
        <v>21.94637097</v>
      </c>
      <c r="N48" s="272">
        <v>24.087499999999999</v>
      </c>
      <c r="O48" s="272">
        <v>25.15524194</v>
      </c>
      <c r="P48" s="272">
        <v>25.660833329999999</v>
      </c>
      <c r="Q48" s="272">
        <v>27.051881720000001</v>
      </c>
      <c r="R48" s="272">
        <v>24.687803165833333</v>
      </c>
      <c r="S48" s="267">
        <f>SUMIFS(Aux_Lista!AD:AD,Aux_Lista!AB:AB,Aux_TBS!B48,Aux_Lista!AC:AC,Aux_TBS!A48)</f>
        <v>5</v>
      </c>
      <c r="T48" s="267" t="s">
        <v>6015</v>
      </c>
      <c r="U48" s="267">
        <v>38</v>
      </c>
    </row>
    <row r="49" spans="1:21" x14ac:dyDescent="0.25">
      <c r="A49" s="270" t="s">
        <v>3240</v>
      </c>
      <c r="B49" s="251" t="s">
        <v>373</v>
      </c>
      <c r="C49" s="267" t="str">
        <f t="shared" si="0"/>
        <v>Itiruçu, BA</v>
      </c>
      <c r="D49" s="271">
        <v>-13.53</v>
      </c>
      <c r="E49" s="251">
        <v>756</v>
      </c>
      <c r="F49" s="272">
        <v>22.8172043</v>
      </c>
      <c r="G49" s="272">
        <v>23.367261899999999</v>
      </c>
      <c r="H49" s="272">
        <v>23.170161289999999</v>
      </c>
      <c r="I49" s="272">
        <v>21.57222222</v>
      </c>
      <c r="J49" s="272">
        <v>21.337903229999998</v>
      </c>
      <c r="K49" s="272">
        <v>19.04861111</v>
      </c>
      <c r="L49" s="272">
        <v>18.119758059999999</v>
      </c>
      <c r="M49" s="272">
        <v>17.842607529999999</v>
      </c>
      <c r="N49" s="272">
        <v>18.99402778</v>
      </c>
      <c r="O49" s="272">
        <v>21.914784950000001</v>
      </c>
      <c r="P49" s="272">
        <v>22.191388889999999</v>
      </c>
      <c r="Q49" s="272">
        <v>22.493279569999999</v>
      </c>
      <c r="R49" s="272">
        <v>21.072434235833335</v>
      </c>
      <c r="S49" s="267">
        <f>SUMIFS(Aux_Lista!AD:AD,Aux_Lista!AB:AB,Aux_TBS!B49,Aux_Lista!AC:AC,Aux_TBS!A49)</f>
        <v>5</v>
      </c>
      <c r="T49" s="267" t="s">
        <v>6015</v>
      </c>
      <c r="U49" s="267">
        <v>38</v>
      </c>
    </row>
    <row r="50" spans="1:21" x14ac:dyDescent="0.25">
      <c r="A50" s="270" t="s">
        <v>2147</v>
      </c>
      <c r="B50" s="251" t="s">
        <v>373</v>
      </c>
      <c r="C50" s="267" t="str">
        <f t="shared" si="0"/>
        <v>Jacobina, BA</v>
      </c>
      <c r="D50" s="271">
        <v>-11.21</v>
      </c>
      <c r="E50" s="251">
        <v>453</v>
      </c>
      <c r="F50" s="272">
        <v>25.241801079999998</v>
      </c>
      <c r="G50" s="272">
        <v>25.266666669999999</v>
      </c>
      <c r="H50" s="272">
        <v>26.779032260000001</v>
      </c>
      <c r="I50" s="272">
        <v>24.888333329999998</v>
      </c>
      <c r="J50" s="272">
        <v>22.7547043</v>
      </c>
      <c r="K50" s="272">
        <v>22.16111111</v>
      </c>
      <c r="L50" s="272">
        <v>22.173387099999999</v>
      </c>
      <c r="M50" s="272">
        <v>22.384274189999999</v>
      </c>
      <c r="N50" s="272">
        <v>24.851805559999999</v>
      </c>
      <c r="O50" s="272">
        <v>25.09892473</v>
      </c>
      <c r="P50" s="272">
        <v>24.735555560000002</v>
      </c>
      <c r="Q50" s="272">
        <v>26.07419355</v>
      </c>
      <c r="R50" s="272">
        <v>24.367482453333334</v>
      </c>
      <c r="S50" s="267">
        <f>SUMIFS(Aux_Lista!AD:AD,Aux_Lista!AB:AB,Aux_TBS!B50,Aux_Lista!AC:AC,Aux_TBS!A50)</f>
        <v>8</v>
      </c>
      <c r="T50" s="267" t="s">
        <v>6015</v>
      </c>
      <c r="U50" s="267">
        <v>38</v>
      </c>
    </row>
    <row r="51" spans="1:21" x14ac:dyDescent="0.25">
      <c r="A51" s="270" t="s">
        <v>4967</v>
      </c>
      <c r="B51" s="251" t="s">
        <v>373</v>
      </c>
      <c r="C51" s="267" t="str">
        <f t="shared" si="0"/>
        <v>Lençóis, BA</v>
      </c>
      <c r="D51" s="271">
        <v>-12.56</v>
      </c>
      <c r="E51" s="251">
        <v>439</v>
      </c>
      <c r="F51" s="272">
        <v>26.227822580000002</v>
      </c>
      <c r="G51" s="272">
        <v>26.92410714</v>
      </c>
      <c r="H51" s="272">
        <v>26.019758060000001</v>
      </c>
      <c r="I51" s="272">
        <v>24.482222220000001</v>
      </c>
      <c r="J51" s="272">
        <v>24.064516130000001</v>
      </c>
      <c r="K51" s="272">
        <v>22.54180556</v>
      </c>
      <c r="L51" s="272">
        <v>21.733736560000001</v>
      </c>
      <c r="M51" s="272">
        <v>23.337365590000001</v>
      </c>
      <c r="N51" s="272">
        <v>24.598749999999999</v>
      </c>
      <c r="O51" s="272">
        <v>26.303763440000001</v>
      </c>
      <c r="P51" s="272">
        <v>26.505833330000002</v>
      </c>
      <c r="Q51" s="272">
        <v>25.6780914</v>
      </c>
      <c r="R51" s="272">
        <v>24.868147667500001</v>
      </c>
      <c r="S51" s="267">
        <f>SUMIFS(Aux_Lista!AD:AD,Aux_Lista!AB:AB,Aux_TBS!B51,Aux_Lista!AC:AC,Aux_TBS!A51)</f>
        <v>8</v>
      </c>
      <c r="T51" s="267" t="s">
        <v>6015</v>
      </c>
      <c r="U51" s="267">
        <v>38</v>
      </c>
    </row>
    <row r="52" spans="1:21" x14ac:dyDescent="0.25">
      <c r="A52" s="270" t="s">
        <v>2103</v>
      </c>
      <c r="B52" s="251" t="s">
        <v>373</v>
      </c>
      <c r="C52" s="267" t="str">
        <f t="shared" si="0"/>
        <v>Macajuba, BA</v>
      </c>
      <c r="D52" s="271">
        <v>-12.14</v>
      </c>
      <c r="E52" s="251">
        <v>380</v>
      </c>
      <c r="F52" s="272">
        <v>25.50510753</v>
      </c>
      <c r="G52" s="272">
        <v>25.502976189999998</v>
      </c>
      <c r="H52" s="272">
        <v>25.045833330000001</v>
      </c>
      <c r="I52" s="272">
        <v>24.818333330000002</v>
      </c>
      <c r="J52" s="272">
        <v>23.194354839999999</v>
      </c>
      <c r="K52" s="272">
        <v>21.355694440000001</v>
      </c>
      <c r="L52" s="272">
        <v>20.983064519999999</v>
      </c>
      <c r="M52" s="272">
        <v>22.259005380000001</v>
      </c>
      <c r="N52" s="272">
        <v>23.261111110000002</v>
      </c>
      <c r="O52" s="272">
        <v>25.057123659999998</v>
      </c>
      <c r="P52" s="272">
        <v>25.575833329999998</v>
      </c>
      <c r="Q52" s="272">
        <v>26.21505376</v>
      </c>
      <c r="R52" s="272">
        <v>24.064457618333332</v>
      </c>
      <c r="S52" s="267">
        <f>SUMIFS(Aux_Lista!AD:AD,Aux_Lista!AB:AB,Aux_TBS!B52,Aux_Lista!AC:AC,Aux_TBS!A52)</f>
        <v>8</v>
      </c>
      <c r="T52" s="267" t="s">
        <v>6015</v>
      </c>
      <c r="U52" s="267">
        <v>38</v>
      </c>
    </row>
    <row r="53" spans="1:21" x14ac:dyDescent="0.25">
      <c r="A53" s="270" t="s">
        <v>4823</v>
      </c>
      <c r="B53" s="251" t="s">
        <v>373</v>
      </c>
      <c r="C53" s="267" t="str">
        <f t="shared" si="0"/>
        <v>Maraú, BA</v>
      </c>
      <c r="D53" s="271">
        <v>-13.91</v>
      </c>
      <c r="E53" s="251">
        <v>10</v>
      </c>
      <c r="F53" s="272">
        <v>26.952016130000001</v>
      </c>
      <c r="G53" s="272">
        <v>26.557291670000001</v>
      </c>
      <c r="H53" s="272">
        <v>27.517338710000001</v>
      </c>
      <c r="I53" s="272">
        <v>25.990555560000001</v>
      </c>
      <c r="J53" s="272">
        <v>24.919892470000001</v>
      </c>
      <c r="K53" s="272">
        <v>23.988611110000001</v>
      </c>
      <c r="L53" s="272">
        <v>23.772983870000001</v>
      </c>
      <c r="M53" s="272">
        <v>23.71169355</v>
      </c>
      <c r="N53" s="272">
        <v>25.08666667</v>
      </c>
      <c r="O53" s="272">
        <v>25.904569890000001</v>
      </c>
      <c r="P53" s="272">
        <v>26.459166669999998</v>
      </c>
      <c r="Q53" s="272">
        <v>27.27419355</v>
      </c>
      <c r="R53" s="272">
        <v>25.677914987499999</v>
      </c>
      <c r="S53" s="267">
        <f>SUMIFS(Aux_Lista!AD:AD,Aux_Lista!AB:AB,Aux_TBS!B53,Aux_Lista!AC:AC,Aux_TBS!A53)</f>
        <v>8</v>
      </c>
      <c r="T53" s="267" t="s">
        <v>6015</v>
      </c>
      <c r="U53" s="267">
        <v>38</v>
      </c>
    </row>
    <row r="54" spans="1:21" x14ac:dyDescent="0.25">
      <c r="A54" s="270" t="s">
        <v>5034</v>
      </c>
      <c r="B54" s="251" t="s">
        <v>373</v>
      </c>
      <c r="C54" s="267" t="str">
        <f t="shared" si="0"/>
        <v>Paulo Afonso, BA</v>
      </c>
      <c r="D54" s="271">
        <v>-9.41</v>
      </c>
      <c r="E54" s="251">
        <v>253</v>
      </c>
      <c r="F54" s="272">
        <v>27.705376340000001</v>
      </c>
      <c r="G54" s="272">
        <v>28.201041669999999</v>
      </c>
      <c r="H54" s="272">
        <v>28.321639780000002</v>
      </c>
      <c r="I54" s="272">
        <v>27.54402778</v>
      </c>
      <c r="J54" s="272">
        <v>25.812634410000001</v>
      </c>
      <c r="K54" s="272">
        <v>23.55430556</v>
      </c>
      <c r="L54" s="272">
        <v>23.193817200000002</v>
      </c>
      <c r="M54" s="272">
        <v>23.447446240000001</v>
      </c>
      <c r="N54" s="272">
        <v>24.784166670000001</v>
      </c>
      <c r="O54" s="272">
        <v>27.23413978</v>
      </c>
      <c r="P54" s="272">
        <v>27.912916670000001</v>
      </c>
      <c r="Q54" s="272">
        <v>28.318279570000001</v>
      </c>
      <c r="R54" s="272">
        <v>26.335815972500001</v>
      </c>
      <c r="S54" s="267">
        <f>SUMIFS(Aux_Lista!AD:AD,Aux_Lista!AB:AB,Aux_TBS!B54,Aux_Lista!AC:AC,Aux_TBS!A54)</f>
        <v>7</v>
      </c>
      <c r="T54" s="267" t="s">
        <v>6015</v>
      </c>
      <c r="U54" s="267">
        <v>38</v>
      </c>
    </row>
    <row r="55" spans="1:21" x14ac:dyDescent="0.25">
      <c r="A55" s="270" t="s">
        <v>375</v>
      </c>
      <c r="B55" s="251" t="s">
        <v>373</v>
      </c>
      <c r="C55" s="267" t="str">
        <f t="shared" si="0"/>
        <v>Piatã, BA</v>
      </c>
      <c r="D55" s="271">
        <v>-13.16</v>
      </c>
      <c r="E55" s="251">
        <v>1290</v>
      </c>
      <c r="F55" s="272">
        <v>20.57002688</v>
      </c>
      <c r="G55" s="272">
        <v>21.190029760000002</v>
      </c>
      <c r="H55" s="272">
        <v>22.029032260000001</v>
      </c>
      <c r="I55" s="272">
        <v>19.82041667</v>
      </c>
      <c r="J55" s="272">
        <v>18.159274190000001</v>
      </c>
      <c r="K55" s="272">
        <v>17.677916669999998</v>
      </c>
      <c r="L55" s="272">
        <v>17.610618280000001</v>
      </c>
      <c r="M55" s="272">
        <v>17.78319892</v>
      </c>
      <c r="N55" s="272">
        <v>20.392222220000001</v>
      </c>
      <c r="O55" s="272">
        <v>20.638306450000002</v>
      </c>
      <c r="P55" s="272">
        <v>20.829583329999998</v>
      </c>
      <c r="Q55" s="272">
        <v>20.982661289999999</v>
      </c>
      <c r="R55" s="272">
        <v>19.806940576666666</v>
      </c>
      <c r="S55" s="267">
        <f>SUMIFS(Aux_Lista!AD:AD,Aux_Lista!AB:AB,Aux_TBS!B55,Aux_Lista!AC:AC,Aux_TBS!A55)</f>
        <v>5</v>
      </c>
      <c r="T55" s="267" t="s">
        <v>6015</v>
      </c>
      <c r="U55" s="267">
        <v>38</v>
      </c>
    </row>
    <row r="56" spans="1:21" x14ac:dyDescent="0.25">
      <c r="A56" s="270" t="s">
        <v>1845</v>
      </c>
      <c r="B56" s="251" t="s">
        <v>373</v>
      </c>
      <c r="C56" s="267" t="str">
        <f t="shared" si="0"/>
        <v>Porto Seguro, BA</v>
      </c>
      <c r="D56" s="271">
        <v>-16.39</v>
      </c>
      <c r="E56" s="251">
        <v>85</v>
      </c>
      <c r="F56" s="272">
        <v>25.060752690000001</v>
      </c>
      <c r="G56" s="272">
        <v>25.114136899999998</v>
      </c>
      <c r="H56" s="272">
        <v>25.692876340000002</v>
      </c>
      <c r="I56" s="272">
        <v>24.40180556</v>
      </c>
      <c r="J56" s="272">
        <v>22.683602149999999</v>
      </c>
      <c r="K56" s="272">
        <v>21.86222222</v>
      </c>
      <c r="L56" s="272">
        <v>21.458064520000001</v>
      </c>
      <c r="M56" s="272">
        <v>21.43508065</v>
      </c>
      <c r="N56" s="272">
        <v>22.828055559999999</v>
      </c>
      <c r="O56" s="272">
        <v>23.735752690000002</v>
      </c>
      <c r="P56" s="272">
        <v>24.785972220000001</v>
      </c>
      <c r="Q56" s="272">
        <v>25.954569889999998</v>
      </c>
      <c r="R56" s="272">
        <v>23.751074282499999</v>
      </c>
      <c r="S56" s="267">
        <f>SUMIFS(Aux_Lista!AD:AD,Aux_Lista!AB:AB,Aux_TBS!B56,Aux_Lista!AC:AC,Aux_TBS!A56)</f>
        <v>8</v>
      </c>
      <c r="T56" s="267" t="s">
        <v>6015</v>
      </c>
      <c r="U56" s="267">
        <v>38</v>
      </c>
    </row>
    <row r="57" spans="1:21" x14ac:dyDescent="0.25">
      <c r="A57" s="270" t="s">
        <v>1923</v>
      </c>
      <c r="B57" s="251" t="s">
        <v>373</v>
      </c>
      <c r="C57" s="267" t="str">
        <f t="shared" si="0"/>
        <v>Queimadas, BA</v>
      </c>
      <c r="D57" s="271">
        <v>-10.98</v>
      </c>
      <c r="E57" s="251">
        <v>315</v>
      </c>
      <c r="F57" s="272">
        <v>27.74018817</v>
      </c>
      <c r="G57" s="272">
        <v>27.38556548</v>
      </c>
      <c r="H57" s="272">
        <v>28.824999999999999</v>
      </c>
      <c r="I57" s="272">
        <v>27.294583329999998</v>
      </c>
      <c r="J57" s="272">
        <v>24.443010749999999</v>
      </c>
      <c r="K57" s="272">
        <v>23.46611111</v>
      </c>
      <c r="L57" s="272">
        <v>23.53360215</v>
      </c>
      <c r="M57" s="272">
        <v>23.451747309999998</v>
      </c>
      <c r="N57" s="272">
        <v>25.994444439999999</v>
      </c>
      <c r="O57" s="272">
        <v>26.66518817</v>
      </c>
      <c r="P57" s="272">
        <v>27.24361111</v>
      </c>
      <c r="Q57" s="272">
        <v>27.654569890000001</v>
      </c>
      <c r="R57" s="272">
        <v>26.1414684925</v>
      </c>
      <c r="S57" s="267">
        <f>SUMIFS(Aux_Lista!AD:AD,Aux_Lista!AB:AB,Aux_TBS!B57,Aux_Lista!AC:AC,Aux_TBS!A57)</f>
        <v>8</v>
      </c>
      <c r="T57" s="267" t="s">
        <v>6015</v>
      </c>
      <c r="U57" s="267">
        <v>38</v>
      </c>
    </row>
    <row r="58" spans="1:21" x14ac:dyDescent="0.25">
      <c r="A58" s="270" t="s">
        <v>3993</v>
      </c>
      <c r="B58" s="251" t="s">
        <v>373</v>
      </c>
      <c r="C58" s="267" t="str">
        <f t="shared" si="0"/>
        <v>Remanso, BA</v>
      </c>
      <c r="D58" s="271">
        <v>-9.6199999999999992</v>
      </c>
      <c r="E58" s="251">
        <v>401</v>
      </c>
      <c r="F58" s="272">
        <v>27.073924730000002</v>
      </c>
      <c r="G58" s="272">
        <v>26.814583330000001</v>
      </c>
      <c r="H58" s="272">
        <v>26.63346774</v>
      </c>
      <c r="I58" s="272">
        <v>25.586111110000001</v>
      </c>
      <c r="J58" s="272">
        <v>26.01075269</v>
      </c>
      <c r="K58" s="272">
        <v>25.657499999999999</v>
      </c>
      <c r="L58" s="272">
        <v>25.886021509999999</v>
      </c>
      <c r="M58" s="272">
        <v>26.353897849999999</v>
      </c>
      <c r="N58" s="272">
        <v>28.270555559999998</v>
      </c>
      <c r="O58" s="272">
        <v>27.747311830000001</v>
      </c>
      <c r="P58" s="272">
        <v>28.258472220000002</v>
      </c>
      <c r="Q58" s="272">
        <v>27.51397849</v>
      </c>
      <c r="R58" s="272">
        <v>26.817214754999998</v>
      </c>
      <c r="S58" s="267">
        <f>SUMIFS(Aux_Lista!AD:AD,Aux_Lista!AB:AB,Aux_TBS!B58,Aux_Lista!AC:AC,Aux_TBS!A58)</f>
        <v>7</v>
      </c>
      <c r="T58" s="267" t="s">
        <v>6015</v>
      </c>
      <c r="U58" s="267">
        <v>38</v>
      </c>
    </row>
    <row r="59" spans="1:21" x14ac:dyDescent="0.25">
      <c r="A59" s="270" t="s">
        <v>4933</v>
      </c>
      <c r="B59" s="251" t="s">
        <v>373</v>
      </c>
      <c r="C59" s="267" t="str">
        <f t="shared" si="0"/>
        <v>Salvador, BA</v>
      </c>
      <c r="D59" s="271">
        <v>-12.97</v>
      </c>
      <c r="E59" s="251">
        <v>51</v>
      </c>
      <c r="F59" s="272">
        <v>27.208602150000001</v>
      </c>
      <c r="G59" s="272">
        <v>26.943154759999999</v>
      </c>
      <c r="H59" s="272">
        <v>27.552284950000001</v>
      </c>
      <c r="I59" s="272">
        <v>26.304722219999999</v>
      </c>
      <c r="J59" s="272">
        <v>25.020833329999999</v>
      </c>
      <c r="K59" s="272">
        <v>24.82833333</v>
      </c>
      <c r="L59" s="272">
        <v>24.237768819999999</v>
      </c>
      <c r="M59" s="272">
        <v>24.154166669999999</v>
      </c>
      <c r="N59" s="272">
        <v>24.96347222</v>
      </c>
      <c r="O59" s="272">
        <v>25.672446239999999</v>
      </c>
      <c r="P59" s="272">
        <v>26.27819444</v>
      </c>
      <c r="Q59" s="272">
        <v>27.262903229999999</v>
      </c>
      <c r="R59" s="272">
        <v>25.868906863333336</v>
      </c>
      <c r="S59" s="267">
        <f>SUMIFS(Aux_Lista!AD:AD,Aux_Lista!AB:AB,Aux_TBS!B59,Aux_Lista!AC:AC,Aux_TBS!A59)</f>
        <v>8</v>
      </c>
      <c r="T59" s="267" t="s">
        <v>6015</v>
      </c>
      <c r="U59" s="267">
        <v>38</v>
      </c>
    </row>
    <row r="60" spans="1:21" x14ac:dyDescent="0.25">
      <c r="A60" s="270" t="s">
        <v>5472</v>
      </c>
      <c r="B60" s="251" t="s">
        <v>373</v>
      </c>
      <c r="C60" s="267" t="str">
        <f t="shared" si="0"/>
        <v>Santa Rita de Cássia, BA</v>
      </c>
      <c r="D60" s="271">
        <v>-11.01</v>
      </c>
      <c r="E60" s="251">
        <v>450</v>
      </c>
      <c r="F60" s="272">
        <v>25.826612900000001</v>
      </c>
      <c r="G60" s="272">
        <v>27.159821430000001</v>
      </c>
      <c r="H60" s="272">
        <v>26.027688170000001</v>
      </c>
      <c r="I60" s="272">
        <v>25.36375</v>
      </c>
      <c r="J60" s="272">
        <v>26.52607527</v>
      </c>
      <c r="K60" s="272">
        <v>24.714027779999999</v>
      </c>
      <c r="L60" s="272">
        <v>24.327284949999999</v>
      </c>
      <c r="M60" s="272">
        <v>24.210080649999998</v>
      </c>
      <c r="N60" s="272">
        <v>27.319861110000002</v>
      </c>
      <c r="O60" s="272">
        <v>28.384139780000002</v>
      </c>
      <c r="P60" s="272">
        <v>27.464444440000001</v>
      </c>
      <c r="Q60" s="272">
        <v>25.43655914</v>
      </c>
      <c r="R60" s="272">
        <v>26.063362135000006</v>
      </c>
      <c r="S60" s="267">
        <f>SUMIFS(Aux_Lista!AD:AD,Aux_Lista!AB:AB,Aux_TBS!B60,Aux_Lista!AC:AC,Aux_TBS!A60)</f>
        <v>6</v>
      </c>
      <c r="T60" s="267" t="s">
        <v>6015</v>
      </c>
      <c r="U60" s="267">
        <v>38</v>
      </c>
    </row>
    <row r="61" spans="1:21" x14ac:dyDescent="0.25">
      <c r="A61" s="270" t="s">
        <v>2180</v>
      </c>
      <c r="B61" s="251" t="s">
        <v>373</v>
      </c>
      <c r="C61" s="267" t="str">
        <f t="shared" si="0"/>
        <v>Senhor do Bonfim, BA</v>
      </c>
      <c r="D61" s="271">
        <v>-10.44</v>
      </c>
      <c r="E61" s="251">
        <v>548</v>
      </c>
      <c r="F61" s="272">
        <v>25.43239247</v>
      </c>
      <c r="G61" s="272">
        <v>26.46279762</v>
      </c>
      <c r="H61" s="272">
        <v>25.78494624</v>
      </c>
      <c r="I61" s="272">
        <v>24.149027780000001</v>
      </c>
      <c r="J61" s="272">
        <v>22.325806450000002</v>
      </c>
      <c r="K61" s="272">
        <v>21.14</v>
      </c>
      <c r="L61" s="272">
        <v>20.10591398</v>
      </c>
      <c r="M61" s="272">
        <v>21.548790319999998</v>
      </c>
      <c r="N61" s="272">
        <v>23.27597222</v>
      </c>
      <c r="O61" s="272">
        <v>24.819354839999999</v>
      </c>
      <c r="P61" s="272">
        <v>26.568750000000001</v>
      </c>
      <c r="Q61" s="272">
        <v>24.880241940000001</v>
      </c>
      <c r="R61" s="272">
        <v>23.874499488333331</v>
      </c>
      <c r="S61" s="267">
        <f>SUMIFS(Aux_Lista!AD:AD,Aux_Lista!AB:AB,Aux_TBS!B61,Aux_Lista!AC:AC,Aux_TBS!A61)</f>
        <v>7</v>
      </c>
      <c r="T61" s="267" t="s">
        <v>6015</v>
      </c>
      <c r="U61" s="267">
        <v>38</v>
      </c>
    </row>
    <row r="62" spans="1:21" x14ac:dyDescent="0.25">
      <c r="A62" s="270" t="s">
        <v>3300</v>
      </c>
      <c r="B62" s="251" t="s">
        <v>373</v>
      </c>
      <c r="C62" s="267" t="str">
        <f t="shared" si="0"/>
        <v>Serrinha, BA</v>
      </c>
      <c r="D62" s="271">
        <v>-11.66</v>
      </c>
      <c r="E62" s="251">
        <v>339</v>
      </c>
      <c r="F62" s="272">
        <v>26.255376340000002</v>
      </c>
      <c r="G62" s="272">
        <v>25.831547619999998</v>
      </c>
      <c r="H62" s="272">
        <v>27.193010749999999</v>
      </c>
      <c r="I62" s="272">
        <v>25.915138890000001</v>
      </c>
      <c r="J62" s="272">
        <v>22.581720430000001</v>
      </c>
      <c r="K62" s="272">
        <v>21.486249999999998</v>
      </c>
      <c r="L62" s="272">
        <v>20.422177420000001</v>
      </c>
      <c r="M62" s="272">
        <v>21.341666669999999</v>
      </c>
      <c r="N62" s="272">
        <v>23.091805560000001</v>
      </c>
      <c r="O62" s="272">
        <v>24.245430110000001</v>
      </c>
      <c r="P62" s="272">
        <v>26.216249999999999</v>
      </c>
      <c r="Q62" s="272">
        <v>25.362768819999999</v>
      </c>
      <c r="R62" s="272">
        <v>24.161928550833334</v>
      </c>
      <c r="S62" s="267">
        <f>SUMIFS(Aux_Lista!AD:AD,Aux_Lista!AB:AB,Aux_TBS!B62,Aux_Lista!AC:AC,Aux_TBS!A62)</f>
        <v>8</v>
      </c>
      <c r="T62" s="267" t="s">
        <v>6015</v>
      </c>
      <c r="U62" s="267">
        <v>38</v>
      </c>
    </row>
    <row r="63" spans="1:21" x14ac:dyDescent="0.25">
      <c r="A63" s="270" t="s">
        <v>5027</v>
      </c>
      <c r="B63" s="251" t="s">
        <v>373</v>
      </c>
      <c r="C63" s="267" t="str">
        <f t="shared" si="0"/>
        <v>Uauá, BA</v>
      </c>
      <c r="D63" s="271">
        <v>-9.83</v>
      </c>
      <c r="E63" s="251">
        <v>453</v>
      </c>
      <c r="F63" s="272">
        <v>26.275537629999999</v>
      </c>
      <c r="G63" s="272">
        <v>27.216666669999999</v>
      </c>
      <c r="H63" s="272">
        <v>27.00887097</v>
      </c>
      <c r="I63" s="272">
        <v>25.678611109999999</v>
      </c>
      <c r="J63" s="272">
        <v>23.618548390000001</v>
      </c>
      <c r="K63" s="272">
        <v>22.996527780000001</v>
      </c>
      <c r="L63" s="272">
        <v>22.945295699999999</v>
      </c>
      <c r="M63" s="272">
        <v>22.971370969999999</v>
      </c>
      <c r="N63" s="272">
        <v>25.582638889999998</v>
      </c>
      <c r="O63" s="272">
        <v>26.319892469999999</v>
      </c>
      <c r="P63" s="272">
        <v>27.063472220000001</v>
      </c>
      <c r="Q63" s="272">
        <v>27.355376339999999</v>
      </c>
      <c r="R63" s="272">
        <v>25.419400761666669</v>
      </c>
      <c r="S63" s="267">
        <f>SUMIFS(Aux_Lista!AD:AD,Aux_Lista!AB:AB,Aux_TBS!B63,Aux_Lista!AC:AC,Aux_TBS!A63)</f>
        <v>6</v>
      </c>
      <c r="T63" s="267" t="s">
        <v>6015</v>
      </c>
      <c r="U63" s="267">
        <v>38</v>
      </c>
    </row>
    <row r="64" spans="1:21" x14ac:dyDescent="0.25">
      <c r="A64" s="270" t="s">
        <v>1628</v>
      </c>
      <c r="B64" s="251" t="s">
        <v>373</v>
      </c>
      <c r="C64" s="267" t="str">
        <f t="shared" si="0"/>
        <v>Una, BA</v>
      </c>
      <c r="D64" s="271">
        <v>-15.28</v>
      </c>
      <c r="E64" s="251">
        <v>82</v>
      </c>
      <c r="F64" s="272">
        <v>25.439650539999999</v>
      </c>
      <c r="G64" s="272">
        <v>25.369791670000001</v>
      </c>
      <c r="H64" s="272">
        <v>25.754032259999999</v>
      </c>
      <c r="I64" s="272">
        <v>24.592361109999999</v>
      </c>
      <c r="J64" s="272">
        <v>23.34986559</v>
      </c>
      <c r="K64" s="272">
        <v>22.584166669999998</v>
      </c>
      <c r="L64" s="272">
        <v>22.209139780000001</v>
      </c>
      <c r="M64" s="272">
        <v>22.21733871</v>
      </c>
      <c r="N64" s="272">
        <v>23.33361111</v>
      </c>
      <c r="O64" s="272">
        <v>24.249865589999999</v>
      </c>
      <c r="P64" s="272">
        <v>24.83319444</v>
      </c>
      <c r="Q64" s="272">
        <v>25.996908600000001</v>
      </c>
      <c r="R64" s="272">
        <v>24.160827172499996</v>
      </c>
      <c r="S64" s="267">
        <f>SUMIFS(Aux_Lista!AD:AD,Aux_Lista!AB:AB,Aux_TBS!B64,Aux_Lista!AC:AC,Aux_TBS!A64)</f>
        <v>8</v>
      </c>
      <c r="T64" s="267" t="s">
        <v>6015</v>
      </c>
      <c r="U64" s="267">
        <v>38</v>
      </c>
    </row>
    <row r="65" spans="1:21" x14ac:dyDescent="0.25">
      <c r="A65" s="270" t="s">
        <v>2081</v>
      </c>
      <c r="B65" s="251" t="s">
        <v>373</v>
      </c>
      <c r="C65" s="267" t="str">
        <f t="shared" si="0"/>
        <v>Valença, BA</v>
      </c>
      <c r="D65" s="271">
        <v>-13.37</v>
      </c>
      <c r="E65" s="251">
        <v>39</v>
      </c>
      <c r="F65" s="272">
        <v>25.127956990000001</v>
      </c>
      <c r="G65" s="272">
        <v>25.33035714</v>
      </c>
      <c r="H65" s="272">
        <v>26.43844086</v>
      </c>
      <c r="I65" s="272">
        <v>24.729722219999999</v>
      </c>
      <c r="J65" s="272">
        <v>24.037500000000001</v>
      </c>
      <c r="K65" s="272">
        <v>23.956666670000001</v>
      </c>
      <c r="L65" s="272">
        <v>21.791801079999999</v>
      </c>
      <c r="M65" s="272">
        <v>21.753629029999999</v>
      </c>
      <c r="N65" s="272">
        <v>22.99930556</v>
      </c>
      <c r="O65" s="272">
        <v>24.39637097</v>
      </c>
      <c r="P65" s="272">
        <v>24.47625</v>
      </c>
      <c r="Q65" s="272">
        <v>25.513844089999999</v>
      </c>
      <c r="R65" s="272">
        <v>24.212653717500004</v>
      </c>
      <c r="S65" s="267">
        <f>SUMIFS(Aux_Lista!AD:AD,Aux_Lista!AB:AB,Aux_TBS!B65,Aux_Lista!AC:AC,Aux_TBS!A65)</f>
        <v>8</v>
      </c>
      <c r="T65" s="267" t="s">
        <v>6015</v>
      </c>
      <c r="U65" s="267">
        <v>38</v>
      </c>
    </row>
    <row r="66" spans="1:21" x14ac:dyDescent="0.25">
      <c r="A66" s="270" t="s">
        <v>2165</v>
      </c>
      <c r="B66" s="251" t="s">
        <v>373</v>
      </c>
      <c r="C66" s="267" t="str">
        <f t="shared" si="0"/>
        <v>Vitória da Conquista, BA</v>
      </c>
      <c r="D66" s="271">
        <v>-14.87</v>
      </c>
      <c r="E66" s="251">
        <v>870</v>
      </c>
      <c r="F66" s="272">
        <v>21.63763441</v>
      </c>
      <c r="G66" s="272">
        <v>21.526041670000001</v>
      </c>
      <c r="H66" s="272">
        <v>22.801344090000001</v>
      </c>
      <c r="I66" s="272">
        <v>20.753611110000001</v>
      </c>
      <c r="J66" s="272">
        <v>18.954973119999998</v>
      </c>
      <c r="K66" s="272">
        <v>18.47625</v>
      </c>
      <c r="L66" s="272">
        <v>18.100000000000001</v>
      </c>
      <c r="M66" s="272">
        <v>18.28319892</v>
      </c>
      <c r="N66" s="272">
        <v>20.735138890000002</v>
      </c>
      <c r="O66" s="272">
        <v>21.50241935</v>
      </c>
      <c r="P66" s="272">
        <v>21.929166670000001</v>
      </c>
      <c r="Q66" s="272">
        <v>22.570295699999999</v>
      </c>
      <c r="R66" s="272">
        <v>20.605839494166666</v>
      </c>
      <c r="S66" s="267">
        <f>SUMIFS(Aux_Lista!AD:AD,Aux_Lista!AB:AB,Aux_TBS!B66,Aux_Lista!AC:AC,Aux_TBS!A66)</f>
        <v>5</v>
      </c>
      <c r="T66" s="267" t="s">
        <v>6015</v>
      </c>
      <c r="U66" s="267">
        <v>38</v>
      </c>
    </row>
    <row r="67" spans="1:21" x14ac:dyDescent="0.25">
      <c r="A67" s="270" t="s">
        <v>4052</v>
      </c>
      <c r="B67" s="251" t="s">
        <v>1918</v>
      </c>
      <c r="C67" s="267" t="str">
        <f t="shared" ref="C67:C130" si="1">CONCATENATE(A67,", ",B67)</f>
        <v>Acaraú, CE</v>
      </c>
      <c r="D67" s="271">
        <v>-3.12</v>
      </c>
      <c r="E67" s="251">
        <v>76</v>
      </c>
      <c r="F67" s="272">
        <v>27.123387099999999</v>
      </c>
      <c r="G67" s="272">
        <v>28.179017859999998</v>
      </c>
      <c r="H67" s="272">
        <v>27.496639779999999</v>
      </c>
      <c r="I67" s="272">
        <v>26.88138889</v>
      </c>
      <c r="J67" s="272">
        <v>25.220026879999999</v>
      </c>
      <c r="K67" s="272">
        <v>25.471666670000001</v>
      </c>
      <c r="L67" s="272">
        <v>25.518682800000001</v>
      </c>
      <c r="M67" s="272">
        <v>26.119086020000001</v>
      </c>
      <c r="N67" s="272">
        <v>26.69458333</v>
      </c>
      <c r="O67" s="272">
        <v>26.368682799999998</v>
      </c>
      <c r="P67" s="272">
        <v>27.00069444</v>
      </c>
      <c r="Q67" s="272">
        <v>27.29206989</v>
      </c>
      <c r="R67" s="272">
        <v>26.613827204999996</v>
      </c>
      <c r="S67" s="267">
        <f>SUMIFS(Aux_Lista!AD:AD,Aux_Lista!AB:AB,Aux_TBS!B67,Aux_Lista!AC:AC,Aux_TBS!A67)</f>
        <v>8</v>
      </c>
      <c r="T67" s="267" t="s">
        <v>6015</v>
      </c>
      <c r="U67" s="267">
        <v>38</v>
      </c>
    </row>
    <row r="68" spans="1:21" x14ac:dyDescent="0.25">
      <c r="A68" s="270" t="s">
        <v>5096</v>
      </c>
      <c r="B68" s="251" t="s">
        <v>1918</v>
      </c>
      <c r="C68" s="267" t="str">
        <f t="shared" si="1"/>
        <v>Barbalha, CE</v>
      </c>
      <c r="D68" s="271">
        <v>-7.3</v>
      </c>
      <c r="E68" s="251">
        <v>409</v>
      </c>
      <c r="F68" s="272">
        <v>26.495161289999999</v>
      </c>
      <c r="G68" s="272">
        <v>25.1203869</v>
      </c>
      <c r="H68" s="272">
        <v>25.37782258</v>
      </c>
      <c r="I68" s="272">
        <v>24.317083329999999</v>
      </c>
      <c r="J68" s="272">
        <v>24.320161290000001</v>
      </c>
      <c r="K68" s="272">
        <v>23.994861109999999</v>
      </c>
      <c r="L68" s="272">
        <v>24.141532260000002</v>
      </c>
      <c r="M68" s="272">
        <v>24.945295699999999</v>
      </c>
      <c r="N68" s="272">
        <v>26.642499999999998</v>
      </c>
      <c r="O68" s="272">
        <v>27.230510750000001</v>
      </c>
      <c r="P68" s="272">
        <v>27.81736111</v>
      </c>
      <c r="Q68" s="272">
        <v>26.678225810000001</v>
      </c>
      <c r="R68" s="272">
        <v>25.590075177499997</v>
      </c>
      <c r="S68" s="267">
        <f>SUMIFS(Aux_Lista!AD:AD,Aux_Lista!AB:AB,Aux_TBS!B68,Aux_Lista!AC:AC,Aux_TBS!A68)</f>
        <v>7</v>
      </c>
      <c r="T68" s="267" t="s">
        <v>6015</v>
      </c>
      <c r="U68" s="267">
        <v>38</v>
      </c>
    </row>
    <row r="69" spans="1:21" x14ac:dyDescent="0.25">
      <c r="A69" s="270" t="s">
        <v>5046</v>
      </c>
      <c r="B69" s="251" t="s">
        <v>1918</v>
      </c>
      <c r="C69" s="267" t="str">
        <f t="shared" si="1"/>
        <v>Campos Sales, CE</v>
      </c>
      <c r="D69" s="271">
        <v>-7.08</v>
      </c>
      <c r="E69" s="251">
        <v>572</v>
      </c>
      <c r="F69" s="272">
        <v>26.181720429999999</v>
      </c>
      <c r="G69" s="272">
        <v>24.150892859999999</v>
      </c>
      <c r="H69" s="272">
        <v>24.09556452</v>
      </c>
      <c r="I69" s="272">
        <v>23.23</v>
      </c>
      <c r="J69" s="272">
        <v>23.075403229999999</v>
      </c>
      <c r="K69" s="272">
        <v>22.743055559999998</v>
      </c>
      <c r="L69" s="272">
        <v>23.21357527</v>
      </c>
      <c r="M69" s="272">
        <v>24.185483869999999</v>
      </c>
      <c r="N69" s="272">
        <v>26.399583329999999</v>
      </c>
      <c r="O69" s="272">
        <v>26.92862903</v>
      </c>
      <c r="P69" s="272">
        <v>27.602638890000001</v>
      </c>
      <c r="Q69" s="272">
        <v>26.54663978</v>
      </c>
      <c r="R69" s="272">
        <v>24.862765564166665</v>
      </c>
      <c r="S69" s="267">
        <f>SUMIFS(Aux_Lista!AD:AD,Aux_Lista!AB:AB,Aux_TBS!B69,Aux_Lista!AC:AC,Aux_TBS!A69)</f>
        <v>7</v>
      </c>
      <c r="T69" s="267" t="s">
        <v>6015</v>
      </c>
      <c r="U69" s="267">
        <v>38</v>
      </c>
    </row>
    <row r="70" spans="1:21" x14ac:dyDescent="0.25">
      <c r="A70" s="270" t="s">
        <v>5068</v>
      </c>
      <c r="B70" s="251" t="s">
        <v>1918</v>
      </c>
      <c r="C70" s="267" t="str">
        <f t="shared" si="1"/>
        <v>Crateús, CE</v>
      </c>
      <c r="D70" s="271">
        <v>-5.19</v>
      </c>
      <c r="E70" s="251">
        <v>291</v>
      </c>
      <c r="F70" s="272">
        <v>27.447043010000002</v>
      </c>
      <c r="G70" s="272">
        <v>29.200297620000001</v>
      </c>
      <c r="H70" s="272">
        <v>25.451881719999999</v>
      </c>
      <c r="I70" s="272">
        <v>25.084583330000001</v>
      </c>
      <c r="J70" s="272">
        <v>25.225000000000001</v>
      </c>
      <c r="K70" s="272">
        <v>25.14458333</v>
      </c>
      <c r="L70" s="272">
        <v>25.3030914</v>
      </c>
      <c r="M70" s="272">
        <v>26.466129030000001</v>
      </c>
      <c r="N70" s="272">
        <v>28.27791667</v>
      </c>
      <c r="O70" s="272">
        <v>28.94596774</v>
      </c>
      <c r="P70" s="272">
        <v>29.513611109999999</v>
      </c>
      <c r="Q70" s="272">
        <v>29.226344090000001</v>
      </c>
      <c r="R70" s="272">
        <v>27.107204087499998</v>
      </c>
      <c r="S70" s="267">
        <f>SUMIFS(Aux_Lista!AD:AD,Aux_Lista!AB:AB,Aux_TBS!B70,Aux_Lista!AC:AC,Aux_TBS!A70)</f>
        <v>7</v>
      </c>
      <c r="T70" s="267" t="s">
        <v>6015</v>
      </c>
      <c r="U70" s="267">
        <v>38</v>
      </c>
    </row>
    <row r="71" spans="1:21" x14ac:dyDescent="0.25">
      <c r="A71" s="270" t="s">
        <v>3902</v>
      </c>
      <c r="B71" s="251" t="s">
        <v>1918</v>
      </c>
      <c r="C71" s="267" t="str">
        <f t="shared" si="1"/>
        <v>Fortaleza, CE</v>
      </c>
      <c r="D71" s="271">
        <v>-3.8</v>
      </c>
      <c r="E71" s="251">
        <v>41</v>
      </c>
      <c r="F71" s="272">
        <v>27.435752690000001</v>
      </c>
      <c r="G71" s="272">
        <v>26.733035709999999</v>
      </c>
      <c r="H71" s="272">
        <v>26.095833330000001</v>
      </c>
      <c r="I71" s="272">
        <v>25.886527780000002</v>
      </c>
      <c r="J71" s="272">
        <v>25.831182800000001</v>
      </c>
      <c r="K71" s="272">
        <v>25.973055559999999</v>
      </c>
      <c r="L71" s="272">
        <v>25.84287634</v>
      </c>
      <c r="M71" s="272">
        <v>26.299596770000001</v>
      </c>
      <c r="N71" s="272">
        <v>27.104444440000002</v>
      </c>
      <c r="O71" s="272">
        <v>27.13575269</v>
      </c>
      <c r="P71" s="272">
        <v>27.683472219999999</v>
      </c>
      <c r="Q71" s="272">
        <v>27.828763439999999</v>
      </c>
      <c r="R71" s="272">
        <v>26.654191147500001</v>
      </c>
      <c r="S71" s="267">
        <f>SUMIFS(Aux_Lista!AD:AD,Aux_Lista!AB:AB,Aux_TBS!B71,Aux_Lista!AC:AC,Aux_TBS!A71)</f>
        <v>8</v>
      </c>
      <c r="T71" s="267" t="s">
        <v>6015</v>
      </c>
      <c r="U71" s="267">
        <v>38</v>
      </c>
    </row>
    <row r="72" spans="1:21" x14ac:dyDescent="0.25">
      <c r="A72" s="270" t="s">
        <v>2132</v>
      </c>
      <c r="B72" s="251" t="s">
        <v>1918</v>
      </c>
      <c r="C72" s="267" t="str">
        <f t="shared" si="1"/>
        <v>Guaramiranga, CE</v>
      </c>
      <c r="D72" s="271">
        <v>-4.26</v>
      </c>
      <c r="E72" s="251">
        <v>38</v>
      </c>
      <c r="F72" s="272">
        <v>21.413037630000002</v>
      </c>
      <c r="G72" s="272">
        <v>20.863392860000001</v>
      </c>
      <c r="H72" s="272">
        <v>20.73508065</v>
      </c>
      <c r="I72" s="272">
        <v>20.835972219999999</v>
      </c>
      <c r="J72" s="272">
        <v>20.656989249999999</v>
      </c>
      <c r="K72" s="272">
        <v>20.236388890000001</v>
      </c>
      <c r="L72" s="272">
        <v>19.73736559</v>
      </c>
      <c r="M72" s="272">
        <v>20.043951610000001</v>
      </c>
      <c r="N72" s="272">
        <v>20.49888889</v>
      </c>
      <c r="O72" s="272">
        <v>20.7547043</v>
      </c>
      <c r="P72" s="272">
        <v>21.068194439999999</v>
      </c>
      <c r="Q72" s="272">
        <v>21.439516130000001</v>
      </c>
      <c r="R72" s="272">
        <v>20.690290205</v>
      </c>
      <c r="S72" s="267">
        <f>SUMIFS(Aux_Lista!AD:AD,Aux_Lista!AB:AB,Aux_TBS!B72,Aux_Lista!AC:AC,Aux_TBS!A72)</f>
        <v>5</v>
      </c>
      <c r="T72" s="267" t="s">
        <v>6015</v>
      </c>
      <c r="U72" s="267">
        <v>38</v>
      </c>
    </row>
    <row r="73" spans="1:21" x14ac:dyDescent="0.25">
      <c r="A73" s="270" t="s">
        <v>561</v>
      </c>
      <c r="B73" s="251" t="s">
        <v>1918</v>
      </c>
      <c r="C73" s="267" t="str">
        <f t="shared" si="1"/>
        <v>Iguatu, CE</v>
      </c>
      <c r="D73" s="271">
        <v>-6.36</v>
      </c>
      <c r="E73" s="251">
        <v>233</v>
      </c>
      <c r="F73" s="272">
        <v>27.371639779999999</v>
      </c>
      <c r="G73" s="272">
        <v>28.542559520000001</v>
      </c>
      <c r="H73" s="272">
        <v>25.248387099999999</v>
      </c>
      <c r="I73" s="272">
        <v>25.29097222</v>
      </c>
      <c r="J73" s="272">
        <v>24.762499999999999</v>
      </c>
      <c r="K73" s="272">
        <v>25.86902778</v>
      </c>
      <c r="L73" s="272">
        <v>27.021236559999998</v>
      </c>
      <c r="M73" s="272">
        <v>27.395564520000001</v>
      </c>
      <c r="N73" s="272">
        <v>28.503194440000001</v>
      </c>
      <c r="O73" s="272">
        <v>28.705107529999999</v>
      </c>
      <c r="P73" s="272">
        <v>28.454583329999998</v>
      </c>
      <c r="Q73" s="272">
        <v>27.150403229999998</v>
      </c>
      <c r="R73" s="272">
        <v>27.026264667500001</v>
      </c>
      <c r="S73" s="267">
        <f>SUMIFS(Aux_Lista!AD:AD,Aux_Lista!AB:AB,Aux_TBS!B73,Aux_Lista!AC:AC,Aux_TBS!A73)</f>
        <v>7</v>
      </c>
      <c r="T73" s="267" t="s">
        <v>6015</v>
      </c>
      <c r="U73" s="267">
        <v>38</v>
      </c>
    </row>
    <row r="74" spans="1:21" x14ac:dyDescent="0.25">
      <c r="A74" s="270" t="s">
        <v>4920</v>
      </c>
      <c r="B74" s="251" t="s">
        <v>1918</v>
      </c>
      <c r="C74" s="267" t="str">
        <f t="shared" si="1"/>
        <v>Itapipoca, CE</v>
      </c>
      <c r="D74" s="271">
        <v>-3.48</v>
      </c>
      <c r="E74" s="251">
        <v>102</v>
      </c>
      <c r="F74" s="272">
        <v>27.515053760000001</v>
      </c>
      <c r="G74" s="272">
        <v>26.563839290000001</v>
      </c>
      <c r="H74" s="272">
        <v>25.690456990000001</v>
      </c>
      <c r="I74" s="272">
        <v>25.525833330000001</v>
      </c>
      <c r="J74" s="272">
        <v>25.717607529999999</v>
      </c>
      <c r="K74" s="272">
        <v>26.251944439999999</v>
      </c>
      <c r="L74" s="272">
        <v>26.357123659999999</v>
      </c>
      <c r="M74" s="272">
        <v>27.161290319999999</v>
      </c>
      <c r="N74" s="272">
        <v>27.782222220000001</v>
      </c>
      <c r="O74" s="272">
        <v>27.622983869999999</v>
      </c>
      <c r="P74" s="272">
        <v>28.13097222</v>
      </c>
      <c r="Q74" s="272">
        <v>28.367338709999999</v>
      </c>
      <c r="R74" s="272">
        <v>26.890555528333334</v>
      </c>
      <c r="S74" s="267">
        <f>SUMIFS(Aux_Lista!AD:AD,Aux_Lista!AB:AB,Aux_TBS!B74,Aux_Lista!AC:AC,Aux_TBS!A74)</f>
        <v>8</v>
      </c>
      <c r="T74" s="267" t="s">
        <v>6015</v>
      </c>
      <c r="U74" s="267">
        <v>38</v>
      </c>
    </row>
    <row r="75" spans="1:21" x14ac:dyDescent="0.25">
      <c r="A75" s="270" t="s">
        <v>5102</v>
      </c>
      <c r="B75" s="251" t="s">
        <v>1918</v>
      </c>
      <c r="C75" s="267" t="str">
        <f t="shared" si="1"/>
        <v>Jaguaribe, CE</v>
      </c>
      <c r="D75" s="271">
        <v>-5.91</v>
      </c>
      <c r="E75" s="251">
        <v>184</v>
      </c>
      <c r="F75" s="272">
        <v>29.1922043</v>
      </c>
      <c r="G75" s="272">
        <v>27.00178571</v>
      </c>
      <c r="H75" s="272">
        <v>26.815994620000001</v>
      </c>
      <c r="I75" s="272">
        <v>26.178750000000001</v>
      </c>
      <c r="J75" s="272">
        <v>26.021505380000001</v>
      </c>
      <c r="K75" s="272">
        <v>26.060138890000001</v>
      </c>
      <c r="L75" s="272">
        <v>26.408467739999999</v>
      </c>
      <c r="M75" s="272">
        <v>27.723252689999999</v>
      </c>
      <c r="N75" s="272">
        <v>28.962083329999999</v>
      </c>
      <c r="O75" s="272">
        <v>29.205376340000001</v>
      </c>
      <c r="P75" s="272">
        <v>29.936250000000001</v>
      </c>
      <c r="Q75" s="272">
        <v>29.820161290000001</v>
      </c>
      <c r="R75" s="272">
        <v>27.777164190833332</v>
      </c>
      <c r="S75" s="267">
        <f>SUMIFS(Aux_Lista!AD:AD,Aux_Lista!AB:AB,Aux_TBS!B75,Aux_Lista!AC:AC,Aux_TBS!A75)</f>
        <v>7</v>
      </c>
      <c r="T75" s="267" t="s">
        <v>6015</v>
      </c>
      <c r="U75" s="267">
        <v>38</v>
      </c>
    </row>
    <row r="76" spans="1:21" x14ac:dyDescent="0.25">
      <c r="A76" s="270" t="s">
        <v>4225</v>
      </c>
      <c r="B76" s="251" t="s">
        <v>1918</v>
      </c>
      <c r="C76" s="267" t="str">
        <f t="shared" si="1"/>
        <v>Jaguaruana, CE</v>
      </c>
      <c r="D76" s="271">
        <v>-4.79</v>
      </c>
      <c r="E76" s="251">
        <v>12</v>
      </c>
      <c r="F76" s="272">
        <v>28.339919349999999</v>
      </c>
      <c r="G76" s="272">
        <v>28.655208330000001</v>
      </c>
      <c r="H76" s="272">
        <v>26.5936828</v>
      </c>
      <c r="I76" s="272">
        <v>26.444166670000001</v>
      </c>
      <c r="J76" s="272">
        <v>26.460887100000001</v>
      </c>
      <c r="K76" s="272">
        <v>25.737500000000001</v>
      </c>
      <c r="L76" s="272">
        <v>25.93145161</v>
      </c>
      <c r="M76" s="272">
        <v>26.639381719999999</v>
      </c>
      <c r="N76" s="272">
        <v>27.6</v>
      </c>
      <c r="O76" s="272">
        <v>28.10685484</v>
      </c>
      <c r="P76" s="272">
        <v>28.190277779999999</v>
      </c>
      <c r="Q76" s="272">
        <v>28.343951610000001</v>
      </c>
      <c r="R76" s="272">
        <v>27.253606817499996</v>
      </c>
      <c r="S76" s="267">
        <f>SUMIFS(Aux_Lista!AD:AD,Aux_Lista!AB:AB,Aux_TBS!B76,Aux_Lista!AC:AC,Aux_TBS!A76)</f>
        <v>8</v>
      </c>
      <c r="T76" s="267" t="s">
        <v>6015</v>
      </c>
      <c r="U76" s="267">
        <v>38</v>
      </c>
    </row>
    <row r="77" spans="1:21" x14ac:dyDescent="0.25">
      <c r="A77" s="270" t="s">
        <v>5107</v>
      </c>
      <c r="B77" s="251" t="s">
        <v>1918</v>
      </c>
      <c r="C77" s="267" t="str">
        <f t="shared" si="1"/>
        <v>Morada Nova, CE</v>
      </c>
      <c r="D77" s="271">
        <v>-5.1100000000000003</v>
      </c>
      <c r="E77" s="251">
        <v>44</v>
      </c>
      <c r="F77" s="272">
        <v>28.454435480000001</v>
      </c>
      <c r="G77" s="272">
        <v>27.056398810000001</v>
      </c>
      <c r="H77" s="272">
        <v>26.86142473</v>
      </c>
      <c r="I77" s="272">
        <v>26.18222222</v>
      </c>
      <c r="J77" s="272">
        <v>26.141532260000002</v>
      </c>
      <c r="K77" s="272">
        <v>25.672777780000001</v>
      </c>
      <c r="L77" s="272">
        <v>26.28494624</v>
      </c>
      <c r="M77" s="272">
        <v>26.953763439999999</v>
      </c>
      <c r="N77" s="272">
        <v>27.410138889999999</v>
      </c>
      <c r="O77" s="272">
        <v>27.721774190000001</v>
      </c>
      <c r="P77" s="272">
        <v>28.23875</v>
      </c>
      <c r="Q77" s="272">
        <v>28.66142473</v>
      </c>
      <c r="R77" s="272">
        <v>27.136632397499998</v>
      </c>
      <c r="S77" s="267">
        <f>SUMIFS(Aux_Lista!AD:AD,Aux_Lista!AB:AB,Aux_TBS!B77,Aux_Lista!AC:AC,Aux_TBS!A77)</f>
        <v>7</v>
      </c>
      <c r="T77" s="267" t="s">
        <v>6015</v>
      </c>
      <c r="U77" s="267">
        <v>38</v>
      </c>
    </row>
    <row r="78" spans="1:21" x14ac:dyDescent="0.25">
      <c r="A78" s="270" t="s">
        <v>5064</v>
      </c>
      <c r="B78" s="251" t="s">
        <v>1918</v>
      </c>
      <c r="C78" s="267" t="str">
        <f t="shared" si="1"/>
        <v>Quixeramobim, CE</v>
      </c>
      <c r="D78" s="271">
        <v>-5.2</v>
      </c>
      <c r="E78" s="251">
        <v>80</v>
      </c>
      <c r="F78" s="272">
        <v>28.15067204</v>
      </c>
      <c r="G78" s="272">
        <v>26.738392860000001</v>
      </c>
      <c r="H78" s="272">
        <v>25.751075270000001</v>
      </c>
      <c r="I78" s="272">
        <v>25.18222222</v>
      </c>
      <c r="J78" s="272">
        <v>24.89543011</v>
      </c>
      <c r="K78" s="272">
        <v>24.538611110000002</v>
      </c>
      <c r="L78" s="272">
        <v>24.694758060000002</v>
      </c>
      <c r="M78" s="272">
        <v>25.68051075</v>
      </c>
      <c r="N78" s="272">
        <v>27.12986111</v>
      </c>
      <c r="O78" s="272">
        <v>27.831854839999998</v>
      </c>
      <c r="P78" s="272">
        <v>28.32375</v>
      </c>
      <c r="Q78" s="272">
        <v>28.315994620000001</v>
      </c>
      <c r="R78" s="272">
        <v>26.436094415833338</v>
      </c>
      <c r="S78" s="267">
        <f>SUMIFS(Aux_Lista!AD:AD,Aux_Lista!AB:AB,Aux_TBS!B78,Aux_Lista!AC:AC,Aux_TBS!A78)</f>
        <v>7</v>
      </c>
      <c r="T78" s="267" t="s">
        <v>6015</v>
      </c>
      <c r="U78" s="267">
        <v>38</v>
      </c>
    </row>
    <row r="79" spans="1:21" x14ac:dyDescent="0.25">
      <c r="A79" s="270" t="s">
        <v>5089</v>
      </c>
      <c r="B79" s="251" t="s">
        <v>1918</v>
      </c>
      <c r="C79" s="267" t="str">
        <f t="shared" si="1"/>
        <v>Tauá, CE</v>
      </c>
      <c r="D79" s="271">
        <v>-6.02</v>
      </c>
      <c r="E79" s="251">
        <v>415</v>
      </c>
      <c r="F79" s="272">
        <v>26.706451609999998</v>
      </c>
      <c r="G79" s="272">
        <v>25.7702381</v>
      </c>
      <c r="H79" s="272">
        <v>24.333736559999998</v>
      </c>
      <c r="I79" s="272">
        <v>24.28833333</v>
      </c>
      <c r="J79" s="272">
        <v>23.865053759999999</v>
      </c>
      <c r="K79" s="272">
        <v>23.89763889</v>
      </c>
      <c r="L79" s="272">
        <v>24.879032259999999</v>
      </c>
      <c r="M79" s="272">
        <v>26.14784946</v>
      </c>
      <c r="N79" s="272">
        <v>28.00263889</v>
      </c>
      <c r="O79" s="272">
        <v>28.679166670000001</v>
      </c>
      <c r="P79" s="272">
        <v>29.00972222</v>
      </c>
      <c r="Q79" s="272">
        <v>28.722849459999999</v>
      </c>
      <c r="R79" s="272">
        <v>26.191892600833338</v>
      </c>
      <c r="S79" s="267">
        <f>SUMIFS(Aux_Lista!AD:AD,Aux_Lista!AB:AB,Aux_TBS!B79,Aux_Lista!AC:AC,Aux_TBS!A79)</f>
        <v>7</v>
      </c>
      <c r="T79" s="267" t="s">
        <v>6015</v>
      </c>
      <c r="U79" s="267">
        <v>38</v>
      </c>
    </row>
    <row r="80" spans="1:21" x14ac:dyDescent="0.25">
      <c r="A80" s="270" t="s">
        <v>23</v>
      </c>
      <c r="B80" s="251" t="s">
        <v>24</v>
      </c>
      <c r="C80" s="267" t="str">
        <f t="shared" si="1"/>
        <v>Brasília, DF</v>
      </c>
      <c r="D80" s="271">
        <v>-15.78</v>
      </c>
      <c r="E80" s="251">
        <v>1160</v>
      </c>
      <c r="F80" s="272">
        <v>22.08346774</v>
      </c>
      <c r="G80" s="272">
        <v>22.423809519999999</v>
      </c>
      <c r="H80" s="272">
        <v>21.105510750000001</v>
      </c>
      <c r="I80" s="272">
        <v>21.783194439999999</v>
      </c>
      <c r="J80" s="272">
        <v>20.78319892</v>
      </c>
      <c r="K80" s="272">
        <v>19.498333330000001</v>
      </c>
      <c r="L80" s="272">
        <v>19.958064520000001</v>
      </c>
      <c r="M80" s="272">
        <v>19.629569889999999</v>
      </c>
      <c r="N80" s="272">
        <v>22.113055559999999</v>
      </c>
      <c r="O80" s="272">
        <v>21.202553760000001</v>
      </c>
      <c r="P80" s="272">
        <v>21.019444440000001</v>
      </c>
      <c r="Q80" s="272">
        <v>21.51034946</v>
      </c>
      <c r="R80" s="272">
        <v>21.092546027500003</v>
      </c>
      <c r="S80" s="267">
        <f>SUMIFS(Aux_Lista!AD:AD,Aux_Lista!AB:AB,Aux_TBS!B80,Aux_Lista!AC:AC,Aux_TBS!A80)</f>
        <v>4</v>
      </c>
      <c r="T80" s="267" t="s">
        <v>6016</v>
      </c>
      <c r="U80" s="267">
        <v>40</v>
      </c>
    </row>
    <row r="81" spans="1:21" x14ac:dyDescent="0.25">
      <c r="A81" s="270" t="s">
        <v>2621</v>
      </c>
      <c r="B81" s="251" t="s">
        <v>1715</v>
      </c>
      <c r="C81" s="267" t="str">
        <f t="shared" si="1"/>
        <v>Planaltina, GO</v>
      </c>
      <c r="D81" s="271">
        <v>-15.53</v>
      </c>
      <c r="E81" s="251">
        <v>1200</v>
      </c>
      <c r="F81" s="272">
        <v>21.747043009999999</v>
      </c>
      <c r="G81" s="272">
        <v>21.760416670000001</v>
      </c>
      <c r="H81" s="272">
        <v>22.02379032</v>
      </c>
      <c r="I81" s="272">
        <v>20.907499999999999</v>
      </c>
      <c r="J81" s="272">
        <v>19.814650539999999</v>
      </c>
      <c r="K81" s="272">
        <v>18.69611111</v>
      </c>
      <c r="L81" s="272">
        <v>19.292338709999999</v>
      </c>
      <c r="M81" s="272">
        <v>20.13481183</v>
      </c>
      <c r="N81" s="272">
        <v>22.492638889999998</v>
      </c>
      <c r="O81" s="272">
        <v>21.664112899999999</v>
      </c>
      <c r="P81" s="272">
        <v>22.00791667</v>
      </c>
      <c r="Q81" s="272">
        <v>20.992204300000001</v>
      </c>
      <c r="R81" s="272">
        <v>20.961127912499997</v>
      </c>
      <c r="S81" s="267">
        <f>SUMIFS(Aux_Lista!AD:AD,Aux_Lista!AB:AB,Aux_TBS!B81,Aux_Lista!AC:AC,Aux_TBS!A81)</f>
        <v>6</v>
      </c>
      <c r="T81" s="267" t="s">
        <v>6016</v>
      </c>
      <c r="U81" s="267">
        <v>40</v>
      </c>
    </row>
    <row r="82" spans="1:21" x14ac:dyDescent="0.25">
      <c r="A82" s="270" t="s">
        <v>3334</v>
      </c>
      <c r="B82" s="251" t="s">
        <v>219</v>
      </c>
      <c r="C82" s="267" t="str">
        <f t="shared" si="1"/>
        <v>Alegre, ES</v>
      </c>
      <c r="D82" s="271">
        <v>-20.76</v>
      </c>
      <c r="E82" s="251">
        <v>138</v>
      </c>
      <c r="F82" s="272">
        <v>25.51169355</v>
      </c>
      <c r="G82" s="272">
        <v>25.443154759999999</v>
      </c>
      <c r="H82" s="272">
        <v>26.671370970000002</v>
      </c>
      <c r="I82" s="272">
        <v>24.830694439999998</v>
      </c>
      <c r="J82" s="272">
        <v>21.263037629999999</v>
      </c>
      <c r="K82" s="272">
        <v>21.01166667</v>
      </c>
      <c r="L82" s="272">
        <v>21.057526880000001</v>
      </c>
      <c r="M82" s="272">
        <v>21.732526880000002</v>
      </c>
      <c r="N82" s="272">
        <v>22.877777779999999</v>
      </c>
      <c r="O82" s="272">
        <v>24.209543010000001</v>
      </c>
      <c r="P82" s="272">
        <v>26.7925</v>
      </c>
      <c r="Q82" s="272">
        <v>26.14973118</v>
      </c>
      <c r="R82" s="272">
        <v>23.962601979166667</v>
      </c>
      <c r="S82" s="267">
        <f>SUMIFS(Aux_Lista!AD:AD,Aux_Lista!AB:AB,Aux_TBS!B82,Aux_Lista!AC:AC,Aux_TBS!A82)</f>
        <v>5</v>
      </c>
      <c r="T82" s="267" t="s">
        <v>6017</v>
      </c>
      <c r="U82" s="267">
        <v>40</v>
      </c>
    </row>
    <row r="83" spans="1:21" x14ac:dyDescent="0.25">
      <c r="A83" s="270" t="s">
        <v>1812</v>
      </c>
      <c r="B83" s="251" t="s">
        <v>219</v>
      </c>
      <c r="C83" s="267" t="str">
        <f t="shared" si="1"/>
        <v>Alfredo Chaves, ES</v>
      </c>
      <c r="D83" s="271">
        <v>-20.64</v>
      </c>
      <c r="E83" s="251">
        <v>35</v>
      </c>
      <c r="F83" s="272">
        <v>26.08763441</v>
      </c>
      <c r="G83" s="272">
        <v>25.673065480000002</v>
      </c>
      <c r="H83" s="272">
        <v>25.542607530000002</v>
      </c>
      <c r="I83" s="272">
        <v>25.200694439999999</v>
      </c>
      <c r="J83" s="272">
        <v>21.99852151</v>
      </c>
      <c r="K83" s="272">
        <v>21.286805560000001</v>
      </c>
      <c r="L83" s="272">
        <v>20.765725809999999</v>
      </c>
      <c r="M83" s="272">
        <v>22.65900538</v>
      </c>
      <c r="N83" s="272">
        <v>21.930555559999998</v>
      </c>
      <c r="O83" s="272">
        <v>24.260887100000001</v>
      </c>
      <c r="P83" s="272">
        <v>23.313749999999999</v>
      </c>
      <c r="Q83" s="272">
        <v>24.366935479999999</v>
      </c>
      <c r="R83" s="272">
        <v>23.590515688333326</v>
      </c>
      <c r="S83" s="267">
        <f>SUMIFS(Aux_Lista!AD:AD,Aux_Lista!AB:AB,Aux_TBS!B83,Aux_Lista!AC:AC,Aux_TBS!A83)</f>
        <v>8</v>
      </c>
      <c r="T83" s="267" t="s">
        <v>6017</v>
      </c>
      <c r="U83" s="267">
        <v>40</v>
      </c>
    </row>
    <row r="84" spans="1:21" x14ac:dyDescent="0.25">
      <c r="A84" s="270" t="s">
        <v>1677</v>
      </c>
      <c r="B84" s="251" t="s">
        <v>219</v>
      </c>
      <c r="C84" s="267" t="str">
        <f t="shared" si="1"/>
        <v>Linhares, ES</v>
      </c>
      <c r="D84" s="271">
        <v>-19.39</v>
      </c>
      <c r="E84" s="251">
        <v>40</v>
      </c>
      <c r="F84" s="272">
        <v>26.33158602</v>
      </c>
      <c r="G84" s="272">
        <v>25.595833330000001</v>
      </c>
      <c r="H84" s="272">
        <v>26.419489250000002</v>
      </c>
      <c r="I84" s="272">
        <v>25.24958333</v>
      </c>
      <c r="J84" s="272">
        <v>22.831720430000001</v>
      </c>
      <c r="K84" s="272">
        <v>22.19611111</v>
      </c>
      <c r="L84" s="272">
        <v>22.02513441</v>
      </c>
      <c r="M84" s="272">
        <v>21.574731180000001</v>
      </c>
      <c r="N84" s="272">
        <v>22</v>
      </c>
      <c r="O84" s="272">
        <v>24.528629030000001</v>
      </c>
      <c r="P84" s="272">
        <v>25.903472220000001</v>
      </c>
      <c r="Q84" s="272">
        <v>26.73830645</v>
      </c>
      <c r="R84" s="272">
        <v>24.282883063333333</v>
      </c>
      <c r="S84" s="267">
        <f>SUMIFS(Aux_Lista!AD:AD,Aux_Lista!AB:AB,Aux_TBS!B84,Aux_Lista!AC:AC,Aux_TBS!A84)</f>
        <v>8</v>
      </c>
      <c r="T84" s="267" t="s">
        <v>6017</v>
      </c>
      <c r="U84" s="267">
        <v>40</v>
      </c>
    </row>
    <row r="85" spans="1:21" x14ac:dyDescent="0.25">
      <c r="A85" s="270" t="s">
        <v>4903</v>
      </c>
      <c r="B85" s="251" t="s">
        <v>219</v>
      </c>
      <c r="C85" s="267" t="str">
        <f t="shared" si="1"/>
        <v>Nova Venécia, ES</v>
      </c>
      <c r="D85" s="271">
        <v>-18.7</v>
      </c>
      <c r="E85" s="251">
        <v>154</v>
      </c>
      <c r="F85" s="272">
        <v>25.243682799999998</v>
      </c>
      <c r="G85" s="272">
        <v>26.245089289999999</v>
      </c>
      <c r="H85" s="272">
        <v>26.56666667</v>
      </c>
      <c r="I85" s="272">
        <v>24.311944440000001</v>
      </c>
      <c r="J85" s="272">
        <v>22.408333330000001</v>
      </c>
      <c r="K85" s="272">
        <v>21.518750000000001</v>
      </c>
      <c r="L85" s="272">
        <v>21.911021510000001</v>
      </c>
      <c r="M85" s="272">
        <v>21.983467739999998</v>
      </c>
      <c r="N85" s="272">
        <v>24.390277780000002</v>
      </c>
      <c r="O85" s="272">
        <v>24.639516130000001</v>
      </c>
      <c r="P85" s="272">
        <v>25.75111111</v>
      </c>
      <c r="Q85" s="272">
        <v>26.260215049999999</v>
      </c>
      <c r="R85" s="272">
        <v>24.269172987500003</v>
      </c>
      <c r="S85" s="267">
        <f>SUMIFS(Aux_Lista!AD:AD,Aux_Lista!AB:AB,Aux_TBS!B85,Aux_Lista!AC:AC,Aux_TBS!A85)</f>
        <v>8</v>
      </c>
      <c r="T85" s="267" t="s">
        <v>6017</v>
      </c>
      <c r="U85" s="267">
        <v>40</v>
      </c>
    </row>
    <row r="86" spans="1:21" x14ac:dyDescent="0.25">
      <c r="A86" s="270" t="s">
        <v>2962</v>
      </c>
      <c r="B86" s="251" t="s">
        <v>219</v>
      </c>
      <c r="C86" s="267" t="str">
        <f t="shared" si="1"/>
        <v>Presidente Kennedy, ES</v>
      </c>
      <c r="D86" s="271">
        <v>-21.1</v>
      </c>
      <c r="E86" s="251">
        <v>80</v>
      </c>
      <c r="F86" s="272">
        <v>25.538844090000001</v>
      </c>
      <c r="G86" s="272">
        <v>26.5827381</v>
      </c>
      <c r="H86" s="272">
        <v>26.04206989</v>
      </c>
      <c r="I86" s="272">
        <v>23.86791667</v>
      </c>
      <c r="J86" s="272">
        <v>22.48319892</v>
      </c>
      <c r="K86" s="272">
        <v>20.577500000000001</v>
      </c>
      <c r="L86" s="272">
        <v>21.488172039999998</v>
      </c>
      <c r="M86" s="272">
        <v>21.61895161</v>
      </c>
      <c r="N86" s="272">
        <v>23.44875</v>
      </c>
      <c r="O86" s="272">
        <v>23.59663978</v>
      </c>
      <c r="P86" s="272">
        <v>26.267222220000001</v>
      </c>
      <c r="Q86" s="272">
        <v>26.297849459999998</v>
      </c>
      <c r="R86" s="272">
        <v>23.984154398333335</v>
      </c>
      <c r="S86" s="267">
        <f>SUMIFS(Aux_Lista!AD:AD,Aux_Lista!AB:AB,Aux_TBS!B86,Aux_Lista!AC:AC,Aux_TBS!A86)</f>
        <v>8</v>
      </c>
      <c r="T86" s="267" t="s">
        <v>6017</v>
      </c>
      <c r="U86" s="267">
        <v>40</v>
      </c>
    </row>
    <row r="87" spans="1:21" x14ac:dyDescent="0.25">
      <c r="A87" s="270" t="s">
        <v>223</v>
      </c>
      <c r="B87" s="251" t="s">
        <v>219</v>
      </c>
      <c r="C87" s="267" t="str">
        <f t="shared" si="1"/>
        <v>Santa Teresa, ES</v>
      </c>
      <c r="D87" s="271">
        <v>-19.989999999999998</v>
      </c>
      <c r="E87" s="251">
        <v>998</v>
      </c>
      <c r="F87" s="272">
        <v>20.087499999999999</v>
      </c>
      <c r="G87" s="272">
        <v>20.589285709999999</v>
      </c>
      <c r="H87" s="272">
        <v>20.7547043</v>
      </c>
      <c r="I87" s="272">
        <v>18.678194439999999</v>
      </c>
      <c r="J87" s="272">
        <v>16.99905914</v>
      </c>
      <c r="K87" s="272">
        <v>15.855694440000001</v>
      </c>
      <c r="L87" s="272">
        <v>16.56854839</v>
      </c>
      <c r="M87" s="272">
        <v>16.038172039999999</v>
      </c>
      <c r="N87" s="272">
        <v>18.180138889999998</v>
      </c>
      <c r="O87" s="272">
        <v>18.535080650000001</v>
      </c>
      <c r="P87" s="272">
        <v>20.270138889999998</v>
      </c>
      <c r="Q87" s="272">
        <v>20.572715049999999</v>
      </c>
      <c r="R87" s="272">
        <v>18.594102661666664</v>
      </c>
      <c r="S87" s="267">
        <f>SUMIFS(Aux_Lista!AD:AD,Aux_Lista!AB:AB,Aux_TBS!B87,Aux_Lista!AC:AC,Aux_TBS!A87)</f>
        <v>8</v>
      </c>
      <c r="T87" s="267" t="s">
        <v>6017</v>
      </c>
      <c r="U87" s="267">
        <v>40</v>
      </c>
    </row>
    <row r="88" spans="1:21" x14ac:dyDescent="0.25">
      <c r="A88" s="270" t="s">
        <v>3158</v>
      </c>
      <c r="B88" s="251" t="s">
        <v>219</v>
      </c>
      <c r="C88" s="267" t="str">
        <f t="shared" si="1"/>
        <v>São Mateus, ES</v>
      </c>
      <c r="D88" s="271">
        <v>-18.72</v>
      </c>
      <c r="E88" s="251">
        <v>39</v>
      </c>
      <c r="F88" s="272">
        <v>26.298252690000002</v>
      </c>
      <c r="G88" s="272">
        <v>25.280059519999998</v>
      </c>
      <c r="H88" s="272">
        <v>25.84274194</v>
      </c>
      <c r="I88" s="272">
        <v>24.810555560000001</v>
      </c>
      <c r="J88" s="272">
        <v>22.569623660000001</v>
      </c>
      <c r="K88" s="272">
        <v>21.188472220000001</v>
      </c>
      <c r="L88" s="272">
        <v>21.413037630000002</v>
      </c>
      <c r="M88" s="272">
        <v>20.966263439999999</v>
      </c>
      <c r="N88" s="272">
        <v>21.517083329999998</v>
      </c>
      <c r="O88" s="272">
        <v>24.37271505</v>
      </c>
      <c r="P88" s="272">
        <v>25.59333333</v>
      </c>
      <c r="Q88" s="272">
        <v>26.578629029999998</v>
      </c>
      <c r="R88" s="272">
        <v>23.869230616666666</v>
      </c>
      <c r="S88" s="267">
        <f>SUMIFS(Aux_Lista!AD:AD,Aux_Lista!AB:AB,Aux_TBS!B88,Aux_Lista!AC:AC,Aux_TBS!A88)</f>
        <v>8</v>
      </c>
      <c r="T88" s="267" t="s">
        <v>6017</v>
      </c>
      <c r="U88" s="267">
        <v>40</v>
      </c>
    </row>
    <row r="89" spans="1:21" x14ac:dyDescent="0.25">
      <c r="A89" s="270" t="s">
        <v>3150</v>
      </c>
      <c r="B89" s="251" t="s">
        <v>219</v>
      </c>
      <c r="C89" s="267" t="str">
        <f t="shared" si="1"/>
        <v>Vitória, ES</v>
      </c>
      <c r="D89" s="271">
        <v>-20.32</v>
      </c>
      <c r="E89" s="251">
        <v>9</v>
      </c>
      <c r="F89" s="272">
        <v>26.35026882</v>
      </c>
      <c r="G89" s="272">
        <v>25.76056548</v>
      </c>
      <c r="H89" s="272">
        <v>26.653629030000001</v>
      </c>
      <c r="I89" s="272">
        <v>25.341388890000001</v>
      </c>
      <c r="J89" s="272">
        <v>22.837365590000001</v>
      </c>
      <c r="K89" s="272">
        <v>21.983333330000001</v>
      </c>
      <c r="L89" s="272">
        <v>22.381720430000001</v>
      </c>
      <c r="M89" s="272">
        <v>21.68655914</v>
      </c>
      <c r="N89" s="272">
        <v>22.073333330000001</v>
      </c>
      <c r="O89" s="272">
        <v>24.41236559</v>
      </c>
      <c r="P89" s="272">
        <v>26.499861110000001</v>
      </c>
      <c r="Q89" s="272">
        <v>26.864112899999999</v>
      </c>
      <c r="R89" s="272">
        <v>24.403708636666668</v>
      </c>
      <c r="S89" s="267">
        <f>SUMIFS(Aux_Lista!AD:AD,Aux_Lista!AB:AB,Aux_TBS!B89,Aux_Lista!AC:AC,Aux_TBS!A89)</f>
        <v>8</v>
      </c>
      <c r="T89" s="267" t="s">
        <v>6017</v>
      </c>
      <c r="U89" s="267">
        <v>40</v>
      </c>
    </row>
    <row r="90" spans="1:21" x14ac:dyDescent="0.25">
      <c r="A90" s="270" t="s">
        <v>2168</v>
      </c>
      <c r="B90" s="251" t="s">
        <v>1715</v>
      </c>
      <c r="C90" s="267" t="str">
        <f t="shared" si="1"/>
        <v>Alto Paraíso de Goiás, GO</v>
      </c>
      <c r="D90" s="271">
        <v>-14.13</v>
      </c>
      <c r="E90" s="251">
        <v>1260</v>
      </c>
      <c r="F90" s="272">
        <v>21.004032259999999</v>
      </c>
      <c r="G90" s="272">
        <v>21.546279760000001</v>
      </c>
      <c r="H90" s="272">
        <v>21.134139780000002</v>
      </c>
      <c r="I90" s="272">
        <v>20.459444439999999</v>
      </c>
      <c r="J90" s="272">
        <v>20.4641129</v>
      </c>
      <c r="K90" s="272">
        <v>18.673055560000002</v>
      </c>
      <c r="L90" s="272">
        <v>18.672446239999999</v>
      </c>
      <c r="M90" s="272">
        <v>19.532795700000001</v>
      </c>
      <c r="N90" s="272">
        <v>22.33958333</v>
      </c>
      <c r="O90" s="272">
        <v>22.383064520000001</v>
      </c>
      <c r="P90" s="272">
        <v>20.244305560000001</v>
      </c>
      <c r="Q90" s="272">
        <v>20.65349462</v>
      </c>
      <c r="R90" s="272">
        <v>20.592229555833338</v>
      </c>
      <c r="S90" s="267">
        <f>SUMIFS(Aux_Lista!AD:AD,Aux_Lista!AB:AB,Aux_TBS!B90,Aux_Lista!AC:AC,Aux_TBS!A90)</f>
        <v>6</v>
      </c>
      <c r="T90" s="267" t="s">
        <v>6016</v>
      </c>
      <c r="U90" s="267">
        <v>40</v>
      </c>
    </row>
    <row r="91" spans="1:21" x14ac:dyDescent="0.25">
      <c r="A91" s="270" t="s">
        <v>5466</v>
      </c>
      <c r="B91" s="251" t="s">
        <v>1715</v>
      </c>
      <c r="C91" s="267" t="str">
        <f t="shared" si="1"/>
        <v>Aragarças, GO</v>
      </c>
      <c r="D91" s="271">
        <v>-15.9</v>
      </c>
      <c r="E91" s="251">
        <v>347</v>
      </c>
      <c r="F91" s="272">
        <v>26.35080645</v>
      </c>
      <c r="G91" s="272">
        <v>25.862946430000001</v>
      </c>
      <c r="H91" s="272">
        <v>26.323790320000001</v>
      </c>
      <c r="I91" s="272">
        <v>25.479027779999999</v>
      </c>
      <c r="J91" s="272">
        <v>24.804301079999998</v>
      </c>
      <c r="K91" s="272">
        <v>23.05875</v>
      </c>
      <c r="L91" s="272">
        <v>24.362231179999998</v>
      </c>
      <c r="M91" s="272">
        <v>25.972715050000001</v>
      </c>
      <c r="N91" s="272">
        <v>28.106944439999999</v>
      </c>
      <c r="O91" s="272">
        <v>27.317338710000001</v>
      </c>
      <c r="P91" s="272">
        <v>26.55722222</v>
      </c>
      <c r="Q91" s="272">
        <v>25.335483870000001</v>
      </c>
      <c r="R91" s="272">
        <v>25.794296460833337</v>
      </c>
      <c r="S91" s="267">
        <f>SUMIFS(Aux_Lista!AD:AD,Aux_Lista!AB:AB,Aux_TBS!B91,Aux_Lista!AC:AC,Aux_TBS!A91)</f>
        <v>6</v>
      </c>
      <c r="T91" s="267" t="s">
        <v>6016</v>
      </c>
      <c r="U91" s="267">
        <v>40</v>
      </c>
    </row>
    <row r="92" spans="1:21" x14ac:dyDescent="0.25">
      <c r="A92" s="270" t="s">
        <v>2205</v>
      </c>
      <c r="B92" s="251" t="s">
        <v>1715</v>
      </c>
      <c r="C92" s="267" t="str">
        <f t="shared" si="1"/>
        <v>Caiapônia, GO</v>
      </c>
      <c r="D92" s="271">
        <v>-16.96</v>
      </c>
      <c r="E92" s="251">
        <v>737</v>
      </c>
      <c r="F92" s="272">
        <v>22.829166669999999</v>
      </c>
      <c r="G92" s="272">
        <v>23.096577379999999</v>
      </c>
      <c r="H92" s="272">
        <v>23.134005380000001</v>
      </c>
      <c r="I92" s="272">
        <v>23.21236111</v>
      </c>
      <c r="J92" s="272">
        <v>21.818817200000002</v>
      </c>
      <c r="K92" s="272">
        <v>21.664583329999999</v>
      </c>
      <c r="L92" s="272">
        <v>21.505241940000001</v>
      </c>
      <c r="M92" s="272">
        <v>24.003629029999999</v>
      </c>
      <c r="N92" s="272">
        <v>24.84972222</v>
      </c>
      <c r="O92" s="272">
        <v>25.274999999999999</v>
      </c>
      <c r="P92" s="272">
        <v>24.199583329999999</v>
      </c>
      <c r="Q92" s="272">
        <v>23.478494619999999</v>
      </c>
      <c r="R92" s="272">
        <v>23.255598517500001</v>
      </c>
      <c r="S92" s="267">
        <f>SUMIFS(Aux_Lista!AD:AD,Aux_Lista!AB:AB,Aux_TBS!B92,Aux_Lista!AC:AC,Aux_TBS!A92)</f>
        <v>6</v>
      </c>
      <c r="T92" s="267" t="s">
        <v>6016</v>
      </c>
      <c r="U92" s="267">
        <v>40</v>
      </c>
    </row>
    <row r="93" spans="1:21" x14ac:dyDescent="0.25">
      <c r="A93" s="270" t="s">
        <v>2113</v>
      </c>
      <c r="B93" s="251" t="s">
        <v>1715</v>
      </c>
      <c r="C93" s="267" t="str">
        <f t="shared" si="1"/>
        <v>Catalão, GO</v>
      </c>
      <c r="D93" s="271">
        <v>-18.16</v>
      </c>
      <c r="E93" s="251">
        <v>890</v>
      </c>
      <c r="F93" s="272">
        <v>22.842473120000001</v>
      </c>
      <c r="G93" s="272">
        <v>22.628869049999999</v>
      </c>
      <c r="H93" s="272">
        <v>22.435483869999999</v>
      </c>
      <c r="I93" s="272">
        <v>22.851111110000002</v>
      </c>
      <c r="J93" s="272">
        <v>20.62083333</v>
      </c>
      <c r="K93" s="272">
        <v>20.74361111</v>
      </c>
      <c r="L93" s="272">
        <v>20.114919350000001</v>
      </c>
      <c r="M93" s="272">
        <v>22.983736560000001</v>
      </c>
      <c r="N93" s="272">
        <v>23.952361109999998</v>
      </c>
      <c r="O93" s="272">
        <v>24.959005380000001</v>
      </c>
      <c r="P93" s="272">
        <v>23.2425</v>
      </c>
      <c r="Q93" s="272">
        <v>22.728763440000002</v>
      </c>
      <c r="R93" s="272">
        <v>22.508638952500004</v>
      </c>
      <c r="S93" s="267">
        <f>SUMIFS(Aux_Lista!AD:AD,Aux_Lista!AB:AB,Aux_TBS!B93,Aux_Lista!AC:AC,Aux_TBS!A93)</f>
        <v>6</v>
      </c>
      <c r="T93" s="267" t="s">
        <v>6016</v>
      </c>
      <c r="U93" s="267">
        <v>40</v>
      </c>
    </row>
    <row r="94" spans="1:21" x14ac:dyDescent="0.25">
      <c r="A94" s="270" t="s">
        <v>1802</v>
      </c>
      <c r="B94" s="251" t="s">
        <v>1715</v>
      </c>
      <c r="C94" s="267" t="str">
        <f t="shared" si="1"/>
        <v>Cristalina, GO</v>
      </c>
      <c r="D94" s="271">
        <v>-16.79</v>
      </c>
      <c r="E94" s="251">
        <v>1202</v>
      </c>
      <c r="F94" s="272">
        <v>21.326881719999999</v>
      </c>
      <c r="G94" s="272">
        <v>21.675892860000001</v>
      </c>
      <c r="H94" s="272">
        <v>21.96263441</v>
      </c>
      <c r="I94" s="272">
        <v>20.127777779999999</v>
      </c>
      <c r="J94" s="272">
        <v>19.056182799999998</v>
      </c>
      <c r="K94" s="272">
        <v>18.190416670000001</v>
      </c>
      <c r="L94" s="272">
        <v>19.974059140000001</v>
      </c>
      <c r="M94" s="272">
        <v>19.731451610000001</v>
      </c>
      <c r="N94" s="272">
        <v>22.441527780000001</v>
      </c>
      <c r="O94" s="272">
        <v>21.34892473</v>
      </c>
      <c r="P94" s="272">
        <v>22.3325</v>
      </c>
      <c r="Q94" s="272">
        <v>20.612768819999999</v>
      </c>
      <c r="R94" s="272">
        <v>20.731751526666667</v>
      </c>
      <c r="S94" s="267">
        <f>SUMIFS(Aux_Lista!AD:AD,Aux_Lista!AB:AB,Aux_TBS!B94,Aux_Lista!AC:AC,Aux_TBS!A94)</f>
        <v>4</v>
      </c>
      <c r="T94" s="267" t="s">
        <v>6016</v>
      </c>
      <c r="U94" s="267">
        <v>40</v>
      </c>
    </row>
    <row r="95" spans="1:21" x14ac:dyDescent="0.25">
      <c r="A95" s="270" t="s">
        <v>5352</v>
      </c>
      <c r="B95" s="251" t="s">
        <v>1715</v>
      </c>
      <c r="C95" s="267" t="str">
        <f t="shared" si="1"/>
        <v>Goianésia, GO</v>
      </c>
      <c r="D95" s="271">
        <v>-15.32</v>
      </c>
      <c r="E95" s="251">
        <v>667</v>
      </c>
      <c r="F95" s="272">
        <v>24.44919355</v>
      </c>
      <c r="G95" s="272">
        <v>25.004761899999998</v>
      </c>
      <c r="H95" s="272">
        <v>24.699731180000001</v>
      </c>
      <c r="I95" s="272">
        <v>24.463333330000001</v>
      </c>
      <c r="J95" s="272">
        <v>24.141666669999999</v>
      </c>
      <c r="K95" s="272">
        <v>22.86902778</v>
      </c>
      <c r="L95" s="272">
        <v>23.497311830000001</v>
      </c>
      <c r="M95" s="272">
        <v>24.416801079999999</v>
      </c>
      <c r="N95" s="272">
        <v>27.092500000000001</v>
      </c>
      <c r="O95" s="272">
        <v>26.080107529999999</v>
      </c>
      <c r="P95" s="272">
        <v>23.61069444</v>
      </c>
      <c r="Q95" s="272">
        <v>24.137365590000002</v>
      </c>
      <c r="R95" s="272">
        <v>24.538541240000001</v>
      </c>
      <c r="S95" s="267">
        <f>SUMIFS(Aux_Lista!AD:AD,Aux_Lista!AB:AB,Aux_TBS!B95,Aux_Lista!AC:AC,Aux_TBS!A95)</f>
        <v>6</v>
      </c>
      <c r="T95" s="267" t="s">
        <v>6016</v>
      </c>
      <c r="U95" s="267">
        <v>40</v>
      </c>
    </row>
    <row r="96" spans="1:21" x14ac:dyDescent="0.25">
      <c r="A96" s="270" t="s">
        <v>2586</v>
      </c>
      <c r="B96" s="251" t="s">
        <v>1715</v>
      </c>
      <c r="C96" s="267" t="str">
        <f t="shared" si="1"/>
        <v>Goiânia, GO</v>
      </c>
      <c r="D96" s="271">
        <v>-15.37</v>
      </c>
      <c r="E96" s="251">
        <v>770</v>
      </c>
      <c r="F96" s="272">
        <v>23.853225810000001</v>
      </c>
      <c r="G96" s="272">
        <v>24.135416670000001</v>
      </c>
      <c r="H96" s="272">
        <v>23.424059140000001</v>
      </c>
      <c r="I96" s="272">
        <v>23.454583329999998</v>
      </c>
      <c r="J96" s="272">
        <v>21.11801075</v>
      </c>
      <c r="K96" s="272">
        <v>20.63930556</v>
      </c>
      <c r="L96" s="272">
        <v>20.512903229999999</v>
      </c>
      <c r="M96" s="272">
        <v>22.590188170000001</v>
      </c>
      <c r="N96" s="272">
        <v>25.047638890000002</v>
      </c>
      <c r="O96" s="272">
        <v>24.99112903</v>
      </c>
      <c r="P96" s="272">
        <v>24.05833333</v>
      </c>
      <c r="Q96" s="272">
        <v>25.029032260000001</v>
      </c>
      <c r="R96" s="272">
        <v>23.237818847499998</v>
      </c>
      <c r="S96" s="267">
        <f>SUMIFS(Aux_Lista!AD:AD,Aux_Lista!AB:AB,Aux_TBS!B96,Aux_Lista!AC:AC,Aux_TBS!A96)</f>
        <v>6</v>
      </c>
      <c r="T96" s="267" t="s">
        <v>6016</v>
      </c>
      <c r="U96" s="267">
        <v>40</v>
      </c>
    </row>
    <row r="97" spans="1:21" x14ac:dyDescent="0.25">
      <c r="A97" s="270" t="s">
        <v>4495</v>
      </c>
      <c r="B97" s="251" t="s">
        <v>1715</v>
      </c>
      <c r="C97" s="267" t="str">
        <f t="shared" si="1"/>
        <v>Goiás, GO</v>
      </c>
      <c r="D97" s="271">
        <v>-15.93</v>
      </c>
      <c r="E97" s="251">
        <v>512</v>
      </c>
      <c r="F97" s="272">
        <v>25.019758060000001</v>
      </c>
      <c r="G97" s="272">
        <v>24.716815480000001</v>
      </c>
      <c r="H97" s="272">
        <v>25.318951609999999</v>
      </c>
      <c r="I97" s="272">
        <v>24.45</v>
      </c>
      <c r="J97" s="272">
        <v>24.006720430000001</v>
      </c>
      <c r="K97" s="272">
        <v>23.184305559999999</v>
      </c>
      <c r="L97" s="272">
        <v>24.543548390000002</v>
      </c>
      <c r="M97" s="272">
        <v>25.981317199999999</v>
      </c>
      <c r="N97" s="272">
        <v>27.322500000000002</v>
      </c>
      <c r="O97" s="272">
        <v>25.427822580000001</v>
      </c>
      <c r="P97" s="272">
        <v>25.355555559999999</v>
      </c>
      <c r="Q97" s="272">
        <v>24.42903226</v>
      </c>
      <c r="R97" s="272">
        <v>24.979693927499998</v>
      </c>
      <c r="S97" s="267">
        <f>SUMIFS(Aux_Lista!AD:AD,Aux_Lista!AB:AB,Aux_TBS!B97,Aux_Lista!AC:AC,Aux_TBS!A97)</f>
        <v>7</v>
      </c>
      <c r="T97" s="267" t="s">
        <v>6016</v>
      </c>
      <c r="U97" s="267">
        <v>40</v>
      </c>
    </row>
    <row r="98" spans="1:21" x14ac:dyDescent="0.25">
      <c r="A98" s="270" t="s">
        <v>2856</v>
      </c>
      <c r="B98" s="251" t="s">
        <v>1715</v>
      </c>
      <c r="C98" s="267" t="str">
        <f t="shared" si="1"/>
        <v>Itapaci, GO</v>
      </c>
      <c r="D98" s="271">
        <v>-14.95</v>
      </c>
      <c r="E98" s="251">
        <v>522</v>
      </c>
      <c r="F98" s="272">
        <v>24.257661290000001</v>
      </c>
      <c r="G98" s="272">
        <v>24.095833330000001</v>
      </c>
      <c r="H98" s="272">
        <v>23.55</v>
      </c>
      <c r="I98" s="272">
        <v>24.158055560000001</v>
      </c>
      <c r="J98" s="272">
        <v>22.640994620000001</v>
      </c>
      <c r="K98" s="272">
        <v>21.30805556</v>
      </c>
      <c r="L98" s="272">
        <v>22.42956989</v>
      </c>
      <c r="M98" s="272">
        <v>22.158736560000001</v>
      </c>
      <c r="N98" s="272">
        <v>25.756666670000001</v>
      </c>
      <c r="O98" s="272">
        <v>27.01680108</v>
      </c>
      <c r="P98" s="272">
        <v>25.242361110000001</v>
      </c>
      <c r="Q98" s="272">
        <v>24.24677419</v>
      </c>
      <c r="R98" s="272">
        <v>23.905125821666669</v>
      </c>
      <c r="S98" s="267">
        <f>SUMIFS(Aux_Lista!AD:AD,Aux_Lista!AB:AB,Aux_TBS!B98,Aux_Lista!AC:AC,Aux_TBS!A98)</f>
        <v>6</v>
      </c>
      <c r="T98" s="267" t="s">
        <v>6016</v>
      </c>
      <c r="U98" s="267">
        <v>40</v>
      </c>
    </row>
    <row r="99" spans="1:21" x14ac:dyDescent="0.25">
      <c r="A99" s="270" t="s">
        <v>2742</v>
      </c>
      <c r="B99" s="251" t="s">
        <v>1715</v>
      </c>
      <c r="C99" s="267" t="str">
        <f t="shared" si="1"/>
        <v>Itumbiara, GO</v>
      </c>
      <c r="D99" s="271">
        <v>-18.41</v>
      </c>
      <c r="E99" s="251">
        <v>488</v>
      </c>
      <c r="F99" s="272">
        <v>24.764247309999998</v>
      </c>
      <c r="G99" s="272">
        <v>25.141666669999999</v>
      </c>
      <c r="H99" s="272">
        <v>24.962903229999998</v>
      </c>
      <c r="I99" s="272">
        <v>23.419305560000002</v>
      </c>
      <c r="J99" s="272">
        <v>22.392876340000001</v>
      </c>
      <c r="K99" s="272">
        <v>20.344027780000001</v>
      </c>
      <c r="L99" s="272">
        <v>22.299327959999999</v>
      </c>
      <c r="M99" s="272">
        <v>23.235215050000001</v>
      </c>
      <c r="N99" s="272">
        <v>24.953055559999999</v>
      </c>
      <c r="O99" s="272">
        <v>25.119220429999999</v>
      </c>
      <c r="P99" s="272">
        <v>25.85083333</v>
      </c>
      <c r="Q99" s="272">
        <v>24.607392470000001</v>
      </c>
      <c r="R99" s="272">
        <v>23.92417264083333</v>
      </c>
      <c r="S99" s="267">
        <f>SUMIFS(Aux_Lista!AD:AD,Aux_Lista!AB:AB,Aux_TBS!B99,Aux_Lista!AC:AC,Aux_TBS!A99)</f>
        <v>6</v>
      </c>
      <c r="T99" s="267" t="s">
        <v>6016</v>
      </c>
      <c r="U99" s="267">
        <v>40</v>
      </c>
    </row>
    <row r="100" spans="1:21" x14ac:dyDescent="0.25">
      <c r="A100" s="270" t="s">
        <v>2853</v>
      </c>
      <c r="B100" s="251" t="s">
        <v>1715</v>
      </c>
      <c r="C100" s="267" t="str">
        <f t="shared" si="1"/>
        <v>Jataí, GO</v>
      </c>
      <c r="D100" s="271">
        <v>-17.88</v>
      </c>
      <c r="E100" s="251">
        <v>582</v>
      </c>
      <c r="F100" s="272">
        <v>23.180645160000001</v>
      </c>
      <c r="G100" s="272">
        <v>22.841220239999998</v>
      </c>
      <c r="H100" s="272">
        <v>22.76586022</v>
      </c>
      <c r="I100" s="272">
        <v>22.56847222</v>
      </c>
      <c r="J100" s="272">
        <v>19.758602150000002</v>
      </c>
      <c r="K100" s="272">
        <v>19.85055556</v>
      </c>
      <c r="L100" s="272">
        <v>19.52473118</v>
      </c>
      <c r="M100" s="272">
        <v>22.561290320000001</v>
      </c>
      <c r="N100" s="272">
        <v>23.465833329999999</v>
      </c>
      <c r="O100" s="272">
        <v>24.505913979999999</v>
      </c>
      <c r="P100" s="272">
        <v>24.106249999999999</v>
      </c>
      <c r="Q100" s="272">
        <v>23.9063172</v>
      </c>
      <c r="R100" s="272">
        <v>22.419640963333336</v>
      </c>
      <c r="S100" s="267">
        <f>SUMIFS(Aux_Lista!AD:AD,Aux_Lista!AB:AB,Aux_TBS!B100,Aux_Lista!AC:AC,Aux_TBS!A100)</f>
        <v>6</v>
      </c>
      <c r="T100" s="267" t="s">
        <v>6016</v>
      </c>
      <c r="U100" s="267">
        <v>40</v>
      </c>
    </row>
    <row r="101" spans="1:21" x14ac:dyDescent="0.25">
      <c r="A101" s="270" t="s">
        <v>1888</v>
      </c>
      <c r="B101" s="251" t="s">
        <v>1715</v>
      </c>
      <c r="C101" s="267" t="str">
        <f t="shared" si="1"/>
        <v>Luziânia, GO</v>
      </c>
      <c r="D101" s="271">
        <v>-16.25</v>
      </c>
      <c r="E101" s="251">
        <v>958</v>
      </c>
      <c r="F101" s="272">
        <v>22.483064519999999</v>
      </c>
      <c r="G101" s="272">
        <v>22.593005949999998</v>
      </c>
      <c r="H101" s="272">
        <v>22.724193549999999</v>
      </c>
      <c r="I101" s="272">
        <v>21.521805560000001</v>
      </c>
      <c r="J101" s="272">
        <v>20.746505379999999</v>
      </c>
      <c r="K101" s="272">
        <v>19.69055556</v>
      </c>
      <c r="L101" s="272">
        <v>21.476344090000001</v>
      </c>
      <c r="M101" s="272">
        <v>21.46733871</v>
      </c>
      <c r="N101" s="272">
        <v>23.653472220000001</v>
      </c>
      <c r="O101" s="272">
        <v>22.50282258</v>
      </c>
      <c r="P101" s="272">
        <v>23.147916670000001</v>
      </c>
      <c r="Q101" s="272">
        <v>21.856182799999999</v>
      </c>
      <c r="R101" s="272">
        <v>21.988600632499999</v>
      </c>
      <c r="S101" s="267">
        <f>SUMIFS(Aux_Lista!AD:AD,Aux_Lista!AB:AB,Aux_TBS!B101,Aux_Lista!AC:AC,Aux_TBS!A101)</f>
        <v>4</v>
      </c>
      <c r="T101" s="267" t="s">
        <v>6016</v>
      </c>
      <c r="U101" s="267">
        <v>40</v>
      </c>
    </row>
    <row r="102" spans="1:21" x14ac:dyDescent="0.25">
      <c r="A102" s="270" t="s">
        <v>2849</v>
      </c>
      <c r="B102" s="251" t="s">
        <v>1715</v>
      </c>
      <c r="C102" s="267" t="str">
        <f t="shared" si="1"/>
        <v>Mineiros, GO</v>
      </c>
      <c r="D102" s="271">
        <v>-17.57</v>
      </c>
      <c r="E102" s="251">
        <v>706</v>
      </c>
      <c r="F102" s="272">
        <v>22.992876339999999</v>
      </c>
      <c r="G102" s="272">
        <v>22.829464290000001</v>
      </c>
      <c r="H102" s="272">
        <v>22.82836022</v>
      </c>
      <c r="I102" s="272">
        <v>22.467916670000001</v>
      </c>
      <c r="J102" s="272">
        <v>20.039516129999999</v>
      </c>
      <c r="K102" s="272">
        <v>18.923749999999998</v>
      </c>
      <c r="L102" s="272">
        <v>20.327016130000001</v>
      </c>
      <c r="M102" s="272">
        <v>22.001747309999999</v>
      </c>
      <c r="N102" s="272">
        <v>24.15736111</v>
      </c>
      <c r="O102" s="272">
        <v>24.223521510000001</v>
      </c>
      <c r="P102" s="272">
        <v>24.441388889999999</v>
      </c>
      <c r="Q102" s="272">
        <v>23.302956989999998</v>
      </c>
      <c r="R102" s="272">
        <v>22.3779896325</v>
      </c>
      <c r="S102" s="267">
        <f>SUMIFS(Aux_Lista!AD:AD,Aux_Lista!AB:AB,Aux_TBS!B102,Aux_Lista!AC:AC,Aux_TBS!A102)</f>
        <v>6</v>
      </c>
      <c r="T102" s="267" t="s">
        <v>6016</v>
      </c>
      <c r="U102" s="267">
        <v>40</v>
      </c>
    </row>
    <row r="103" spans="1:21" x14ac:dyDescent="0.25">
      <c r="A103" s="270" t="s">
        <v>4441</v>
      </c>
      <c r="B103" s="251" t="s">
        <v>1715</v>
      </c>
      <c r="C103" s="267" t="str">
        <f t="shared" si="1"/>
        <v>Monte Alegre de Goiás, GO</v>
      </c>
      <c r="D103" s="271">
        <v>-13.5</v>
      </c>
      <c r="E103" s="251">
        <v>1253</v>
      </c>
      <c r="F103" s="272">
        <v>25.16048387</v>
      </c>
      <c r="G103" s="272">
        <v>24.870238100000002</v>
      </c>
      <c r="H103" s="272">
        <v>25.374731180000001</v>
      </c>
      <c r="I103" s="272">
        <v>24.273888889999998</v>
      </c>
      <c r="J103" s="272">
        <v>23.362231179999998</v>
      </c>
      <c r="K103" s="272">
        <v>23.257638889999999</v>
      </c>
      <c r="L103" s="272">
        <v>23.962768820000001</v>
      </c>
      <c r="M103" s="272">
        <v>25.953091400000002</v>
      </c>
      <c r="N103" s="272">
        <v>27.62013889</v>
      </c>
      <c r="O103" s="272">
        <v>25.59663978</v>
      </c>
      <c r="P103" s="272">
        <v>25.326111109999999</v>
      </c>
      <c r="Q103" s="272">
        <v>24.82419355</v>
      </c>
      <c r="R103" s="272">
        <v>24.965179638333336</v>
      </c>
      <c r="S103" s="267">
        <f>SUMIFS(Aux_Lista!AD:AD,Aux_Lista!AB:AB,Aux_TBS!B103,Aux_Lista!AC:AC,Aux_TBS!A103)</f>
        <v>7</v>
      </c>
      <c r="T103" s="267" t="s">
        <v>6016</v>
      </c>
      <c r="U103" s="267">
        <v>40</v>
      </c>
    </row>
    <row r="104" spans="1:21" x14ac:dyDescent="0.25">
      <c r="A104" s="270" t="s">
        <v>2850</v>
      </c>
      <c r="B104" s="251" t="s">
        <v>1715</v>
      </c>
      <c r="C104" s="267" t="str">
        <f t="shared" si="1"/>
        <v>Morrinhos, GO</v>
      </c>
      <c r="D104" s="271">
        <v>-17.73</v>
      </c>
      <c r="E104" s="251">
        <v>771</v>
      </c>
      <c r="F104" s="272">
        <v>23.342069890000001</v>
      </c>
      <c r="G104" s="272">
        <v>23.286160710000001</v>
      </c>
      <c r="H104" s="272">
        <v>23.48602151</v>
      </c>
      <c r="I104" s="272">
        <v>23.016249999999999</v>
      </c>
      <c r="J104" s="272">
        <v>20.122983869999999</v>
      </c>
      <c r="K104" s="272">
        <v>19.62541667</v>
      </c>
      <c r="L104" s="272">
        <v>20.352956989999999</v>
      </c>
      <c r="M104" s="272">
        <v>21.45</v>
      </c>
      <c r="N104" s="272">
        <v>24.534861110000001</v>
      </c>
      <c r="O104" s="272">
        <v>23.05873656</v>
      </c>
      <c r="P104" s="272">
        <v>23.123611109999999</v>
      </c>
      <c r="Q104" s="272">
        <v>23.24341398</v>
      </c>
      <c r="R104" s="272">
        <v>22.386873533333333</v>
      </c>
      <c r="S104" s="267">
        <f>SUMIFS(Aux_Lista!AD:AD,Aux_Lista!AB:AB,Aux_TBS!B104,Aux_Lista!AC:AC,Aux_TBS!A104)</f>
        <v>6</v>
      </c>
      <c r="T104" s="267" t="s">
        <v>6016</v>
      </c>
      <c r="U104" s="267">
        <v>40</v>
      </c>
    </row>
    <row r="105" spans="1:21" x14ac:dyDescent="0.25">
      <c r="A105" s="270" t="s">
        <v>2181</v>
      </c>
      <c r="B105" s="251" t="s">
        <v>1715</v>
      </c>
      <c r="C105" s="267" t="str">
        <f t="shared" si="1"/>
        <v>Niquelândia, GO</v>
      </c>
      <c r="D105" s="271">
        <v>-14.47</v>
      </c>
      <c r="E105" s="251">
        <v>583</v>
      </c>
      <c r="F105" s="272">
        <v>23.812231180000001</v>
      </c>
      <c r="G105" s="272">
        <v>24.425000000000001</v>
      </c>
      <c r="H105" s="272">
        <v>23.484543009999999</v>
      </c>
      <c r="I105" s="272">
        <v>24.520416669999999</v>
      </c>
      <c r="J105" s="272">
        <v>23.560483869999999</v>
      </c>
      <c r="K105" s="272">
        <v>23.267916670000002</v>
      </c>
      <c r="L105" s="272">
        <v>22.88575269</v>
      </c>
      <c r="M105" s="272">
        <v>25.155645159999999</v>
      </c>
      <c r="N105" s="272">
        <v>26.813888890000001</v>
      </c>
      <c r="O105" s="272">
        <v>25.845967739999999</v>
      </c>
      <c r="P105" s="272">
        <v>24.636805559999999</v>
      </c>
      <c r="Q105" s="272">
        <v>23.387365590000002</v>
      </c>
      <c r="R105" s="272">
        <v>24.316334752499998</v>
      </c>
      <c r="S105" s="267">
        <f>SUMIFS(Aux_Lista!AD:AD,Aux_Lista!AB:AB,Aux_TBS!B105,Aux_Lista!AC:AC,Aux_TBS!A105)</f>
        <v>6</v>
      </c>
      <c r="T105" s="267" t="s">
        <v>6016</v>
      </c>
      <c r="U105" s="267">
        <v>40</v>
      </c>
    </row>
    <row r="106" spans="1:21" x14ac:dyDescent="0.25">
      <c r="A106" s="270" t="s">
        <v>2776</v>
      </c>
      <c r="B106" s="251" t="s">
        <v>1715</v>
      </c>
      <c r="C106" s="267" t="str">
        <f t="shared" si="1"/>
        <v>Paraúna, GO</v>
      </c>
      <c r="D106" s="271">
        <v>-16.96</v>
      </c>
      <c r="E106" s="251">
        <v>678</v>
      </c>
      <c r="F106" s="272">
        <v>24.496102149999999</v>
      </c>
      <c r="G106" s="272">
        <v>24.445238100000001</v>
      </c>
      <c r="H106" s="272">
        <v>24.36841398</v>
      </c>
      <c r="I106" s="272">
        <v>23.778472220000001</v>
      </c>
      <c r="J106" s="272">
        <v>21.72432796</v>
      </c>
      <c r="K106" s="272">
        <v>21.917361110000002</v>
      </c>
      <c r="L106" s="272">
        <v>21.64973118</v>
      </c>
      <c r="M106" s="272">
        <v>24.771236559999998</v>
      </c>
      <c r="N106" s="272">
        <v>25.592500000000001</v>
      </c>
      <c r="O106" s="272">
        <v>26.395698920000001</v>
      </c>
      <c r="P106" s="272">
        <v>24.70027778</v>
      </c>
      <c r="Q106" s="272">
        <v>24.173387099999999</v>
      </c>
      <c r="R106" s="272">
        <v>24.001062255000004</v>
      </c>
      <c r="S106" s="267">
        <f>SUMIFS(Aux_Lista!AD:AD,Aux_Lista!AB:AB,Aux_TBS!B106,Aux_Lista!AC:AC,Aux_TBS!A106)</f>
        <v>6</v>
      </c>
      <c r="T106" s="267" t="s">
        <v>6016</v>
      </c>
      <c r="U106" s="267">
        <v>40</v>
      </c>
    </row>
    <row r="107" spans="1:21" x14ac:dyDescent="0.25">
      <c r="A107" s="270" t="s">
        <v>2734</v>
      </c>
      <c r="B107" s="251" t="s">
        <v>1715</v>
      </c>
      <c r="C107" s="267" t="str">
        <f t="shared" si="1"/>
        <v>Pires do Rio, GO</v>
      </c>
      <c r="D107" s="271">
        <v>-17.309999999999999</v>
      </c>
      <c r="E107" s="251">
        <v>752</v>
      </c>
      <c r="F107" s="272">
        <v>23.629838710000001</v>
      </c>
      <c r="G107" s="272">
        <v>24.012202380000002</v>
      </c>
      <c r="H107" s="272">
        <v>23.84986559</v>
      </c>
      <c r="I107" s="272">
        <v>22.569722219999999</v>
      </c>
      <c r="J107" s="272">
        <v>21.290322580000002</v>
      </c>
      <c r="K107" s="272">
        <v>19.764166670000002</v>
      </c>
      <c r="L107" s="272">
        <v>21.40349462</v>
      </c>
      <c r="M107" s="272">
        <v>22.35497312</v>
      </c>
      <c r="N107" s="272">
        <v>24.352916669999999</v>
      </c>
      <c r="O107" s="272">
        <v>23.950940859999999</v>
      </c>
      <c r="P107" s="272">
        <v>24.65208333</v>
      </c>
      <c r="Q107" s="272">
        <v>23.555376339999999</v>
      </c>
      <c r="R107" s="272">
        <v>22.948825257500001</v>
      </c>
      <c r="S107" s="267">
        <f>SUMIFS(Aux_Lista!AD:AD,Aux_Lista!AB:AB,Aux_TBS!B107,Aux_Lista!AC:AC,Aux_TBS!A107)</f>
        <v>4</v>
      </c>
      <c r="T107" s="267" t="s">
        <v>6016</v>
      </c>
      <c r="U107" s="267">
        <v>40</v>
      </c>
    </row>
    <row r="108" spans="1:21" x14ac:dyDescent="0.25">
      <c r="A108" s="270" t="s">
        <v>1867</v>
      </c>
      <c r="B108" s="251" t="s">
        <v>1715</v>
      </c>
      <c r="C108" s="267" t="str">
        <f t="shared" si="1"/>
        <v>Posse, GO</v>
      </c>
      <c r="D108" s="271">
        <v>-14.09</v>
      </c>
      <c r="E108" s="251">
        <v>834</v>
      </c>
      <c r="F108" s="272">
        <v>24.300940860000001</v>
      </c>
      <c r="G108" s="272">
        <v>25.29866071</v>
      </c>
      <c r="H108" s="272">
        <v>24.225000000000001</v>
      </c>
      <c r="I108" s="272">
        <v>24.461111110000001</v>
      </c>
      <c r="J108" s="272">
        <v>24.825672040000001</v>
      </c>
      <c r="K108" s="272">
        <v>23.142083329999998</v>
      </c>
      <c r="L108" s="272">
        <v>23.698790320000001</v>
      </c>
      <c r="M108" s="272">
        <v>24.2594086</v>
      </c>
      <c r="N108" s="272">
        <v>26.471527779999999</v>
      </c>
      <c r="O108" s="272">
        <v>24.475940860000001</v>
      </c>
      <c r="P108" s="272">
        <v>24.63513889</v>
      </c>
      <c r="Q108" s="272">
        <v>23.571102150000002</v>
      </c>
      <c r="R108" s="272">
        <v>24.447114720833337</v>
      </c>
      <c r="S108" s="267">
        <f>SUMIFS(Aux_Lista!AD:AD,Aux_Lista!AB:AB,Aux_TBS!B108,Aux_Lista!AC:AC,Aux_TBS!A108)</f>
        <v>6</v>
      </c>
      <c r="T108" s="267" t="s">
        <v>6016</v>
      </c>
      <c r="U108" s="267">
        <v>40</v>
      </c>
    </row>
    <row r="109" spans="1:21" x14ac:dyDescent="0.25">
      <c r="A109" s="270" t="s">
        <v>2193</v>
      </c>
      <c r="B109" s="251" t="s">
        <v>1715</v>
      </c>
      <c r="C109" s="267" t="str">
        <f t="shared" si="1"/>
        <v>Rio Verde, GO</v>
      </c>
      <c r="D109" s="271">
        <v>-17.8</v>
      </c>
      <c r="E109" s="251">
        <v>782</v>
      </c>
      <c r="F109" s="272">
        <v>22.56948925</v>
      </c>
      <c r="G109" s="272">
        <v>22.715624999999999</v>
      </c>
      <c r="H109" s="272">
        <v>22.66841398</v>
      </c>
      <c r="I109" s="272">
        <v>22.754722220000001</v>
      </c>
      <c r="J109" s="272">
        <v>20.798387099999999</v>
      </c>
      <c r="K109" s="272">
        <v>21.189305560000001</v>
      </c>
      <c r="L109" s="272">
        <v>21.415456989999999</v>
      </c>
      <c r="M109" s="272">
        <v>23.837768820000001</v>
      </c>
      <c r="N109" s="272">
        <v>24.15847222</v>
      </c>
      <c r="O109" s="272">
        <v>24.736962370000001</v>
      </c>
      <c r="P109" s="272">
        <v>23.359444440000001</v>
      </c>
      <c r="Q109" s="272">
        <v>23.425403230000001</v>
      </c>
      <c r="R109" s="272">
        <v>22.802454265000005</v>
      </c>
      <c r="S109" s="267">
        <f>SUMIFS(Aux_Lista!AD:AD,Aux_Lista!AB:AB,Aux_TBS!B109,Aux_Lista!AC:AC,Aux_TBS!A109)</f>
        <v>6</v>
      </c>
      <c r="T109" s="267" t="s">
        <v>6016</v>
      </c>
      <c r="U109" s="267">
        <v>40</v>
      </c>
    </row>
    <row r="110" spans="1:21" x14ac:dyDescent="0.25">
      <c r="A110" s="270" t="s">
        <v>2692</v>
      </c>
      <c r="B110" s="251" t="s">
        <v>1715</v>
      </c>
      <c r="C110" s="267" t="str">
        <f t="shared" si="1"/>
        <v>São Simão, GO</v>
      </c>
      <c r="D110" s="271">
        <v>-18.989999999999998</v>
      </c>
      <c r="E110" s="251">
        <v>489</v>
      </c>
      <c r="F110" s="272">
        <v>24.691801080000001</v>
      </c>
      <c r="G110" s="272">
        <v>24.99821429</v>
      </c>
      <c r="H110" s="272">
        <v>25.169489250000002</v>
      </c>
      <c r="I110" s="272">
        <v>24.119861109999999</v>
      </c>
      <c r="J110" s="272">
        <v>22.954435480000001</v>
      </c>
      <c r="K110" s="272">
        <v>20.332222219999998</v>
      </c>
      <c r="L110" s="272">
        <v>22.50376344</v>
      </c>
      <c r="M110" s="272">
        <v>23.01908602</v>
      </c>
      <c r="N110" s="272">
        <v>24.855694440000001</v>
      </c>
      <c r="O110" s="272">
        <v>24.93803763</v>
      </c>
      <c r="P110" s="272">
        <v>25.728750000000002</v>
      </c>
      <c r="Q110" s="272">
        <v>24.58763441</v>
      </c>
      <c r="R110" s="272">
        <v>23.991582447500004</v>
      </c>
      <c r="S110" s="267">
        <f>SUMIFS(Aux_Lista!AD:AD,Aux_Lista!AB:AB,Aux_TBS!B110,Aux_Lista!AC:AC,Aux_TBS!A110)</f>
        <v>6</v>
      </c>
      <c r="T110" s="267" t="s">
        <v>6016</v>
      </c>
      <c r="U110" s="267">
        <v>40</v>
      </c>
    </row>
    <row r="111" spans="1:21" x14ac:dyDescent="0.25">
      <c r="A111" s="270" t="s">
        <v>4774</v>
      </c>
      <c r="B111" s="251" t="s">
        <v>3847</v>
      </c>
      <c r="C111" s="267" t="str">
        <f t="shared" si="1"/>
        <v>Alto Parnaíba, MA</v>
      </c>
      <c r="D111" s="271">
        <v>-9.11</v>
      </c>
      <c r="E111" s="251">
        <v>281</v>
      </c>
      <c r="F111" s="272">
        <v>25.771236559999998</v>
      </c>
      <c r="G111" s="272">
        <v>24.953869050000002</v>
      </c>
      <c r="H111" s="272">
        <v>25.61330645</v>
      </c>
      <c r="I111" s="272">
        <v>25.33472222</v>
      </c>
      <c r="J111" s="272">
        <v>24.890322579999999</v>
      </c>
      <c r="K111" s="272">
        <v>25.051527780000001</v>
      </c>
      <c r="L111" s="272">
        <v>24.711559139999999</v>
      </c>
      <c r="M111" s="272">
        <v>25.819892469999999</v>
      </c>
      <c r="N111" s="272">
        <v>28.045694439999998</v>
      </c>
      <c r="O111" s="272">
        <v>26.329435480000001</v>
      </c>
      <c r="P111" s="272">
        <v>26.831527779999998</v>
      </c>
      <c r="Q111" s="272">
        <v>25.592607529999999</v>
      </c>
      <c r="R111" s="272">
        <v>25.745475123333332</v>
      </c>
      <c r="S111" s="267">
        <f>SUMIFS(Aux_Lista!AD:AD,Aux_Lista!AB:AB,Aux_TBS!B111,Aux_Lista!AC:AC,Aux_TBS!A111)</f>
        <v>7</v>
      </c>
      <c r="T111" s="267" t="s">
        <v>6015</v>
      </c>
      <c r="U111" s="267">
        <v>38</v>
      </c>
    </row>
    <row r="112" spans="1:21" x14ac:dyDescent="0.25">
      <c r="A112" s="270" t="s">
        <v>4644</v>
      </c>
      <c r="B112" s="251" t="s">
        <v>3847</v>
      </c>
      <c r="C112" s="267" t="str">
        <f t="shared" si="1"/>
        <v>Bacabal, MA</v>
      </c>
      <c r="D112" s="271">
        <v>-4.24</v>
      </c>
      <c r="E112" s="251">
        <v>28</v>
      </c>
      <c r="F112" s="272">
        <v>26.510483870000002</v>
      </c>
      <c r="G112" s="272">
        <v>26.163988100000001</v>
      </c>
      <c r="H112" s="272">
        <v>26.29758065</v>
      </c>
      <c r="I112" s="272">
        <v>25.88666667</v>
      </c>
      <c r="J112" s="272">
        <v>26.254569889999999</v>
      </c>
      <c r="K112" s="272">
        <v>26.84444444</v>
      </c>
      <c r="L112" s="272">
        <v>26.65201613</v>
      </c>
      <c r="M112" s="272">
        <v>27.633333329999999</v>
      </c>
      <c r="N112" s="272">
        <v>28.768611109999998</v>
      </c>
      <c r="O112" s="272">
        <v>29.234677420000001</v>
      </c>
      <c r="P112" s="272">
        <v>28.897777779999998</v>
      </c>
      <c r="Q112" s="272">
        <v>28.124865589999999</v>
      </c>
      <c r="R112" s="272">
        <v>27.272417915000002</v>
      </c>
      <c r="S112" s="267">
        <f>SUMIFS(Aux_Lista!AD:AD,Aux_Lista!AB:AB,Aux_TBS!B112,Aux_Lista!AC:AC,Aux_TBS!A112)</f>
        <v>8</v>
      </c>
      <c r="T112" s="267" t="s">
        <v>6015</v>
      </c>
      <c r="U112" s="267">
        <v>38</v>
      </c>
    </row>
    <row r="113" spans="1:21" x14ac:dyDescent="0.25">
      <c r="A113" s="270" t="s">
        <v>4705</v>
      </c>
      <c r="B113" s="251" t="s">
        <v>3847</v>
      </c>
      <c r="C113" s="267" t="str">
        <f t="shared" si="1"/>
        <v>Balsas, MA</v>
      </c>
      <c r="D113" s="271">
        <v>-7.46</v>
      </c>
      <c r="E113" s="251">
        <v>254</v>
      </c>
      <c r="F113" s="272">
        <v>25.547311830000002</v>
      </c>
      <c r="G113" s="272">
        <v>25.179464289999999</v>
      </c>
      <c r="H113" s="272">
        <v>25.77002688</v>
      </c>
      <c r="I113" s="272">
        <v>25.122916669999999</v>
      </c>
      <c r="J113" s="272">
        <v>25.135215049999999</v>
      </c>
      <c r="K113" s="272">
        <v>25.187361110000001</v>
      </c>
      <c r="L113" s="272">
        <v>25.433064519999999</v>
      </c>
      <c r="M113" s="272">
        <v>26.611827959999999</v>
      </c>
      <c r="N113" s="272">
        <v>28.380694439999999</v>
      </c>
      <c r="O113" s="272">
        <v>26.794220429999999</v>
      </c>
      <c r="P113" s="272">
        <v>26.90319444</v>
      </c>
      <c r="Q113" s="272">
        <v>25.29341398</v>
      </c>
      <c r="R113" s="272">
        <v>25.946559300000001</v>
      </c>
      <c r="S113" s="267">
        <f>SUMIFS(Aux_Lista!AD:AD,Aux_Lista!AB:AB,Aux_TBS!B113,Aux_Lista!AC:AC,Aux_TBS!A113)</f>
        <v>7</v>
      </c>
      <c r="T113" s="267" t="s">
        <v>6015</v>
      </c>
      <c r="U113" s="267">
        <v>38</v>
      </c>
    </row>
    <row r="114" spans="1:21" x14ac:dyDescent="0.25">
      <c r="A114" s="270" t="s">
        <v>4596</v>
      </c>
      <c r="B114" s="251" t="s">
        <v>3847</v>
      </c>
      <c r="C114" s="267" t="str">
        <f t="shared" si="1"/>
        <v>Barra do Corda, MA</v>
      </c>
      <c r="D114" s="271">
        <v>-5.51</v>
      </c>
      <c r="E114" s="251">
        <v>153</v>
      </c>
      <c r="F114" s="272">
        <v>26.005376340000002</v>
      </c>
      <c r="G114" s="272">
        <v>25.399553569999998</v>
      </c>
      <c r="H114" s="272">
        <v>25.75094086</v>
      </c>
      <c r="I114" s="272">
        <v>25.362916670000001</v>
      </c>
      <c r="J114" s="272">
        <v>25.21034946</v>
      </c>
      <c r="K114" s="272">
        <v>25.581250000000001</v>
      </c>
      <c r="L114" s="272">
        <v>25.760215049999999</v>
      </c>
      <c r="M114" s="272">
        <v>26.395295699999998</v>
      </c>
      <c r="N114" s="272">
        <v>27.72402778</v>
      </c>
      <c r="O114" s="272">
        <v>27.815053760000001</v>
      </c>
      <c r="P114" s="272">
        <v>27.999861110000001</v>
      </c>
      <c r="Q114" s="272">
        <v>26.366263440000001</v>
      </c>
      <c r="R114" s="272">
        <v>26.280925311666667</v>
      </c>
      <c r="S114" s="267">
        <f>SUMIFS(Aux_Lista!AD:AD,Aux_Lista!AB:AB,Aux_TBS!B114,Aux_Lista!AC:AC,Aux_TBS!A114)</f>
        <v>7</v>
      </c>
      <c r="T114" s="267" t="s">
        <v>6015</v>
      </c>
      <c r="U114" s="267">
        <v>38</v>
      </c>
    </row>
    <row r="115" spans="1:21" x14ac:dyDescent="0.25">
      <c r="A115" s="270" t="s">
        <v>4200</v>
      </c>
      <c r="B115" s="251" t="s">
        <v>3847</v>
      </c>
      <c r="C115" s="267" t="str">
        <f t="shared" si="1"/>
        <v>Buriticupu, MA</v>
      </c>
      <c r="D115" s="271">
        <v>-4.32</v>
      </c>
      <c r="E115" s="251">
        <v>175</v>
      </c>
      <c r="F115" s="272">
        <v>26.03870968</v>
      </c>
      <c r="G115" s="272">
        <v>25.224851189999999</v>
      </c>
      <c r="H115" s="272">
        <v>25.232526880000002</v>
      </c>
      <c r="I115" s="272">
        <v>24.869166669999998</v>
      </c>
      <c r="J115" s="272">
        <v>25.14408602</v>
      </c>
      <c r="K115" s="272">
        <v>25.53569444</v>
      </c>
      <c r="L115" s="272">
        <v>25.69784946</v>
      </c>
      <c r="M115" s="272">
        <v>26.503897850000001</v>
      </c>
      <c r="N115" s="272">
        <v>27.573333330000001</v>
      </c>
      <c r="O115" s="272">
        <v>27.50228495</v>
      </c>
      <c r="P115" s="272">
        <v>27.75305556</v>
      </c>
      <c r="Q115" s="272">
        <v>27.226881720000002</v>
      </c>
      <c r="R115" s="272">
        <v>26.191861479166665</v>
      </c>
      <c r="S115" s="267">
        <f>SUMIFS(Aux_Lista!AD:AD,Aux_Lista!AB:AB,Aux_TBS!B115,Aux_Lista!AC:AC,Aux_TBS!A115)</f>
        <v>8</v>
      </c>
      <c r="T115" s="267" t="s">
        <v>6015</v>
      </c>
      <c r="U115" s="267">
        <v>38</v>
      </c>
    </row>
    <row r="116" spans="1:21" x14ac:dyDescent="0.25">
      <c r="A116" s="270" t="s">
        <v>4715</v>
      </c>
      <c r="B116" s="251" t="s">
        <v>3847</v>
      </c>
      <c r="C116" s="267" t="str">
        <f t="shared" si="1"/>
        <v>Carolina, MA</v>
      </c>
      <c r="D116" s="271">
        <v>-7.34</v>
      </c>
      <c r="E116" s="251">
        <v>192</v>
      </c>
      <c r="F116" s="272">
        <v>25.501747309999999</v>
      </c>
      <c r="G116" s="272">
        <v>25.80744048</v>
      </c>
      <c r="H116" s="272">
        <v>26.269892469999998</v>
      </c>
      <c r="I116" s="272">
        <v>25.59819444</v>
      </c>
      <c r="J116" s="272">
        <v>25.636962369999999</v>
      </c>
      <c r="K116" s="272">
        <v>26.560138890000001</v>
      </c>
      <c r="L116" s="272">
        <v>27.017741940000001</v>
      </c>
      <c r="M116" s="272">
        <v>28.26908602</v>
      </c>
      <c r="N116" s="272">
        <v>29.120972219999999</v>
      </c>
      <c r="O116" s="272">
        <v>26.938575270000001</v>
      </c>
      <c r="P116" s="272">
        <v>26.289305559999999</v>
      </c>
      <c r="Q116" s="272">
        <v>25.901881719999999</v>
      </c>
      <c r="R116" s="272">
        <v>26.575994890833332</v>
      </c>
      <c r="S116" s="267">
        <f>SUMIFS(Aux_Lista!AD:AD,Aux_Lista!AB:AB,Aux_TBS!B116,Aux_Lista!AC:AC,Aux_TBS!A116)</f>
        <v>7</v>
      </c>
      <c r="T116" s="267" t="s">
        <v>6015</v>
      </c>
      <c r="U116" s="267">
        <v>38</v>
      </c>
    </row>
    <row r="117" spans="1:21" x14ac:dyDescent="0.25">
      <c r="A117" s="270" t="s">
        <v>4703</v>
      </c>
      <c r="B117" s="251" t="s">
        <v>3847</v>
      </c>
      <c r="C117" s="267" t="str">
        <f t="shared" si="1"/>
        <v>Caxias, MA</v>
      </c>
      <c r="D117" s="271">
        <v>-4.82</v>
      </c>
      <c r="E117" s="251">
        <v>76</v>
      </c>
      <c r="F117" s="272">
        <v>26.306317199999999</v>
      </c>
      <c r="G117" s="272">
        <v>25.87172619</v>
      </c>
      <c r="H117" s="272">
        <v>25.887231180000001</v>
      </c>
      <c r="I117" s="272">
        <v>25.633888890000001</v>
      </c>
      <c r="J117" s="272">
        <v>25.492204300000001</v>
      </c>
      <c r="K117" s="272">
        <v>25.304722219999999</v>
      </c>
      <c r="L117" s="272">
        <v>25.136155909999999</v>
      </c>
      <c r="M117" s="272">
        <v>25.59193548</v>
      </c>
      <c r="N117" s="272">
        <v>27.317638890000001</v>
      </c>
      <c r="O117" s="272">
        <v>27.994086020000001</v>
      </c>
      <c r="P117" s="272">
        <v>28.446249999999999</v>
      </c>
      <c r="Q117" s="272">
        <v>27.51491935</v>
      </c>
      <c r="R117" s="272">
        <v>26.374756302500003</v>
      </c>
      <c r="S117" s="267">
        <f>SUMIFS(Aux_Lista!AD:AD,Aux_Lista!AB:AB,Aux_TBS!B117,Aux_Lista!AC:AC,Aux_TBS!A117)</f>
        <v>7</v>
      </c>
      <c r="T117" s="267" t="s">
        <v>6015</v>
      </c>
      <c r="U117" s="267">
        <v>38</v>
      </c>
    </row>
    <row r="118" spans="1:21" x14ac:dyDescent="0.25">
      <c r="A118" s="270" t="s">
        <v>5095</v>
      </c>
      <c r="B118" s="251" t="s">
        <v>3847</v>
      </c>
      <c r="C118" s="267" t="str">
        <f t="shared" si="1"/>
        <v>Chapadinha, MA</v>
      </c>
      <c r="D118" s="271">
        <v>-3.74</v>
      </c>
      <c r="E118" s="251">
        <v>91</v>
      </c>
      <c r="F118" s="272">
        <v>26.842204299999999</v>
      </c>
      <c r="G118" s="272">
        <v>25.820089289999999</v>
      </c>
      <c r="H118" s="272">
        <v>25.891397850000001</v>
      </c>
      <c r="I118" s="272">
        <v>25.448333330000001</v>
      </c>
      <c r="J118" s="272">
        <v>25.474193549999999</v>
      </c>
      <c r="K118" s="272">
        <v>25.934583329999999</v>
      </c>
      <c r="L118" s="272">
        <v>26.355645160000002</v>
      </c>
      <c r="M118" s="272">
        <v>27.33293011</v>
      </c>
      <c r="N118" s="272">
        <v>28.17777778</v>
      </c>
      <c r="O118" s="272">
        <v>28.29018817</v>
      </c>
      <c r="P118" s="272">
        <v>28.72583333</v>
      </c>
      <c r="Q118" s="272">
        <v>28.366666670000001</v>
      </c>
      <c r="R118" s="272">
        <v>26.888320239166671</v>
      </c>
      <c r="S118" s="267">
        <f>SUMIFS(Aux_Lista!AD:AD,Aux_Lista!AB:AB,Aux_TBS!B118,Aux_Lista!AC:AC,Aux_TBS!A118)</f>
        <v>8</v>
      </c>
      <c r="T118" s="267" t="s">
        <v>6015</v>
      </c>
      <c r="U118" s="267">
        <v>38</v>
      </c>
    </row>
    <row r="119" spans="1:21" x14ac:dyDescent="0.25">
      <c r="A119" s="270" t="s">
        <v>1239</v>
      </c>
      <c r="B119" s="251" t="s">
        <v>3847</v>
      </c>
      <c r="C119" s="267" t="str">
        <f t="shared" si="1"/>
        <v>Colinas, MA</v>
      </c>
      <c r="D119" s="271">
        <v>-6.03</v>
      </c>
      <c r="E119" s="251">
        <v>179</v>
      </c>
      <c r="F119" s="272">
        <v>25.988575269999998</v>
      </c>
      <c r="G119" s="272">
        <v>25.275148810000001</v>
      </c>
      <c r="H119" s="272">
        <v>25.662096770000002</v>
      </c>
      <c r="I119" s="272">
        <v>25.404583330000001</v>
      </c>
      <c r="J119" s="272">
        <v>25.299596770000001</v>
      </c>
      <c r="K119" s="272">
        <v>25.42166667</v>
      </c>
      <c r="L119" s="272">
        <v>25.426209679999999</v>
      </c>
      <c r="M119" s="272">
        <v>26.080376340000001</v>
      </c>
      <c r="N119" s="272">
        <v>27.706250000000001</v>
      </c>
      <c r="O119" s="272">
        <v>27.522580649999998</v>
      </c>
      <c r="P119" s="272">
        <v>27.255138890000001</v>
      </c>
      <c r="Q119" s="272">
        <v>25.581720430000001</v>
      </c>
      <c r="R119" s="272">
        <v>26.05199530083334</v>
      </c>
      <c r="S119" s="267">
        <f>SUMIFS(Aux_Lista!AD:AD,Aux_Lista!AB:AB,Aux_TBS!B119,Aux_Lista!AC:AC,Aux_TBS!A119)</f>
        <v>7</v>
      </c>
      <c r="T119" s="267" t="s">
        <v>6015</v>
      </c>
      <c r="U119" s="267">
        <v>38</v>
      </c>
    </row>
    <row r="120" spans="1:21" x14ac:dyDescent="0.25">
      <c r="A120" s="270" t="s">
        <v>4793</v>
      </c>
      <c r="B120" s="251" t="s">
        <v>3847</v>
      </c>
      <c r="C120" s="267" t="str">
        <f t="shared" si="1"/>
        <v>Estreito, MA</v>
      </c>
      <c r="D120" s="271">
        <v>-6.65</v>
      </c>
      <c r="E120" s="251">
        <v>180</v>
      </c>
      <c r="F120" s="272">
        <v>25.986559140000001</v>
      </c>
      <c r="G120" s="272">
        <v>26.37410714</v>
      </c>
      <c r="H120" s="272">
        <v>24.943682800000001</v>
      </c>
      <c r="I120" s="272">
        <v>25.12652778</v>
      </c>
      <c r="J120" s="272">
        <v>25.146639780000001</v>
      </c>
      <c r="K120" s="272">
        <v>24.39347222</v>
      </c>
      <c r="L120" s="272">
        <v>24.613037630000001</v>
      </c>
      <c r="M120" s="272">
        <v>26.515053760000001</v>
      </c>
      <c r="N120" s="272">
        <v>27.323194440000002</v>
      </c>
      <c r="O120" s="272">
        <v>27.514247309999998</v>
      </c>
      <c r="P120" s="272">
        <v>26.289305559999999</v>
      </c>
      <c r="Q120" s="272">
        <v>25.901881719999999</v>
      </c>
      <c r="R120" s="272">
        <v>25.843975773333337</v>
      </c>
      <c r="S120" s="267">
        <f>SUMIFS(Aux_Lista!AD:AD,Aux_Lista!AB:AB,Aux_TBS!B120,Aux_Lista!AC:AC,Aux_TBS!A120)</f>
        <v>7</v>
      </c>
      <c r="T120" s="267" t="s">
        <v>6015</v>
      </c>
      <c r="U120" s="267">
        <v>38</v>
      </c>
    </row>
    <row r="121" spans="1:21" x14ac:dyDescent="0.25">
      <c r="A121" s="270" t="s">
        <v>3867</v>
      </c>
      <c r="B121" s="251" t="s">
        <v>3847</v>
      </c>
      <c r="C121" s="267" t="str">
        <f t="shared" si="1"/>
        <v>Barreirinhas, MA</v>
      </c>
      <c r="D121" s="271">
        <v>-2.59</v>
      </c>
      <c r="E121" s="251">
        <v>0</v>
      </c>
      <c r="F121" s="272">
        <v>27.909677420000001</v>
      </c>
      <c r="G121" s="272">
        <v>27.011755950000001</v>
      </c>
      <c r="H121" s="272">
        <v>27.089919349999999</v>
      </c>
      <c r="I121" s="272">
        <v>26.40736111</v>
      </c>
      <c r="J121" s="272">
        <v>26.49623656</v>
      </c>
      <c r="K121" s="272">
        <v>27.151666670000001</v>
      </c>
      <c r="L121" s="272">
        <v>27.546236560000001</v>
      </c>
      <c r="M121" s="272">
        <v>27.965591400000001</v>
      </c>
      <c r="N121" s="272">
        <v>27.955416670000002</v>
      </c>
      <c r="O121" s="272">
        <v>27.899596769999999</v>
      </c>
      <c r="P121" s="272">
        <v>28.09222222</v>
      </c>
      <c r="Q121" s="272">
        <v>28.386424730000002</v>
      </c>
      <c r="R121" s="272">
        <v>27.492675450833332</v>
      </c>
      <c r="S121" s="267">
        <f>SUMIFS(Aux_Lista!AD:AD,Aux_Lista!AB:AB,Aux_TBS!B121,Aux_Lista!AC:AC,Aux_TBS!A121)</f>
        <v>8</v>
      </c>
      <c r="T121" s="267" t="s">
        <v>6015</v>
      </c>
      <c r="U121" s="267">
        <v>38</v>
      </c>
    </row>
    <row r="122" spans="1:21" x14ac:dyDescent="0.25">
      <c r="A122" s="270" t="s">
        <v>5116</v>
      </c>
      <c r="B122" s="251" t="s">
        <v>3847</v>
      </c>
      <c r="C122" s="267" t="str">
        <f t="shared" si="1"/>
        <v>Humberto de Campos, MA</v>
      </c>
      <c r="D122" s="271">
        <v>-2.27</v>
      </c>
      <c r="E122" s="251">
        <v>0</v>
      </c>
      <c r="F122" s="272">
        <v>27.559408600000001</v>
      </c>
      <c r="G122" s="272">
        <v>26.914136899999999</v>
      </c>
      <c r="H122" s="272">
        <v>27.007795699999999</v>
      </c>
      <c r="I122" s="272">
        <v>26.372638890000001</v>
      </c>
      <c r="J122" s="272">
        <v>26.291666670000001</v>
      </c>
      <c r="K122" s="272">
        <v>27.154583330000001</v>
      </c>
      <c r="L122" s="272">
        <v>27.50698925</v>
      </c>
      <c r="M122" s="272">
        <v>27.811424729999999</v>
      </c>
      <c r="N122" s="272">
        <v>27.734722219999998</v>
      </c>
      <c r="O122" s="272">
        <v>27.731720429999999</v>
      </c>
      <c r="P122" s="272">
        <v>27.967083330000001</v>
      </c>
      <c r="Q122" s="272">
        <v>28.192338710000001</v>
      </c>
      <c r="R122" s="272">
        <v>27.353709063333337</v>
      </c>
      <c r="S122" s="267">
        <f>SUMIFS(Aux_Lista!AD:AD,Aux_Lista!AB:AB,Aux_TBS!B122,Aux_Lista!AC:AC,Aux_TBS!A122)</f>
        <v>8</v>
      </c>
      <c r="T122" s="267" t="s">
        <v>6015</v>
      </c>
      <c r="U122" s="267">
        <v>38</v>
      </c>
    </row>
    <row r="123" spans="1:21" x14ac:dyDescent="0.25">
      <c r="A123" s="270" t="s">
        <v>4637</v>
      </c>
      <c r="B123" s="251" t="s">
        <v>3847</v>
      </c>
      <c r="C123" s="267" t="str">
        <f t="shared" si="1"/>
        <v>Grajaú, MA</v>
      </c>
      <c r="D123" s="271">
        <v>-5.82</v>
      </c>
      <c r="E123" s="251">
        <v>230</v>
      </c>
      <c r="F123" s="272">
        <v>25.789381720000002</v>
      </c>
      <c r="G123" s="272">
        <v>25.229166670000001</v>
      </c>
      <c r="H123" s="272">
        <v>25.5266129</v>
      </c>
      <c r="I123" s="272">
        <v>24.959444439999999</v>
      </c>
      <c r="J123" s="272">
        <v>25.137231180000001</v>
      </c>
      <c r="K123" s="272">
        <v>25.736249999999998</v>
      </c>
      <c r="L123" s="272">
        <v>25.981317199999999</v>
      </c>
      <c r="M123" s="272">
        <v>26.34327957</v>
      </c>
      <c r="N123" s="272">
        <v>27.244444439999999</v>
      </c>
      <c r="O123" s="272">
        <v>27.258602150000002</v>
      </c>
      <c r="P123" s="272">
        <v>27.795000000000002</v>
      </c>
      <c r="Q123" s="272">
        <v>26.485349459999998</v>
      </c>
      <c r="R123" s="272">
        <v>26.123839977500001</v>
      </c>
      <c r="S123" s="267">
        <f>SUMIFS(Aux_Lista!AD:AD,Aux_Lista!AB:AB,Aux_TBS!B123,Aux_Lista!AC:AC,Aux_TBS!A123)</f>
        <v>7</v>
      </c>
      <c r="T123" s="267" t="s">
        <v>6015</v>
      </c>
      <c r="U123" s="267">
        <v>38</v>
      </c>
    </row>
    <row r="124" spans="1:21" x14ac:dyDescent="0.25">
      <c r="A124" s="270" t="s">
        <v>4684</v>
      </c>
      <c r="B124" s="251" t="s">
        <v>3847</v>
      </c>
      <c r="C124" s="267" t="str">
        <f t="shared" si="1"/>
        <v>Imperatriz, MA</v>
      </c>
      <c r="D124" s="271">
        <v>-5.56</v>
      </c>
      <c r="E124" s="251">
        <v>126</v>
      </c>
      <c r="F124" s="272">
        <v>26.680107530000001</v>
      </c>
      <c r="G124" s="272">
        <v>26.10431548</v>
      </c>
      <c r="H124" s="272">
        <v>26.351881720000002</v>
      </c>
      <c r="I124" s="272">
        <v>25.807777779999999</v>
      </c>
      <c r="J124" s="272">
        <v>25.977284950000001</v>
      </c>
      <c r="K124" s="272">
        <v>26.423749999999998</v>
      </c>
      <c r="L124" s="272">
        <v>26.76680108</v>
      </c>
      <c r="M124" s="272">
        <v>27.170833330000001</v>
      </c>
      <c r="N124" s="272">
        <v>28.06736111</v>
      </c>
      <c r="O124" s="272">
        <v>28.283333330000001</v>
      </c>
      <c r="P124" s="272">
        <v>28.359444440000001</v>
      </c>
      <c r="Q124" s="272">
        <v>26.632258060000002</v>
      </c>
      <c r="R124" s="272">
        <v>26.885429067499999</v>
      </c>
      <c r="S124" s="267">
        <f>SUMIFS(Aux_Lista!AD:AD,Aux_Lista!AB:AB,Aux_TBS!B124,Aux_Lista!AC:AC,Aux_TBS!A124)</f>
        <v>7</v>
      </c>
      <c r="T124" s="267" t="s">
        <v>6015</v>
      </c>
      <c r="U124" s="267">
        <v>38</v>
      </c>
    </row>
    <row r="125" spans="1:21" x14ac:dyDescent="0.25">
      <c r="A125" s="270" t="s">
        <v>3877</v>
      </c>
      <c r="B125" s="251" t="s">
        <v>3847</v>
      </c>
      <c r="C125" s="267" t="str">
        <f t="shared" si="1"/>
        <v>São Luís, MA</v>
      </c>
      <c r="D125" s="271">
        <v>-2.5299999999999998</v>
      </c>
      <c r="E125" s="251">
        <v>56</v>
      </c>
      <c r="F125" s="272">
        <v>26.378494620000001</v>
      </c>
      <c r="G125" s="272">
        <v>25.719047620000001</v>
      </c>
      <c r="H125" s="272">
        <v>26.22392473</v>
      </c>
      <c r="I125" s="272">
        <v>26.140277780000002</v>
      </c>
      <c r="J125" s="272">
        <v>27.067338710000001</v>
      </c>
      <c r="K125" s="272">
        <v>26.658611109999999</v>
      </c>
      <c r="L125" s="272">
        <v>26.620698919999999</v>
      </c>
      <c r="M125" s="272">
        <v>26.697177419999999</v>
      </c>
      <c r="N125" s="272">
        <v>27.047916669999999</v>
      </c>
      <c r="O125" s="272">
        <v>27.401344089999998</v>
      </c>
      <c r="P125" s="272">
        <v>27.450555560000002</v>
      </c>
      <c r="Q125" s="272">
        <v>27.575537629999999</v>
      </c>
      <c r="R125" s="272">
        <v>26.748410405000001</v>
      </c>
      <c r="S125" s="267">
        <f>SUMIFS(Aux_Lista!AD:AD,Aux_Lista!AB:AB,Aux_TBS!B125,Aux_Lista!AC:AC,Aux_TBS!A125)</f>
        <v>8</v>
      </c>
      <c r="T125" s="267" t="s">
        <v>6015</v>
      </c>
      <c r="U125" s="267">
        <v>38</v>
      </c>
    </row>
    <row r="126" spans="1:21" x14ac:dyDescent="0.25">
      <c r="A126" s="270" t="s">
        <v>3958</v>
      </c>
      <c r="B126" s="251" t="s">
        <v>3847</v>
      </c>
      <c r="C126" s="267" t="str">
        <f t="shared" si="1"/>
        <v>Turiaçu, MA</v>
      </c>
      <c r="D126" s="271">
        <v>-1.66</v>
      </c>
      <c r="E126" s="251">
        <v>41</v>
      </c>
      <c r="F126" s="272">
        <v>26.733064519999999</v>
      </c>
      <c r="G126" s="272">
        <v>25.688541669999999</v>
      </c>
      <c r="H126" s="272">
        <v>25.607526880000002</v>
      </c>
      <c r="I126" s="272">
        <v>25.43041667</v>
      </c>
      <c r="J126" s="272">
        <v>25.184408600000001</v>
      </c>
      <c r="K126" s="272">
        <v>25.919166669999999</v>
      </c>
      <c r="L126" s="272">
        <v>26.446774189999999</v>
      </c>
      <c r="M126" s="272">
        <v>26.972177420000001</v>
      </c>
      <c r="N126" s="272">
        <v>27.274027780000001</v>
      </c>
      <c r="O126" s="272">
        <v>27.379569889999999</v>
      </c>
      <c r="P126" s="272">
        <v>27.688055559999999</v>
      </c>
      <c r="Q126" s="272">
        <v>27.921102149999999</v>
      </c>
      <c r="R126" s="272">
        <v>26.520402666666669</v>
      </c>
      <c r="S126" s="267">
        <f>SUMIFS(Aux_Lista!AD:AD,Aux_Lista!AB:AB,Aux_TBS!B126,Aux_Lista!AC:AC,Aux_TBS!A126)</f>
        <v>8</v>
      </c>
      <c r="T126" s="267" t="s">
        <v>6015</v>
      </c>
      <c r="U126" s="267">
        <v>38</v>
      </c>
    </row>
    <row r="127" spans="1:21" x14ac:dyDescent="0.25">
      <c r="A127" s="270" t="s">
        <v>2649</v>
      </c>
      <c r="B127" s="251" t="s">
        <v>249</v>
      </c>
      <c r="C127" s="267" t="str">
        <f t="shared" si="1"/>
        <v>Águas Vermelhas, MG</v>
      </c>
      <c r="D127" s="271">
        <v>-15.75</v>
      </c>
      <c r="E127" s="251">
        <v>740</v>
      </c>
      <c r="F127" s="272">
        <v>22.459139780000001</v>
      </c>
      <c r="G127" s="272">
        <v>23.067857140000001</v>
      </c>
      <c r="H127" s="272">
        <v>23.5672043</v>
      </c>
      <c r="I127" s="272">
        <v>21.604444440000002</v>
      </c>
      <c r="J127" s="272">
        <v>19.191397850000001</v>
      </c>
      <c r="K127" s="272">
        <v>18.75819444</v>
      </c>
      <c r="L127" s="272">
        <v>18.319758060000002</v>
      </c>
      <c r="M127" s="272">
        <v>19.244758059999999</v>
      </c>
      <c r="N127" s="272">
        <v>22.146249999999998</v>
      </c>
      <c r="O127" s="272">
        <v>22.833064520000001</v>
      </c>
      <c r="P127" s="272">
        <v>22.689444439999999</v>
      </c>
      <c r="Q127" s="272">
        <v>22.960483870000001</v>
      </c>
      <c r="R127" s="272">
        <v>21.403499741666668</v>
      </c>
      <c r="S127" s="267">
        <f>SUMIFS(Aux_Lista!AD:AD,Aux_Lista!AB:AB,Aux_TBS!B127,Aux_Lista!AC:AC,Aux_TBS!A127)</f>
        <v>5</v>
      </c>
      <c r="T127" s="267" t="s">
        <v>6017</v>
      </c>
      <c r="U127" s="267">
        <v>40</v>
      </c>
    </row>
    <row r="128" spans="1:21" x14ac:dyDescent="0.25">
      <c r="A128" s="270" t="s">
        <v>4875</v>
      </c>
      <c r="B128" s="251" t="s">
        <v>249</v>
      </c>
      <c r="C128" s="267" t="str">
        <f t="shared" si="1"/>
        <v>Aimorés, MG</v>
      </c>
      <c r="D128" s="271">
        <v>-19.5</v>
      </c>
      <c r="E128" s="251">
        <v>84</v>
      </c>
      <c r="F128" s="272">
        <v>25.370161289999999</v>
      </c>
      <c r="G128" s="272">
        <v>26.968601190000001</v>
      </c>
      <c r="H128" s="272">
        <v>27.33763441</v>
      </c>
      <c r="I128" s="272">
        <v>24.554861110000001</v>
      </c>
      <c r="J128" s="272">
        <v>22.647177419999998</v>
      </c>
      <c r="K128" s="272">
        <v>21.57111111</v>
      </c>
      <c r="L128" s="272">
        <v>22.03830645</v>
      </c>
      <c r="M128" s="272">
        <v>22.703897850000001</v>
      </c>
      <c r="N128" s="272">
        <v>25.206805559999999</v>
      </c>
      <c r="O128" s="272">
        <v>25.256182800000001</v>
      </c>
      <c r="P128" s="272">
        <v>26.43305556</v>
      </c>
      <c r="Q128" s="272">
        <v>26.107258059999999</v>
      </c>
      <c r="R128" s="272">
        <v>24.682921067500001</v>
      </c>
      <c r="S128" s="267">
        <f>SUMIFS(Aux_Lista!AD:AD,Aux_Lista!AB:AB,Aux_TBS!B128,Aux_Lista!AC:AC,Aux_TBS!A128)</f>
        <v>5</v>
      </c>
      <c r="T128" s="267" t="s">
        <v>6017</v>
      </c>
      <c r="U128" s="267">
        <v>40</v>
      </c>
    </row>
    <row r="129" spans="1:21" x14ac:dyDescent="0.25">
      <c r="A129" s="270" t="s">
        <v>4959</v>
      </c>
      <c r="B129" s="251" t="s">
        <v>249</v>
      </c>
      <c r="C129" s="267" t="str">
        <f t="shared" si="1"/>
        <v>Almenara, MG</v>
      </c>
      <c r="D129" s="271">
        <v>-16.18</v>
      </c>
      <c r="E129" s="251">
        <v>208</v>
      </c>
      <c r="F129" s="272">
        <v>26.372983869999999</v>
      </c>
      <c r="G129" s="272">
        <v>27.416071429999999</v>
      </c>
      <c r="H129" s="272">
        <v>27.637903229999999</v>
      </c>
      <c r="I129" s="272">
        <v>25.134583330000002</v>
      </c>
      <c r="J129" s="272">
        <v>23.252016130000001</v>
      </c>
      <c r="K129" s="272">
        <v>22.549583330000001</v>
      </c>
      <c r="L129" s="272">
        <v>22.30833333</v>
      </c>
      <c r="M129" s="272">
        <v>22.578763439999999</v>
      </c>
      <c r="N129" s="272">
        <v>25.051111110000001</v>
      </c>
      <c r="O129" s="272">
        <v>25.991935479999999</v>
      </c>
      <c r="P129" s="272">
        <v>26.84111111</v>
      </c>
      <c r="Q129" s="272">
        <v>27.630376340000002</v>
      </c>
      <c r="R129" s="272">
        <v>25.230397677499997</v>
      </c>
      <c r="S129" s="267">
        <f>SUMIFS(Aux_Lista!AD:AD,Aux_Lista!AB:AB,Aux_TBS!B129,Aux_Lista!AC:AC,Aux_TBS!A129)</f>
        <v>5</v>
      </c>
      <c r="T129" s="267" t="s">
        <v>6017</v>
      </c>
      <c r="U129" s="267">
        <v>40</v>
      </c>
    </row>
    <row r="130" spans="1:21" x14ac:dyDescent="0.25">
      <c r="A130" s="270" t="s">
        <v>2001</v>
      </c>
      <c r="B130" s="251" t="s">
        <v>249</v>
      </c>
      <c r="C130" s="267" t="str">
        <f t="shared" si="1"/>
        <v>Araxá, MG</v>
      </c>
      <c r="D130" s="271">
        <v>-19.59</v>
      </c>
      <c r="E130" s="251">
        <v>1020</v>
      </c>
      <c r="F130" s="272">
        <v>22.998387099999999</v>
      </c>
      <c r="G130" s="272">
        <v>23.465922620000001</v>
      </c>
      <c r="H130" s="272">
        <v>22.468413980000001</v>
      </c>
      <c r="I130" s="272">
        <v>21.45861111</v>
      </c>
      <c r="J130" s="272">
        <v>19.693279570000001</v>
      </c>
      <c r="K130" s="272">
        <v>19.266527780000001</v>
      </c>
      <c r="L130" s="272">
        <v>18.65913978</v>
      </c>
      <c r="M130" s="272">
        <v>21.194892469999999</v>
      </c>
      <c r="N130" s="272">
        <v>21.685694439999999</v>
      </c>
      <c r="O130" s="272">
        <v>23.169892470000001</v>
      </c>
      <c r="P130" s="272">
        <v>21.788472219999999</v>
      </c>
      <c r="Q130" s="272">
        <v>21.121505379999999</v>
      </c>
      <c r="R130" s="272">
        <v>21.41422824333333</v>
      </c>
      <c r="S130" s="267">
        <f>SUMIFS(Aux_Lista!AD:AD,Aux_Lista!AB:AB,Aux_TBS!B130,Aux_Lista!AC:AC,Aux_TBS!A130)</f>
        <v>3</v>
      </c>
      <c r="T130" s="267" t="s">
        <v>6017</v>
      </c>
      <c r="U130" s="267">
        <v>40</v>
      </c>
    </row>
    <row r="131" spans="1:21" x14ac:dyDescent="0.25">
      <c r="A131" s="270" t="s">
        <v>2057</v>
      </c>
      <c r="B131" s="251" t="s">
        <v>249</v>
      </c>
      <c r="C131" s="267" t="str">
        <f t="shared" ref="C131:C194" si="2">CONCATENATE(A131,", ",B131)</f>
        <v>Belo Horizonte, MG</v>
      </c>
      <c r="D131" s="271">
        <v>-19.82</v>
      </c>
      <c r="E131" s="251">
        <v>869</v>
      </c>
      <c r="F131" s="272">
        <v>22.992741939999998</v>
      </c>
      <c r="G131" s="272">
        <v>22.599107140000001</v>
      </c>
      <c r="H131" s="272">
        <v>23.988978490000001</v>
      </c>
      <c r="I131" s="272">
        <v>22.419444439999999</v>
      </c>
      <c r="J131" s="272">
        <v>19.867338709999999</v>
      </c>
      <c r="K131" s="272">
        <v>19.414583329999999</v>
      </c>
      <c r="L131" s="272">
        <v>19.38252688</v>
      </c>
      <c r="M131" s="272">
        <v>20.035752689999999</v>
      </c>
      <c r="N131" s="272">
        <v>21.724305560000001</v>
      </c>
      <c r="O131" s="272">
        <v>22.50416667</v>
      </c>
      <c r="P131" s="272">
        <v>24.081805559999999</v>
      </c>
      <c r="Q131" s="272">
        <v>22.11653226</v>
      </c>
      <c r="R131" s="272">
        <v>21.7606069725</v>
      </c>
      <c r="S131" s="267">
        <f>SUMIFS(Aux_Lista!AD:AD,Aux_Lista!AB:AB,Aux_TBS!B131,Aux_Lista!AC:AC,Aux_TBS!A131)</f>
        <v>3</v>
      </c>
      <c r="T131" s="267" t="s">
        <v>6017</v>
      </c>
      <c r="U131" s="267">
        <v>40</v>
      </c>
    </row>
    <row r="132" spans="1:21" x14ac:dyDescent="0.25">
      <c r="A132" s="270" t="s">
        <v>2042</v>
      </c>
      <c r="B132" s="251" t="s">
        <v>249</v>
      </c>
      <c r="C132" s="267" t="str">
        <f t="shared" si="2"/>
        <v>Buritis, MG</v>
      </c>
      <c r="D132" s="271">
        <v>-15.62</v>
      </c>
      <c r="E132" s="251">
        <v>894</v>
      </c>
      <c r="F132" s="272">
        <v>22.529704299999999</v>
      </c>
      <c r="G132" s="272">
        <v>23.947470240000001</v>
      </c>
      <c r="H132" s="272">
        <v>23.07002688</v>
      </c>
      <c r="I132" s="272">
        <v>21.56180556</v>
      </c>
      <c r="J132" s="272">
        <v>20.306720429999999</v>
      </c>
      <c r="K132" s="272">
        <v>19.937361110000001</v>
      </c>
      <c r="L132" s="272">
        <v>21.21169355</v>
      </c>
      <c r="M132" s="272">
        <v>21.572983870000002</v>
      </c>
      <c r="N132" s="272">
        <v>24.296944440000001</v>
      </c>
      <c r="O132" s="272">
        <v>23.208198920000001</v>
      </c>
      <c r="P132" s="272">
        <v>23.592361109999999</v>
      </c>
      <c r="Q132" s="272">
        <v>22.245430110000001</v>
      </c>
      <c r="R132" s="272">
        <v>22.290058376666668</v>
      </c>
      <c r="S132" s="267">
        <f>SUMIFS(Aux_Lista!AD:AD,Aux_Lista!AB:AB,Aux_TBS!B132,Aux_Lista!AC:AC,Aux_TBS!A132)</f>
        <v>6</v>
      </c>
      <c r="T132" s="267" t="s">
        <v>6017</v>
      </c>
      <c r="U132" s="267">
        <v>40</v>
      </c>
    </row>
    <row r="133" spans="1:21" x14ac:dyDescent="0.25">
      <c r="A133" s="270" t="s">
        <v>884</v>
      </c>
      <c r="B133" s="251" t="s">
        <v>249</v>
      </c>
      <c r="C133" s="267" t="str">
        <f t="shared" si="2"/>
        <v>Caldas, MG</v>
      </c>
      <c r="D133" s="271">
        <v>-21.92</v>
      </c>
      <c r="E133" s="251">
        <v>1150</v>
      </c>
      <c r="F133" s="272">
        <v>20.49946237</v>
      </c>
      <c r="G133" s="272">
        <v>20.60520833</v>
      </c>
      <c r="H133" s="272">
        <v>20.496102149999999</v>
      </c>
      <c r="I133" s="272">
        <v>19.101111110000002</v>
      </c>
      <c r="J133" s="272">
        <v>14.8061828</v>
      </c>
      <c r="K133" s="272">
        <v>13.47847222</v>
      </c>
      <c r="L133" s="272">
        <v>13.2672043</v>
      </c>
      <c r="M133" s="272">
        <v>15.10215054</v>
      </c>
      <c r="N133" s="272">
        <v>18.284166670000001</v>
      </c>
      <c r="O133" s="272">
        <v>18.424462370000001</v>
      </c>
      <c r="P133" s="272">
        <v>19.390694440000001</v>
      </c>
      <c r="Q133" s="272">
        <v>21.1561828</v>
      </c>
      <c r="R133" s="272">
        <v>17.88428334166667</v>
      </c>
      <c r="S133" s="267">
        <f>SUMIFS(Aux_Lista!AD:AD,Aux_Lista!AB:AB,Aux_TBS!B133,Aux_Lista!AC:AC,Aux_TBS!A133)</f>
        <v>3</v>
      </c>
      <c r="T133" s="267" t="s">
        <v>6017</v>
      </c>
      <c r="U133" s="267">
        <v>40</v>
      </c>
    </row>
    <row r="134" spans="1:21" x14ac:dyDescent="0.25">
      <c r="A134" s="270" t="s">
        <v>406</v>
      </c>
      <c r="B134" s="251" t="s">
        <v>249</v>
      </c>
      <c r="C134" s="267" t="str">
        <f t="shared" si="2"/>
        <v>Capelinha, MG</v>
      </c>
      <c r="D134" s="271">
        <v>-17.690000000000001</v>
      </c>
      <c r="E134" s="251">
        <v>932</v>
      </c>
      <c r="F134" s="272">
        <v>21.472715050000001</v>
      </c>
      <c r="G134" s="272">
        <v>21.771428570000001</v>
      </c>
      <c r="H134" s="272">
        <v>21.89180108</v>
      </c>
      <c r="I134" s="272">
        <v>19.89805556</v>
      </c>
      <c r="J134" s="272">
        <v>17.867338709999999</v>
      </c>
      <c r="K134" s="272">
        <v>17.436666670000001</v>
      </c>
      <c r="L134" s="272">
        <v>17.681317199999999</v>
      </c>
      <c r="M134" s="272">
        <v>18.0891129</v>
      </c>
      <c r="N134" s="272">
        <v>20.87125</v>
      </c>
      <c r="O134" s="272">
        <v>21.124865589999999</v>
      </c>
      <c r="P134" s="272">
        <v>21.822361109999999</v>
      </c>
      <c r="Q134" s="272">
        <v>21.197983870000002</v>
      </c>
      <c r="R134" s="272">
        <v>20.093741359166668</v>
      </c>
      <c r="S134" s="267">
        <f>SUMIFS(Aux_Lista!AD:AD,Aux_Lista!AB:AB,Aux_TBS!B134,Aux_Lista!AC:AC,Aux_TBS!A134)</f>
        <v>3</v>
      </c>
      <c r="T134" s="267" t="s">
        <v>6017</v>
      </c>
      <c r="U134" s="267">
        <v>40</v>
      </c>
    </row>
    <row r="135" spans="1:21" x14ac:dyDescent="0.25">
      <c r="A135" s="270" t="s">
        <v>3250</v>
      </c>
      <c r="B135" s="251" t="s">
        <v>249</v>
      </c>
      <c r="C135" s="267" t="str">
        <f t="shared" si="2"/>
        <v>Carangola, MG</v>
      </c>
      <c r="D135" s="271">
        <v>-20.73</v>
      </c>
      <c r="E135" s="251">
        <v>399</v>
      </c>
      <c r="F135" s="272">
        <v>22.735215050000001</v>
      </c>
      <c r="G135" s="272">
        <v>23.5046131</v>
      </c>
      <c r="H135" s="272">
        <v>22.839784949999999</v>
      </c>
      <c r="I135" s="272">
        <v>22.548333329999998</v>
      </c>
      <c r="J135" s="272">
        <v>18.942876340000002</v>
      </c>
      <c r="K135" s="272">
        <v>18.24291667</v>
      </c>
      <c r="L135" s="272">
        <v>17.328897850000001</v>
      </c>
      <c r="M135" s="272">
        <v>20.550134409999998</v>
      </c>
      <c r="N135" s="272">
        <v>23.747222220000001</v>
      </c>
      <c r="O135" s="272">
        <v>23.24811828</v>
      </c>
      <c r="P135" s="272">
        <v>25.811250000000001</v>
      </c>
      <c r="Q135" s="272">
        <v>25.064650539999999</v>
      </c>
      <c r="R135" s="272">
        <v>22.047001061666666</v>
      </c>
      <c r="S135" s="267">
        <f>SUMIFS(Aux_Lista!AD:AD,Aux_Lista!AB:AB,Aux_TBS!B135,Aux_Lista!AC:AC,Aux_TBS!A135)</f>
        <v>2</v>
      </c>
      <c r="T135" s="267" t="s">
        <v>6017</v>
      </c>
      <c r="U135" s="267">
        <v>40</v>
      </c>
    </row>
    <row r="136" spans="1:21" x14ac:dyDescent="0.25">
      <c r="A136" s="270" t="s">
        <v>1911</v>
      </c>
      <c r="B136" s="251" t="s">
        <v>249</v>
      </c>
      <c r="C136" s="267" t="str">
        <f t="shared" si="2"/>
        <v>Caratinga, MG</v>
      </c>
      <c r="D136" s="271">
        <v>-19.79</v>
      </c>
      <c r="E136" s="251">
        <v>615</v>
      </c>
      <c r="F136" s="272">
        <v>23.359811830000002</v>
      </c>
      <c r="G136" s="272">
        <v>24.198363100000002</v>
      </c>
      <c r="H136" s="272">
        <v>23.87311828</v>
      </c>
      <c r="I136" s="272">
        <v>21.641527780000001</v>
      </c>
      <c r="J136" s="272">
        <v>19.422311830000002</v>
      </c>
      <c r="K136" s="272">
        <v>18.315000000000001</v>
      </c>
      <c r="L136" s="272">
        <v>18.919623659999999</v>
      </c>
      <c r="M136" s="272">
        <v>19.776344089999998</v>
      </c>
      <c r="N136" s="272">
        <v>22.250555559999999</v>
      </c>
      <c r="O136" s="272">
        <v>22.55873656</v>
      </c>
      <c r="P136" s="272">
        <v>23.659861110000001</v>
      </c>
      <c r="Q136" s="272">
        <v>23.43696237</v>
      </c>
      <c r="R136" s="272">
        <v>21.784351347500003</v>
      </c>
      <c r="S136" s="267">
        <f>SUMIFS(Aux_Lista!AD:AD,Aux_Lista!AB:AB,Aux_TBS!B136,Aux_Lista!AC:AC,Aux_TBS!A136)</f>
        <v>3</v>
      </c>
      <c r="T136" s="267" t="s">
        <v>6017</v>
      </c>
      <c r="U136" s="267">
        <v>40</v>
      </c>
    </row>
    <row r="137" spans="1:21" x14ac:dyDescent="0.25">
      <c r="A137" s="270" t="s">
        <v>2004</v>
      </c>
      <c r="B137" s="251" t="s">
        <v>249</v>
      </c>
      <c r="C137" s="267" t="str">
        <f t="shared" si="2"/>
        <v>Chapada Gaúcha, MG</v>
      </c>
      <c r="D137" s="271">
        <v>-15.31</v>
      </c>
      <c r="E137" s="251">
        <v>880</v>
      </c>
      <c r="F137" s="272">
        <v>23.209677419999998</v>
      </c>
      <c r="G137" s="272">
        <v>23.279166669999999</v>
      </c>
      <c r="H137" s="272">
        <v>23.807930110000001</v>
      </c>
      <c r="I137" s="272">
        <v>22.09</v>
      </c>
      <c r="J137" s="272">
        <v>20.68803763</v>
      </c>
      <c r="K137" s="272">
        <v>20.350416670000001</v>
      </c>
      <c r="L137" s="272">
        <v>21.474059140000001</v>
      </c>
      <c r="M137" s="272">
        <v>21.986693549999998</v>
      </c>
      <c r="N137" s="272">
        <v>24.921944440000001</v>
      </c>
      <c r="O137" s="272">
        <v>23.77849462</v>
      </c>
      <c r="P137" s="272">
        <v>24.220138890000001</v>
      </c>
      <c r="Q137" s="272">
        <v>22.696774189999999</v>
      </c>
      <c r="R137" s="272">
        <v>22.708611110833331</v>
      </c>
      <c r="S137" s="267">
        <f>SUMIFS(Aux_Lista!AD:AD,Aux_Lista!AB:AB,Aux_TBS!B137,Aux_Lista!AC:AC,Aux_TBS!A137)</f>
        <v>6</v>
      </c>
      <c r="T137" s="267" t="s">
        <v>6017</v>
      </c>
      <c r="U137" s="267">
        <v>40</v>
      </c>
    </row>
    <row r="138" spans="1:21" x14ac:dyDescent="0.25">
      <c r="A138" s="270" t="s">
        <v>2729</v>
      </c>
      <c r="B138" s="251" t="s">
        <v>249</v>
      </c>
      <c r="C138" s="267" t="str">
        <f t="shared" si="2"/>
        <v>Conceição das Alagoas, MG</v>
      </c>
      <c r="D138" s="271">
        <v>-19.989999999999998</v>
      </c>
      <c r="E138" s="251">
        <v>568</v>
      </c>
      <c r="F138" s="272">
        <v>23.721370969999999</v>
      </c>
      <c r="G138" s="272">
        <v>23.690922619999998</v>
      </c>
      <c r="H138" s="272">
        <v>23.407392470000001</v>
      </c>
      <c r="I138" s="272">
        <v>22.841944439999999</v>
      </c>
      <c r="J138" s="272">
        <v>19.46169355</v>
      </c>
      <c r="K138" s="272">
        <v>19.998611109999999</v>
      </c>
      <c r="L138" s="272">
        <v>19.572177419999999</v>
      </c>
      <c r="M138" s="272">
        <v>22.71922043</v>
      </c>
      <c r="N138" s="272">
        <v>23.768888889999999</v>
      </c>
      <c r="O138" s="272">
        <v>25.678897849999998</v>
      </c>
      <c r="P138" s="272">
        <v>24.515555559999999</v>
      </c>
      <c r="Q138" s="272">
        <v>23.990456989999998</v>
      </c>
      <c r="R138" s="272">
        <v>22.780594358333335</v>
      </c>
      <c r="S138" s="267">
        <f>SUMIFS(Aux_Lista!AD:AD,Aux_Lista!AB:AB,Aux_TBS!B138,Aux_Lista!AC:AC,Aux_TBS!A138)</f>
        <v>6</v>
      </c>
      <c r="T138" s="267" t="s">
        <v>6017</v>
      </c>
      <c r="U138" s="267">
        <v>40</v>
      </c>
    </row>
    <row r="139" spans="1:21" x14ac:dyDescent="0.25">
      <c r="A139" s="270" t="s">
        <v>2653</v>
      </c>
      <c r="B139" s="251" t="s">
        <v>249</v>
      </c>
      <c r="C139" s="267" t="str">
        <f t="shared" si="2"/>
        <v>Curvelo, MG</v>
      </c>
      <c r="D139" s="271">
        <v>-18.760000000000002</v>
      </c>
      <c r="E139" s="251">
        <v>670</v>
      </c>
      <c r="F139" s="272">
        <v>24.143413979999998</v>
      </c>
      <c r="G139" s="272">
        <v>24.53035714</v>
      </c>
      <c r="H139" s="272">
        <v>24.61935484</v>
      </c>
      <c r="I139" s="272">
        <v>22.411944439999999</v>
      </c>
      <c r="J139" s="272">
        <v>20.651478489999999</v>
      </c>
      <c r="K139" s="272">
        <v>19.16069444</v>
      </c>
      <c r="L139" s="272">
        <v>20.51908602</v>
      </c>
      <c r="M139" s="272">
        <v>21.026747310000001</v>
      </c>
      <c r="N139" s="272">
        <v>24.431666669999998</v>
      </c>
      <c r="O139" s="272">
        <v>23.984274190000001</v>
      </c>
      <c r="P139" s="272">
        <v>25.32069444</v>
      </c>
      <c r="Q139" s="272">
        <v>23.476881720000002</v>
      </c>
      <c r="R139" s="272">
        <v>22.856382806666669</v>
      </c>
      <c r="S139" s="267">
        <f>SUMIFS(Aux_Lista!AD:AD,Aux_Lista!AB:AB,Aux_TBS!B139,Aux_Lista!AC:AC,Aux_TBS!A139)</f>
        <v>3</v>
      </c>
      <c r="T139" s="267" t="s">
        <v>6017</v>
      </c>
      <c r="U139" s="267">
        <v>40</v>
      </c>
    </row>
    <row r="140" spans="1:21" x14ac:dyDescent="0.25">
      <c r="A140" s="270" t="s">
        <v>326</v>
      </c>
      <c r="B140" s="251" t="s">
        <v>249</v>
      </c>
      <c r="C140" s="267" t="str">
        <f t="shared" si="2"/>
        <v>Diamantina, MG</v>
      </c>
      <c r="D140" s="271">
        <v>-18.23</v>
      </c>
      <c r="E140" s="251">
        <v>1356</v>
      </c>
      <c r="F140" s="272">
        <v>19.810349460000001</v>
      </c>
      <c r="G140" s="272">
        <v>20.139434519999998</v>
      </c>
      <c r="H140" s="272">
        <v>20.644758060000001</v>
      </c>
      <c r="I140" s="272">
        <v>18.352499999999999</v>
      </c>
      <c r="J140" s="272">
        <v>16.836827960000001</v>
      </c>
      <c r="K140" s="272">
        <v>15.843611109999999</v>
      </c>
      <c r="L140" s="272">
        <v>16.887096769999999</v>
      </c>
      <c r="M140" s="272">
        <v>16.55497312</v>
      </c>
      <c r="N140" s="272">
        <v>19.34527778</v>
      </c>
      <c r="O140" s="272">
        <v>19.085215049999999</v>
      </c>
      <c r="P140" s="272">
        <v>20.547638890000002</v>
      </c>
      <c r="Q140" s="272">
        <v>19.540322580000002</v>
      </c>
      <c r="R140" s="272">
        <v>18.632333774999999</v>
      </c>
      <c r="S140" s="267">
        <f>SUMIFS(Aux_Lista!AD:AD,Aux_Lista!AB:AB,Aux_TBS!B140,Aux_Lista!AC:AC,Aux_TBS!A140)</f>
        <v>3</v>
      </c>
      <c r="T140" s="267" t="s">
        <v>6017</v>
      </c>
      <c r="U140" s="267">
        <v>40</v>
      </c>
    </row>
    <row r="141" spans="1:21" x14ac:dyDescent="0.25">
      <c r="A141" s="270" t="s">
        <v>2183</v>
      </c>
      <c r="B141" s="251" t="s">
        <v>249</v>
      </c>
      <c r="C141" s="267" t="str">
        <f t="shared" si="2"/>
        <v>Dores do Indaiá, MG</v>
      </c>
      <c r="D141" s="271">
        <v>-19.46</v>
      </c>
      <c r="E141" s="251">
        <v>722</v>
      </c>
      <c r="F141" s="272">
        <v>22.973521510000001</v>
      </c>
      <c r="G141" s="272">
        <v>23.612202379999999</v>
      </c>
      <c r="H141" s="272">
        <v>22.712096769999999</v>
      </c>
      <c r="I141" s="272">
        <v>22.660555559999999</v>
      </c>
      <c r="J141" s="272">
        <v>20.051612899999999</v>
      </c>
      <c r="K141" s="272">
        <v>19.930972220000001</v>
      </c>
      <c r="L141" s="272">
        <v>18.768548389999999</v>
      </c>
      <c r="M141" s="272">
        <v>21.569354839999999</v>
      </c>
      <c r="N141" s="272">
        <v>21.94388889</v>
      </c>
      <c r="O141" s="272">
        <v>24.209139780000001</v>
      </c>
      <c r="P141" s="272">
        <v>22.858750000000001</v>
      </c>
      <c r="Q141" s="272">
        <v>22.669758059999999</v>
      </c>
      <c r="R141" s="272">
        <v>21.996700108333332</v>
      </c>
      <c r="S141" s="267">
        <f>SUMIFS(Aux_Lista!AD:AD,Aux_Lista!AB:AB,Aux_TBS!B141,Aux_Lista!AC:AC,Aux_TBS!A141)</f>
        <v>3</v>
      </c>
      <c r="T141" s="267" t="s">
        <v>6017</v>
      </c>
      <c r="U141" s="267">
        <v>40</v>
      </c>
    </row>
    <row r="142" spans="1:21" x14ac:dyDescent="0.25">
      <c r="A142" s="270" t="s">
        <v>5222</v>
      </c>
      <c r="B142" s="251" t="s">
        <v>249</v>
      </c>
      <c r="C142" s="267" t="str">
        <f t="shared" si="2"/>
        <v>Espinosa, MG</v>
      </c>
      <c r="D142" s="271">
        <v>-14.92</v>
      </c>
      <c r="E142" s="251">
        <v>570</v>
      </c>
      <c r="F142" s="272">
        <v>24.937768819999999</v>
      </c>
      <c r="G142" s="272">
        <v>26.388541669999999</v>
      </c>
      <c r="H142" s="272">
        <v>26.406989249999999</v>
      </c>
      <c r="I142" s="272">
        <v>24.172499999999999</v>
      </c>
      <c r="J142" s="272">
        <v>22.793145160000002</v>
      </c>
      <c r="K142" s="272">
        <v>22.758888890000001</v>
      </c>
      <c r="L142" s="272">
        <v>23.228360219999999</v>
      </c>
      <c r="M142" s="272">
        <v>24.249193550000001</v>
      </c>
      <c r="N142" s="272">
        <v>27.17694444</v>
      </c>
      <c r="O142" s="272">
        <v>26.479166670000001</v>
      </c>
      <c r="P142" s="272">
        <v>26.16597222</v>
      </c>
      <c r="Q142" s="272">
        <v>25.59180108</v>
      </c>
      <c r="R142" s="272">
        <v>25.0291059975</v>
      </c>
      <c r="S142" s="267">
        <f>SUMIFS(Aux_Lista!AD:AD,Aux_Lista!AB:AB,Aux_TBS!B142,Aux_Lista!AC:AC,Aux_TBS!A142)</f>
        <v>6</v>
      </c>
      <c r="T142" s="267" t="s">
        <v>6017</v>
      </c>
      <c r="U142" s="267">
        <v>40</v>
      </c>
    </row>
    <row r="143" spans="1:21" x14ac:dyDescent="0.25">
      <c r="A143" s="270" t="s">
        <v>3781</v>
      </c>
      <c r="B143" s="251" t="s">
        <v>249</v>
      </c>
      <c r="C143" s="267" t="str">
        <f t="shared" si="2"/>
        <v>Florestal, MG</v>
      </c>
      <c r="D143" s="271">
        <v>-19.89</v>
      </c>
      <c r="E143" s="251">
        <v>742</v>
      </c>
      <c r="F143" s="272">
        <v>22.804301079999998</v>
      </c>
      <c r="G143" s="272">
        <v>22.99672619</v>
      </c>
      <c r="H143" s="272">
        <v>22.912096770000002</v>
      </c>
      <c r="I143" s="272">
        <v>20.445555559999999</v>
      </c>
      <c r="J143" s="272">
        <v>18.17163978</v>
      </c>
      <c r="K143" s="272">
        <v>16.46763889</v>
      </c>
      <c r="L143" s="272">
        <v>14.84475806</v>
      </c>
      <c r="M143" s="272">
        <v>17.992741939999998</v>
      </c>
      <c r="N143" s="272">
        <v>19.439305560000001</v>
      </c>
      <c r="O143" s="272">
        <v>22.465188170000001</v>
      </c>
      <c r="P143" s="272">
        <v>22.165833330000002</v>
      </c>
      <c r="Q143" s="272">
        <v>21.83629032</v>
      </c>
      <c r="R143" s="272">
        <v>20.211839637499999</v>
      </c>
      <c r="S143" s="267">
        <f>SUMIFS(Aux_Lista!AD:AD,Aux_Lista!AB:AB,Aux_TBS!B143,Aux_Lista!AC:AC,Aux_TBS!A143)</f>
        <v>2</v>
      </c>
      <c r="T143" s="267" t="s">
        <v>6017</v>
      </c>
      <c r="U143" s="267">
        <v>40</v>
      </c>
    </row>
    <row r="144" spans="1:21" x14ac:dyDescent="0.25">
      <c r="A144" s="270" t="s">
        <v>2194</v>
      </c>
      <c r="B144" s="251" t="s">
        <v>249</v>
      </c>
      <c r="C144" s="267" t="str">
        <f t="shared" si="2"/>
        <v>Formiga, MG</v>
      </c>
      <c r="D144" s="271">
        <v>-20.46</v>
      </c>
      <c r="E144" s="251">
        <v>878</v>
      </c>
      <c r="F144" s="272">
        <v>22.13104839</v>
      </c>
      <c r="G144" s="272">
        <v>22.628869049999999</v>
      </c>
      <c r="H144" s="272">
        <v>22.168682799999999</v>
      </c>
      <c r="I144" s="272">
        <v>21.57680556</v>
      </c>
      <c r="J144" s="272">
        <v>18.533870969999999</v>
      </c>
      <c r="K144" s="272">
        <v>18.558194440000001</v>
      </c>
      <c r="L144" s="272">
        <v>17.319220430000001</v>
      </c>
      <c r="M144" s="272">
        <v>20.549193549999998</v>
      </c>
      <c r="N144" s="272">
        <v>20.696666669999999</v>
      </c>
      <c r="O144" s="272">
        <v>23.27567204</v>
      </c>
      <c r="P144" s="272">
        <v>21.991666670000001</v>
      </c>
      <c r="Q144" s="272">
        <v>21.798790319999998</v>
      </c>
      <c r="R144" s="272">
        <v>20.935723407499999</v>
      </c>
      <c r="S144" s="267">
        <f>SUMIFS(Aux_Lista!AD:AD,Aux_Lista!AB:AB,Aux_TBS!B144,Aux_Lista!AC:AC,Aux_TBS!A144)</f>
        <v>2</v>
      </c>
      <c r="T144" s="267" t="s">
        <v>6017</v>
      </c>
      <c r="U144" s="267">
        <v>40</v>
      </c>
    </row>
    <row r="145" spans="1:21" x14ac:dyDescent="0.25">
      <c r="A145" s="270" t="s">
        <v>1796</v>
      </c>
      <c r="B145" s="251" t="s">
        <v>249</v>
      </c>
      <c r="C145" s="267" t="str">
        <f t="shared" si="2"/>
        <v>Governador Valadares, MG</v>
      </c>
      <c r="D145" s="271">
        <v>-18.850000000000001</v>
      </c>
      <c r="E145" s="251">
        <v>263</v>
      </c>
      <c r="F145" s="272">
        <v>24.8391129</v>
      </c>
      <c r="G145" s="272">
        <v>26.259374999999999</v>
      </c>
      <c r="H145" s="272">
        <v>26.154569890000001</v>
      </c>
      <c r="I145" s="272">
        <v>23.759444439999999</v>
      </c>
      <c r="J145" s="272">
        <v>21.553360219999998</v>
      </c>
      <c r="K145" s="272">
        <v>21.130416669999999</v>
      </c>
      <c r="L145" s="272">
        <v>21.01263441</v>
      </c>
      <c r="M145" s="272">
        <v>22.175268819999999</v>
      </c>
      <c r="N145" s="272">
        <v>24.878888889999999</v>
      </c>
      <c r="O145" s="272">
        <v>25.2858871</v>
      </c>
      <c r="P145" s="272">
        <v>26.155277779999999</v>
      </c>
      <c r="Q145" s="272">
        <v>25.397983870000001</v>
      </c>
      <c r="R145" s="272">
        <v>24.050184999166664</v>
      </c>
      <c r="S145" s="267">
        <f>SUMIFS(Aux_Lista!AD:AD,Aux_Lista!AB:AB,Aux_TBS!B145,Aux_Lista!AC:AC,Aux_TBS!A145)</f>
        <v>5</v>
      </c>
      <c r="T145" s="267" t="s">
        <v>6017</v>
      </c>
      <c r="U145" s="267">
        <v>40</v>
      </c>
    </row>
    <row r="146" spans="1:21" x14ac:dyDescent="0.25">
      <c r="A146" s="270" t="s">
        <v>2052</v>
      </c>
      <c r="B146" s="251" t="s">
        <v>249</v>
      </c>
      <c r="C146" s="267" t="str">
        <f t="shared" si="2"/>
        <v>Guarda-Mor, MG</v>
      </c>
      <c r="D146" s="271">
        <v>-17.77</v>
      </c>
      <c r="E146" s="251">
        <v>616</v>
      </c>
      <c r="F146" s="272">
        <v>21.7905914</v>
      </c>
      <c r="G146" s="272">
        <v>22.233630949999998</v>
      </c>
      <c r="H146" s="272">
        <v>22.581182800000001</v>
      </c>
      <c r="I146" s="272">
        <v>20.624027779999999</v>
      </c>
      <c r="J146" s="272">
        <v>19.407526879999999</v>
      </c>
      <c r="K146" s="272">
        <v>18.14458333</v>
      </c>
      <c r="L146" s="272">
        <v>19.799596770000001</v>
      </c>
      <c r="M146" s="272">
        <v>19.92715054</v>
      </c>
      <c r="N146" s="272">
        <v>22.85541667</v>
      </c>
      <c r="O146" s="272">
        <v>21.874731180000001</v>
      </c>
      <c r="P146" s="272">
        <v>22.95902778</v>
      </c>
      <c r="Q146" s="272">
        <v>21.49435484</v>
      </c>
      <c r="R146" s="272">
        <v>21.14098507666667</v>
      </c>
      <c r="S146" s="267">
        <f>SUMIFS(Aux_Lista!AD:AD,Aux_Lista!AB:AB,Aux_TBS!B146,Aux_Lista!AC:AC,Aux_TBS!A146)</f>
        <v>6</v>
      </c>
      <c r="T146" s="267" t="s">
        <v>6017</v>
      </c>
      <c r="U146" s="267">
        <v>40</v>
      </c>
    </row>
    <row r="147" spans="1:21" x14ac:dyDescent="0.25">
      <c r="A147" s="270" t="s">
        <v>285</v>
      </c>
      <c r="B147" s="251" t="s">
        <v>249</v>
      </c>
      <c r="C147" s="267" t="str">
        <f t="shared" si="2"/>
        <v>Ibirité, MG</v>
      </c>
      <c r="D147" s="271">
        <v>-20.03</v>
      </c>
      <c r="E147" s="251">
        <v>1208</v>
      </c>
      <c r="F147" s="272">
        <v>20.902150540000001</v>
      </c>
      <c r="G147" s="272">
        <v>21.432291670000001</v>
      </c>
      <c r="H147" s="272">
        <v>21.670967739999998</v>
      </c>
      <c r="I147" s="272">
        <v>19.88138889</v>
      </c>
      <c r="J147" s="272">
        <v>18.34327957</v>
      </c>
      <c r="K147" s="272">
        <v>17.005833330000002</v>
      </c>
      <c r="L147" s="272">
        <v>18.559005379999999</v>
      </c>
      <c r="M147" s="272">
        <v>18.22674731</v>
      </c>
      <c r="N147" s="272">
        <v>21.01958333</v>
      </c>
      <c r="O147" s="272">
        <v>20.49435484</v>
      </c>
      <c r="P147" s="272">
        <v>21.856111110000001</v>
      </c>
      <c r="Q147" s="272">
        <v>20.185483869999999</v>
      </c>
      <c r="R147" s="272">
        <v>19.964766465</v>
      </c>
      <c r="S147" s="267">
        <f>SUMIFS(Aux_Lista!AD:AD,Aux_Lista!AB:AB,Aux_TBS!B147,Aux_Lista!AC:AC,Aux_TBS!A147)</f>
        <v>2</v>
      </c>
      <c r="T147" s="267" t="s">
        <v>6017</v>
      </c>
      <c r="U147" s="267">
        <v>40</v>
      </c>
    </row>
    <row r="148" spans="1:21" x14ac:dyDescent="0.25">
      <c r="A148" s="270" t="s">
        <v>2439</v>
      </c>
      <c r="B148" s="251" t="s">
        <v>249</v>
      </c>
      <c r="C148" s="267" t="str">
        <f t="shared" si="2"/>
        <v>Itaobim, MG</v>
      </c>
      <c r="D148" s="271">
        <v>-16.34</v>
      </c>
      <c r="E148" s="251">
        <v>266</v>
      </c>
      <c r="F148" s="272">
        <v>25.684543009999999</v>
      </c>
      <c r="G148" s="272">
        <v>26.903124999999999</v>
      </c>
      <c r="H148" s="272">
        <v>27.55967742</v>
      </c>
      <c r="I148" s="272">
        <v>24.422361110000001</v>
      </c>
      <c r="J148" s="272">
        <v>22.40537634</v>
      </c>
      <c r="K148" s="272">
        <v>22.616527779999998</v>
      </c>
      <c r="L148" s="272">
        <v>22.731182799999999</v>
      </c>
      <c r="M148" s="272">
        <v>23.84798387</v>
      </c>
      <c r="N148" s="272">
        <v>27.035138889999999</v>
      </c>
      <c r="O148" s="272">
        <v>26.425000000000001</v>
      </c>
      <c r="P148" s="272">
        <v>26.49027778</v>
      </c>
      <c r="Q148" s="272">
        <v>26.634543010000002</v>
      </c>
      <c r="R148" s="272">
        <v>25.229644750833334</v>
      </c>
      <c r="S148" s="267">
        <f>SUMIFS(Aux_Lista!AD:AD,Aux_Lista!AB:AB,Aux_TBS!B148,Aux_Lista!AC:AC,Aux_TBS!A148)</f>
        <v>5</v>
      </c>
      <c r="T148" s="267" t="s">
        <v>6017</v>
      </c>
      <c r="U148" s="267">
        <v>40</v>
      </c>
    </row>
    <row r="149" spans="1:21" x14ac:dyDescent="0.25">
      <c r="A149" s="270" t="s">
        <v>2844</v>
      </c>
      <c r="B149" s="251" t="s">
        <v>249</v>
      </c>
      <c r="C149" s="267" t="str">
        <f t="shared" si="2"/>
        <v>Ituiutaba, MG</v>
      </c>
      <c r="D149" s="271">
        <v>-18.97</v>
      </c>
      <c r="E149" s="251">
        <v>560</v>
      </c>
      <c r="F149" s="272">
        <v>24.19637097</v>
      </c>
      <c r="G149" s="272">
        <v>23.86532738</v>
      </c>
      <c r="H149" s="272">
        <v>23.981182799999999</v>
      </c>
      <c r="I149" s="272">
        <v>23.385972219999999</v>
      </c>
      <c r="J149" s="272">
        <v>20.315860220000001</v>
      </c>
      <c r="K149" s="272">
        <v>20.78</v>
      </c>
      <c r="L149" s="272">
        <v>20.074462369999999</v>
      </c>
      <c r="M149" s="272">
        <v>23.59233871</v>
      </c>
      <c r="N149" s="272">
        <v>24.419583329999998</v>
      </c>
      <c r="O149" s="272">
        <v>25.42997312</v>
      </c>
      <c r="P149" s="272">
        <v>24.702638889999999</v>
      </c>
      <c r="Q149" s="272">
        <v>24.48924731</v>
      </c>
      <c r="R149" s="272">
        <v>23.269413110000002</v>
      </c>
      <c r="S149" s="267">
        <f>SUMIFS(Aux_Lista!AD:AD,Aux_Lista!AB:AB,Aux_TBS!B149,Aux_Lista!AC:AC,Aux_TBS!A149)</f>
        <v>6</v>
      </c>
      <c r="T149" s="267" t="s">
        <v>6017</v>
      </c>
      <c r="U149" s="267">
        <v>40</v>
      </c>
    </row>
    <row r="150" spans="1:21" x14ac:dyDescent="0.25">
      <c r="A150" s="270" t="s">
        <v>1904</v>
      </c>
      <c r="B150" s="251" t="s">
        <v>249</v>
      </c>
      <c r="C150" s="267" t="str">
        <f t="shared" si="2"/>
        <v>João Pinheiro, MG</v>
      </c>
      <c r="D150" s="271">
        <v>-17.78</v>
      </c>
      <c r="E150" s="251">
        <v>870</v>
      </c>
      <c r="F150" s="272">
        <v>23.131317200000002</v>
      </c>
      <c r="G150" s="272">
        <v>23.696874999999999</v>
      </c>
      <c r="H150" s="272">
        <v>23.91465054</v>
      </c>
      <c r="I150" s="272">
        <v>21.872499999999999</v>
      </c>
      <c r="J150" s="272">
        <v>20.814112900000001</v>
      </c>
      <c r="K150" s="272">
        <v>19.585000000000001</v>
      </c>
      <c r="L150" s="272">
        <v>21.381317200000002</v>
      </c>
      <c r="M150" s="272">
        <v>21.209139780000001</v>
      </c>
      <c r="N150" s="272">
        <v>24.128611110000001</v>
      </c>
      <c r="O150" s="272">
        <v>23.19314516</v>
      </c>
      <c r="P150" s="272">
        <v>24.24291667</v>
      </c>
      <c r="Q150" s="272">
        <v>22.33481183</v>
      </c>
      <c r="R150" s="272">
        <v>22.458699782500002</v>
      </c>
      <c r="S150" s="267">
        <f>SUMIFS(Aux_Lista!AD:AD,Aux_Lista!AB:AB,Aux_TBS!B150,Aux_Lista!AC:AC,Aux_TBS!A150)</f>
        <v>6</v>
      </c>
      <c r="T150" s="267" t="s">
        <v>6017</v>
      </c>
      <c r="U150" s="267">
        <v>40</v>
      </c>
    </row>
    <row r="151" spans="1:21" x14ac:dyDescent="0.25">
      <c r="A151" s="270" t="s">
        <v>315</v>
      </c>
      <c r="B151" s="251" t="s">
        <v>249</v>
      </c>
      <c r="C151" s="267" t="str">
        <f t="shared" si="2"/>
        <v>Juiz de Fora, MG</v>
      </c>
      <c r="D151" s="271">
        <v>-21.76</v>
      </c>
      <c r="E151" s="251">
        <v>950</v>
      </c>
      <c r="F151" s="272">
        <v>19.99301075</v>
      </c>
      <c r="G151" s="272">
        <v>20.920833330000001</v>
      </c>
      <c r="H151" s="272">
        <v>20.468951610000001</v>
      </c>
      <c r="I151" s="272">
        <v>19.829583329999998</v>
      </c>
      <c r="J151" s="272">
        <v>17.255376340000002</v>
      </c>
      <c r="K151" s="272">
        <v>16.151111109999999</v>
      </c>
      <c r="L151" s="272">
        <v>16.41236559</v>
      </c>
      <c r="M151" s="272">
        <v>17.990860219999998</v>
      </c>
      <c r="N151" s="272">
        <v>17.126388890000001</v>
      </c>
      <c r="O151" s="272">
        <v>19.460215049999999</v>
      </c>
      <c r="P151" s="272">
        <v>18.44083333</v>
      </c>
      <c r="Q151" s="272">
        <v>19.24717742</v>
      </c>
      <c r="R151" s="272">
        <v>18.608058914166666</v>
      </c>
      <c r="S151" s="267">
        <f>SUMIFS(Aux_Lista!AD:AD,Aux_Lista!AB:AB,Aux_TBS!B151,Aux_Lista!AC:AC,Aux_TBS!A151)</f>
        <v>3</v>
      </c>
      <c r="T151" s="267" t="s">
        <v>6017</v>
      </c>
      <c r="U151" s="267">
        <v>40</v>
      </c>
    </row>
    <row r="152" spans="1:21" x14ac:dyDescent="0.25">
      <c r="A152" s="270" t="s">
        <v>1695</v>
      </c>
      <c r="B152" s="251" t="s">
        <v>249</v>
      </c>
      <c r="C152" s="267" t="str">
        <f t="shared" si="2"/>
        <v>Mantena, MG</v>
      </c>
      <c r="D152" s="271">
        <v>-18.78</v>
      </c>
      <c r="E152" s="251">
        <v>214</v>
      </c>
      <c r="F152" s="272">
        <v>25.178897849999998</v>
      </c>
      <c r="G152" s="272">
        <v>26.6764881</v>
      </c>
      <c r="H152" s="272">
        <v>26.74153226</v>
      </c>
      <c r="I152" s="272">
        <v>24.343611110000001</v>
      </c>
      <c r="J152" s="272">
        <v>22.14596774</v>
      </c>
      <c r="K152" s="272">
        <v>21.24472222</v>
      </c>
      <c r="L152" s="272">
        <v>21.37405914</v>
      </c>
      <c r="M152" s="272">
        <v>22.007392469999999</v>
      </c>
      <c r="N152" s="272">
        <v>24.600277779999999</v>
      </c>
      <c r="O152" s="272">
        <v>25.0094086</v>
      </c>
      <c r="P152" s="272">
        <v>26.142222220000001</v>
      </c>
      <c r="Q152" s="272">
        <v>25.819220430000001</v>
      </c>
      <c r="R152" s="272">
        <v>24.273649993333333</v>
      </c>
      <c r="S152" s="267">
        <f>SUMIFS(Aux_Lista!AD:AD,Aux_Lista!AB:AB,Aux_TBS!B152,Aux_Lista!AC:AC,Aux_TBS!A152)</f>
        <v>5</v>
      </c>
      <c r="T152" s="267" t="s">
        <v>6017</v>
      </c>
      <c r="U152" s="267">
        <v>40</v>
      </c>
    </row>
    <row r="153" spans="1:21" x14ac:dyDescent="0.25">
      <c r="A153" s="270" t="s">
        <v>451</v>
      </c>
      <c r="B153" s="251" t="s">
        <v>249</v>
      </c>
      <c r="C153" s="267" t="str">
        <f t="shared" si="2"/>
        <v>Maria da Fé, MG</v>
      </c>
      <c r="D153" s="271">
        <v>-22.31</v>
      </c>
      <c r="E153" s="251">
        <v>1276</v>
      </c>
      <c r="F153" s="272">
        <v>18.624865589999999</v>
      </c>
      <c r="G153" s="272">
        <v>18.872470239999998</v>
      </c>
      <c r="H153" s="272">
        <v>18.031586019999999</v>
      </c>
      <c r="I153" s="272">
        <v>17.115138890000001</v>
      </c>
      <c r="J153" s="272">
        <v>13.376209680000001</v>
      </c>
      <c r="K153" s="272">
        <v>13.410555560000001</v>
      </c>
      <c r="L153" s="272">
        <v>11.665994619999999</v>
      </c>
      <c r="M153" s="272">
        <v>15.02540323</v>
      </c>
      <c r="N153" s="272">
        <v>15.08597222</v>
      </c>
      <c r="O153" s="272">
        <v>18.293548390000002</v>
      </c>
      <c r="P153" s="272">
        <v>17.450694439999999</v>
      </c>
      <c r="Q153" s="272">
        <v>18.274462369999998</v>
      </c>
      <c r="R153" s="272">
        <v>16.268908437500002</v>
      </c>
      <c r="S153" s="267">
        <f>SUMIFS(Aux_Lista!AD:AD,Aux_Lista!AB:AB,Aux_TBS!B153,Aux_Lista!AC:AC,Aux_TBS!A153)</f>
        <v>2</v>
      </c>
      <c r="T153" s="267" t="s">
        <v>6017</v>
      </c>
      <c r="U153" s="267">
        <v>40</v>
      </c>
    </row>
    <row r="154" spans="1:21" x14ac:dyDescent="0.25">
      <c r="A154" s="270" t="s">
        <v>2418</v>
      </c>
      <c r="B154" s="251" t="s">
        <v>249</v>
      </c>
      <c r="C154" s="267" t="str">
        <f t="shared" si="2"/>
        <v>Porteirinha, MG</v>
      </c>
      <c r="D154" s="271">
        <v>-15.09</v>
      </c>
      <c r="E154" s="251">
        <v>460</v>
      </c>
      <c r="F154" s="272">
        <v>25.276881719999999</v>
      </c>
      <c r="G154" s="272">
        <v>26.031398809999999</v>
      </c>
      <c r="H154" s="272">
        <v>26.18333333</v>
      </c>
      <c r="I154" s="272">
        <v>24.277222219999999</v>
      </c>
      <c r="J154" s="272">
        <v>22.612096770000001</v>
      </c>
      <c r="K154" s="272">
        <v>22.41902778</v>
      </c>
      <c r="L154" s="272">
        <v>22.56061828</v>
      </c>
      <c r="M154" s="272">
        <v>23.854301079999999</v>
      </c>
      <c r="N154" s="272">
        <v>26.91680556</v>
      </c>
      <c r="O154" s="272">
        <v>26.78266129</v>
      </c>
      <c r="P154" s="272">
        <v>26.075138890000002</v>
      </c>
      <c r="Q154" s="272">
        <v>25.169623659999999</v>
      </c>
      <c r="R154" s="272">
        <v>24.846592449166664</v>
      </c>
      <c r="S154" s="267">
        <f>SUMIFS(Aux_Lista!AD:AD,Aux_Lista!AB:AB,Aux_TBS!B154,Aux_Lista!AC:AC,Aux_TBS!A154)</f>
        <v>6</v>
      </c>
      <c r="T154" s="267" t="s">
        <v>6017</v>
      </c>
      <c r="U154" s="267">
        <v>40</v>
      </c>
    </row>
    <row r="155" spans="1:21" x14ac:dyDescent="0.25">
      <c r="A155" s="270" t="s">
        <v>2839</v>
      </c>
      <c r="B155" s="251" t="s">
        <v>249</v>
      </c>
      <c r="C155" s="267" t="str">
        <f t="shared" si="2"/>
        <v>Montalvânia, MG</v>
      </c>
      <c r="D155" s="271">
        <v>-14.42</v>
      </c>
      <c r="E155" s="251">
        <v>512</v>
      </c>
      <c r="F155" s="272">
        <v>24.178494619999999</v>
      </c>
      <c r="G155" s="272">
        <v>24.537797619999999</v>
      </c>
      <c r="H155" s="272">
        <v>24.947983870000002</v>
      </c>
      <c r="I155" s="272">
        <v>23.517499999999998</v>
      </c>
      <c r="J155" s="272">
        <v>21.340322579999999</v>
      </c>
      <c r="K155" s="272">
        <v>20.796250000000001</v>
      </c>
      <c r="L155" s="272">
        <v>20.896102150000001</v>
      </c>
      <c r="M155" s="272">
        <v>23.101075269999999</v>
      </c>
      <c r="N155" s="272">
        <v>26.323194440000002</v>
      </c>
      <c r="O155" s="272">
        <v>26.082258060000001</v>
      </c>
      <c r="P155" s="272">
        <v>24.975277779999999</v>
      </c>
      <c r="Q155" s="272">
        <v>24.163037630000002</v>
      </c>
      <c r="R155" s="272">
        <v>23.738274501666666</v>
      </c>
      <c r="S155" s="267">
        <f>SUMIFS(Aux_Lista!AD:AD,Aux_Lista!AB:AB,Aux_TBS!B155,Aux_Lista!AC:AC,Aux_TBS!A155)</f>
        <v>6</v>
      </c>
      <c r="T155" s="267" t="s">
        <v>6017</v>
      </c>
      <c r="U155" s="267">
        <v>40</v>
      </c>
    </row>
    <row r="156" spans="1:21" x14ac:dyDescent="0.25">
      <c r="A156" s="270" t="s">
        <v>648</v>
      </c>
      <c r="B156" s="251" t="s">
        <v>249</v>
      </c>
      <c r="C156" s="267" t="str">
        <f t="shared" si="2"/>
        <v>Camanducaia, MG</v>
      </c>
      <c r="D156" s="271">
        <v>-22.86</v>
      </c>
      <c r="E156" s="251">
        <v>1500</v>
      </c>
      <c r="F156" s="272">
        <v>17.728225810000001</v>
      </c>
      <c r="G156" s="272">
        <v>16.959821430000002</v>
      </c>
      <c r="H156" s="272">
        <v>17.4061828</v>
      </c>
      <c r="I156" s="272">
        <v>16.505555560000001</v>
      </c>
      <c r="J156" s="272">
        <v>13.48091398</v>
      </c>
      <c r="K156" s="272">
        <v>12.23833333</v>
      </c>
      <c r="L156" s="272">
        <v>11.399865589999999</v>
      </c>
      <c r="M156" s="272">
        <v>13.165994619999999</v>
      </c>
      <c r="N156" s="272">
        <v>14.30875</v>
      </c>
      <c r="O156" s="272">
        <v>17.568682800000001</v>
      </c>
      <c r="P156" s="272">
        <v>16.338194439999999</v>
      </c>
      <c r="Q156" s="272">
        <v>16.339919349999999</v>
      </c>
      <c r="R156" s="272">
        <v>15.286703309166668</v>
      </c>
      <c r="S156" s="267">
        <f>SUMIFS(Aux_Lista!AD:AD,Aux_Lista!AB:AB,Aux_TBS!B156,Aux_Lista!AC:AC,Aux_TBS!A156)</f>
        <v>3</v>
      </c>
      <c r="T156" s="267" t="s">
        <v>6017</v>
      </c>
      <c r="U156" s="267">
        <v>40</v>
      </c>
    </row>
    <row r="157" spans="1:21" x14ac:dyDescent="0.25">
      <c r="A157" s="270" t="s">
        <v>2595</v>
      </c>
      <c r="B157" s="251" t="s">
        <v>249</v>
      </c>
      <c r="C157" s="267" t="str">
        <f t="shared" si="2"/>
        <v>Montes Claros, MG</v>
      </c>
      <c r="D157" s="271">
        <v>-16.739999999999998</v>
      </c>
      <c r="E157" s="251">
        <v>646</v>
      </c>
      <c r="F157" s="272">
        <v>24.360752690000002</v>
      </c>
      <c r="G157" s="272">
        <v>24.62872024</v>
      </c>
      <c r="H157" s="272">
        <v>24.598118280000001</v>
      </c>
      <c r="I157" s="272">
        <v>24.415138890000001</v>
      </c>
      <c r="J157" s="272">
        <v>22.33293011</v>
      </c>
      <c r="K157" s="272">
        <v>20.945138889999999</v>
      </c>
      <c r="L157" s="272">
        <v>20.379032259999999</v>
      </c>
      <c r="M157" s="272">
        <v>22.203763439999999</v>
      </c>
      <c r="N157" s="272">
        <v>24.144444440000001</v>
      </c>
      <c r="O157" s="272">
        <v>25.057123659999998</v>
      </c>
      <c r="P157" s="272">
        <v>25.437777780000001</v>
      </c>
      <c r="Q157" s="272">
        <v>25.636290320000001</v>
      </c>
      <c r="R157" s="272">
        <v>23.67826925</v>
      </c>
      <c r="S157" s="267">
        <f>SUMIFS(Aux_Lista!AD:AD,Aux_Lista!AB:AB,Aux_TBS!B157,Aux_Lista!AC:AC,Aux_TBS!A157)</f>
        <v>6</v>
      </c>
      <c r="T157" s="267" t="s">
        <v>6017</v>
      </c>
      <c r="U157" s="267">
        <v>40</v>
      </c>
    </row>
    <row r="158" spans="1:21" x14ac:dyDescent="0.25">
      <c r="A158" s="270" t="s">
        <v>3083</v>
      </c>
      <c r="B158" s="251" t="s">
        <v>249</v>
      </c>
      <c r="C158" s="267" t="str">
        <f t="shared" si="2"/>
        <v>Muriaé, MG</v>
      </c>
      <c r="D158" s="271">
        <v>-21.13</v>
      </c>
      <c r="E158" s="251">
        <v>297</v>
      </c>
      <c r="F158" s="272">
        <v>24.7813172</v>
      </c>
      <c r="G158" s="272">
        <v>25.740029759999999</v>
      </c>
      <c r="H158" s="272">
        <v>25.401881719999999</v>
      </c>
      <c r="I158" s="272">
        <v>22.835694440000001</v>
      </c>
      <c r="J158" s="272">
        <v>21.453897850000001</v>
      </c>
      <c r="K158" s="272">
        <v>19.416250000000002</v>
      </c>
      <c r="L158" s="272">
        <v>20.67997312</v>
      </c>
      <c r="M158" s="272">
        <v>20.715322579999999</v>
      </c>
      <c r="N158" s="272">
        <v>23.752500000000001</v>
      </c>
      <c r="O158" s="272">
        <v>23.429435479999999</v>
      </c>
      <c r="P158" s="272">
        <v>25.96347222</v>
      </c>
      <c r="Q158" s="272">
        <v>24.999865589999999</v>
      </c>
      <c r="R158" s="272">
        <v>23.264136663333332</v>
      </c>
      <c r="S158" s="267">
        <f>SUMIFS(Aux_Lista!AD:AD,Aux_Lista!AB:AB,Aux_TBS!B158,Aux_Lista!AC:AC,Aux_TBS!A158)</f>
        <v>3</v>
      </c>
      <c r="T158" s="267" t="s">
        <v>6017</v>
      </c>
      <c r="U158" s="267">
        <v>40</v>
      </c>
    </row>
    <row r="159" spans="1:21" x14ac:dyDescent="0.25">
      <c r="A159" s="270" t="s">
        <v>347</v>
      </c>
      <c r="B159" s="251" t="s">
        <v>249</v>
      </c>
      <c r="C159" s="267" t="str">
        <f t="shared" si="2"/>
        <v>Ouro Branco, MG</v>
      </c>
      <c r="D159" s="271">
        <v>-20.52</v>
      </c>
      <c r="E159" s="251">
        <v>1061</v>
      </c>
      <c r="F159" s="272">
        <v>20.801478490000001</v>
      </c>
      <c r="G159" s="272">
        <v>21.537351189999999</v>
      </c>
      <c r="H159" s="272">
        <v>21.360752690000002</v>
      </c>
      <c r="I159" s="272">
        <v>19.231249999999999</v>
      </c>
      <c r="J159" s="272">
        <v>17.917741939999999</v>
      </c>
      <c r="K159" s="272">
        <v>16.447361109999999</v>
      </c>
      <c r="L159" s="272">
        <v>17.831989249999999</v>
      </c>
      <c r="M159" s="272">
        <v>17.640322579999999</v>
      </c>
      <c r="N159" s="272">
        <v>20.707222219999998</v>
      </c>
      <c r="O159" s="272">
        <v>20.092069890000001</v>
      </c>
      <c r="P159" s="272">
        <v>21.900416669999998</v>
      </c>
      <c r="Q159" s="272">
        <v>20.785349459999999</v>
      </c>
      <c r="R159" s="272">
        <v>19.687775457499999</v>
      </c>
      <c r="S159" s="267">
        <f>SUMIFS(Aux_Lista!AD:AD,Aux_Lista!AB:AB,Aux_TBS!B159,Aux_Lista!AC:AC,Aux_TBS!A159)</f>
        <v>3</v>
      </c>
      <c r="T159" s="267" t="s">
        <v>6017</v>
      </c>
      <c r="U159" s="267">
        <v>40</v>
      </c>
    </row>
    <row r="160" spans="1:21" x14ac:dyDescent="0.25">
      <c r="A160" s="270" t="s">
        <v>463</v>
      </c>
      <c r="B160" s="251" t="s">
        <v>249</v>
      </c>
      <c r="C160" s="267" t="str">
        <f t="shared" si="2"/>
        <v>Passa Quatro, MG</v>
      </c>
      <c r="D160" s="271">
        <v>-22.39</v>
      </c>
      <c r="E160" s="251">
        <v>1040</v>
      </c>
      <c r="F160" s="272">
        <v>21.533467739999999</v>
      </c>
      <c r="G160" s="272">
        <v>21.40401786</v>
      </c>
      <c r="H160" s="272">
        <v>20.000672040000001</v>
      </c>
      <c r="I160" s="272">
        <v>18.939166669999999</v>
      </c>
      <c r="J160" s="272">
        <v>15.93803763</v>
      </c>
      <c r="K160" s="272">
        <v>15.22611111</v>
      </c>
      <c r="L160" s="272">
        <v>14.596370970000001</v>
      </c>
      <c r="M160" s="272">
        <v>17.22768817</v>
      </c>
      <c r="N160" s="272">
        <v>16.942499999999999</v>
      </c>
      <c r="O160" s="272">
        <v>19.468548389999999</v>
      </c>
      <c r="P160" s="272">
        <v>18.883749999999999</v>
      </c>
      <c r="Q160" s="272">
        <v>19.492876339999999</v>
      </c>
      <c r="R160" s="272">
        <v>18.30443391</v>
      </c>
      <c r="S160" s="267">
        <f>SUMIFS(Aux_Lista!AD:AD,Aux_Lista!AB:AB,Aux_TBS!B160,Aux_Lista!AC:AC,Aux_TBS!A160)</f>
        <v>2</v>
      </c>
      <c r="T160" s="267" t="s">
        <v>6017</v>
      </c>
      <c r="U160" s="267">
        <v>40</v>
      </c>
    </row>
    <row r="161" spans="1:21" x14ac:dyDescent="0.25">
      <c r="A161" s="270" t="s">
        <v>2758</v>
      </c>
      <c r="B161" s="251" t="s">
        <v>249</v>
      </c>
      <c r="C161" s="267" t="str">
        <f t="shared" si="2"/>
        <v>Passos, MG</v>
      </c>
      <c r="D161" s="271">
        <v>-20.75</v>
      </c>
      <c r="E161" s="251">
        <v>875</v>
      </c>
      <c r="F161" s="272">
        <v>22.158467739999999</v>
      </c>
      <c r="G161" s="272">
        <v>22.303125000000001</v>
      </c>
      <c r="H161" s="272">
        <v>21.65524194</v>
      </c>
      <c r="I161" s="272">
        <v>20.92930556</v>
      </c>
      <c r="J161" s="272">
        <v>17.779704299999999</v>
      </c>
      <c r="K161" s="272">
        <v>18.142638890000001</v>
      </c>
      <c r="L161" s="272">
        <v>17.119758059999999</v>
      </c>
      <c r="M161" s="272">
        <v>20.0797043</v>
      </c>
      <c r="N161" s="272">
        <v>20.780972219999999</v>
      </c>
      <c r="O161" s="272">
        <v>22.801344090000001</v>
      </c>
      <c r="P161" s="272">
        <v>22.18791667</v>
      </c>
      <c r="Q161" s="272">
        <v>22.25228495</v>
      </c>
      <c r="R161" s="272">
        <v>20.682538643333331</v>
      </c>
      <c r="S161" s="267">
        <f>SUMIFS(Aux_Lista!AD:AD,Aux_Lista!AB:AB,Aux_TBS!B161,Aux_Lista!AC:AC,Aux_TBS!A161)</f>
        <v>4</v>
      </c>
      <c r="T161" s="267" t="s">
        <v>6017</v>
      </c>
      <c r="U161" s="267">
        <v>40</v>
      </c>
    </row>
    <row r="162" spans="1:21" x14ac:dyDescent="0.25">
      <c r="A162" s="270" t="s">
        <v>828</v>
      </c>
      <c r="B162" s="251" t="s">
        <v>249</v>
      </c>
      <c r="C162" s="267" t="str">
        <f t="shared" si="2"/>
        <v>Patrocínio, MG</v>
      </c>
      <c r="D162" s="271">
        <v>-18.940000000000001</v>
      </c>
      <c r="E162" s="251">
        <v>976</v>
      </c>
      <c r="F162" s="272">
        <v>21.261962369999999</v>
      </c>
      <c r="G162" s="272">
        <v>21.59598214</v>
      </c>
      <c r="H162" s="272">
        <v>21.004973119999999</v>
      </c>
      <c r="I162" s="272">
        <v>20.919444439999999</v>
      </c>
      <c r="J162" s="272">
        <v>18.309811830000001</v>
      </c>
      <c r="K162" s="272">
        <v>17.901250000000001</v>
      </c>
      <c r="L162" s="272">
        <v>16.731182799999999</v>
      </c>
      <c r="M162" s="272">
        <v>19.830241940000001</v>
      </c>
      <c r="N162" s="272">
        <v>20.940416670000001</v>
      </c>
      <c r="O162" s="272">
        <v>22.762903229999999</v>
      </c>
      <c r="P162" s="272">
        <v>21.648888889999998</v>
      </c>
      <c r="Q162" s="272">
        <v>21.077688169999998</v>
      </c>
      <c r="R162" s="272">
        <v>20.332062133333334</v>
      </c>
      <c r="S162" s="267">
        <f>SUMIFS(Aux_Lista!AD:AD,Aux_Lista!AB:AB,Aux_TBS!B162,Aux_Lista!AC:AC,Aux_TBS!A162)</f>
        <v>4</v>
      </c>
      <c r="T162" s="267" t="s">
        <v>6017</v>
      </c>
      <c r="U162" s="267">
        <v>40</v>
      </c>
    </row>
    <row r="163" spans="1:21" x14ac:dyDescent="0.25">
      <c r="A163" s="270" t="s">
        <v>2748</v>
      </c>
      <c r="B163" s="251" t="s">
        <v>249</v>
      </c>
      <c r="C163" s="267" t="str">
        <f t="shared" si="2"/>
        <v>Pirapora, MG</v>
      </c>
      <c r="D163" s="271">
        <v>-17.34</v>
      </c>
      <c r="E163" s="251">
        <v>489</v>
      </c>
      <c r="F163" s="272">
        <v>24.861559140000001</v>
      </c>
      <c r="G163" s="272">
        <v>25.553720240000001</v>
      </c>
      <c r="H163" s="272">
        <v>25.339650540000001</v>
      </c>
      <c r="I163" s="272">
        <v>23.40027778</v>
      </c>
      <c r="J163" s="272">
        <v>21.383064520000001</v>
      </c>
      <c r="K163" s="272">
        <v>20.642777779999999</v>
      </c>
      <c r="L163" s="272">
        <v>21.597849459999999</v>
      </c>
      <c r="M163" s="272">
        <v>22.54341398</v>
      </c>
      <c r="N163" s="272">
        <v>25.49583333</v>
      </c>
      <c r="O163" s="272">
        <v>25.125268819999999</v>
      </c>
      <c r="P163" s="272">
        <v>25.348888890000001</v>
      </c>
      <c r="Q163" s="272">
        <v>23.565860220000001</v>
      </c>
      <c r="R163" s="272">
        <v>23.738180391666663</v>
      </c>
      <c r="S163" s="267">
        <f>SUMIFS(Aux_Lista!AD:AD,Aux_Lista!AB:AB,Aux_TBS!B163,Aux_Lista!AC:AC,Aux_TBS!A163)</f>
        <v>4</v>
      </c>
      <c r="T163" s="267" t="s">
        <v>6017</v>
      </c>
      <c r="U163" s="267">
        <v>40</v>
      </c>
    </row>
    <row r="164" spans="1:21" x14ac:dyDescent="0.25">
      <c r="A164" s="270" t="s">
        <v>2478</v>
      </c>
      <c r="B164" s="251" t="s">
        <v>249</v>
      </c>
      <c r="C164" s="267" t="str">
        <f t="shared" si="2"/>
        <v>Rio Pardo de Minas, MG</v>
      </c>
      <c r="D164" s="271">
        <v>-15.72</v>
      </c>
      <c r="E164" s="251">
        <v>853</v>
      </c>
      <c r="F164" s="272">
        <v>22.477956989999999</v>
      </c>
      <c r="G164" s="272">
        <v>23.039880950000001</v>
      </c>
      <c r="H164" s="272">
        <v>23.58534946</v>
      </c>
      <c r="I164" s="272">
        <v>21.360972220000001</v>
      </c>
      <c r="J164" s="272">
        <v>18.990456989999998</v>
      </c>
      <c r="K164" s="272">
        <v>19.17208333</v>
      </c>
      <c r="L164" s="272">
        <v>19.023521509999998</v>
      </c>
      <c r="M164" s="272">
        <v>19.765725809999999</v>
      </c>
      <c r="N164" s="272">
        <v>22.781805559999999</v>
      </c>
      <c r="O164" s="272">
        <v>22.81438172</v>
      </c>
      <c r="P164" s="272">
        <v>23.145555559999998</v>
      </c>
      <c r="Q164" s="272">
        <v>22.92715054</v>
      </c>
      <c r="R164" s="272">
        <v>21.590403386666665</v>
      </c>
      <c r="S164" s="267">
        <f>SUMIFS(Aux_Lista!AD:AD,Aux_Lista!AB:AB,Aux_TBS!B164,Aux_Lista!AC:AC,Aux_TBS!A164)</f>
        <v>5</v>
      </c>
      <c r="T164" s="267" t="s">
        <v>6017</v>
      </c>
      <c r="U164" s="267">
        <v>40</v>
      </c>
    </row>
    <row r="165" spans="1:21" x14ac:dyDescent="0.25">
      <c r="A165" s="270" t="s">
        <v>2766</v>
      </c>
      <c r="B165" s="251" t="s">
        <v>249</v>
      </c>
      <c r="C165" s="267" t="str">
        <f t="shared" si="2"/>
        <v>Sacramento, MG</v>
      </c>
      <c r="D165" s="271">
        <v>-19.86</v>
      </c>
      <c r="E165" s="251">
        <v>912</v>
      </c>
      <c r="F165" s="272">
        <v>22.419086020000002</v>
      </c>
      <c r="G165" s="272">
        <v>22.88244048</v>
      </c>
      <c r="H165" s="272">
        <v>23.484677420000001</v>
      </c>
      <c r="I165" s="272">
        <v>22.443750000000001</v>
      </c>
      <c r="J165" s="272">
        <v>19.33158602</v>
      </c>
      <c r="K165" s="272">
        <v>19.173749999999998</v>
      </c>
      <c r="L165" s="272">
        <v>19.029569890000001</v>
      </c>
      <c r="M165" s="272">
        <v>20.890456990000001</v>
      </c>
      <c r="N165" s="272">
        <v>23.654444439999999</v>
      </c>
      <c r="O165" s="272">
        <v>22.596908599999999</v>
      </c>
      <c r="P165" s="272">
        <v>22.142083329999998</v>
      </c>
      <c r="Q165" s="272">
        <v>23.634946240000001</v>
      </c>
      <c r="R165" s="272">
        <v>21.806974952499999</v>
      </c>
      <c r="S165" s="267">
        <f>SUMIFS(Aux_Lista!AD:AD,Aux_Lista!AB:AB,Aux_TBS!B165,Aux_Lista!AC:AC,Aux_TBS!A165)</f>
        <v>3</v>
      </c>
      <c r="T165" s="267" t="s">
        <v>6017</v>
      </c>
      <c r="U165" s="267">
        <v>40</v>
      </c>
    </row>
    <row r="166" spans="1:21" x14ac:dyDescent="0.25">
      <c r="A166" s="270" t="s">
        <v>2753</v>
      </c>
      <c r="B166" s="251" t="s">
        <v>249</v>
      </c>
      <c r="C166" s="267" t="str">
        <f t="shared" si="2"/>
        <v>Salinas, MG</v>
      </c>
      <c r="D166" s="271">
        <v>-16.170000000000002</v>
      </c>
      <c r="E166" s="251">
        <v>495</v>
      </c>
      <c r="F166" s="272">
        <v>24.396639780000001</v>
      </c>
      <c r="G166" s="272">
        <v>24.99494048</v>
      </c>
      <c r="H166" s="272">
        <v>25.118279569999999</v>
      </c>
      <c r="I166" s="272">
        <v>23.20861111</v>
      </c>
      <c r="J166" s="272">
        <v>20.3577957</v>
      </c>
      <c r="K166" s="272">
        <v>20.320277780000001</v>
      </c>
      <c r="L166" s="272">
        <v>20.096908599999999</v>
      </c>
      <c r="M166" s="272">
        <v>21.921908599999998</v>
      </c>
      <c r="N166" s="272">
        <v>25.12763889</v>
      </c>
      <c r="O166" s="272">
        <v>25.16276882</v>
      </c>
      <c r="P166" s="272">
        <v>24.241944440000001</v>
      </c>
      <c r="Q166" s="272">
        <v>24.46451613</v>
      </c>
      <c r="R166" s="272">
        <v>23.284352491666667</v>
      </c>
      <c r="S166" s="267">
        <f>SUMIFS(Aux_Lista!AD:AD,Aux_Lista!AB:AB,Aux_TBS!B166,Aux_Lista!AC:AC,Aux_TBS!A166)</f>
        <v>3</v>
      </c>
      <c r="T166" s="267" t="s">
        <v>6017</v>
      </c>
      <c r="U166" s="267">
        <v>40</v>
      </c>
    </row>
    <row r="167" spans="1:21" x14ac:dyDescent="0.25">
      <c r="A167" s="270" t="s">
        <v>495</v>
      </c>
      <c r="B167" s="251" t="s">
        <v>249</v>
      </c>
      <c r="C167" s="267" t="str">
        <f t="shared" si="2"/>
        <v>São João del Rei, MG</v>
      </c>
      <c r="D167" s="271">
        <v>-21.14</v>
      </c>
      <c r="E167" s="251">
        <v>991</v>
      </c>
      <c r="F167" s="272">
        <v>21.430645160000001</v>
      </c>
      <c r="G167" s="272">
        <v>22.186160709999999</v>
      </c>
      <c r="H167" s="272">
        <v>21.827688169999998</v>
      </c>
      <c r="I167" s="272">
        <v>19.419305560000002</v>
      </c>
      <c r="J167" s="272">
        <v>17.564112900000001</v>
      </c>
      <c r="K167" s="272">
        <v>15.60486111</v>
      </c>
      <c r="L167" s="272">
        <v>15.59717742</v>
      </c>
      <c r="M167" s="272">
        <v>18.307661289999999</v>
      </c>
      <c r="N167" s="272">
        <v>18.37916667</v>
      </c>
      <c r="O167" s="272">
        <v>20.175403230000001</v>
      </c>
      <c r="P167" s="272">
        <v>20.41444444</v>
      </c>
      <c r="Q167" s="272">
        <v>21.56008065</v>
      </c>
      <c r="R167" s="272">
        <v>19.372225609166666</v>
      </c>
      <c r="S167" s="267">
        <f>SUMIFS(Aux_Lista!AD:AD,Aux_Lista!AB:AB,Aux_TBS!B167,Aux_Lista!AC:AC,Aux_TBS!A167)</f>
        <v>2</v>
      </c>
      <c r="T167" s="267" t="s">
        <v>6017</v>
      </c>
      <c r="U167" s="267">
        <v>40</v>
      </c>
    </row>
    <row r="168" spans="1:21" x14ac:dyDescent="0.25">
      <c r="A168" s="270" t="s">
        <v>3788</v>
      </c>
      <c r="B168" s="251" t="s">
        <v>249</v>
      </c>
      <c r="C168" s="267" t="str">
        <f t="shared" si="2"/>
        <v>São Romão, MG</v>
      </c>
      <c r="D168" s="271">
        <v>-16.37</v>
      </c>
      <c r="E168" s="251">
        <v>460</v>
      </c>
      <c r="F168" s="272">
        <v>24.73413978</v>
      </c>
      <c r="G168" s="272">
        <v>25.1764881</v>
      </c>
      <c r="H168" s="272">
        <v>25.33575269</v>
      </c>
      <c r="I168" s="272">
        <v>23.520416669999999</v>
      </c>
      <c r="J168" s="272">
        <v>21.285215050000001</v>
      </c>
      <c r="K168" s="272">
        <v>20.53458333</v>
      </c>
      <c r="L168" s="272">
        <v>20.83817204</v>
      </c>
      <c r="M168" s="272">
        <v>22.548252690000002</v>
      </c>
      <c r="N168" s="272">
        <v>26.12833333</v>
      </c>
      <c r="O168" s="272">
        <v>26.464919349999999</v>
      </c>
      <c r="P168" s="272">
        <v>26.809027780000001</v>
      </c>
      <c r="Q168" s="272">
        <v>25.008198920000002</v>
      </c>
      <c r="R168" s="272">
        <v>24.031958310833332</v>
      </c>
      <c r="S168" s="267">
        <f>SUMIFS(Aux_Lista!AD:AD,Aux_Lista!AB:AB,Aux_TBS!B168,Aux_Lista!AC:AC,Aux_TBS!A168)</f>
        <v>6</v>
      </c>
      <c r="T168" s="267" t="s">
        <v>6017</v>
      </c>
      <c r="U168" s="267">
        <v>40</v>
      </c>
    </row>
    <row r="169" spans="1:21" x14ac:dyDescent="0.25">
      <c r="A169" s="270" t="s">
        <v>1813</v>
      </c>
      <c r="B169" s="251" t="s">
        <v>249</v>
      </c>
      <c r="C169" s="267" t="str">
        <f t="shared" si="2"/>
        <v>Serra dos Aimorés, MG</v>
      </c>
      <c r="D169" s="271">
        <v>-17.78</v>
      </c>
      <c r="E169" s="251">
        <v>208</v>
      </c>
      <c r="F169" s="272">
        <v>26.448521509999999</v>
      </c>
      <c r="G169" s="272">
        <v>24.643005949999999</v>
      </c>
      <c r="H169" s="272">
        <v>25.331989249999999</v>
      </c>
      <c r="I169" s="272">
        <v>24.360416669999999</v>
      </c>
      <c r="J169" s="272">
        <v>22.312365589999999</v>
      </c>
      <c r="K169" s="272">
        <v>21.230555559999999</v>
      </c>
      <c r="L169" s="272">
        <v>21.367607530000001</v>
      </c>
      <c r="M169" s="272">
        <v>20.704569889999998</v>
      </c>
      <c r="N169" s="272">
        <v>21.267916670000002</v>
      </c>
      <c r="O169" s="272">
        <v>22.926612899999999</v>
      </c>
      <c r="P169" s="272">
        <v>23.724583330000002</v>
      </c>
      <c r="Q169" s="272">
        <v>24.832661290000001</v>
      </c>
      <c r="R169" s="272">
        <v>23.262567178333331</v>
      </c>
      <c r="S169" s="267">
        <f>SUMIFS(Aux_Lista!AD:AD,Aux_Lista!AB:AB,Aux_TBS!B169,Aux_Lista!AC:AC,Aux_TBS!A169)</f>
        <v>5</v>
      </c>
      <c r="T169" s="267" t="s">
        <v>6017</v>
      </c>
      <c r="U169" s="267">
        <v>40</v>
      </c>
    </row>
    <row r="170" spans="1:21" x14ac:dyDescent="0.25">
      <c r="A170" s="270" t="s">
        <v>1835</v>
      </c>
      <c r="B170" s="251" t="s">
        <v>249</v>
      </c>
      <c r="C170" s="267" t="str">
        <f t="shared" si="2"/>
        <v>Teófilo Otoni, MG</v>
      </c>
      <c r="D170" s="271">
        <v>-17.86</v>
      </c>
      <c r="E170" s="251">
        <v>475</v>
      </c>
      <c r="F170" s="272">
        <v>25.407392470000001</v>
      </c>
      <c r="G170" s="272">
        <v>23.71547619</v>
      </c>
      <c r="H170" s="272">
        <v>24.639381719999999</v>
      </c>
      <c r="I170" s="272">
        <v>23.445</v>
      </c>
      <c r="J170" s="272">
        <v>21.020295699999998</v>
      </c>
      <c r="K170" s="272">
        <v>19.870277779999999</v>
      </c>
      <c r="L170" s="272">
        <v>20.512231180000001</v>
      </c>
      <c r="M170" s="272">
        <v>20.308870970000001</v>
      </c>
      <c r="N170" s="272">
        <v>20.946249999999999</v>
      </c>
      <c r="O170" s="272">
        <v>22.422715050000001</v>
      </c>
      <c r="P170" s="272">
        <v>22.588194439999999</v>
      </c>
      <c r="Q170" s="272">
        <v>23.821236559999999</v>
      </c>
      <c r="R170" s="272">
        <v>22.391443504999998</v>
      </c>
      <c r="S170" s="267">
        <f>SUMIFS(Aux_Lista!AD:AD,Aux_Lista!AB:AB,Aux_TBS!B170,Aux_Lista!AC:AC,Aux_TBS!A170)</f>
        <v>5</v>
      </c>
      <c r="T170" s="267" t="s">
        <v>6017</v>
      </c>
      <c r="U170" s="267">
        <v>40</v>
      </c>
    </row>
    <row r="171" spans="1:21" x14ac:dyDescent="0.25">
      <c r="A171" s="270" t="s">
        <v>1606</v>
      </c>
      <c r="B171" s="251" t="s">
        <v>249</v>
      </c>
      <c r="C171" s="267" t="str">
        <f t="shared" si="2"/>
        <v>Timóteo, MG</v>
      </c>
      <c r="D171" s="271">
        <v>-19.579999999999998</v>
      </c>
      <c r="E171" s="251">
        <v>333</v>
      </c>
      <c r="F171" s="272">
        <v>23.479838709999999</v>
      </c>
      <c r="G171" s="272">
        <v>24.567261899999998</v>
      </c>
      <c r="H171" s="272">
        <v>24.55551075</v>
      </c>
      <c r="I171" s="272">
        <v>22.480694440000001</v>
      </c>
      <c r="J171" s="272">
        <v>21.027284949999999</v>
      </c>
      <c r="K171" s="272">
        <v>20.473472220000001</v>
      </c>
      <c r="L171" s="272">
        <v>20.67258065</v>
      </c>
      <c r="M171" s="272">
        <v>21.174327959999999</v>
      </c>
      <c r="N171" s="272">
        <v>23.589444440000001</v>
      </c>
      <c r="O171" s="272">
        <v>23.436693550000001</v>
      </c>
      <c r="P171" s="272">
        <v>24.900416669999998</v>
      </c>
      <c r="Q171" s="272">
        <v>23.802553759999999</v>
      </c>
      <c r="R171" s="272">
        <v>22.846673333333332</v>
      </c>
      <c r="S171" s="267">
        <f>SUMIFS(Aux_Lista!AD:AD,Aux_Lista!AB:AB,Aux_TBS!B171,Aux_Lista!AC:AC,Aux_TBS!A171)</f>
        <v>3</v>
      </c>
      <c r="T171" s="267" t="s">
        <v>6017</v>
      </c>
      <c r="U171" s="267">
        <v>40</v>
      </c>
    </row>
    <row r="172" spans="1:21" x14ac:dyDescent="0.25">
      <c r="A172" s="270" t="s">
        <v>1789</v>
      </c>
      <c r="B172" s="251" t="s">
        <v>249</v>
      </c>
      <c r="C172" s="267" t="str">
        <f t="shared" si="2"/>
        <v>Três Marias, MG</v>
      </c>
      <c r="D172" s="271">
        <v>-18.21</v>
      </c>
      <c r="E172" s="251">
        <v>921</v>
      </c>
      <c r="F172" s="272">
        <v>22.763709680000002</v>
      </c>
      <c r="G172" s="272">
        <v>23.394642860000001</v>
      </c>
      <c r="H172" s="272">
        <v>23.321236559999999</v>
      </c>
      <c r="I172" s="272">
        <v>21.3475</v>
      </c>
      <c r="J172" s="272">
        <v>20.39408602</v>
      </c>
      <c r="K172" s="272">
        <v>18.934722220000001</v>
      </c>
      <c r="L172" s="272">
        <v>20.913575269999999</v>
      </c>
      <c r="M172" s="272">
        <v>20.62258065</v>
      </c>
      <c r="N172" s="272">
        <v>23.505416669999999</v>
      </c>
      <c r="O172" s="272">
        <v>22.519892469999998</v>
      </c>
      <c r="P172" s="272">
        <v>23.87013889</v>
      </c>
      <c r="Q172" s="272">
        <v>22.158736560000001</v>
      </c>
      <c r="R172" s="272">
        <v>21.978853154166668</v>
      </c>
      <c r="S172" s="267">
        <f>SUMIFS(Aux_Lista!AD:AD,Aux_Lista!AB:AB,Aux_TBS!B172,Aux_Lista!AC:AC,Aux_TBS!A172)</f>
        <v>4</v>
      </c>
      <c r="T172" s="267" t="s">
        <v>6017</v>
      </c>
      <c r="U172" s="267">
        <v>40</v>
      </c>
    </row>
    <row r="173" spans="1:21" x14ac:dyDescent="0.25">
      <c r="A173" s="270" t="s">
        <v>2137</v>
      </c>
      <c r="B173" s="251" t="s">
        <v>249</v>
      </c>
      <c r="C173" s="267" t="str">
        <f t="shared" si="2"/>
        <v>Uberlândia, MG</v>
      </c>
      <c r="D173" s="271">
        <v>-18.920000000000002</v>
      </c>
      <c r="E173" s="251">
        <v>869</v>
      </c>
      <c r="F173" s="272">
        <v>22.965591400000001</v>
      </c>
      <c r="G173" s="272">
        <v>23.393452379999999</v>
      </c>
      <c r="H173" s="272">
        <v>24.64919355</v>
      </c>
      <c r="I173" s="272">
        <v>23.77444444</v>
      </c>
      <c r="J173" s="272">
        <v>21.046908599999998</v>
      </c>
      <c r="K173" s="272">
        <v>20.647083330000001</v>
      </c>
      <c r="L173" s="272">
        <v>20.389650540000002</v>
      </c>
      <c r="M173" s="272">
        <v>21.9688172</v>
      </c>
      <c r="N173" s="272">
        <v>24.69347222</v>
      </c>
      <c r="O173" s="272">
        <v>24.24153226</v>
      </c>
      <c r="P173" s="272">
        <v>23.42013889</v>
      </c>
      <c r="Q173" s="272">
        <v>24.221774190000001</v>
      </c>
      <c r="R173" s="272">
        <v>22.951004916666662</v>
      </c>
      <c r="S173" s="267">
        <f>SUMIFS(Aux_Lista!AD:AD,Aux_Lista!AB:AB,Aux_TBS!B173,Aux_Lista!AC:AC,Aux_TBS!A173)</f>
        <v>4</v>
      </c>
      <c r="T173" s="267" t="s">
        <v>6017</v>
      </c>
      <c r="U173" s="267">
        <v>40</v>
      </c>
    </row>
    <row r="174" spans="1:21" x14ac:dyDescent="0.25">
      <c r="A174" s="270" t="s">
        <v>2763</v>
      </c>
      <c r="B174" s="251" t="s">
        <v>249</v>
      </c>
      <c r="C174" s="267" t="str">
        <f t="shared" si="2"/>
        <v>Unaí, MG</v>
      </c>
      <c r="D174" s="271">
        <v>-16.36</v>
      </c>
      <c r="E174" s="251">
        <v>631</v>
      </c>
      <c r="F174" s="272">
        <v>24.15</v>
      </c>
      <c r="G174" s="272">
        <v>24.449255950000001</v>
      </c>
      <c r="H174" s="272">
        <v>24.74395161</v>
      </c>
      <c r="I174" s="272">
        <v>22.949305559999999</v>
      </c>
      <c r="J174" s="272">
        <v>21.506182800000001</v>
      </c>
      <c r="K174" s="272">
        <v>20.544722220000001</v>
      </c>
      <c r="L174" s="272">
        <v>21.670026880000002</v>
      </c>
      <c r="M174" s="272">
        <v>22.52795699</v>
      </c>
      <c r="N174" s="272">
        <v>25.55833333</v>
      </c>
      <c r="O174" s="272">
        <v>24.608333330000001</v>
      </c>
      <c r="P174" s="272">
        <v>24.948472219999999</v>
      </c>
      <c r="Q174" s="272">
        <v>23.6561828</v>
      </c>
      <c r="R174" s="272">
        <v>23.442726974166671</v>
      </c>
      <c r="S174" s="267">
        <f>SUMIFS(Aux_Lista!AD:AD,Aux_Lista!AB:AB,Aux_TBS!B174,Aux_Lista!AC:AC,Aux_TBS!A174)</f>
        <v>6</v>
      </c>
      <c r="T174" s="267" t="s">
        <v>6017</v>
      </c>
      <c r="U174" s="267">
        <v>40</v>
      </c>
    </row>
    <row r="175" spans="1:21" x14ac:dyDescent="0.25">
      <c r="A175" s="270" t="s">
        <v>511</v>
      </c>
      <c r="B175" s="251" t="s">
        <v>249</v>
      </c>
      <c r="C175" s="267" t="str">
        <f t="shared" si="2"/>
        <v>Varginha, MG</v>
      </c>
      <c r="D175" s="271">
        <v>-21.55</v>
      </c>
      <c r="E175" s="251">
        <v>955</v>
      </c>
      <c r="F175" s="272">
        <v>21.160618280000001</v>
      </c>
      <c r="G175" s="272">
        <v>21.594791669999999</v>
      </c>
      <c r="H175" s="272">
        <v>21.130241940000001</v>
      </c>
      <c r="I175" s="272">
        <v>20.062777780000001</v>
      </c>
      <c r="J175" s="272">
        <v>17.138172040000001</v>
      </c>
      <c r="K175" s="272">
        <v>16.859444440000001</v>
      </c>
      <c r="L175" s="272">
        <v>16.220833330000001</v>
      </c>
      <c r="M175" s="272">
        <v>19.001747309999999</v>
      </c>
      <c r="N175" s="272">
        <v>18.89722222</v>
      </c>
      <c r="O175" s="272">
        <v>21.412096770000002</v>
      </c>
      <c r="P175" s="272">
        <v>20.40777778</v>
      </c>
      <c r="Q175" s="272">
        <v>20.878360220000001</v>
      </c>
      <c r="R175" s="272">
        <v>19.563673648333335</v>
      </c>
      <c r="S175" s="267">
        <f>SUMIFS(Aux_Lista!AD:AD,Aux_Lista!AB:AB,Aux_TBS!B175,Aux_Lista!AC:AC,Aux_TBS!A175)</f>
        <v>2</v>
      </c>
      <c r="T175" s="267" t="s">
        <v>6017</v>
      </c>
      <c r="U175" s="267">
        <v>40</v>
      </c>
    </row>
    <row r="176" spans="1:21" x14ac:dyDescent="0.25">
      <c r="A176" s="270" t="s">
        <v>512</v>
      </c>
      <c r="B176" s="251" t="s">
        <v>249</v>
      </c>
      <c r="C176" s="267" t="str">
        <f t="shared" si="2"/>
        <v>Viçosa, MG</v>
      </c>
      <c r="D176" s="271">
        <v>-20.75</v>
      </c>
      <c r="E176" s="251">
        <v>712</v>
      </c>
      <c r="F176" s="272">
        <v>21.622983869999999</v>
      </c>
      <c r="G176" s="272">
        <v>22.18794643</v>
      </c>
      <c r="H176" s="272">
        <v>21.922446239999999</v>
      </c>
      <c r="I176" s="272">
        <v>19.83847222</v>
      </c>
      <c r="J176" s="272">
        <v>17.773118279999998</v>
      </c>
      <c r="K176" s="272">
        <v>16.063888890000001</v>
      </c>
      <c r="L176" s="272">
        <v>17.302956989999998</v>
      </c>
      <c r="M176" s="272">
        <v>17.31532258</v>
      </c>
      <c r="N176" s="272">
        <v>20.68680556</v>
      </c>
      <c r="O176" s="272">
        <v>21.098655910000002</v>
      </c>
      <c r="P176" s="272">
        <v>22.520416669999999</v>
      </c>
      <c r="Q176" s="272">
        <v>21.738172039999998</v>
      </c>
      <c r="R176" s="272">
        <v>20.005932139999999</v>
      </c>
      <c r="S176" s="267">
        <f>SUMIFS(Aux_Lista!AD:AD,Aux_Lista!AB:AB,Aux_TBS!B176,Aux_Lista!AC:AC,Aux_TBS!A176)</f>
        <v>3</v>
      </c>
      <c r="T176" s="267" t="s">
        <v>6017</v>
      </c>
      <c r="U176" s="267">
        <v>40</v>
      </c>
    </row>
    <row r="177" spans="1:21" x14ac:dyDescent="0.25">
      <c r="A177" s="270" t="s">
        <v>3475</v>
      </c>
      <c r="B177" s="251" t="s">
        <v>1953</v>
      </c>
      <c r="C177" s="267" t="str">
        <f t="shared" si="2"/>
        <v>Amambaí, MS</v>
      </c>
      <c r="D177" s="271">
        <v>-23</v>
      </c>
      <c r="E177" s="251">
        <v>431</v>
      </c>
      <c r="F177" s="272">
        <v>24.033870969999999</v>
      </c>
      <c r="G177" s="272">
        <v>24.568154759999999</v>
      </c>
      <c r="H177" s="272">
        <v>24.967473120000001</v>
      </c>
      <c r="I177" s="272">
        <v>23.095833330000001</v>
      </c>
      <c r="J177" s="272">
        <v>19.980376339999999</v>
      </c>
      <c r="K177" s="272">
        <v>15.436249999999999</v>
      </c>
      <c r="L177" s="272">
        <v>19.40336022</v>
      </c>
      <c r="M177" s="272">
        <v>19.925268819999999</v>
      </c>
      <c r="N177" s="272">
        <v>18.803333330000001</v>
      </c>
      <c r="O177" s="272">
        <v>23.59475806</v>
      </c>
      <c r="P177" s="272">
        <v>24.038472219999999</v>
      </c>
      <c r="Q177" s="272">
        <v>25.459946240000001</v>
      </c>
      <c r="R177" s="272">
        <v>21.9422581175</v>
      </c>
      <c r="S177" s="267">
        <f>SUMIFS(Aux_Lista!AD:AD,Aux_Lista!AB:AB,Aux_TBS!B177,Aux_Lista!AC:AC,Aux_TBS!A177)</f>
        <v>3</v>
      </c>
      <c r="T177" s="267" t="s">
        <v>6016</v>
      </c>
      <c r="U177" s="267">
        <v>40</v>
      </c>
    </row>
    <row r="178" spans="1:21" x14ac:dyDescent="0.25">
      <c r="A178" s="270" t="s">
        <v>2156</v>
      </c>
      <c r="B178" s="251" t="s">
        <v>1953</v>
      </c>
      <c r="C178" s="267" t="str">
        <f t="shared" si="2"/>
        <v>Campo Grande, MS</v>
      </c>
      <c r="D178" s="271">
        <v>-20.440000000000001</v>
      </c>
      <c r="E178" s="251">
        <v>530</v>
      </c>
      <c r="F178" s="272">
        <v>24.276881719999999</v>
      </c>
      <c r="G178" s="272">
        <v>24.272172619999999</v>
      </c>
      <c r="H178" s="272">
        <v>24.230645160000002</v>
      </c>
      <c r="I178" s="272">
        <v>23.33694444</v>
      </c>
      <c r="J178" s="272">
        <v>20.05497312</v>
      </c>
      <c r="K178" s="272">
        <v>20.17472222</v>
      </c>
      <c r="L178" s="272">
        <v>22.797849459999998</v>
      </c>
      <c r="M178" s="272">
        <v>23.740725810000001</v>
      </c>
      <c r="N178" s="272">
        <v>22.531388889999999</v>
      </c>
      <c r="O178" s="272">
        <v>25.21545699</v>
      </c>
      <c r="P178" s="272">
        <v>25.361944439999998</v>
      </c>
      <c r="Q178" s="272">
        <v>25.381854839999999</v>
      </c>
      <c r="R178" s="272">
        <v>23.447963309166667</v>
      </c>
      <c r="S178" s="267">
        <f>SUMIFS(Aux_Lista!AD:AD,Aux_Lista!AB:AB,Aux_TBS!B178,Aux_Lista!AC:AC,Aux_TBS!A178)</f>
        <v>6</v>
      </c>
      <c r="T178" s="267" t="s">
        <v>6016</v>
      </c>
      <c r="U178" s="267">
        <v>40</v>
      </c>
    </row>
    <row r="179" spans="1:21" x14ac:dyDescent="0.25">
      <c r="A179" s="270" t="s">
        <v>2187</v>
      </c>
      <c r="B179" s="251" t="s">
        <v>1953</v>
      </c>
      <c r="C179" s="267" t="str">
        <f t="shared" si="2"/>
        <v>Chapadão do Sul, MS</v>
      </c>
      <c r="D179" s="271">
        <v>-18.79</v>
      </c>
      <c r="E179" s="251">
        <v>818</v>
      </c>
      <c r="F179" s="272">
        <v>22.559408600000001</v>
      </c>
      <c r="G179" s="272">
        <v>22.387499999999999</v>
      </c>
      <c r="H179" s="272">
        <v>22.378629029999999</v>
      </c>
      <c r="I179" s="272">
        <v>22.471527779999999</v>
      </c>
      <c r="J179" s="272">
        <v>19.563575270000001</v>
      </c>
      <c r="K179" s="272">
        <v>20.084444439999999</v>
      </c>
      <c r="L179" s="272">
        <v>21.415053759999999</v>
      </c>
      <c r="M179" s="272">
        <v>23.290725810000001</v>
      </c>
      <c r="N179" s="272">
        <v>22.692083329999999</v>
      </c>
      <c r="O179" s="272">
        <v>24.168145160000002</v>
      </c>
      <c r="P179" s="272">
        <v>24.441388889999999</v>
      </c>
      <c r="Q179" s="272">
        <v>23.302956989999998</v>
      </c>
      <c r="R179" s="272">
        <v>22.396286588333329</v>
      </c>
      <c r="S179" s="267">
        <f>SUMIFS(Aux_Lista!AD:AD,Aux_Lista!AB:AB,Aux_TBS!B179,Aux_Lista!AC:AC,Aux_TBS!A179)</f>
        <v>6</v>
      </c>
      <c r="T179" s="267" t="s">
        <v>6016</v>
      </c>
      <c r="U179" s="267">
        <v>40</v>
      </c>
    </row>
    <row r="180" spans="1:21" x14ac:dyDescent="0.25">
      <c r="A180" s="270" t="s">
        <v>2846</v>
      </c>
      <c r="B180" s="251" t="s">
        <v>1953</v>
      </c>
      <c r="C180" s="267" t="str">
        <f t="shared" si="2"/>
        <v>Corumbá, MS</v>
      </c>
      <c r="D180" s="271">
        <v>-19.010000000000002</v>
      </c>
      <c r="E180" s="251">
        <v>126</v>
      </c>
      <c r="F180" s="272">
        <v>27.702553760000001</v>
      </c>
      <c r="G180" s="272">
        <v>27.555505950000001</v>
      </c>
      <c r="H180" s="272">
        <v>28.118279569999999</v>
      </c>
      <c r="I180" s="272">
        <v>27.642916670000002</v>
      </c>
      <c r="J180" s="272">
        <v>22.172311830000002</v>
      </c>
      <c r="K180" s="272">
        <v>23.05236111</v>
      </c>
      <c r="L180" s="272">
        <v>21.857661289999999</v>
      </c>
      <c r="M180" s="272">
        <v>21.968010750000001</v>
      </c>
      <c r="N180" s="272">
        <v>28.425138889999999</v>
      </c>
      <c r="O180" s="272">
        <v>26.996505379999999</v>
      </c>
      <c r="P180" s="272">
        <v>26.750833329999999</v>
      </c>
      <c r="Q180" s="272">
        <v>28.823521509999999</v>
      </c>
      <c r="R180" s="272">
        <v>25.922133336666665</v>
      </c>
      <c r="S180" s="267">
        <f>SUMIFS(Aux_Lista!AD:AD,Aux_Lista!AB:AB,Aux_TBS!B180,Aux_Lista!AC:AC,Aux_TBS!A180)</f>
        <v>8</v>
      </c>
      <c r="T180" s="267" t="s">
        <v>6016</v>
      </c>
      <c r="U180" s="267">
        <v>40</v>
      </c>
    </row>
    <row r="181" spans="1:21" x14ac:dyDescent="0.25">
      <c r="A181" s="270" t="s">
        <v>4987</v>
      </c>
      <c r="B181" s="251" t="s">
        <v>1953</v>
      </c>
      <c r="C181" s="267" t="str">
        <f t="shared" si="2"/>
        <v>Coxim, MS</v>
      </c>
      <c r="D181" s="271">
        <v>-18.3</v>
      </c>
      <c r="E181" s="251">
        <v>252</v>
      </c>
      <c r="F181" s="272">
        <v>26.00698925</v>
      </c>
      <c r="G181" s="272">
        <v>25.890773809999999</v>
      </c>
      <c r="H181" s="272">
        <v>25.654704299999999</v>
      </c>
      <c r="I181" s="272">
        <v>24.64763889</v>
      </c>
      <c r="J181" s="272">
        <v>21.360887099999999</v>
      </c>
      <c r="K181" s="272">
        <v>21.425972219999998</v>
      </c>
      <c r="L181" s="272">
        <v>21.532795700000001</v>
      </c>
      <c r="M181" s="272">
        <v>24.792741939999999</v>
      </c>
      <c r="N181" s="272">
        <v>25.50041667</v>
      </c>
      <c r="O181" s="272">
        <v>26.64637097</v>
      </c>
      <c r="P181" s="272">
        <v>27.03875</v>
      </c>
      <c r="Q181" s="272">
        <v>26.185349460000001</v>
      </c>
      <c r="R181" s="272">
        <v>24.723615859166667</v>
      </c>
      <c r="S181" s="267">
        <f>SUMIFS(Aux_Lista!AD:AD,Aux_Lista!AB:AB,Aux_TBS!B181,Aux_Lista!AC:AC,Aux_TBS!A181)</f>
        <v>6</v>
      </c>
      <c r="T181" s="267" t="s">
        <v>6016</v>
      </c>
      <c r="U181" s="267">
        <v>40</v>
      </c>
    </row>
    <row r="182" spans="1:21" x14ac:dyDescent="0.25">
      <c r="A182" s="270" t="s">
        <v>3310</v>
      </c>
      <c r="B182" s="251" t="s">
        <v>1953</v>
      </c>
      <c r="C182" s="267" t="str">
        <f t="shared" si="2"/>
        <v>Dourados, MS</v>
      </c>
      <c r="D182" s="271">
        <v>-22.22</v>
      </c>
      <c r="E182" s="251">
        <v>469</v>
      </c>
      <c r="F182" s="272">
        <v>24.490994619999999</v>
      </c>
      <c r="G182" s="272">
        <v>24.284821430000001</v>
      </c>
      <c r="H182" s="272">
        <v>24.40725806</v>
      </c>
      <c r="I182" s="272">
        <v>22.674305560000001</v>
      </c>
      <c r="J182" s="272">
        <v>19.127016130000001</v>
      </c>
      <c r="K182" s="272">
        <v>17.97361111</v>
      </c>
      <c r="L182" s="272">
        <v>21.60819892</v>
      </c>
      <c r="M182" s="272">
        <v>21.852822580000002</v>
      </c>
      <c r="N182" s="272">
        <v>20.6175</v>
      </c>
      <c r="O182" s="272">
        <v>24.58534946</v>
      </c>
      <c r="P182" s="272">
        <v>24.690277779999999</v>
      </c>
      <c r="Q182" s="272">
        <v>25.915725810000001</v>
      </c>
      <c r="R182" s="272">
        <v>22.685656788333336</v>
      </c>
      <c r="S182" s="267">
        <f>SUMIFS(Aux_Lista!AD:AD,Aux_Lista!AB:AB,Aux_TBS!B182,Aux_Lista!AC:AC,Aux_TBS!A182)</f>
        <v>3</v>
      </c>
      <c r="T182" s="267" t="s">
        <v>6016</v>
      </c>
      <c r="U182" s="267">
        <v>40</v>
      </c>
    </row>
    <row r="183" spans="1:21" x14ac:dyDescent="0.25">
      <c r="A183" s="270" t="s">
        <v>3205</v>
      </c>
      <c r="B183" s="251" t="s">
        <v>1953</v>
      </c>
      <c r="C183" s="267" t="str">
        <f t="shared" si="2"/>
        <v>Ivinhema, MS</v>
      </c>
      <c r="D183" s="271">
        <v>-22.31</v>
      </c>
      <c r="E183" s="251">
        <v>373</v>
      </c>
      <c r="F183" s="272">
        <v>25.948790320000001</v>
      </c>
      <c r="G183" s="272">
        <v>25.871577380000002</v>
      </c>
      <c r="H183" s="272">
        <v>25.937634410000001</v>
      </c>
      <c r="I183" s="272">
        <v>24.133888890000001</v>
      </c>
      <c r="J183" s="272">
        <v>18.924462370000001</v>
      </c>
      <c r="K183" s="272">
        <v>20.66791667</v>
      </c>
      <c r="L183" s="272">
        <v>21.654166669999999</v>
      </c>
      <c r="M183" s="272">
        <v>22.147177419999998</v>
      </c>
      <c r="N183" s="272">
        <v>21.58402778</v>
      </c>
      <c r="O183" s="272">
        <v>25.49905914</v>
      </c>
      <c r="P183" s="272">
        <v>25.554861110000001</v>
      </c>
      <c r="Q183" s="272">
        <v>26.45147849</v>
      </c>
      <c r="R183" s="272">
        <v>23.697920054166662</v>
      </c>
      <c r="S183" s="267">
        <f>SUMIFS(Aux_Lista!AD:AD,Aux_Lista!AB:AB,Aux_TBS!B183,Aux_Lista!AC:AC,Aux_TBS!A183)</f>
        <v>5</v>
      </c>
      <c r="T183" s="267" t="s">
        <v>6016</v>
      </c>
      <c r="U183" s="267">
        <v>40</v>
      </c>
    </row>
    <row r="184" spans="1:21" x14ac:dyDescent="0.25">
      <c r="A184" s="270" t="s">
        <v>3296</v>
      </c>
      <c r="B184" s="251" t="s">
        <v>1953</v>
      </c>
      <c r="C184" s="267" t="str">
        <f t="shared" si="2"/>
        <v>Juti, MS</v>
      </c>
      <c r="D184" s="271">
        <v>-22.86</v>
      </c>
      <c r="E184" s="251">
        <v>379</v>
      </c>
      <c r="F184" s="272">
        <v>24.670161289999999</v>
      </c>
      <c r="G184" s="272">
        <v>25.59702381</v>
      </c>
      <c r="H184" s="272">
        <v>26.047715050000001</v>
      </c>
      <c r="I184" s="272">
        <v>24.610555560000002</v>
      </c>
      <c r="J184" s="272">
        <v>21.435349460000001</v>
      </c>
      <c r="K184" s="272">
        <v>16.991111109999999</v>
      </c>
      <c r="L184" s="272">
        <v>17.616801079999998</v>
      </c>
      <c r="M184" s="272">
        <v>20.420833330000001</v>
      </c>
      <c r="N184" s="272">
        <v>21.14194444</v>
      </c>
      <c r="O184" s="272">
        <v>23.84327957</v>
      </c>
      <c r="P184" s="272">
        <v>26.765138889999999</v>
      </c>
      <c r="Q184" s="272">
        <v>25.696774189999999</v>
      </c>
      <c r="R184" s="272">
        <v>22.903057314999998</v>
      </c>
      <c r="S184" s="267">
        <f>SUMIFS(Aux_Lista!AD:AD,Aux_Lista!AB:AB,Aux_TBS!B184,Aux_Lista!AC:AC,Aux_TBS!A184)</f>
        <v>3</v>
      </c>
      <c r="T184" s="267" t="s">
        <v>6016</v>
      </c>
      <c r="U184" s="267">
        <v>40</v>
      </c>
    </row>
    <row r="185" spans="1:21" x14ac:dyDescent="0.25">
      <c r="A185" s="270" t="s">
        <v>5459</v>
      </c>
      <c r="B185" s="251" t="s">
        <v>1953</v>
      </c>
      <c r="C185" s="267" t="str">
        <f t="shared" si="2"/>
        <v>Miranda, MS</v>
      </c>
      <c r="D185" s="271">
        <v>-20.239999999999998</v>
      </c>
      <c r="E185" s="251">
        <v>140</v>
      </c>
      <c r="F185" s="272">
        <v>26.738172039999998</v>
      </c>
      <c r="G185" s="272">
        <v>26.674404760000002</v>
      </c>
      <c r="H185" s="272">
        <v>26.913172039999999</v>
      </c>
      <c r="I185" s="272">
        <v>26.084861109999999</v>
      </c>
      <c r="J185" s="272">
        <v>21.19166667</v>
      </c>
      <c r="K185" s="272">
        <v>21.14</v>
      </c>
      <c r="L185" s="272">
        <v>20.194354839999999</v>
      </c>
      <c r="M185" s="272">
        <v>21.400268820000001</v>
      </c>
      <c r="N185" s="272">
        <v>27.76847222</v>
      </c>
      <c r="O185" s="272">
        <v>24.887365590000002</v>
      </c>
      <c r="P185" s="272">
        <v>24.945277780000001</v>
      </c>
      <c r="Q185" s="272">
        <v>27.646639780000001</v>
      </c>
      <c r="R185" s="272">
        <v>24.632054637500001</v>
      </c>
      <c r="S185" s="267">
        <f>SUMIFS(Aux_Lista!AD:AD,Aux_Lista!AB:AB,Aux_TBS!B185,Aux_Lista!AC:AC,Aux_TBS!A185)</f>
        <v>5</v>
      </c>
      <c r="T185" s="267" t="s">
        <v>6016</v>
      </c>
      <c r="U185" s="267">
        <v>40</v>
      </c>
    </row>
    <row r="186" spans="1:21" x14ac:dyDescent="0.25">
      <c r="A186" s="270" t="s">
        <v>3717</v>
      </c>
      <c r="B186" s="251" t="s">
        <v>233</v>
      </c>
      <c r="C186" s="267" t="str">
        <f t="shared" si="2"/>
        <v>Santa Rosa de Viterbo, SP</v>
      </c>
      <c r="D186" s="271">
        <v>-18.989999999999998</v>
      </c>
      <c r="E186" s="251">
        <v>104</v>
      </c>
      <c r="F186" s="272">
        <v>26.46975806</v>
      </c>
      <c r="G186" s="272">
        <v>27.0327381</v>
      </c>
      <c r="H186" s="272">
        <v>26.683198919999999</v>
      </c>
      <c r="I186" s="272">
        <v>24.963750000000001</v>
      </c>
      <c r="J186" s="272">
        <v>21.690994620000001</v>
      </c>
      <c r="K186" s="272">
        <v>20.206111109999998</v>
      </c>
      <c r="L186" s="272">
        <v>22.064247309999999</v>
      </c>
      <c r="M186" s="272">
        <v>24.398387100000001</v>
      </c>
      <c r="N186" s="272">
        <v>23.578888890000002</v>
      </c>
      <c r="O186" s="272">
        <v>26.839919349999999</v>
      </c>
      <c r="P186" s="272">
        <v>27.487638889999999</v>
      </c>
      <c r="Q186" s="272">
        <v>27.281854840000001</v>
      </c>
      <c r="R186" s="272">
        <v>24.891457265833335</v>
      </c>
      <c r="S186" s="267">
        <f>SUMIFS(Aux_Lista!AD:AD,Aux_Lista!AB:AB,Aux_TBS!B186,Aux_Lista!AC:AC,Aux_TBS!A186)</f>
        <v>4</v>
      </c>
      <c r="T186" s="267" t="s">
        <v>6017</v>
      </c>
      <c r="U186" s="267">
        <v>40</v>
      </c>
    </row>
    <row r="187" spans="1:21" x14ac:dyDescent="0.25">
      <c r="A187" s="270" t="s">
        <v>3313</v>
      </c>
      <c r="B187" s="251" t="s">
        <v>1953</v>
      </c>
      <c r="C187" s="267" t="str">
        <f t="shared" si="2"/>
        <v>Ponta Porã, MS</v>
      </c>
      <c r="D187" s="271">
        <v>-22.54</v>
      </c>
      <c r="E187" s="251">
        <v>650</v>
      </c>
      <c r="F187" s="272">
        <v>24.021639780000001</v>
      </c>
      <c r="G187" s="272">
        <v>24.856547620000001</v>
      </c>
      <c r="H187" s="272">
        <v>24.646102150000001</v>
      </c>
      <c r="I187" s="272">
        <v>21.588611109999999</v>
      </c>
      <c r="J187" s="272">
        <v>16.557661289999999</v>
      </c>
      <c r="K187" s="272">
        <v>18.60652778</v>
      </c>
      <c r="L187" s="272">
        <v>18.795026880000002</v>
      </c>
      <c r="M187" s="272">
        <v>18.611827959999999</v>
      </c>
      <c r="N187" s="272">
        <v>20.69722222</v>
      </c>
      <c r="O187" s="272">
        <v>20.985483869999999</v>
      </c>
      <c r="P187" s="272">
        <v>22.08736111</v>
      </c>
      <c r="Q187" s="272">
        <v>24.309946239999999</v>
      </c>
      <c r="R187" s="272">
        <v>21.3136631675</v>
      </c>
      <c r="S187" s="267">
        <f>SUMIFS(Aux_Lista!AD:AD,Aux_Lista!AB:AB,Aux_TBS!B187,Aux_Lista!AC:AC,Aux_TBS!A187)</f>
        <v>3</v>
      </c>
      <c r="T187" s="267" t="s">
        <v>6016</v>
      </c>
      <c r="U187" s="267">
        <v>40</v>
      </c>
    </row>
    <row r="188" spans="1:21" x14ac:dyDescent="0.25">
      <c r="A188" s="270" t="s">
        <v>5328</v>
      </c>
      <c r="B188" s="251" t="s">
        <v>1953</v>
      </c>
      <c r="C188" s="267" t="str">
        <f t="shared" si="2"/>
        <v>Porto Murtinho, MS</v>
      </c>
      <c r="D188" s="271">
        <v>-21.7</v>
      </c>
      <c r="E188" s="251">
        <v>85</v>
      </c>
      <c r="F188" s="272">
        <v>28.370430110000001</v>
      </c>
      <c r="G188" s="272">
        <v>27.7</v>
      </c>
      <c r="H188" s="272">
        <v>27.9688172</v>
      </c>
      <c r="I188" s="272">
        <v>26.413472219999999</v>
      </c>
      <c r="J188" s="272">
        <v>20.207123660000001</v>
      </c>
      <c r="K188" s="272">
        <v>21.60013889</v>
      </c>
      <c r="L188" s="272">
        <v>19.264784949999999</v>
      </c>
      <c r="M188" s="272">
        <v>20.234946239999999</v>
      </c>
      <c r="N188" s="272">
        <v>27.204722220000001</v>
      </c>
      <c r="O188" s="272">
        <v>27.193682800000001</v>
      </c>
      <c r="P188" s="272">
        <v>31.026944440000001</v>
      </c>
      <c r="Q188" s="272">
        <v>28.42580645</v>
      </c>
      <c r="R188" s="272">
        <v>25.467572431666667</v>
      </c>
      <c r="S188" s="267">
        <f>SUMIFS(Aux_Lista!AD:AD,Aux_Lista!AB:AB,Aux_TBS!B188,Aux_Lista!AC:AC,Aux_TBS!A188)</f>
        <v>5</v>
      </c>
      <c r="T188" s="267" t="s">
        <v>6016</v>
      </c>
      <c r="U188" s="267">
        <v>40</v>
      </c>
    </row>
    <row r="189" spans="1:21" x14ac:dyDescent="0.25">
      <c r="A189" s="270" t="s">
        <v>3645</v>
      </c>
      <c r="B189" s="251" t="s">
        <v>1953</v>
      </c>
      <c r="C189" s="267" t="str">
        <f t="shared" si="2"/>
        <v>Rio Brilhante, MS</v>
      </c>
      <c r="D189" s="271">
        <v>-21.78</v>
      </c>
      <c r="E189" s="251">
        <v>329</v>
      </c>
      <c r="F189" s="272">
        <v>24.608064519999999</v>
      </c>
      <c r="G189" s="272">
        <v>25.390476190000001</v>
      </c>
      <c r="H189" s="272">
        <v>25.74341398</v>
      </c>
      <c r="I189" s="272">
        <v>24.02416667</v>
      </c>
      <c r="J189" s="272">
        <v>21.333736559999998</v>
      </c>
      <c r="K189" s="272">
        <v>17.59305556</v>
      </c>
      <c r="L189" s="272">
        <v>20.90766129</v>
      </c>
      <c r="M189" s="272">
        <v>22.34287634</v>
      </c>
      <c r="N189" s="272">
        <v>21.140972219999998</v>
      </c>
      <c r="O189" s="272">
        <v>24.992607530000001</v>
      </c>
      <c r="P189" s="272">
        <v>25.25791667</v>
      </c>
      <c r="Q189" s="272">
        <v>26.169758059999999</v>
      </c>
      <c r="R189" s="272">
        <v>23.292058799166668</v>
      </c>
      <c r="S189" s="267">
        <f>SUMIFS(Aux_Lista!AD:AD,Aux_Lista!AB:AB,Aux_TBS!B189,Aux_Lista!AC:AC,Aux_TBS!A189)</f>
        <v>3</v>
      </c>
      <c r="T189" s="267" t="s">
        <v>6016</v>
      </c>
      <c r="U189" s="267">
        <v>40</v>
      </c>
    </row>
    <row r="190" spans="1:21" x14ac:dyDescent="0.25">
      <c r="A190" s="270" t="s">
        <v>3112</v>
      </c>
      <c r="B190" s="251" t="s">
        <v>1953</v>
      </c>
      <c r="C190" s="267" t="str">
        <f t="shared" si="2"/>
        <v>Sete Quedas, MS</v>
      </c>
      <c r="D190" s="271">
        <v>-23.97</v>
      </c>
      <c r="E190" s="251">
        <v>402</v>
      </c>
      <c r="F190" s="272">
        <v>24.46075269</v>
      </c>
      <c r="G190" s="272">
        <v>25.54910714</v>
      </c>
      <c r="H190" s="272">
        <v>25.698790320000001</v>
      </c>
      <c r="I190" s="272">
        <v>23.86861111</v>
      </c>
      <c r="J190" s="272">
        <v>20.259543010000002</v>
      </c>
      <c r="K190" s="272">
        <v>15.685</v>
      </c>
      <c r="L190" s="272">
        <v>20.304435479999999</v>
      </c>
      <c r="M190" s="272">
        <v>20.11008065</v>
      </c>
      <c r="N190" s="272">
        <v>18.938749999999999</v>
      </c>
      <c r="O190" s="272">
        <v>23.196505380000001</v>
      </c>
      <c r="P190" s="272">
        <v>24.18819444</v>
      </c>
      <c r="Q190" s="272">
        <v>25.87728495</v>
      </c>
      <c r="R190" s="272">
        <v>22.3447545975</v>
      </c>
      <c r="S190" s="267">
        <f>SUMIFS(Aux_Lista!AD:AD,Aux_Lista!AB:AB,Aux_TBS!B190,Aux_Lista!AC:AC,Aux_TBS!A190)</f>
        <v>3</v>
      </c>
      <c r="T190" s="267" t="s">
        <v>6016</v>
      </c>
      <c r="U190" s="267">
        <v>40</v>
      </c>
    </row>
    <row r="191" spans="1:21" x14ac:dyDescent="0.25">
      <c r="A191" s="270" t="s">
        <v>3192</v>
      </c>
      <c r="B191" s="251" t="s">
        <v>1953</v>
      </c>
      <c r="C191" s="267" t="str">
        <f t="shared" si="2"/>
        <v>Sidrolândia, MS</v>
      </c>
      <c r="D191" s="271">
        <v>-20.98</v>
      </c>
      <c r="E191" s="251">
        <v>464</v>
      </c>
      <c r="F191" s="272">
        <v>24.672983869999999</v>
      </c>
      <c r="G191" s="272">
        <v>25.276488100000002</v>
      </c>
      <c r="H191" s="272">
        <v>25.355779569999999</v>
      </c>
      <c r="I191" s="272">
        <v>24.902222219999999</v>
      </c>
      <c r="J191" s="272">
        <v>21.93897849</v>
      </c>
      <c r="K191" s="272">
        <v>18.689166669999999</v>
      </c>
      <c r="L191" s="272">
        <v>19.436290320000001</v>
      </c>
      <c r="M191" s="272">
        <v>21.25846774</v>
      </c>
      <c r="N191" s="272">
        <v>22.381111109999999</v>
      </c>
      <c r="O191" s="272">
        <v>24.514112900000001</v>
      </c>
      <c r="P191" s="272">
        <v>26.482500000000002</v>
      </c>
      <c r="Q191" s="272">
        <v>25.3344086</v>
      </c>
      <c r="R191" s="272">
        <v>23.353542465833339</v>
      </c>
      <c r="S191" s="267">
        <f>SUMIFS(Aux_Lista!AD:AD,Aux_Lista!AB:AB,Aux_TBS!B191,Aux_Lista!AC:AC,Aux_TBS!A191)</f>
        <v>5</v>
      </c>
      <c r="T191" s="267" t="s">
        <v>6016</v>
      </c>
      <c r="U191" s="267">
        <v>40</v>
      </c>
    </row>
    <row r="192" spans="1:21" x14ac:dyDescent="0.25">
      <c r="A192" s="270" t="s">
        <v>3346</v>
      </c>
      <c r="B192" s="251" t="s">
        <v>1953</v>
      </c>
      <c r="C192" s="267" t="str">
        <f t="shared" si="2"/>
        <v>Três Lagoas, MS</v>
      </c>
      <c r="D192" s="271">
        <v>-20.75</v>
      </c>
      <c r="E192" s="251">
        <v>313</v>
      </c>
      <c r="F192" s="272">
        <v>25.796505379999999</v>
      </c>
      <c r="G192" s="272">
        <v>25.939583330000001</v>
      </c>
      <c r="H192" s="272">
        <v>25.443951609999999</v>
      </c>
      <c r="I192" s="272">
        <v>24.53166667</v>
      </c>
      <c r="J192" s="272">
        <v>20.473521510000001</v>
      </c>
      <c r="K192" s="272">
        <v>20.838055560000001</v>
      </c>
      <c r="L192" s="272">
        <v>21.443951609999999</v>
      </c>
      <c r="M192" s="272">
        <v>24.0672043</v>
      </c>
      <c r="N192" s="272">
        <v>23.36597222</v>
      </c>
      <c r="O192" s="272">
        <v>26.64180108</v>
      </c>
      <c r="P192" s="272">
        <v>26.551111110000001</v>
      </c>
      <c r="Q192" s="272">
        <v>27.1969086</v>
      </c>
      <c r="R192" s="272">
        <v>24.357519415000002</v>
      </c>
      <c r="S192" s="267">
        <f>SUMIFS(Aux_Lista!AD:AD,Aux_Lista!AB:AB,Aux_TBS!B192,Aux_Lista!AC:AC,Aux_TBS!A192)</f>
        <v>6</v>
      </c>
      <c r="T192" s="267" t="s">
        <v>6016</v>
      </c>
      <c r="U192" s="267">
        <v>40</v>
      </c>
    </row>
    <row r="193" spans="1:21" x14ac:dyDescent="0.25">
      <c r="A193" s="270" t="s">
        <v>1874</v>
      </c>
      <c r="B193" s="251" t="s">
        <v>2160</v>
      </c>
      <c r="C193" s="267" t="str">
        <f t="shared" si="2"/>
        <v>Água Boa, MT</v>
      </c>
      <c r="D193" s="271">
        <v>-14.05</v>
      </c>
      <c r="E193" s="251">
        <v>432</v>
      </c>
      <c r="F193" s="272">
        <v>25.344892470000001</v>
      </c>
      <c r="G193" s="272">
        <v>24.819791670000001</v>
      </c>
      <c r="H193" s="272">
        <v>25.225134409999999</v>
      </c>
      <c r="I193" s="272">
        <v>24.374444440000001</v>
      </c>
      <c r="J193" s="272">
        <v>24.118145160000001</v>
      </c>
      <c r="K193" s="272">
        <v>23.023611110000001</v>
      </c>
      <c r="L193" s="272">
        <v>24.552284950000001</v>
      </c>
      <c r="M193" s="272">
        <v>25.703629029999998</v>
      </c>
      <c r="N193" s="272">
        <v>26.69430556</v>
      </c>
      <c r="O193" s="272">
        <v>25.58064516</v>
      </c>
      <c r="P193" s="272">
        <v>25.369861109999999</v>
      </c>
      <c r="Q193" s="272">
        <v>24.562231180000001</v>
      </c>
      <c r="R193" s="272">
        <v>24.9474146875</v>
      </c>
      <c r="S193" s="267">
        <f>SUMIFS(Aux_Lista!AD:AD,Aux_Lista!AB:AB,Aux_TBS!B193,Aux_Lista!AC:AC,Aux_TBS!A193)</f>
        <v>6</v>
      </c>
      <c r="T193" s="267" t="s">
        <v>6016</v>
      </c>
      <c r="U193" s="267">
        <v>40</v>
      </c>
    </row>
    <row r="194" spans="1:21" x14ac:dyDescent="0.25">
      <c r="A194" s="270" t="s">
        <v>2176</v>
      </c>
      <c r="B194" s="251" t="s">
        <v>2160</v>
      </c>
      <c r="C194" s="267" t="str">
        <f t="shared" si="2"/>
        <v>Alto Taquari, MT</v>
      </c>
      <c r="D194" s="271">
        <v>-17.82</v>
      </c>
      <c r="E194" s="251">
        <v>875</v>
      </c>
      <c r="F194" s="272">
        <v>22.636827960000002</v>
      </c>
      <c r="G194" s="272">
        <v>21.920535709999999</v>
      </c>
      <c r="H194" s="272">
        <v>21.966263439999999</v>
      </c>
      <c r="I194" s="272">
        <v>22.26166667</v>
      </c>
      <c r="J194" s="272">
        <v>20.126209679999999</v>
      </c>
      <c r="K194" s="272">
        <v>20.672916669999999</v>
      </c>
      <c r="L194" s="272">
        <v>21.448924730000002</v>
      </c>
      <c r="M194" s="272">
        <v>23.66653226</v>
      </c>
      <c r="N194" s="272">
        <v>23.6175</v>
      </c>
      <c r="O194" s="272">
        <v>23.67715054</v>
      </c>
      <c r="P194" s="272">
        <v>23.359027780000002</v>
      </c>
      <c r="Q194" s="272">
        <v>22.666935479999999</v>
      </c>
      <c r="R194" s="272">
        <v>22.33504091</v>
      </c>
      <c r="S194" s="267">
        <f>SUMIFS(Aux_Lista!AD:AD,Aux_Lista!AB:AB,Aux_TBS!B194,Aux_Lista!AC:AC,Aux_TBS!A194)</f>
        <v>6</v>
      </c>
      <c r="T194" s="267" t="s">
        <v>6016</v>
      </c>
      <c r="U194" s="267">
        <v>40</v>
      </c>
    </row>
    <row r="195" spans="1:21" x14ac:dyDescent="0.25">
      <c r="A195" s="270" t="s">
        <v>4796</v>
      </c>
      <c r="B195" s="251" t="s">
        <v>2160</v>
      </c>
      <c r="C195" s="267" t="str">
        <f t="shared" ref="C195:C258" si="3">CONCATENATE(A195,", ",B195)</f>
        <v>Apiacás, MT</v>
      </c>
      <c r="D195" s="271">
        <v>-9.5399999999999991</v>
      </c>
      <c r="E195" s="251">
        <v>220</v>
      </c>
      <c r="F195" s="272">
        <v>24.84744624</v>
      </c>
      <c r="G195" s="272">
        <v>24.916666670000001</v>
      </c>
      <c r="H195" s="272">
        <v>24.808467740000001</v>
      </c>
      <c r="I195" s="272">
        <v>25.743749999999999</v>
      </c>
      <c r="J195" s="272">
        <v>25.289919350000002</v>
      </c>
      <c r="K195" s="272">
        <v>25.03347222</v>
      </c>
      <c r="L195" s="272">
        <v>25.19032258</v>
      </c>
      <c r="M195" s="272">
        <v>26.975672039999999</v>
      </c>
      <c r="N195" s="272">
        <v>26.810833330000001</v>
      </c>
      <c r="O195" s="272">
        <v>26.620026880000001</v>
      </c>
      <c r="P195" s="272">
        <v>25.93263889</v>
      </c>
      <c r="Q195" s="272">
        <v>25.622446239999999</v>
      </c>
      <c r="R195" s="272">
        <v>25.649305181666666</v>
      </c>
      <c r="S195" s="267">
        <f>SUMIFS(Aux_Lista!AD:AD,Aux_Lista!AB:AB,Aux_TBS!B195,Aux_Lista!AC:AC,Aux_TBS!A195)</f>
        <v>8</v>
      </c>
      <c r="T195" s="267" t="s">
        <v>6016</v>
      </c>
      <c r="U195" s="267">
        <v>40</v>
      </c>
    </row>
    <row r="196" spans="1:21" x14ac:dyDescent="0.25">
      <c r="A196" s="270" t="s">
        <v>2201</v>
      </c>
      <c r="B196" s="251" t="s">
        <v>2160</v>
      </c>
      <c r="C196" s="267" t="str">
        <f t="shared" si="3"/>
        <v>Campo Novo do Parecis, MT</v>
      </c>
      <c r="D196" s="271">
        <v>-13.68</v>
      </c>
      <c r="E196" s="251">
        <v>570</v>
      </c>
      <c r="F196" s="272">
        <v>24.368682799999998</v>
      </c>
      <c r="G196" s="272">
        <v>24.195535710000001</v>
      </c>
      <c r="H196" s="272">
        <v>23.96774194</v>
      </c>
      <c r="I196" s="272">
        <v>24.178055560000001</v>
      </c>
      <c r="J196" s="272">
        <v>23.709274189999999</v>
      </c>
      <c r="K196" s="272">
        <v>23.16444444</v>
      </c>
      <c r="L196" s="272">
        <v>22.93185484</v>
      </c>
      <c r="M196" s="272">
        <v>23.530645159999999</v>
      </c>
      <c r="N196" s="272">
        <v>24.56319444</v>
      </c>
      <c r="O196" s="272">
        <v>24.912231179999999</v>
      </c>
      <c r="P196" s="272">
        <v>24.420416670000002</v>
      </c>
      <c r="Q196" s="272">
        <v>25.041801079999999</v>
      </c>
      <c r="R196" s="272">
        <v>24.081989834166666</v>
      </c>
      <c r="S196" s="267">
        <f>SUMIFS(Aux_Lista!AD:AD,Aux_Lista!AB:AB,Aux_TBS!B196,Aux_Lista!AC:AC,Aux_TBS!A196)</f>
        <v>5</v>
      </c>
      <c r="T196" s="267" t="s">
        <v>6016</v>
      </c>
      <c r="U196" s="267">
        <v>40</v>
      </c>
    </row>
    <row r="197" spans="1:21" x14ac:dyDescent="0.25">
      <c r="A197" s="270" t="s">
        <v>2192</v>
      </c>
      <c r="B197" s="251" t="s">
        <v>2160</v>
      </c>
      <c r="C197" s="267" t="str">
        <f t="shared" si="3"/>
        <v>Campo Verde, MT</v>
      </c>
      <c r="D197" s="271">
        <v>-15.55</v>
      </c>
      <c r="E197" s="251">
        <v>749</v>
      </c>
      <c r="F197" s="272">
        <v>22.415456989999999</v>
      </c>
      <c r="G197" s="272">
        <v>22.635714289999999</v>
      </c>
      <c r="H197" s="272">
        <v>22.874865589999999</v>
      </c>
      <c r="I197" s="272">
        <v>22.506111109999999</v>
      </c>
      <c r="J197" s="272">
        <v>20.883602150000002</v>
      </c>
      <c r="K197" s="272">
        <v>20.975000000000001</v>
      </c>
      <c r="L197" s="272">
        <v>22.790860219999999</v>
      </c>
      <c r="M197" s="272">
        <v>25.169892470000001</v>
      </c>
      <c r="N197" s="272">
        <v>24.862777779999998</v>
      </c>
      <c r="O197" s="272">
        <v>24.462768820000001</v>
      </c>
      <c r="P197" s="272">
        <v>23.85125</v>
      </c>
      <c r="Q197" s="272">
        <v>22.971774190000001</v>
      </c>
      <c r="R197" s="272">
        <v>23.033339467499999</v>
      </c>
      <c r="S197" s="267">
        <f>SUMIFS(Aux_Lista!AD:AD,Aux_Lista!AB:AB,Aux_TBS!B197,Aux_Lista!AC:AC,Aux_TBS!A197)</f>
        <v>6</v>
      </c>
      <c r="T197" s="267" t="s">
        <v>6016</v>
      </c>
      <c r="U197" s="267">
        <v>40</v>
      </c>
    </row>
    <row r="198" spans="1:21" x14ac:dyDescent="0.25">
      <c r="A198" s="270" t="s">
        <v>4256</v>
      </c>
      <c r="B198" s="251" t="s">
        <v>2160</v>
      </c>
      <c r="C198" s="267" t="str">
        <f t="shared" si="3"/>
        <v>Carlinda, MT</v>
      </c>
      <c r="D198" s="271">
        <v>-9.9700000000000006</v>
      </c>
      <c r="E198" s="251">
        <v>300</v>
      </c>
      <c r="F198" s="272">
        <v>25.0358871</v>
      </c>
      <c r="G198" s="272">
        <v>24.779910709999999</v>
      </c>
      <c r="H198" s="272">
        <v>24.949865590000002</v>
      </c>
      <c r="I198" s="272">
        <v>24.9575</v>
      </c>
      <c r="J198" s="272">
        <v>25.151881719999999</v>
      </c>
      <c r="K198" s="272">
        <v>25.270416669999999</v>
      </c>
      <c r="L198" s="272">
        <v>26.26075269</v>
      </c>
      <c r="M198" s="272">
        <v>26.90255376</v>
      </c>
      <c r="N198" s="272">
        <v>26.2575</v>
      </c>
      <c r="O198" s="272">
        <v>25.93696237</v>
      </c>
      <c r="P198" s="272">
        <v>25.52597222</v>
      </c>
      <c r="Q198" s="272">
        <v>24.852956989999999</v>
      </c>
      <c r="R198" s="272">
        <v>25.490179984999997</v>
      </c>
      <c r="S198" s="267">
        <f>SUMIFS(Aux_Lista!AD:AD,Aux_Lista!AB:AB,Aux_TBS!B198,Aux_Lista!AC:AC,Aux_TBS!A198)</f>
        <v>8</v>
      </c>
      <c r="T198" s="267" t="s">
        <v>6016</v>
      </c>
      <c r="U198" s="267">
        <v>40</v>
      </c>
    </row>
    <row r="199" spans="1:21" x14ac:dyDescent="0.25">
      <c r="A199" s="270" t="s">
        <v>2854</v>
      </c>
      <c r="B199" s="251" t="s">
        <v>2160</v>
      </c>
      <c r="C199" s="267" t="str">
        <f t="shared" si="3"/>
        <v>Comodoro, MT</v>
      </c>
      <c r="D199" s="271">
        <v>-13.66</v>
      </c>
      <c r="E199" s="251">
        <v>591</v>
      </c>
      <c r="F199" s="272">
        <v>23.543548390000002</v>
      </c>
      <c r="G199" s="272">
        <v>23.109523809999999</v>
      </c>
      <c r="H199" s="272">
        <v>23.020698920000001</v>
      </c>
      <c r="I199" s="272">
        <v>23.148472219999999</v>
      </c>
      <c r="J199" s="272">
        <v>20.421236560000001</v>
      </c>
      <c r="K199" s="272">
        <v>20.41416667</v>
      </c>
      <c r="L199" s="272">
        <v>20.613709679999999</v>
      </c>
      <c r="M199" s="272">
        <v>20.933870970000001</v>
      </c>
      <c r="N199" s="272">
        <v>22.992361110000001</v>
      </c>
      <c r="O199" s="272">
        <v>23.871505379999999</v>
      </c>
      <c r="P199" s="272">
        <v>23.649027780000001</v>
      </c>
      <c r="Q199" s="272">
        <v>23.51680108</v>
      </c>
      <c r="R199" s="272">
        <v>22.436243547499998</v>
      </c>
      <c r="S199" s="267">
        <f>SUMIFS(Aux_Lista!AD:AD,Aux_Lista!AB:AB,Aux_TBS!B199,Aux_Lista!AC:AC,Aux_TBS!A199)</f>
        <v>5</v>
      </c>
      <c r="T199" s="267" t="s">
        <v>6016</v>
      </c>
      <c r="U199" s="267">
        <v>40</v>
      </c>
    </row>
    <row r="200" spans="1:21" x14ac:dyDescent="0.25">
      <c r="A200" s="270" t="s">
        <v>4690</v>
      </c>
      <c r="B200" s="251" t="s">
        <v>2160</v>
      </c>
      <c r="C200" s="267" t="str">
        <f t="shared" si="3"/>
        <v>Confresa, MT</v>
      </c>
      <c r="D200" s="271">
        <v>-10.65</v>
      </c>
      <c r="E200" s="251">
        <v>237</v>
      </c>
      <c r="F200" s="272">
        <v>25.594489249999999</v>
      </c>
      <c r="G200" s="272">
        <v>25.108035709999999</v>
      </c>
      <c r="H200" s="272">
        <v>25.961827960000001</v>
      </c>
      <c r="I200" s="272">
        <v>25.34791667</v>
      </c>
      <c r="J200" s="272">
        <v>25.531586019999999</v>
      </c>
      <c r="K200" s="272">
        <v>25.734444440000001</v>
      </c>
      <c r="L200" s="272">
        <v>26.508736559999999</v>
      </c>
      <c r="M200" s="272">
        <v>27.494758059999999</v>
      </c>
      <c r="N200" s="272">
        <v>27.67736111</v>
      </c>
      <c r="O200" s="272">
        <v>26.37177419</v>
      </c>
      <c r="P200" s="272">
        <v>26.376805560000001</v>
      </c>
      <c r="Q200" s="272">
        <v>25.84422043</v>
      </c>
      <c r="R200" s="272">
        <v>26.129329663333333</v>
      </c>
      <c r="S200" s="267">
        <f>SUMIFS(Aux_Lista!AD:AD,Aux_Lista!AB:AB,Aux_TBS!B200,Aux_Lista!AC:AC,Aux_TBS!A200)</f>
        <v>7</v>
      </c>
      <c r="T200" s="267" t="s">
        <v>6016</v>
      </c>
      <c r="U200" s="267">
        <v>40</v>
      </c>
    </row>
    <row r="201" spans="1:21" x14ac:dyDescent="0.25">
      <c r="A201" s="270" t="s">
        <v>4795</v>
      </c>
      <c r="B201" s="251" t="s">
        <v>2160</v>
      </c>
      <c r="C201" s="267" t="str">
        <f t="shared" si="3"/>
        <v>Cotriguaçu, MT</v>
      </c>
      <c r="D201" s="271">
        <v>-9.86</v>
      </c>
      <c r="E201" s="251">
        <v>261</v>
      </c>
      <c r="F201" s="272">
        <v>24.12177419</v>
      </c>
      <c r="G201" s="272">
        <v>24.245238100000002</v>
      </c>
      <c r="H201" s="272">
        <v>23.97069892</v>
      </c>
      <c r="I201" s="272">
        <v>24.5625</v>
      </c>
      <c r="J201" s="272">
        <v>24.106317199999999</v>
      </c>
      <c r="K201" s="272">
        <v>23.61861111</v>
      </c>
      <c r="L201" s="272">
        <v>23.88575269</v>
      </c>
      <c r="M201" s="272">
        <v>25.71827957</v>
      </c>
      <c r="N201" s="272">
        <v>25.51694444</v>
      </c>
      <c r="O201" s="272">
        <v>25.759005380000001</v>
      </c>
      <c r="P201" s="272">
        <v>25.190277779999999</v>
      </c>
      <c r="Q201" s="272">
        <v>24.761290320000001</v>
      </c>
      <c r="R201" s="272">
        <v>24.621390808333331</v>
      </c>
      <c r="S201" s="267">
        <f>SUMIFS(Aux_Lista!AD:AD,Aux_Lista!AB:AB,Aux_TBS!B201,Aux_Lista!AC:AC,Aux_TBS!A201)</f>
        <v>8</v>
      </c>
      <c r="T201" s="267" t="s">
        <v>6016</v>
      </c>
      <c r="U201" s="267">
        <v>40</v>
      </c>
    </row>
    <row r="202" spans="1:21" x14ac:dyDescent="0.25">
      <c r="A202" s="270" t="s">
        <v>5380</v>
      </c>
      <c r="B202" s="251" t="s">
        <v>2160</v>
      </c>
      <c r="C202" s="267" t="str">
        <f t="shared" si="3"/>
        <v>Cuiabá, MT</v>
      </c>
      <c r="D202" s="271">
        <v>-15.62</v>
      </c>
      <c r="E202" s="251">
        <v>151</v>
      </c>
      <c r="F202" s="272">
        <v>27.394892469999998</v>
      </c>
      <c r="G202" s="272">
        <v>27.0483631</v>
      </c>
      <c r="H202" s="272">
        <v>26.118817199999999</v>
      </c>
      <c r="I202" s="272">
        <v>24.814305560000001</v>
      </c>
      <c r="J202" s="272">
        <v>25.696639780000002</v>
      </c>
      <c r="K202" s="272">
        <v>22.844583329999999</v>
      </c>
      <c r="L202" s="272">
        <v>24.120161289999999</v>
      </c>
      <c r="M202" s="272">
        <v>25.999731180000001</v>
      </c>
      <c r="N202" s="272">
        <v>27.23</v>
      </c>
      <c r="O202" s="272">
        <v>28.538978490000002</v>
      </c>
      <c r="P202" s="272">
        <v>28.351805559999999</v>
      </c>
      <c r="Q202" s="272">
        <v>27.05645161</v>
      </c>
      <c r="R202" s="272">
        <v>26.26789413083333</v>
      </c>
      <c r="S202" s="267">
        <f>SUMIFS(Aux_Lista!AD:AD,Aux_Lista!AB:AB,Aux_TBS!B202,Aux_Lista!AC:AC,Aux_TBS!A202)</f>
        <v>7</v>
      </c>
      <c r="T202" s="267" t="s">
        <v>6016</v>
      </c>
      <c r="U202" s="267">
        <v>40</v>
      </c>
    </row>
    <row r="203" spans="1:21" x14ac:dyDescent="0.25">
      <c r="A203" s="270" t="s">
        <v>4728</v>
      </c>
      <c r="B203" s="251" t="s">
        <v>2160</v>
      </c>
      <c r="C203" s="267" t="str">
        <f t="shared" si="3"/>
        <v>Gaúcha do Norte, MT</v>
      </c>
      <c r="D203" s="271">
        <v>-13.18</v>
      </c>
      <c r="E203" s="251">
        <v>379</v>
      </c>
      <c r="F203" s="272">
        <v>25.449865590000002</v>
      </c>
      <c r="G203" s="272">
        <v>24.89479167</v>
      </c>
      <c r="H203" s="272">
        <v>25.63158602</v>
      </c>
      <c r="I203" s="272">
        <v>24.951111109999999</v>
      </c>
      <c r="J203" s="272">
        <v>24.84327957</v>
      </c>
      <c r="K203" s="272">
        <v>23.876388890000001</v>
      </c>
      <c r="L203" s="272">
        <v>24.582258060000001</v>
      </c>
      <c r="M203" s="272">
        <v>25.269354839999998</v>
      </c>
      <c r="N203" s="272">
        <v>26.670694439999998</v>
      </c>
      <c r="O203" s="272">
        <v>25.90443548</v>
      </c>
      <c r="P203" s="272">
        <v>25.802916669999998</v>
      </c>
      <c r="Q203" s="272">
        <v>24.725537630000002</v>
      </c>
      <c r="R203" s="272">
        <v>25.216851664166668</v>
      </c>
      <c r="S203" s="267">
        <f>SUMIFS(Aux_Lista!AD:AD,Aux_Lista!AB:AB,Aux_TBS!B203,Aux_Lista!AC:AC,Aux_TBS!A203)</f>
        <v>6</v>
      </c>
      <c r="T203" s="267" t="s">
        <v>6016</v>
      </c>
      <c r="U203" s="267">
        <v>40</v>
      </c>
    </row>
    <row r="204" spans="1:21" x14ac:dyDescent="0.25">
      <c r="A204" s="270" t="s">
        <v>4781</v>
      </c>
      <c r="B204" s="251" t="s">
        <v>2160</v>
      </c>
      <c r="C204" s="267" t="str">
        <f t="shared" si="3"/>
        <v>Guarantã do Norte, MT</v>
      </c>
      <c r="D204" s="271">
        <v>-9.7899999999999991</v>
      </c>
      <c r="E204" s="251">
        <v>320</v>
      </c>
      <c r="F204" s="272">
        <v>25.004569889999999</v>
      </c>
      <c r="G204" s="272">
        <v>24.44017857</v>
      </c>
      <c r="H204" s="272">
        <v>25.024865590000001</v>
      </c>
      <c r="I204" s="272">
        <v>25.40666667</v>
      </c>
      <c r="J204" s="272">
        <v>25.215725809999999</v>
      </c>
      <c r="K204" s="272">
        <v>23.98875</v>
      </c>
      <c r="L204" s="272">
        <v>24.37459677</v>
      </c>
      <c r="M204" s="272">
        <v>24.86989247</v>
      </c>
      <c r="N204" s="272">
        <v>25.34333333</v>
      </c>
      <c r="O204" s="272">
        <v>25.554838709999999</v>
      </c>
      <c r="P204" s="272">
        <v>25.760972219999999</v>
      </c>
      <c r="Q204" s="272">
        <v>25.477284950000001</v>
      </c>
      <c r="R204" s="272">
        <v>25.038472915</v>
      </c>
      <c r="S204" s="267">
        <f>SUMIFS(Aux_Lista!AD:AD,Aux_Lista!AB:AB,Aux_TBS!B204,Aux_Lista!AC:AC,Aux_TBS!A204)</f>
        <v>8</v>
      </c>
      <c r="T204" s="267" t="s">
        <v>6016</v>
      </c>
      <c r="U204" s="267">
        <v>40</v>
      </c>
    </row>
    <row r="205" spans="1:21" x14ac:dyDescent="0.25">
      <c r="A205" s="270" t="s">
        <v>5457</v>
      </c>
      <c r="B205" s="251" t="s">
        <v>2160</v>
      </c>
      <c r="C205" s="267" t="str">
        <f t="shared" si="3"/>
        <v>Guiratinga, MT</v>
      </c>
      <c r="D205" s="271">
        <v>-16.34</v>
      </c>
      <c r="E205" s="251">
        <v>526</v>
      </c>
      <c r="F205" s="272">
        <v>24.91330645</v>
      </c>
      <c r="G205" s="272">
        <v>24.456250000000001</v>
      </c>
      <c r="H205" s="272">
        <v>24.519623660000001</v>
      </c>
      <c r="I205" s="272">
        <v>24.430138889999998</v>
      </c>
      <c r="J205" s="272">
        <v>22.387768820000002</v>
      </c>
      <c r="K205" s="272">
        <v>22.531527780000001</v>
      </c>
      <c r="L205" s="272">
        <v>22.89919355</v>
      </c>
      <c r="M205" s="272">
        <v>25.968548389999999</v>
      </c>
      <c r="N205" s="272">
        <v>26.797361110000001</v>
      </c>
      <c r="O205" s="272">
        <v>26.7672043</v>
      </c>
      <c r="P205" s="272">
        <v>25.744166669999998</v>
      </c>
      <c r="Q205" s="272">
        <v>24.925537630000001</v>
      </c>
      <c r="R205" s="272">
        <v>24.695052270833333</v>
      </c>
      <c r="S205" s="267">
        <f>SUMIFS(Aux_Lista!AD:AD,Aux_Lista!AB:AB,Aux_TBS!B205,Aux_Lista!AC:AC,Aux_TBS!A205)</f>
        <v>6</v>
      </c>
      <c r="T205" s="267" t="s">
        <v>6016</v>
      </c>
      <c r="U205" s="267">
        <v>40</v>
      </c>
    </row>
    <row r="206" spans="1:21" x14ac:dyDescent="0.25">
      <c r="A206" s="270" t="s">
        <v>2182</v>
      </c>
      <c r="B206" s="251" t="s">
        <v>2160</v>
      </c>
      <c r="C206" s="267" t="str">
        <f t="shared" si="3"/>
        <v>Itiquira, MT</v>
      </c>
      <c r="D206" s="271">
        <v>-17.18</v>
      </c>
      <c r="E206" s="251">
        <v>585</v>
      </c>
      <c r="F206" s="272">
        <v>24.31155914</v>
      </c>
      <c r="G206" s="272">
        <v>25.219494050000002</v>
      </c>
      <c r="H206" s="272">
        <v>24.977284950000001</v>
      </c>
      <c r="I206" s="272">
        <v>24.40291667</v>
      </c>
      <c r="J206" s="272">
        <v>21.75510753</v>
      </c>
      <c r="K206" s="272">
        <v>21.15958333</v>
      </c>
      <c r="L206" s="272">
        <v>22.797177420000001</v>
      </c>
      <c r="M206" s="272">
        <v>24.419220429999999</v>
      </c>
      <c r="N206" s="272">
        <v>24.986249999999998</v>
      </c>
      <c r="O206" s="272">
        <v>25.537634409999999</v>
      </c>
      <c r="P206" s="272">
        <v>24.935694439999999</v>
      </c>
      <c r="Q206" s="272">
        <v>23.8702957</v>
      </c>
      <c r="R206" s="272">
        <v>24.031018172500001</v>
      </c>
      <c r="S206" s="267">
        <f>SUMIFS(Aux_Lista!AD:AD,Aux_Lista!AB:AB,Aux_TBS!B206,Aux_Lista!AC:AC,Aux_TBS!A206)</f>
        <v>6</v>
      </c>
      <c r="T206" s="267" t="s">
        <v>6016</v>
      </c>
      <c r="U206" s="267">
        <v>40</v>
      </c>
    </row>
    <row r="207" spans="1:21" x14ac:dyDescent="0.25">
      <c r="A207" s="270" t="s">
        <v>4797</v>
      </c>
      <c r="B207" s="251" t="s">
        <v>2160</v>
      </c>
      <c r="C207" s="267" t="str">
        <f t="shared" si="3"/>
        <v>Juara, MT</v>
      </c>
      <c r="D207" s="271">
        <v>-11.26</v>
      </c>
      <c r="E207" s="251">
        <v>260</v>
      </c>
      <c r="F207" s="272">
        <v>25.422715050000001</v>
      </c>
      <c r="G207" s="272">
        <v>25.727678569999998</v>
      </c>
      <c r="H207" s="272">
        <v>25.925134409999998</v>
      </c>
      <c r="I207" s="272">
        <v>26.36902778</v>
      </c>
      <c r="J207" s="272">
        <v>25.264516130000001</v>
      </c>
      <c r="K207" s="272">
        <v>25.340555559999999</v>
      </c>
      <c r="L207" s="272">
        <v>24.71922043</v>
      </c>
      <c r="M207" s="272">
        <v>25.485349459999998</v>
      </c>
      <c r="N207" s="272">
        <v>28.297916669999999</v>
      </c>
      <c r="O207" s="272">
        <v>26.899462369999998</v>
      </c>
      <c r="P207" s="272">
        <v>25.817638890000001</v>
      </c>
      <c r="Q207" s="272">
        <v>25.37634409</v>
      </c>
      <c r="R207" s="272">
        <v>25.88712995083333</v>
      </c>
      <c r="S207" s="267">
        <f>SUMIFS(Aux_Lista!AD:AD,Aux_Lista!AB:AB,Aux_TBS!B207,Aux_Lista!AC:AC,Aux_TBS!A207)</f>
        <v>8</v>
      </c>
      <c r="T207" s="267" t="s">
        <v>6016</v>
      </c>
      <c r="U207" s="267">
        <v>40</v>
      </c>
    </row>
    <row r="208" spans="1:21" x14ac:dyDescent="0.25">
      <c r="A208" s="270" t="s">
        <v>4257</v>
      </c>
      <c r="B208" s="251" t="s">
        <v>2160</v>
      </c>
      <c r="C208" s="267" t="str">
        <f t="shared" si="3"/>
        <v>Juína, MT</v>
      </c>
      <c r="D208" s="271">
        <v>-11.38</v>
      </c>
      <c r="E208" s="251">
        <v>200</v>
      </c>
      <c r="F208" s="272">
        <v>24.807930110000001</v>
      </c>
      <c r="G208" s="272">
        <v>24.571874999999999</v>
      </c>
      <c r="H208" s="272">
        <v>24.482258059999999</v>
      </c>
      <c r="I208" s="272">
        <v>24.565694440000001</v>
      </c>
      <c r="J208" s="272">
        <v>24.577284949999999</v>
      </c>
      <c r="K208" s="272">
        <v>23.47319444</v>
      </c>
      <c r="L208" s="272">
        <v>24.411155910000002</v>
      </c>
      <c r="M208" s="272">
        <v>25.663978490000002</v>
      </c>
      <c r="N208" s="272">
        <v>25.591388890000001</v>
      </c>
      <c r="O208" s="272">
        <v>25.92997312</v>
      </c>
      <c r="P208" s="272">
        <v>25.458749999999998</v>
      </c>
      <c r="Q208" s="272">
        <v>24.58064516</v>
      </c>
      <c r="R208" s="272">
        <v>24.842844047499998</v>
      </c>
      <c r="S208" s="267">
        <f>SUMIFS(Aux_Lista!AD:AD,Aux_Lista!AB:AB,Aux_TBS!B208,Aux_Lista!AC:AC,Aux_TBS!A208)</f>
        <v>8</v>
      </c>
      <c r="T208" s="267" t="s">
        <v>6016</v>
      </c>
      <c r="U208" s="267">
        <v>40</v>
      </c>
    </row>
    <row r="209" spans="1:21" x14ac:dyDescent="0.25">
      <c r="A209" s="270" t="s">
        <v>5458</v>
      </c>
      <c r="B209" s="251" t="s">
        <v>2160</v>
      </c>
      <c r="C209" s="267" t="str">
        <f t="shared" si="3"/>
        <v>Nova Maringá, MT</v>
      </c>
      <c r="D209" s="271">
        <v>-13.04</v>
      </c>
      <c r="E209" s="251">
        <v>353</v>
      </c>
      <c r="F209" s="272">
        <v>26.578763439999999</v>
      </c>
      <c r="G209" s="272">
        <v>26.6547619</v>
      </c>
      <c r="H209" s="272">
        <v>27.05739247</v>
      </c>
      <c r="I209" s="272">
        <v>27.922777780000001</v>
      </c>
      <c r="J209" s="272">
        <v>26.902822579999999</v>
      </c>
      <c r="K209" s="272">
        <v>23.947916670000001</v>
      </c>
      <c r="L209" s="272">
        <v>24.335215049999999</v>
      </c>
      <c r="M209" s="272">
        <v>25.49865591</v>
      </c>
      <c r="N209" s="272">
        <v>26.502500000000001</v>
      </c>
      <c r="O209" s="272">
        <v>26.96680108</v>
      </c>
      <c r="P209" s="272">
        <v>27.206111109999998</v>
      </c>
      <c r="Q209" s="272">
        <v>26.449059139999999</v>
      </c>
      <c r="R209" s="272">
        <v>26.335231427499995</v>
      </c>
      <c r="S209" s="267">
        <f>SUMIFS(Aux_Lista!AD:AD,Aux_Lista!AB:AB,Aux_TBS!B209,Aux_Lista!AC:AC,Aux_TBS!A209)</f>
        <v>5</v>
      </c>
      <c r="T209" s="267" t="s">
        <v>6016</v>
      </c>
      <c r="U209" s="267">
        <v>40</v>
      </c>
    </row>
    <row r="210" spans="1:21" x14ac:dyDescent="0.25">
      <c r="A210" s="270" t="s">
        <v>4770</v>
      </c>
      <c r="B210" s="251" t="s">
        <v>2160</v>
      </c>
      <c r="C210" s="267" t="str">
        <f t="shared" si="3"/>
        <v>Novo Mundo, MT</v>
      </c>
      <c r="D210" s="271">
        <v>-12.52</v>
      </c>
      <c r="E210" s="251">
        <v>431</v>
      </c>
      <c r="F210" s="272">
        <v>24.549327959999999</v>
      </c>
      <c r="G210" s="272">
        <v>24.214732139999999</v>
      </c>
      <c r="H210" s="272">
        <v>23.828091400000002</v>
      </c>
      <c r="I210" s="272">
        <v>23.731666669999999</v>
      </c>
      <c r="J210" s="272">
        <v>23.359408599999998</v>
      </c>
      <c r="K210" s="272">
        <v>23.200833329999998</v>
      </c>
      <c r="L210" s="272">
        <v>25.292876339999999</v>
      </c>
      <c r="M210" s="272">
        <v>27.280645159999999</v>
      </c>
      <c r="N210" s="272">
        <v>26.508055559999999</v>
      </c>
      <c r="O210" s="272">
        <v>26.090188170000001</v>
      </c>
      <c r="P210" s="272">
        <v>24.881111109999999</v>
      </c>
      <c r="Q210" s="272">
        <v>24.251747309999999</v>
      </c>
      <c r="R210" s="272">
        <v>24.765723645833333</v>
      </c>
      <c r="S210" s="267">
        <f>SUMIFS(Aux_Lista!AD:AD,Aux_Lista!AB:AB,Aux_TBS!B210,Aux_Lista!AC:AC,Aux_TBS!A210)</f>
        <v>8</v>
      </c>
      <c r="T210" s="267" t="s">
        <v>6016</v>
      </c>
      <c r="U210" s="267">
        <v>40</v>
      </c>
    </row>
    <row r="211" spans="1:21" x14ac:dyDescent="0.25">
      <c r="A211" s="270" t="s">
        <v>2855</v>
      </c>
      <c r="B211" s="251" t="s">
        <v>2160</v>
      </c>
      <c r="C211" s="267" t="str">
        <f t="shared" si="3"/>
        <v>Paranatinga, MT</v>
      </c>
      <c r="D211" s="271">
        <v>-14.43</v>
      </c>
      <c r="E211" s="251">
        <v>474</v>
      </c>
      <c r="F211" s="272">
        <v>24.140053760000001</v>
      </c>
      <c r="G211" s="272">
        <v>24.13735119</v>
      </c>
      <c r="H211" s="272">
        <v>24.241801079999998</v>
      </c>
      <c r="I211" s="272">
        <v>24.516388890000002</v>
      </c>
      <c r="J211" s="272">
        <v>23.07930108</v>
      </c>
      <c r="K211" s="272">
        <v>22.456805559999999</v>
      </c>
      <c r="L211" s="272">
        <v>22.514381719999999</v>
      </c>
      <c r="M211" s="272">
        <v>25.47298387</v>
      </c>
      <c r="N211" s="272">
        <v>26.78569444</v>
      </c>
      <c r="O211" s="272">
        <v>26.384139780000002</v>
      </c>
      <c r="P211" s="272">
        <v>25.11111111</v>
      </c>
      <c r="Q211" s="272">
        <v>24.621908600000001</v>
      </c>
      <c r="R211" s="272">
        <v>24.455160090000003</v>
      </c>
      <c r="S211" s="267">
        <f>SUMIFS(Aux_Lista!AD:AD,Aux_Lista!AB:AB,Aux_TBS!B211,Aux_Lista!AC:AC,Aux_TBS!A211)</f>
        <v>6</v>
      </c>
      <c r="T211" s="267" t="s">
        <v>6016</v>
      </c>
      <c r="U211" s="267">
        <v>40</v>
      </c>
    </row>
    <row r="212" spans="1:21" x14ac:dyDescent="0.25">
      <c r="A212" s="270" t="s">
        <v>5329</v>
      </c>
      <c r="B212" s="251" t="s">
        <v>2160</v>
      </c>
      <c r="C212" s="267" t="str">
        <f t="shared" si="3"/>
        <v>Pontes e Lacerda, MT</v>
      </c>
      <c r="D212" s="271">
        <v>-15.25</v>
      </c>
      <c r="E212" s="251">
        <v>256</v>
      </c>
      <c r="F212" s="272">
        <v>26.141666669999999</v>
      </c>
      <c r="G212" s="272">
        <v>25.491964289999999</v>
      </c>
      <c r="H212" s="272">
        <v>25.333198920000001</v>
      </c>
      <c r="I212" s="272">
        <v>25.561944440000001</v>
      </c>
      <c r="J212" s="272">
        <v>24.21075269</v>
      </c>
      <c r="K212" s="272">
        <v>22.374027779999999</v>
      </c>
      <c r="L212" s="272">
        <v>23.156854840000001</v>
      </c>
      <c r="M212" s="272">
        <v>24.956720430000001</v>
      </c>
      <c r="N212" s="272">
        <v>26.23263889</v>
      </c>
      <c r="O212" s="272">
        <v>27.673655910000001</v>
      </c>
      <c r="P212" s="272">
        <v>26.931666669999998</v>
      </c>
      <c r="Q212" s="272">
        <v>25.991263440000001</v>
      </c>
      <c r="R212" s="272">
        <v>25.338029580833336</v>
      </c>
      <c r="S212" s="267">
        <f>SUMIFS(Aux_Lista!AD:AD,Aux_Lista!AB:AB,Aux_TBS!B212,Aux_Lista!AC:AC,Aux_TBS!A212)</f>
        <v>5</v>
      </c>
      <c r="T212" s="267" t="s">
        <v>6016</v>
      </c>
      <c r="U212" s="267">
        <v>40</v>
      </c>
    </row>
    <row r="213" spans="1:21" x14ac:dyDescent="0.25">
      <c r="A213" s="270" t="s">
        <v>5485</v>
      </c>
      <c r="B213" s="251" t="s">
        <v>2160</v>
      </c>
      <c r="C213" s="267" t="str">
        <f t="shared" si="3"/>
        <v>Porto Estrela, MT</v>
      </c>
      <c r="D213" s="271">
        <v>-15.32</v>
      </c>
      <c r="E213" s="251">
        <v>145</v>
      </c>
      <c r="F213" s="272">
        <v>26.52701613</v>
      </c>
      <c r="G213" s="272">
        <v>26.104166670000001</v>
      </c>
      <c r="H213" s="272">
        <v>26.058198919999999</v>
      </c>
      <c r="I213" s="272">
        <v>24.942499999999999</v>
      </c>
      <c r="J213" s="272">
        <v>22.923790319999998</v>
      </c>
      <c r="K213" s="272">
        <v>21.715277780000001</v>
      </c>
      <c r="L213" s="272">
        <v>22.922849459999998</v>
      </c>
      <c r="M213" s="272">
        <v>25.61465054</v>
      </c>
      <c r="N213" s="272">
        <v>26.31180556</v>
      </c>
      <c r="O213" s="272">
        <v>27.491666670000001</v>
      </c>
      <c r="P213" s="272">
        <v>27.750555559999999</v>
      </c>
      <c r="Q213" s="272">
        <v>26.428494619999999</v>
      </c>
      <c r="R213" s="272">
        <v>25.399247685833334</v>
      </c>
      <c r="S213" s="267">
        <f>SUMIFS(Aux_Lista!AD:AD,Aux_Lista!AB:AB,Aux_TBS!B213,Aux_Lista!AC:AC,Aux_TBS!A213)</f>
        <v>8</v>
      </c>
      <c r="T213" s="267" t="s">
        <v>6016</v>
      </c>
      <c r="U213" s="267">
        <v>40</v>
      </c>
    </row>
    <row r="214" spans="1:21" x14ac:dyDescent="0.25">
      <c r="A214" s="270" t="s">
        <v>4724</v>
      </c>
      <c r="B214" s="251" t="s">
        <v>2160</v>
      </c>
      <c r="C214" s="267" t="str">
        <f t="shared" si="3"/>
        <v>Querência, MT</v>
      </c>
      <c r="D214" s="271">
        <v>-12.63</v>
      </c>
      <c r="E214" s="251">
        <v>382</v>
      </c>
      <c r="F214" s="272">
        <v>25.087096769999999</v>
      </c>
      <c r="G214" s="272">
        <v>24.587648810000001</v>
      </c>
      <c r="H214" s="272">
        <v>25.315591399999999</v>
      </c>
      <c r="I214" s="272">
        <v>24.706250000000001</v>
      </c>
      <c r="J214" s="272">
        <v>24.331854839999998</v>
      </c>
      <c r="K214" s="272">
        <v>23.797361110000001</v>
      </c>
      <c r="L214" s="272">
        <v>24.677956989999998</v>
      </c>
      <c r="M214" s="272">
        <v>25.5530914</v>
      </c>
      <c r="N214" s="272">
        <v>26.301111110000001</v>
      </c>
      <c r="O214" s="272">
        <v>25.46129032</v>
      </c>
      <c r="P214" s="272">
        <v>25.773472219999999</v>
      </c>
      <c r="Q214" s="272">
        <v>24.726344090000001</v>
      </c>
      <c r="R214" s="272">
        <v>25.026589088333328</v>
      </c>
      <c r="S214" s="267">
        <f>SUMIFS(Aux_Lista!AD:AD,Aux_Lista!AB:AB,Aux_TBS!B214,Aux_Lista!AC:AC,Aux_TBS!A214)</f>
        <v>7</v>
      </c>
      <c r="T214" s="267" t="s">
        <v>6016</v>
      </c>
      <c r="U214" s="267">
        <v>40</v>
      </c>
    </row>
    <row r="215" spans="1:21" x14ac:dyDescent="0.25">
      <c r="A215" s="270" t="s">
        <v>5475</v>
      </c>
      <c r="B215" s="251" t="s">
        <v>2160</v>
      </c>
      <c r="C215" s="267" t="str">
        <f t="shared" si="3"/>
        <v>Rondonópolis, MT</v>
      </c>
      <c r="D215" s="271">
        <v>-16.47</v>
      </c>
      <c r="E215" s="251">
        <v>284</v>
      </c>
      <c r="F215" s="272">
        <v>25.600403230000001</v>
      </c>
      <c r="G215" s="272">
        <v>25.44166667</v>
      </c>
      <c r="H215" s="272">
        <v>25.86612903</v>
      </c>
      <c r="I215" s="272">
        <v>25.639027779999999</v>
      </c>
      <c r="J215" s="272">
        <v>25.082392469999998</v>
      </c>
      <c r="K215" s="272">
        <v>24.16375</v>
      </c>
      <c r="L215" s="272">
        <v>22.987903230000001</v>
      </c>
      <c r="M215" s="272">
        <v>26.01397849</v>
      </c>
      <c r="N215" s="272">
        <v>25.42319444</v>
      </c>
      <c r="O215" s="272">
        <v>27.33064516</v>
      </c>
      <c r="P215" s="272">
        <v>26.727222220000002</v>
      </c>
      <c r="Q215" s="272">
        <v>25.62258065</v>
      </c>
      <c r="R215" s="272">
        <v>25.491574447499996</v>
      </c>
      <c r="S215" s="267">
        <f>SUMIFS(Aux_Lista!AD:AD,Aux_Lista!AB:AB,Aux_TBS!B215,Aux_Lista!AC:AC,Aux_TBS!A215)</f>
        <v>6</v>
      </c>
      <c r="T215" s="267" t="s">
        <v>6016</v>
      </c>
      <c r="U215" s="267">
        <v>40</v>
      </c>
    </row>
    <row r="216" spans="1:21" x14ac:dyDescent="0.25">
      <c r="A216" s="270" t="s">
        <v>5417</v>
      </c>
      <c r="B216" s="251" t="s">
        <v>2160</v>
      </c>
      <c r="C216" s="267" t="str">
        <f t="shared" si="3"/>
        <v>Salto do Céu, MT</v>
      </c>
      <c r="D216" s="271">
        <v>-15.12</v>
      </c>
      <c r="E216" s="251">
        <v>303</v>
      </c>
      <c r="F216" s="272">
        <v>25.26263441</v>
      </c>
      <c r="G216" s="272">
        <v>25.223958329999999</v>
      </c>
      <c r="H216" s="272">
        <v>25.161962370000001</v>
      </c>
      <c r="I216" s="272">
        <v>24.77680556</v>
      </c>
      <c r="J216" s="272">
        <v>23.705510749999998</v>
      </c>
      <c r="K216" s="272">
        <v>21.264722219999999</v>
      </c>
      <c r="L216" s="272">
        <v>22.087096769999999</v>
      </c>
      <c r="M216" s="272">
        <v>23.62782258</v>
      </c>
      <c r="N216" s="272">
        <v>25.052638890000001</v>
      </c>
      <c r="O216" s="272">
        <v>26.84556452</v>
      </c>
      <c r="P216" s="272">
        <v>26.261111110000002</v>
      </c>
      <c r="Q216" s="272">
        <v>25.528629030000001</v>
      </c>
      <c r="R216" s="272">
        <v>24.566538045000001</v>
      </c>
      <c r="S216" s="267">
        <f>SUMIFS(Aux_Lista!AD:AD,Aux_Lista!AB:AB,Aux_TBS!B216,Aux_Lista!AC:AC,Aux_TBS!A216)</f>
        <v>5</v>
      </c>
      <c r="T216" s="267" t="s">
        <v>6016</v>
      </c>
      <c r="U216" s="267">
        <v>40</v>
      </c>
    </row>
    <row r="217" spans="1:21" x14ac:dyDescent="0.25">
      <c r="A217" s="270" t="s">
        <v>2838</v>
      </c>
      <c r="B217" s="251" t="s">
        <v>2160</v>
      </c>
      <c r="C217" s="267" t="str">
        <f t="shared" si="3"/>
        <v>Santo Antônio do Leste, MT</v>
      </c>
      <c r="D217" s="271">
        <v>-14.93</v>
      </c>
      <c r="E217" s="251">
        <v>648</v>
      </c>
      <c r="F217" s="272">
        <v>24.350403230000001</v>
      </c>
      <c r="G217" s="272">
        <v>23.649553569999998</v>
      </c>
      <c r="H217" s="272">
        <v>24.0266129</v>
      </c>
      <c r="I217" s="272">
        <v>23.181249999999999</v>
      </c>
      <c r="J217" s="272">
        <v>22.752688169999999</v>
      </c>
      <c r="K217" s="272">
        <v>21.361666670000002</v>
      </c>
      <c r="L217" s="272">
        <v>23.076344089999999</v>
      </c>
      <c r="M217" s="272">
        <v>24.31209677</v>
      </c>
      <c r="N217" s="272">
        <v>25.05763889</v>
      </c>
      <c r="O217" s="272">
        <v>24.560349460000001</v>
      </c>
      <c r="P217" s="272">
        <v>24.404166669999999</v>
      </c>
      <c r="Q217" s="272">
        <v>23.43091398</v>
      </c>
      <c r="R217" s="272">
        <v>23.680307033333335</v>
      </c>
      <c r="S217" s="267">
        <f>SUMIFS(Aux_Lista!AD:AD,Aux_Lista!AB:AB,Aux_TBS!B217,Aux_Lista!AC:AC,Aux_TBS!A217)</f>
        <v>6</v>
      </c>
      <c r="T217" s="267" t="s">
        <v>6016</v>
      </c>
      <c r="U217" s="267">
        <v>40</v>
      </c>
    </row>
    <row r="218" spans="1:21" x14ac:dyDescent="0.25">
      <c r="A218" s="270" t="s">
        <v>4590</v>
      </c>
      <c r="B218" s="251" t="s">
        <v>2160</v>
      </c>
      <c r="C218" s="267" t="str">
        <f t="shared" si="3"/>
        <v>São Félix do Araguaia, MT</v>
      </c>
      <c r="D218" s="271">
        <v>-11.62</v>
      </c>
      <c r="E218" s="251">
        <v>218</v>
      </c>
      <c r="F218" s="272">
        <v>26.080913979999998</v>
      </c>
      <c r="G218" s="272">
        <v>26.34702381</v>
      </c>
      <c r="H218" s="272">
        <v>26.77419355</v>
      </c>
      <c r="I218" s="272">
        <v>25.569444440000002</v>
      </c>
      <c r="J218" s="272">
        <v>25.567338710000001</v>
      </c>
      <c r="K218" s="272">
        <v>25.274305559999998</v>
      </c>
      <c r="L218" s="272">
        <v>25.672715050000001</v>
      </c>
      <c r="M218" s="272">
        <v>26.794623659999999</v>
      </c>
      <c r="N218" s="272">
        <v>27.770555559999998</v>
      </c>
      <c r="O218" s="272">
        <v>26.365322580000001</v>
      </c>
      <c r="P218" s="272">
        <v>26.425277779999998</v>
      </c>
      <c r="Q218" s="272">
        <v>26.05362903</v>
      </c>
      <c r="R218" s="272">
        <v>26.22461197583333</v>
      </c>
      <c r="S218" s="267">
        <f>SUMIFS(Aux_Lista!AD:AD,Aux_Lista!AB:AB,Aux_TBS!B218,Aux_Lista!AC:AC,Aux_TBS!A218)</f>
        <v>7</v>
      </c>
      <c r="T218" s="267" t="s">
        <v>6016</v>
      </c>
      <c r="U218" s="267">
        <v>40</v>
      </c>
    </row>
    <row r="219" spans="1:21" x14ac:dyDescent="0.25">
      <c r="A219" s="270" t="s">
        <v>5483</v>
      </c>
      <c r="B219" s="251" t="s">
        <v>2160</v>
      </c>
      <c r="C219" s="267" t="str">
        <f t="shared" si="3"/>
        <v>São José do Rio Claro, MT</v>
      </c>
      <c r="D219" s="271">
        <v>-13.45</v>
      </c>
      <c r="E219" s="251">
        <v>350</v>
      </c>
      <c r="F219" s="272">
        <v>24.859677420000001</v>
      </c>
      <c r="G219" s="272">
        <v>25.209970240000001</v>
      </c>
      <c r="H219" s="272">
        <v>25.150940859999999</v>
      </c>
      <c r="I219" s="272">
        <v>25.061111109999999</v>
      </c>
      <c r="J219" s="272">
        <v>24.67715054</v>
      </c>
      <c r="K219" s="272">
        <v>23.730555559999999</v>
      </c>
      <c r="L219" s="272">
        <v>22.526209680000001</v>
      </c>
      <c r="M219" s="272">
        <v>24.330107529999999</v>
      </c>
      <c r="N219" s="272">
        <v>24.594722220000001</v>
      </c>
      <c r="O219" s="272">
        <v>26.662096770000002</v>
      </c>
      <c r="P219" s="272">
        <v>25.839166670000001</v>
      </c>
      <c r="Q219" s="272">
        <v>24.744758059999999</v>
      </c>
      <c r="R219" s="272">
        <v>24.782205555000001</v>
      </c>
      <c r="S219" s="267">
        <f>SUMIFS(Aux_Lista!AD:AD,Aux_Lista!AB:AB,Aux_TBS!B219,Aux_Lista!AC:AC,Aux_TBS!A219)</f>
        <v>5</v>
      </c>
      <c r="T219" s="267" t="s">
        <v>6016</v>
      </c>
      <c r="U219" s="267">
        <v>40</v>
      </c>
    </row>
    <row r="220" spans="1:21" x14ac:dyDescent="0.25">
      <c r="A220" s="270" t="s">
        <v>4788</v>
      </c>
      <c r="B220" s="251" t="s">
        <v>2160</v>
      </c>
      <c r="C220" s="267" t="str">
        <f t="shared" si="3"/>
        <v>Sinop, MT</v>
      </c>
      <c r="D220" s="271">
        <v>-11.86</v>
      </c>
      <c r="E220" s="251">
        <v>371</v>
      </c>
      <c r="F220" s="272">
        <v>23.996505379999999</v>
      </c>
      <c r="G220" s="272">
        <v>24.00818452</v>
      </c>
      <c r="H220" s="272">
        <v>24.355376339999999</v>
      </c>
      <c r="I220" s="272">
        <v>24.721111109999999</v>
      </c>
      <c r="J220" s="272">
        <v>24.058467740000001</v>
      </c>
      <c r="K220" s="272">
        <v>24.074444440000001</v>
      </c>
      <c r="L220" s="272">
        <v>25.211155909999999</v>
      </c>
      <c r="M220" s="272">
        <v>27.524059139999999</v>
      </c>
      <c r="N220" s="272">
        <v>26.913194440000002</v>
      </c>
      <c r="O220" s="272">
        <v>26.232392470000001</v>
      </c>
      <c r="P220" s="272">
        <v>25.169861109999999</v>
      </c>
      <c r="Q220" s="272">
        <v>24.58763441</v>
      </c>
      <c r="R220" s="272">
        <v>25.071032250833337</v>
      </c>
      <c r="S220" s="267">
        <f>SUMIFS(Aux_Lista!AD:AD,Aux_Lista!AB:AB,Aux_TBS!B220,Aux_Lista!AC:AC,Aux_TBS!A220)</f>
        <v>8</v>
      </c>
      <c r="T220" s="267" t="s">
        <v>6016</v>
      </c>
      <c r="U220" s="267">
        <v>40</v>
      </c>
    </row>
    <row r="221" spans="1:21" x14ac:dyDescent="0.25">
      <c r="A221" s="270" t="s">
        <v>4766</v>
      </c>
      <c r="B221" s="251" t="s">
        <v>2160</v>
      </c>
      <c r="C221" s="267" t="str">
        <f t="shared" si="3"/>
        <v>Sorriso, MT</v>
      </c>
      <c r="D221" s="271">
        <v>-12.55</v>
      </c>
      <c r="E221" s="251">
        <v>380</v>
      </c>
      <c r="F221" s="272">
        <v>24.794892470000001</v>
      </c>
      <c r="G221" s="272">
        <v>24.987500000000001</v>
      </c>
      <c r="H221" s="272">
        <v>24.954569889999998</v>
      </c>
      <c r="I221" s="272">
        <v>25.50902778</v>
      </c>
      <c r="J221" s="272">
        <v>25.06626344</v>
      </c>
      <c r="K221" s="272">
        <v>25.06888889</v>
      </c>
      <c r="L221" s="272">
        <v>24.55645161</v>
      </c>
      <c r="M221" s="272">
        <v>26.048655910000001</v>
      </c>
      <c r="N221" s="272">
        <v>26.43486111</v>
      </c>
      <c r="O221" s="272">
        <v>25.875672040000001</v>
      </c>
      <c r="P221" s="272">
        <v>25.435416669999999</v>
      </c>
      <c r="Q221" s="272">
        <v>25.60685484</v>
      </c>
      <c r="R221" s="272">
        <v>25.361587887500004</v>
      </c>
      <c r="S221" s="267">
        <f>SUMIFS(Aux_Lista!AD:AD,Aux_Lista!AB:AB,Aux_TBS!B221,Aux_Lista!AC:AC,Aux_TBS!A221)</f>
        <v>5</v>
      </c>
      <c r="T221" s="267" t="s">
        <v>6016</v>
      </c>
      <c r="U221" s="267">
        <v>40</v>
      </c>
    </row>
    <row r="222" spans="1:21" x14ac:dyDescent="0.25">
      <c r="A222" s="270" t="s">
        <v>5076</v>
      </c>
      <c r="B222" s="251" t="s">
        <v>2160</v>
      </c>
      <c r="C222" s="267" t="str">
        <f t="shared" si="3"/>
        <v>Tangará da Serra, MT</v>
      </c>
      <c r="D222" s="271">
        <v>-14.62</v>
      </c>
      <c r="E222" s="251">
        <v>322</v>
      </c>
      <c r="F222" s="272">
        <v>25.245161289999999</v>
      </c>
      <c r="G222" s="272">
        <v>24.628422619999998</v>
      </c>
      <c r="H222" s="272">
        <v>24.481586020000002</v>
      </c>
      <c r="I222" s="272">
        <v>23.437222219999999</v>
      </c>
      <c r="J222" s="272">
        <v>24.97056452</v>
      </c>
      <c r="K222" s="272">
        <v>24.681666669999998</v>
      </c>
      <c r="L222" s="272">
        <v>22.644623660000001</v>
      </c>
      <c r="M222" s="272">
        <v>25.775268820000001</v>
      </c>
      <c r="N222" s="272">
        <v>23.564861109999999</v>
      </c>
      <c r="O222" s="272">
        <v>25.999731180000001</v>
      </c>
      <c r="P222" s="272">
        <v>25.510416670000001</v>
      </c>
      <c r="Q222" s="272">
        <v>24.571505380000001</v>
      </c>
      <c r="R222" s="272">
        <v>24.62591918</v>
      </c>
      <c r="S222" s="267">
        <f>SUMIFS(Aux_Lista!AD:AD,Aux_Lista!AB:AB,Aux_TBS!B222,Aux_Lista!AC:AC,Aux_TBS!A222)</f>
        <v>7</v>
      </c>
      <c r="T222" s="267" t="s">
        <v>6016</v>
      </c>
      <c r="U222" s="267">
        <v>40</v>
      </c>
    </row>
    <row r="223" spans="1:21" x14ac:dyDescent="0.25">
      <c r="A223" s="270" t="s">
        <v>5469</v>
      </c>
      <c r="B223" s="251" t="s">
        <v>2160</v>
      </c>
      <c r="C223" s="267" t="str">
        <f t="shared" si="3"/>
        <v>Vila Bela da Santíssima Trindade, MT</v>
      </c>
      <c r="D223" s="271">
        <v>-15.01</v>
      </c>
      <c r="E223" s="251">
        <v>222</v>
      </c>
      <c r="F223" s="272">
        <v>26.114919350000001</v>
      </c>
      <c r="G223" s="272">
        <v>25.442708329999999</v>
      </c>
      <c r="H223" s="272">
        <v>25.646774189999999</v>
      </c>
      <c r="I223" s="272">
        <v>25.741111109999999</v>
      </c>
      <c r="J223" s="272">
        <v>22.127956990000001</v>
      </c>
      <c r="K223" s="272">
        <v>22.748750000000001</v>
      </c>
      <c r="L223" s="272">
        <v>22.207392469999998</v>
      </c>
      <c r="M223" s="272">
        <v>22.8</v>
      </c>
      <c r="N223" s="272">
        <v>26.506111109999999</v>
      </c>
      <c r="O223" s="272">
        <v>26.6030914</v>
      </c>
      <c r="P223" s="272">
        <v>25.581944440000001</v>
      </c>
      <c r="Q223" s="272">
        <v>26.233467739999998</v>
      </c>
      <c r="R223" s="272">
        <v>24.812852260833335</v>
      </c>
      <c r="S223" s="267">
        <f>SUMIFS(Aux_Lista!AD:AD,Aux_Lista!AB:AB,Aux_TBS!B223,Aux_Lista!AC:AC,Aux_TBS!A223)</f>
        <v>5</v>
      </c>
      <c r="T223" s="267" t="s">
        <v>6016</v>
      </c>
      <c r="U223" s="267">
        <v>40</v>
      </c>
    </row>
    <row r="224" spans="1:21" x14ac:dyDescent="0.25">
      <c r="A224" s="270" t="s">
        <v>28</v>
      </c>
      <c r="B224" s="251" t="s">
        <v>29</v>
      </c>
      <c r="C224" s="267" t="str">
        <f t="shared" si="3"/>
        <v>Belém, PA</v>
      </c>
      <c r="D224" s="271">
        <v>-1.46</v>
      </c>
      <c r="E224" s="251">
        <v>24</v>
      </c>
      <c r="F224" s="272">
        <v>26.511827960000002</v>
      </c>
      <c r="G224" s="272">
        <v>26.984523809999999</v>
      </c>
      <c r="H224" s="272">
        <v>27.36142473</v>
      </c>
      <c r="I224" s="272">
        <v>26.624444440000001</v>
      </c>
      <c r="J224" s="272">
        <v>27.193817200000002</v>
      </c>
      <c r="K224" s="272">
        <v>27.086388889999998</v>
      </c>
      <c r="L224" s="272">
        <v>27.18185484</v>
      </c>
      <c r="M224" s="272">
        <v>27.390994620000001</v>
      </c>
      <c r="N224" s="272">
        <v>27.74027778</v>
      </c>
      <c r="O224" s="272">
        <v>27.512499999999999</v>
      </c>
      <c r="P224" s="272">
        <v>27.481805560000002</v>
      </c>
      <c r="Q224" s="272">
        <v>26.838037629999999</v>
      </c>
      <c r="R224" s="272">
        <v>27.158991454999995</v>
      </c>
      <c r="S224" s="267">
        <f>SUMIFS(Aux_Lista!AD:AD,Aux_Lista!AB:AB,Aux_TBS!B224,Aux_Lista!AC:AC,Aux_TBS!A224)</f>
        <v>8</v>
      </c>
      <c r="T224" s="267" t="s">
        <v>6014</v>
      </c>
      <c r="U224" s="267">
        <v>38</v>
      </c>
    </row>
    <row r="225" spans="1:21" x14ac:dyDescent="0.25">
      <c r="A225" s="270" t="s">
        <v>3998</v>
      </c>
      <c r="B225" s="251" t="s">
        <v>29</v>
      </c>
      <c r="C225" s="267" t="str">
        <f t="shared" si="3"/>
        <v>Bragança, PA</v>
      </c>
      <c r="D225" s="271">
        <v>-1.05</v>
      </c>
      <c r="E225" s="251">
        <v>33</v>
      </c>
      <c r="F225" s="272">
        <v>26.84475806</v>
      </c>
      <c r="G225" s="272">
        <v>25.47142857</v>
      </c>
      <c r="H225" s="272">
        <v>25.548118280000001</v>
      </c>
      <c r="I225" s="272">
        <v>25.227222220000002</v>
      </c>
      <c r="J225" s="272">
        <v>25.600672039999999</v>
      </c>
      <c r="K225" s="272">
        <v>25.523472219999999</v>
      </c>
      <c r="L225" s="272">
        <v>25.8125</v>
      </c>
      <c r="M225" s="272">
        <v>26.778091400000001</v>
      </c>
      <c r="N225" s="272">
        <v>27.36375</v>
      </c>
      <c r="O225" s="272">
        <v>27.674462370000001</v>
      </c>
      <c r="P225" s="272">
        <v>27.939305560000001</v>
      </c>
      <c r="Q225" s="272">
        <v>27.811290320000001</v>
      </c>
      <c r="R225" s="272">
        <v>26.466255919999998</v>
      </c>
      <c r="S225" s="267">
        <f>SUMIFS(Aux_Lista!AD:AD,Aux_Lista!AB:AB,Aux_TBS!B225,Aux_Lista!AC:AC,Aux_TBS!A225)</f>
        <v>8</v>
      </c>
      <c r="T225" s="267" t="s">
        <v>6014</v>
      </c>
      <c r="U225" s="267">
        <v>38</v>
      </c>
    </row>
    <row r="226" spans="1:21" x14ac:dyDescent="0.25">
      <c r="A226" s="270" t="s">
        <v>3988</v>
      </c>
      <c r="B226" s="251" t="s">
        <v>29</v>
      </c>
      <c r="C226" s="267" t="str">
        <f t="shared" si="3"/>
        <v>Cametá, PA</v>
      </c>
      <c r="D226" s="271">
        <v>-2.25</v>
      </c>
      <c r="E226" s="251">
        <v>22</v>
      </c>
      <c r="F226" s="272">
        <v>26.77607527</v>
      </c>
      <c r="G226" s="272">
        <v>26.307738100000002</v>
      </c>
      <c r="H226" s="272">
        <v>26.23736559</v>
      </c>
      <c r="I226" s="272">
        <v>26.331250000000001</v>
      </c>
      <c r="J226" s="272">
        <v>26.256317200000002</v>
      </c>
      <c r="K226" s="272">
        <v>26.86902778</v>
      </c>
      <c r="L226" s="272">
        <v>27.652419349999999</v>
      </c>
      <c r="M226" s="272">
        <v>28.017607529999999</v>
      </c>
      <c r="N226" s="272">
        <v>27.88180556</v>
      </c>
      <c r="O226" s="272">
        <v>28.369086020000001</v>
      </c>
      <c r="P226" s="272">
        <v>28.288611110000002</v>
      </c>
      <c r="Q226" s="272">
        <v>27.53736559</v>
      </c>
      <c r="R226" s="272">
        <v>27.210389091666666</v>
      </c>
      <c r="S226" s="267">
        <f>SUMIFS(Aux_Lista!AD:AD,Aux_Lista!AB:AB,Aux_TBS!B226,Aux_Lista!AC:AC,Aux_TBS!A226)</f>
        <v>8</v>
      </c>
      <c r="T226" s="267" t="s">
        <v>6014</v>
      </c>
      <c r="U226" s="267">
        <v>38</v>
      </c>
    </row>
    <row r="227" spans="1:21" x14ac:dyDescent="0.25">
      <c r="A227" s="270" t="s">
        <v>4129</v>
      </c>
      <c r="B227" s="251" t="s">
        <v>29</v>
      </c>
      <c r="C227" s="267" t="str">
        <f t="shared" si="3"/>
        <v>Castanhal, PA</v>
      </c>
      <c r="D227" s="271">
        <v>-1.3</v>
      </c>
      <c r="E227" s="251">
        <v>65</v>
      </c>
      <c r="F227" s="272">
        <v>26.624865589999999</v>
      </c>
      <c r="G227" s="272">
        <v>25.702083330000001</v>
      </c>
      <c r="H227" s="272">
        <v>25.16518817</v>
      </c>
      <c r="I227" s="272">
        <v>25.522916670000001</v>
      </c>
      <c r="J227" s="272">
        <v>25.799596770000001</v>
      </c>
      <c r="K227" s="272">
        <v>26.17055556</v>
      </c>
      <c r="L227" s="272">
        <v>26.094489249999999</v>
      </c>
      <c r="M227" s="272">
        <v>26.280107529999999</v>
      </c>
      <c r="N227" s="272">
        <v>26.480694440000001</v>
      </c>
      <c r="O227" s="272">
        <v>26.81572581</v>
      </c>
      <c r="P227" s="272">
        <v>27.123611109999999</v>
      </c>
      <c r="Q227" s="272">
        <v>26.632661290000001</v>
      </c>
      <c r="R227" s="272">
        <v>26.201041293333333</v>
      </c>
      <c r="S227" s="267">
        <f>SUMIFS(Aux_Lista!AD:AD,Aux_Lista!AB:AB,Aux_TBS!B227,Aux_Lista!AC:AC,Aux_TBS!A227)</f>
        <v>8</v>
      </c>
      <c r="T227" s="267" t="s">
        <v>6014</v>
      </c>
      <c r="U227" s="267">
        <v>38</v>
      </c>
    </row>
    <row r="228" spans="1:21" x14ac:dyDescent="0.25">
      <c r="A228" s="270" t="s">
        <v>5053</v>
      </c>
      <c r="B228" s="251" t="s">
        <v>29</v>
      </c>
      <c r="C228" s="267" t="str">
        <f t="shared" si="3"/>
        <v>Conceição do Araguaia, PA</v>
      </c>
      <c r="D228" s="271">
        <v>-6.28</v>
      </c>
      <c r="E228" s="251">
        <v>180</v>
      </c>
      <c r="F228" s="272">
        <v>26.573118279999999</v>
      </c>
      <c r="G228" s="272">
        <v>25.858630949999998</v>
      </c>
      <c r="H228" s="272">
        <v>26.104838709999999</v>
      </c>
      <c r="I228" s="272">
        <v>25.500277780000001</v>
      </c>
      <c r="J228" s="272">
        <v>25.768817200000001</v>
      </c>
      <c r="K228" s="272">
        <v>26.730555559999999</v>
      </c>
      <c r="L228" s="272">
        <v>27.22069892</v>
      </c>
      <c r="M228" s="272">
        <v>27.99852151</v>
      </c>
      <c r="N228" s="272">
        <v>28.993055559999998</v>
      </c>
      <c r="O228" s="272">
        <v>27.892338710000001</v>
      </c>
      <c r="P228" s="272">
        <v>26.684305559999999</v>
      </c>
      <c r="Q228" s="272">
        <v>25.816935480000001</v>
      </c>
      <c r="R228" s="272">
        <v>26.761841184999994</v>
      </c>
      <c r="S228" s="267">
        <f>SUMIFS(Aux_Lista!AD:AD,Aux_Lista!AB:AB,Aux_TBS!B228,Aux_Lista!AC:AC,Aux_TBS!A228)</f>
        <v>8</v>
      </c>
      <c r="T228" s="267" t="s">
        <v>6014</v>
      </c>
      <c r="U228" s="267">
        <v>38</v>
      </c>
    </row>
    <row r="229" spans="1:21" x14ac:dyDescent="0.25">
      <c r="A229" s="270" t="s">
        <v>4191</v>
      </c>
      <c r="B229" s="251" t="s">
        <v>29</v>
      </c>
      <c r="C229" s="267" t="str">
        <f t="shared" si="3"/>
        <v>Itaituba, PA</v>
      </c>
      <c r="D229" s="271">
        <v>-4.28</v>
      </c>
      <c r="E229" s="251">
        <v>13</v>
      </c>
      <c r="F229" s="272">
        <v>26.440456990000001</v>
      </c>
      <c r="G229" s="272">
        <v>26.097321430000001</v>
      </c>
      <c r="H229" s="272">
        <v>26.170833330000001</v>
      </c>
      <c r="I229" s="272">
        <v>26.32069444</v>
      </c>
      <c r="J229" s="272">
        <v>26.192473119999999</v>
      </c>
      <c r="K229" s="272">
        <v>26.44277778</v>
      </c>
      <c r="L229" s="272">
        <v>27.146236559999998</v>
      </c>
      <c r="M229" s="272">
        <v>27.816397850000001</v>
      </c>
      <c r="N229" s="272">
        <v>27.876249999999999</v>
      </c>
      <c r="O229" s="272">
        <v>28.004973119999999</v>
      </c>
      <c r="P229" s="272">
        <v>27.37833333</v>
      </c>
      <c r="Q229" s="272">
        <v>26.404166669999999</v>
      </c>
      <c r="R229" s="272">
        <v>26.857576218333332</v>
      </c>
      <c r="S229" s="267">
        <f>SUMIFS(Aux_Lista!AD:AD,Aux_Lista!AB:AB,Aux_TBS!B229,Aux_Lista!AC:AC,Aux_TBS!A229)</f>
        <v>8</v>
      </c>
      <c r="T229" s="267" t="s">
        <v>6014</v>
      </c>
      <c r="U229" s="267">
        <v>38</v>
      </c>
    </row>
    <row r="230" spans="1:21" x14ac:dyDescent="0.25">
      <c r="A230" s="270" t="s">
        <v>4213</v>
      </c>
      <c r="B230" s="251" t="s">
        <v>29</v>
      </c>
      <c r="C230" s="267" t="str">
        <f t="shared" si="3"/>
        <v>Marabá, PA</v>
      </c>
      <c r="D230" s="271">
        <v>-5.37</v>
      </c>
      <c r="E230" s="251">
        <v>84</v>
      </c>
      <c r="F230" s="272">
        <v>25.852553759999999</v>
      </c>
      <c r="G230" s="272">
        <v>26.103571429999999</v>
      </c>
      <c r="H230" s="272">
        <v>26.518817200000001</v>
      </c>
      <c r="I230" s="272">
        <v>26.585277779999998</v>
      </c>
      <c r="J230" s="272">
        <v>26.894220430000001</v>
      </c>
      <c r="K230" s="272">
        <v>26.447916670000001</v>
      </c>
      <c r="L230" s="272">
        <v>25.914919350000002</v>
      </c>
      <c r="M230" s="272">
        <v>26.427822580000001</v>
      </c>
      <c r="N230" s="272">
        <v>27.291944440000002</v>
      </c>
      <c r="O230" s="272">
        <v>26.980107530000002</v>
      </c>
      <c r="P230" s="272">
        <v>26.94541667</v>
      </c>
      <c r="Q230" s="272">
        <v>25.96962366</v>
      </c>
      <c r="R230" s="272">
        <v>26.494349291666669</v>
      </c>
      <c r="S230" s="267">
        <f>SUMIFS(Aux_Lista!AD:AD,Aux_Lista!AB:AB,Aux_TBS!B230,Aux_Lista!AC:AC,Aux_TBS!A230)</f>
        <v>8</v>
      </c>
      <c r="T230" s="267" t="s">
        <v>6014</v>
      </c>
      <c r="U230" s="267">
        <v>38</v>
      </c>
    </row>
    <row r="231" spans="1:21" x14ac:dyDescent="0.25">
      <c r="A231" s="270" t="s">
        <v>4150</v>
      </c>
      <c r="B231" s="251" t="s">
        <v>29</v>
      </c>
      <c r="C231" s="267" t="str">
        <f t="shared" si="3"/>
        <v>Novo Repartimento, PA</v>
      </c>
      <c r="D231" s="271">
        <v>-4.26</v>
      </c>
      <c r="E231" s="251">
        <v>113</v>
      </c>
      <c r="F231" s="272">
        <v>25.731720429999999</v>
      </c>
      <c r="G231" s="272">
        <v>25.607440480000001</v>
      </c>
      <c r="H231" s="272">
        <v>25.898655909999999</v>
      </c>
      <c r="I231" s="272">
        <v>25.39458333</v>
      </c>
      <c r="J231" s="272">
        <v>25.370430110000001</v>
      </c>
      <c r="K231" s="272">
        <v>26.263750000000002</v>
      </c>
      <c r="L231" s="272">
        <v>26.867741939999998</v>
      </c>
      <c r="M231" s="272">
        <v>27.3344086</v>
      </c>
      <c r="N231" s="272">
        <v>27.314444439999999</v>
      </c>
      <c r="O231" s="272">
        <v>27.33534946</v>
      </c>
      <c r="P231" s="272">
        <v>26.775138890000001</v>
      </c>
      <c r="Q231" s="272">
        <v>25.881451609999999</v>
      </c>
      <c r="R231" s="272">
        <v>26.31459293333333</v>
      </c>
      <c r="S231" s="267">
        <f>SUMIFS(Aux_Lista!AD:AD,Aux_Lista!AB:AB,Aux_TBS!B231,Aux_Lista!AC:AC,Aux_TBS!A231)</f>
        <v>8</v>
      </c>
      <c r="T231" s="267" t="s">
        <v>6014</v>
      </c>
      <c r="U231" s="267">
        <v>38</v>
      </c>
    </row>
    <row r="232" spans="1:21" x14ac:dyDescent="0.25">
      <c r="A232" s="270" t="s">
        <v>4216</v>
      </c>
      <c r="B232" s="251" t="s">
        <v>29</v>
      </c>
      <c r="C232" s="267" t="str">
        <f t="shared" si="3"/>
        <v>Pacajá, PA</v>
      </c>
      <c r="D232" s="271">
        <v>-3.84</v>
      </c>
      <c r="E232" s="251">
        <v>108</v>
      </c>
      <c r="F232" s="272">
        <v>25.565994620000001</v>
      </c>
      <c r="G232" s="272">
        <v>25.434523810000002</v>
      </c>
      <c r="H232" s="272">
        <v>25.634274189999999</v>
      </c>
      <c r="I232" s="272">
        <v>25.742638889999998</v>
      </c>
      <c r="J232" s="272">
        <v>25.662500000000001</v>
      </c>
      <c r="K232" s="272">
        <v>25.620694440000001</v>
      </c>
      <c r="L232" s="272">
        <v>25.904569890000001</v>
      </c>
      <c r="M232" s="272">
        <v>26.479838709999999</v>
      </c>
      <c r="N232" s="272">
        <v>27.085277779999998</v>
      </c>
      <c r="O232" s="272">
        <v>27.041397849999999</v>
      </c>
      <c r="P232" s="272">
        <v>26.987777779999998</v>
      </c>
      <c r="Q232" s="272">
        <v>25.983870970000002</v>
      </c>
      <c r="R232" s="272">
        <v>26.09527991083333</v>
      </c>
      <c r="S232" s="267">
        <f>SUMIFS(Aux_Lista!AD:AD,Aux_Lista!AB:AB,Aux_TBS!B232,Aux_Lista!AC:AC,Aux_TBS!A232)</f>
        <v>8</v>
      </c>
      <c r="T232" s="267" t="s">
        <v>6014</v>
      </c>
      <c r="U232" s="267">
        <v>38</v>
      </c>
    </row>
    <row r="233" spans="1:21" x14ac:dyDescent="0.25">
      <c r="A233" s="270" t="s">
        <v>4545</v>
      </c>
      <c r="B233" s="251" t="s">
        <v>29</v>
      </c>
      <c r="C233" s="267" t="str">
        <f t="shared" si="3"/>
        <v>Paragominas, PA</v>
      </c>
      <c r="D233" s="271">
        <v>-3.01</v>
      </c>
      <c r="E233" s="251">
        <v>101</v>
      </c>
      <c r="F233" s="272">
        <v>25.606720429999999</v>
      </c>
      <c r="G233" s="272">
        <v>25.5766369</v>
      </c>
      <c r="H233" s="272">
        <v>25.262903229999999</v>
      </c>
      <c r="I233" s="272">
        <v>25.436527779999999</v>
      </c>
      <c r="J233" s="272">
        <v>25.77755376</v>
      </c>
      <c r="K233" s="272">
        <v>25.71458333</v>
      </c>
      <c r="L233" s="272">
        <v>25.793010750000001</v>
      </c>
      <c r="M233" s="272">
        <v>26.714247310000001</v>
      </c>
      <c r="N233" s="272">
        <v>27.41041667</v>
      </c>
      <c r="O233" s="272">
        <v>27.9780914</v>
      </c>
      <c r="P233" s="272">
        <v>27.879583329999999</v>
      </c>
      <c r="Q233" s="272">
        <v>27.243279569999999</v>
      </c>
      <c r="R233" s="272">
        <v>26.366129538333336</v>
      </c>
      <c r="S233" s="267">
        <f>SUMIFS(Aux_Lista!AD:AD,Aux_Lista!AB:AB,Aux_TBS!B233,Aux_Lista!AC:AC,Aux_TBS!A233)</f>
        <v>8</v>
      </c>
      <c r="T233" s="267" t="s">
        <v>6014</v>
      </c>
      <c r="U233" s="267">
        <v>38</v>
      </c>
    </row>
    <row r="234" spans="1:21" x14ac:dyDescent="0.25">
      <c r="A234" s="270" t="s">
        <v>4249</v>
      </c>
      <c r="B234" s="251" t="s">
        <v>29</v>
      </c>
      <c r="C234" s="267" t="str">
        <f t="shared" si="3"/>
        <v>Placas, PA</v>
      </c>
      <c r="D234" s="271">
        <v>-3.86</v>
      </c>
      <c r="E234" s="251">
        <v>96</v>
      </c>
      <c r="F234" s="272">
        <v>25.692876340000002</v>
      </c>
      <c r="G234" s="272">
        <v>25.50639881</v>
      </c>
      <c r="H234" s="272">
        <v>25.463844089999998</v>
      </c>
      <c r="I234" s="272">
        <v>25.500277780000001</v>
      </c>
      <c r="J234" s="272">
        <v>25.47016129</v>
      </c>
      <c r="K234" s="272">
        <v>25.831527779999998</v>
      </c>
      <c r="L234" s="272">
        <v>26.208064520000001</v>
      </c>
      <c r="M234" s="272">
        <v>26.886021509999999</v>
      </c>
      <c r="N234" s="272">
        <v>27.461805559999998</v>
      </c>
      <c r="O234" s="272">
        <v>27.564516130000001</v>
      </c>
      <c r="P234" s="272">
        <v>27.094722220000001</v>
      </c>
      <c r="Q234" s="272">
        <v>26.472715050000001</v>
      </c>
      <c r="R234" s="272">
        <v>26.262744256666664</v>
      </c>
      <c r="S234" s="267">
        <f>SUMIFS(Aux_Lista!AD:AD,Aux_Lista!AB:AB,Aux_TBS!B234,Aux_Lista!AC:AC,Aux_TBS!A234)</f>
        <v>8</v>
      </c>
      <c r="T234" s="267" t="s">
        <v>6014</v>
      </c>
      <c r="U234" s="267">
        <v>38</v>
      </c>
    </row>
    <row r="235" spans="1:21" x14ac:dyDescent="0.25">
      <c r="A235" s="270" t="s">
        <v>4547</v>
      </c>
      <c r="B235" s="251" t="s">
        <v>29</v>
      </c>
      <c r="C235" s="267" t="str">
        <f t="shared" si="3"/>
        <v>Rondon do Pará, PA</v>
      </c>
      <c r="D235" s="271">
        <v>-4.78</v>
      </c>
      <c r="E235" s="251">
        <v>221</v>
      </c>
      <c r="F235" s="272">
        <v>25.82513441</v>
      </c>
      <c r="G235" s="272">
        <v>25.376190480000002</v>
      </c>
      <c r="H235" s="272">
        <v>25.50147849</v>
      </c>
      <c r="I235" s="272">
        <v>25.232222220000001</v>
      </c>
      <c r="J235" s="272">
        <v>25.241397849999998</v>
      </c>
      <c r="K235" s="272">
        <v>25.739166669999999</v>
      </c>
      <c r="L235" s="272">
        <v>26.360618280000001</v>
      </c>
      <c r="M235" s="272">
        <v>26.981720429999999</v>
      </c>
      <c r="N235" s="272">
        <v>27.28166667</v>
      </c>
      <c r="O235" s="272">
        <v>27.734543009999999</v>
      </c>
      <c r="P235" s="272">
        <v>28.024999999999999</v>
      </c>
      <c r="Q235" s="272">
        <v>26.6969086</v>
      </c>
      <c r="R235" s="272">
        <v>26.333003925833328</v>
      </c>
      <c r="S235" s="267">
        <f>SUMIFS(Aux_Lista!AD:AD,Aux_Lista!AB:AB,Aux_TBS!B235,Aux_Lista!AC:AC,Aux_TBS!A235)</f>
        <v>8</v>
      </c>
      <c r="T235" s="267" t="s">
        <v>6014</v>
      </c>
      <c r="U235" s="267">
        <v>38</v>
      </c>
    </row>
    <row r="236" spans="1:21" x14ac:dyDescent="0.25">
      <c r="A236" s="270" t="s">
        <v>3894</v>
      </c>
      <c r="B236" s="251" t="s">
        <v>29</v>
      </c>
      <c r="C236" s="267" t="str">
        <f t="shared" si="3"/>
        <v>Salinópolis, PA</v>
      </c>
      <c r="D236" s="271">
        <v>-0.62</v>
      </c>
      <c r="E236" s="251">
        <v>20</v>
      </c>
      <c r="F236" s="272">
        <v>27.41465054</v>
      </c>
      <c r="G236" s="272">
        <v>25.94122024</v>
      </c>
      <c r="H236" s="272">
        <v>26.3702957</v>
      </c>
      <c r="I236" s="272">
        <v>26.28875</v>
      </c>
      <c r="J236" s="272">
        <v>25.934139779999999</v>
      </c>
      <c r="K236" s="272">
        <v>26.209583330000001</v>
      </c>
      <c r="L236" s="272">
        <v>27.341666669999999</v>
      </c>
      <c r="M236" s="272">
        <v>27.8</v>
      </c>
      <c r="N236" s="272">
        <v>27.93819444</v>
      </c>
      <c r="O236" s="272">
        <v>28.079838710000001</v>
      </c>
      <c r="P236" s="272">
        <v>28.214166670000001</v>
      </c>
      <c r="Q236" s="272">
        <v>28.293145160000002</v>
      </c>
      <c r="R236" s="272">
        <v>27.152137603333333</v>
      </c>
      <c r="S236" s="267">
        <f>SUMIFS(Aux_Lista!AD:AD,Aux_Lista!AB:AB,Aux_TBS!B236,Aux_Lista!AC:AC,Aux_TBS!A236)</f>
        <v>8</v>
      </c>
      <c r="T236" s="267" t="s">
        <v>6014</v>
      </c>
      <c r="U236" s="267">
        <v>38</v>
      </c>
    </row>
    <row r="237" spans="1:21" x14ac:dyDescent="0.25">
      <c r="A237" s="270" t="s">
        <v>4598</v>
      </c>
      <c r="B237" s="251" t="s">
        <v>29</v>
      </c>
      <c r="C237" s="267" t="str">
        <f t="shared" si="3"/>
        <v>Santana do Araguaia, PA</v>
      </c>
      <c r="D237" s="271">
        <v>-9.34</v>
      </c>
      <c r="E237" s="251">
        <v>168</v>
      </c>
      <c r="F237" s="272">
        <v>26.20564516</v>
      </c>
      <c r="G237" s="272">
        <v>25.504910710000001</v>
      </c>
      <c r="H237" s="272">
        <v>26.079166669999999</v>
      </c>
      <c r="I237" s="272">
        <v>25.679444440000001</v>
      </c>
      <c r="J237" s="272">
        <v>25.81908602</v>
      </c>
      <c r="K237" s="272">
        <v>26.029444439999999</v>
      </c>
      <c r="L237" s="272">
        <v>26.213037629999999</v>
      </c>
      <c r="M237" s="272">
        <v>27.442741940000001</v>
      </c>
      <c r="N237" s="272">
        <v>27.935416669999999</v>
      </c>
      <c r="O237" s="272">
        <v>26.481182799999999</v>
      </c>
      <c r="P237" s="272">
        <v>26.52</v>
      </c>
      <c r="Q237" s="272">
        <v>26.013306450000002</v>
      </c>
      <c r="R237" s="272">
        <v>26.326948577499994</v>
      </c>
      <c r="S237" s="267">
        <f>SUMIFS(Aux_Lista!AD:AD,Aux_Lista!AB:AB,Aux_TBS!B237,Aux_Lista!AC:AC,Aux_TBS!A237)</f>
        <v>8</v>
      </c>
      <c r="T237" s="267" t="s">
        <v>6014</v>
      </c>
      <c r="U237" s="267">
        <v>38</v>
      </c>
    </row>
    <row r="238" spans="1:21" x14ac:dyDescent="0.25">
      <c r="A238" s="270" t="s">
        <v>4213</v>
      </c>
      <c r="B238" s="251" t="s">
        <v>29</v>
      </c>
      <c r="C238" s="267" t="str">
        <f t="shared" si="3"/>
        <v>Marabá, PA</v>
      </c>
      <c r="D238" s="271">
        <v>-6.08</v>
      </c>
      <c r="E238" s="251">
        <v>719</v>
      </c>
      <c r="F238" s="272">
        <v>22.81061828</v>
      </c>
      <c r="G238" s="272">
        <v>22.356547620000001</v>
      </c>
      <c r="H238" s="272">
        <v>22.75887097</v>
      </c>
      <c r="I238" s="272">
        <v>22.29513889</v>
      </c>
      <c r="J238" s="272">
        <v>22.420967739999998</v>
      </c>
      <c r="K238" s="272">
        <v>23.98416667</v>
      </c>
      <c r="L238" s="272">
        <v>25.219489249999999</v>
      </c>
      <c r="M238" s="272">
        <v>25.815188169999999</v>
      </c>
      <c r="N238" s="272">
        <v>24.888472220000001</v>
      </c>
      <c r="O238" s="272">
        <v>24.295967739999998</v>
      </c>
      <c r="P238" s="272">
        <v>24.305833329999999</v>
      </c>
      <c r="Q238" s="272">
        <v>22.727419350000002</v>
      </c>
      <c r="R238" s="272">
        <v>23.656556685833337</v>
      </c>
      <c r="S238" s="267">
        <f>SUMIFS(Aux_Lista!AD:AD,Aux_Lista!AB:AB,Aux_TBS!B238,Aux_Lista!AC:AC,Aux_TBS!A238)</f>
        <v>8</v>
      </c>
      <c r="T238" s="267" t="s">
        <v>6014</v>
      </c>
      <c r="U238" s="267">
        <v>38</v>
      </c>
    </row>
    <row r="239" spans="1:21" x14ac:dyDescent="0.25">
      <c r="A239" s="270" t="s">
        <v>3914</v>
      </c>
      <c r="B239" s="251" t="s">
        <v>29</v>
      </c>
      <c r="C239" s="267" t="str">
        <f t="shared" si="3"/>
        <v>Soure, PA</v>
      </c>
      <c r="D239" s="271">
        <v>-0.81</v>
      </c>
      <c r="E239" s="251">
        <v>11</v>
      </c>
      <c r="F239" s="272">
        <v>27.609543009999999</v>
      </c>
      <c r="G239" s="272">
        <v>28.012797620000001</v>
      </c>
      <c r="H239" s="272">
        <v>28.295833330000001</v>
      </c>
      <c r="I239" s="272">
        <v>27.394027779999998</v>
      </c>
      <c r="J239" s="272">
        <v>27.965322579999999</v>
      </c>
      <c r="K239" s="272">
        <v>27.46430556</v>
      </c>
      <c r="L239" s="272">
        <v>27.80833333</v>
      </c>
      <c r="M239" s="272">
        <v>28.261290320000001</v>
      </c>
      <c r="N239" s="272">
        <v>28.406805559999999</v>
      </c>
      <c r="O239" s="272">
        <v>28.480241939999999</v>
      </c>
      <c r="P239" s="272">
        <v>28.595555560000001</v>
      </c>
      <c r="Q239" s="272">
        <v>28.59193548</v>
      </c>
      <c r="R239" s="272">
        <v>28.073832672500004</v>
      </c>
      <c r="S239" s="267">
        <f>SUMIFS(Aux_Lista!AD:AD,Aux_Lista!AB:AB,Aux_TBS!B239,Aux_Lista!AC:AC,Aux_TBS!A239)</f>
        <v>8</v>
      </c>
      <c r="T239" s="267" t="s">
        <v>6014</v>
      </c>
      <c r="U239" s="267">
        <v>38</v>
      </c>
    </row>
    <row r="240" spans="1:21" x14ac:dyDescent="0.25">
      <c r="A240" s="270" t="s">
        <v>4459</v>
      </c>
      <c r="B240" s="251" t="s">
        <v>29</v>
      </c>
      <c r="C240" s="267" t="str">
        <f t="shared" si="3"/>
        <v>Tomé-Açu, PA</v>
      </c>
      <c r="D240" s="271">
        <v>-2.59</v>
      </c>
      <c r="E240" s="251">
        <v>38</v>
      </c>
      <c r="F240" s="272">
        <v>25.289516129999999</v>
      </c>
      <c r="G240" s="272">
        <v>25.104017859999999</v>
      </c>
      <c r="H240" s="272">
        <v>25.054301079999998</v>
      </c>
      <c r="I240" s="272">
        <v>25.335416670000001</v>
      </c>
      <c r="J240" s="272">
        <v>25.602553759999999</v>
      </c>
      <c r="K240" s="272">
        <v>25.719583329999999</v>
      </c>
      <c r="L240" s="272">
        <v>25.720295700000001</v>
      </c>
      <c r="M240" s="272">
        <v>26.479435479999999</v>
      </c>
      <c r="N240" s="272">
        <v>26.628611110000001</v>
      </c>
      <c r="O240" s="272">
        <v>27.013440859999999</v>
      </c>
      <c r="P240" s="272">
        <v>27.024722220000001</v>
      </c>
      <c r="Q240" s="272">
        <v>26.938306449999999</v>
      </c>
      <c r="R240" s="272">
        <v>25.992516720833333</v>
      </c>
      <c r="S240" s="267">
        <f>SUMIFS(Aux_Lista!AD:AD,Aux_Lista!AB:AB,Aux_TBS!B240,Aux_Lista!AC:AC,Aux_TBS!A240)</f>
        <v>8</v>
      </c>
      <c r="T240" s="267" t="s">
        <v>6014</v>
      </c>
      <c r="U240" s="267">
        <v>38</v>
      </c>
    </row>
    <row r="241" spans="1:21" x14ac:dyDescent="0.25">
      <c r="A241" s="270" t="s">
        <v>4023</v>
      </c>
      <c r="B241" s="251" t="s">
        <v>29</v>
      </c>
      <c r="C241" s="267" t="str">
        <f t="shared" si="3"/>
        <v>Tucuruí, PA</v>
      </c>
      <c r="D241" s="271">
        <v>-3.82</v>
      </c>
      <c r="E241" s="251">
        <v>148</v>
      </c>
      <c r="F241" s="272">
        <v>26.513172040000001</v>
      </c>
      <c r="G241" s="272">
        <v>27.00416667</v>
      </c>
      <c r="H241" s="272">
        <v>27.3483871</v>
      </c>
      <c r="I241" s="272">
        <v>26.63777778</v>
      </c>
      <c r="J241" s="272">
        <v>27.726478490000002</v>
      </c>
      <c r="K241" s="272">
        <v>27.561527779999999</v>
      </c>
      <c r="L241" s="272">
        <v>27.915456989999999</v>
      </c>
      <c r="M241" s="272">
        <v>27.626747309999999</v>
      </c>
      <c r="N241" s="272">
        <v>27.624444440000001</v>
      </c>
      <c r="O241" s="272">
        <v>27.862903230000001</v>
      </c>
      <c r="P241" s="272">
        <v>27.69763889</v>
      </c>
      <c r="Q241" s="272">
        <v>26.787903230000001</v>
      </c>
      <c r="R241" s="272">
        <v>27.358883662499995</v>
      </c>
      <c r="S241" s="267">
        <f>SUMIFS(Aux_Lista!AD:AD,Aux_Lista!AB:AB,Aux_TBS!B241,Aux_Lista!AC:AC,Aux_TBS!A241)</f>
        <v>8</v>
      </c>
      <c r="T241" s="267" t="s">
        <v>6014</v>
      </c>
      <c r="U241" s="267">
        <v>38</v>
      </c>
    </row>
    <row r="242" spans="1:21" x14ac:dyDescent="0.25">
      <c r="A242" s="270" t="s">
        <v>2138</v>
      </c>
      <c r="B242" s="251" t="s">
        <v>1738</v>
      </c>
      <c r="C242" s="267" t="str">
        <f t="shared" si="3"/>
        <v>Areia, PB</v>
      </c>
      <c r="D242" s="271">
        <v>-6.96</v>
      </c>
      <c r="E242" s="251">
        <v>575</v>
      </c>
      <c r="F242" s="272">
        <v>23.759005380000001</v>
      </c>
      <c r="G242" s="272">
        <v>22.91443452</v>
      </c>
      <c r="H242" s="272">
        <v>23.435349460000001</v>
      </c>
      <c r="I242" s="272">
        <v>23.152222219999999</v>
      </c>
      <c r="J242" s="272">
        <v>22.4</v>
      </c>
      <c r="K242" s="272">
        <v>21.397500000000001</v>
      </c>
      <c r="L242" s="272">
        <v>20.7813172</v>
      </c>
      <c r="M242" s="272">
        <v>20.798387099999999</v>
      </c>
      <c r="N242" s="272">
        <v>21.637638890000002</v>
      </c>
      <c r="O242" s="272">
        <v>22.675403230000001</v>
      </c>
      <c r="P242" s="272">
        <v>23.021805560000001</v>
      </c>
      <c r="Q242" s="272">
        <v>23.714381719999999</v>
      </c>
      <c r="R242" s="272">
        <v>22.473953773333335</v>
      </c>
      <c r="S242" s="267">
        <f>SUMIFS(Aux_Lista!AD:AD,Aux_Lista!AB:AB,Aux_TBS!B242,Aux_Lista!AC:AC,Aux_TBS!A242)</f>
        <v>8</v>
      </c>
      <c r="T242" s="267" t="s">
        <v>6015</v>
      </c>
      <c r="U242" s="267">
        <v>38</v>
      </c>
    </row>
    <row r="243" spans="1:21" x14ac:dyDescent="0.25">
      <c r="A243" s="270" t="s">
        <v>4985</v>
      </c>
      <c r="B243" s="251" t="s">
        <v>1738</v>
      </c>
      <c r="C243" s="267" t="str">
        <f t="shared" si="3"/>
        <v>Cabaceiras, PB</v>
      </c>
      <c r="D243" s="271">
        <v>-7.48</v>
      </c>
      <c r="E243" s="251">
        <v>436</v>
      </c>
      <c r="F243" s="272">
        <v>27.027688170000001</v>
      </c>
      <c r="G243" s="272">
        <v>26.123809519999998</v>
      </c>
      <c r="H243" s="272">
        <v>26.731586020000002</v>
      </c>
      <c r="I243" s="272">
        <v>25.925972219999998</v>
      </c>
      <c r="J243" s="272">
        <v>24.81814516</v>
      </c>
      <c r="K243" s="272">
        <v>23.45291667</v>
      </c>
      <c r="L243" s="272">
        <v>23.109677420000001</v>
      </c>
      <c r="M243" s="272">
        <v>23.078763439999999</v>
      </c>
      <c r="N243" s="272">
        <v>24.859444440000001</v>
      </c>
      <c r="O243" s="272">
        <v>26.150940859999999</v>
      </c>
      <c r="P243" s="272">
        <v>26.31583333</v>
      </c>
      <c r="Q243" s="272">
        <v>26.959005380000001</v>
      </c>
      <c r="R243" s="272">
        <v>25.379481885833332</v>
      </c>
      <c r="S243" s="267">
        <f>SUMIFS(Aux_Lista!AD:AD,Aux_Lista!AB:AB,Aux_TBS!B243,Aux_Lista!AC:AC,Aux_TBS!A243)</f>
        <v>8</v>
      </c>
      <c r="T243" s="267" t="s">
        <v>6015</v>
      </c>
      <c r="U243" s="267">
        <v>38</v>
      </c>
    </row>
    <row r="244" spans="1:21" x14ac:dyDescent="0.25">
      <c r="A244" s="270" t="s">
        <v>3948</v>
      </c>
      <c r="B244" s="251" t="s">
        <v>1738</v>
      </c>
      <c r="C244" s="267" t="str">
        <f t="shared" si="3"/>
        <v>Mataraca, PB</v>
      </c>
      <c r="D244" s="271">
        <v>-6.61</v>
      </c>
      <c r="E244" s="251">
        <v>136</v>
      </c>
      <c r="F244" s="272">
        <v>25.789381720000002</v>
      </c>
      <c r="G244" s="272">
        <v>25.392559519999999</v>
      </c>
      <c r="H244" s="272">
        <v>25.885483870000002</v>
      </c>
      <c r="I244" s="272">
        <v>26.039027780000001</v>
      </c>
      <c r="J244" s="272">
        <v>25.057258059999999</v>
      </c>
      <c r="K244" s="272">
        <v>23.750972220000001</v>
      </c>
      <c r="L244" s="272">
        <v>23.236962370000001</v>
      </c>
      <c r="M244" s="272">
        <v>23.274999999999999</v>
      </c>
      <c r="N244" s="272">
        <v>24.23875</v>
      </c>
      <c r="O244" s="272">
        <v>24.63897849</v>
      </c>
      <c r="P244" s="272">
        <v>25.184583329999999</v>
      </c>
      <c r="Q244" s="272">
        <v>25.773387100000001</v>
      </c>
      <c r="R244" s="272">
        <v>24.855195371666667</v>
      </c>
      <c r="S244" s="267">
        <f>SUMIFS(Aux_Lista!AD:AD,Aux_Lista!AB:AB,Aux_TBS!B244,Aux_Lista!AC:AC,Aux_TBS!A244)</f>
        <v>8</v>
      </c>
      <c r="T244" s="267" t="s">
        <v>6015</v>
      </c>
      <c r="U244" s="267">
        <v>38</v>
      </c>
    </row>
    <row r="245" spans="1:21" x14ac:dyDescent="0.25">
      <c r="A245" s="270" t="s">
        <v>2106</v>
      </c>
      <c r="B245" s="251" t="s">
        <v>1738</v>
      </c>
      <c r="C245" s="267" t="str">
        <f t="shared" si="3"/>
        <v>Campina Grande, PB</v>
      </c>
      <c r="D245" s="271">
        <v>-7.23</v>
      </c>
      <c r="E245" s="251">
        <v>548</v>
      </c>
      <c r="F245" s="272">
        <v>24.92580645</v>
      </c>
      <c r="G245" s="272">
        <v>23.99583333</v>
      </c>
      <c r="H245" s="272">
        <v>24.567473119999999</v>
      </c>
      <c r="I245" s="272">
        <v>24.242361110000001</v>
      </c>
      <c r="J245" s="272">
        <v>23.440188169999999</v>
      </c>
      <c r="K245" s="272">
        <v>22.983194439999998</v>
      </c>
      <c r="L245" s="272">
        <v>21.669758059999999</v>
      </c>
      <c r="M245" s="272">
        <v>21.846370969999999</v>
      </c>
      <c r="N245" s="272">
        <v>22.856805560000002</v>
      </c>
      <c r="O245" s="272">
        <v>23.89180108</v>
      </c>
      <c r="P245" s="272">
        <v>24.207638889999998</v>
      </c>
      <c r="Q245" s="272">
        <v>24.883333329999999</v>
      </c>
      <c r="R245" s="272">
        <v>23.625880375833333</v>
      </c>
      <c r="S245" s="267">
        <f>SUMIFS(Aux_Lista!AD:AD,Aux_Lista!AB:AB,Aux_TBS!B245,Aux_Lista!AC:AC,Aux_TBS!A245)</f>
        <v>8</v>
      </c>
      <c r="T245" s="267" t="s">
        <v>6015</v>
      </c>
      <c r="U245" s="267">
        <v>38</v>
      </c>
    </row>
    <row r="246" spans="1:21" x14ac:dyDescent="0.25">
      <c r="A246" s="270" t="s">
        <v>4808</v>
      </c>
      <c r="B246" s="251" t="s">
        <v>1738</v>
      </c>
      <c r="C246" s="267" t="str">
        <f t="shared" si="3"/>
        <v>João Pessoa, PB</v>
      </c>
      <c r="D246" s="271">
        <v>-7.11</v>
      </c>
      <c r="E246" s="251">
        <v>44</v>
      </c>
      <c r="F246" s="272">
        <v>27.087768820000001</v>
      </c>
      <c r="G246" s="272">
        <v>27.709672619999999</v>
      </c>
      <c r="H246" s="272">
        <v>27.039381720000002</v>
      </c>
      <c r="I246" s="272">
        <v>26.292222219999999</v>
      </c>
      <c r="J246" s="272">
        <v>25.738440860000001</v>
      </c>
      <c r="K246" s="272">
        <v>24.649583329999999</v>
      </c>
      <c r="L246" s="272">
        <v>24.188172040000001</v>
      </c>
      <c r="M246" s="272">
        <v>24.233870970000002</v>
      </c>
      <c r="N246" s="272">
        <v>25.583333329999999</v>
      </c>
      <c r="O246" s="272">
        <v>26.127956990000001</v>
      </c>
      <c r="P246" s="272">
        <v>26.709861109999999</v>
      </c>
      <c r="Q246" s="272">
        <v>26.962499999999999</v>
      </c>
      <c r="R246" s="272">
        <v>26.026897000833333</v>
      </c>
      <c r="S246" s="267">
        <f>SUMIFS(Aux_Lista!AD:AD,Aux_Lista!AB:AB,Aux_TBS!B246,Aux_Lista!AC:AC,Aux_TBS!A246)</f>
        <v>8</v>
      </c>
      <c r="T246" s="267" t="s">
        <v>6015</v>
      </c>
      <c r="U246" s="267">
        <v>38</v>
      </c>
    </row>
    <row r="247" spans="1:21" x14ac:dyDescent="0.25">
      <c r="A247" s="270" t="s">
        <v>2184</v>
      </c>
      <c r="B247" s="251" t="s">
        <v>1738</v>
      </c>
      <c r="C247" s="267" t="str">
        <f t="shared" si="3"/>
        <v>Monteiro, PB</v>
      </c>
      <c r="D247" s="271">
        <v>-7.89</v>
      </c>
      <c r="E247" s="251">
        <v>604</v>
      </c>
      <c r="F247" s="272">
        <v>26.201209680000002</v>
      </c>
      <c r="G247" s="272">
        <v>24.859375</v>
      </c>
      <c r="H247" s="272">
        <v>25.499193550000001</v>
      </c>
      <c r="I247" s="272">
        <v>24.41527778</v>
      </c>
      <c r="J247" s="272">
        <v>23.240322580000001</v>
      </c>
      <c r="K247" s="272">
        <v>21.991527779999998</v>
      </c>
      <c r="L247" s="272">
        <v>21.74395161</v>
      </c>
      <c r="M247" s="272">
        <v>21.88252688</v>
      </c>
      <c r="N247" s="272">
        <v>23.947083330000002</v>
      </c>
      <c r="O247" s="272">
        <v>25.481317199999999</v>
      </c>
      <c r="P247" s="272">
        <v>25.67055556</v>
      </c>
      <c r="Q247" s="272">
        <v>25.97392473</v>
      </c>
      <c r="R247" s="272">
        <v>24.242188806666672</v>
      </c>
      <c r="S247" s="267">
        <f>SUMIFS(Aux_Lista!AD:AD,Aux_Lista!AB:AB,Aux_TBS!B247,Aux_Lista!AC:AC,Aux_TBS!A247)</f>
        <v>6</v>
      </c>
      <c r="T247" s="267" t="s">
        <v>6015</v>
      </c>
      <c r="U247" s="267">
        <v>38</v>
      </c>
    </row>
    <row r="248" spans="1:21" x14ac:dyDescent="0.25">
      <c r="A248" s="270" t="s">
        <v>5083</v>
      </c>
      <c r="B248" s="251" t="s">
        <v>1738</v>
      </c>
      <c r="C248" s="267" t="str">
        <f t="shared" si="3"/>
        <v>Patos, PB</v>
      </c>
      <c r="D248" s="271">
        <v>-7.02</v>
      </c>
      <c r="E248" s="251">
        <v>249</v>
      </c>
      <c r="F248" s="272">
        <v>28.741397849999998</v>
      </c>
      <c r="G248" s="272">
        <v>26.998809519999998</v>
      </c>
      <c r="H248" s="272">
        <v>27.079435480000001</v>
      </c>
      <c r="I248" s="272">
        <v>26.335416670000001</v>
      </c>
      <c r="J248" s="272">
        <v>25.94596774</v>
      </c>
      <c r="K248" s="272">
        <v>25.19430556</v>
      </c>
      <c r="L248" s="272">
        <v>25.714247310000001</v>
      </c>
      <c r="M248" s="272">
        <v>25.964247310000001</v>
      </c>
      <c r="N248" s="272">
        <v>27.74736111</v>
      </c>
      <c r="O248" s="272">
        <v>28.894623660000001</v>
      </c>
      <c r="P248" s="272">
        <v>29.122222220000001</v>
      </c>
      <c r="Q248" s="272">
        <v>29.14543011</v>
      </c>
      <c r="R248" s="272">
        <v>27.240288711666665</v>
      </c>
      <c r="S248" s="267">
        <f>SUMIFS(Aux_Lista!AD:AD,Aux_Lista!AB:AB,Aux_TBS!B248,Aux_Lista!AC:AC,Aux_TBS!A248)</f>
        <v>7</v>
      </c>
      <c r="T248" s="267" t="s">
        <v>6015</v>
      </c>
      <c r="U248" s="267">
        <v>38</v>
      </c>
    </row>
    <row r="249" spans="1:21" x14ac:dyDescent="0.25">
      <c r="A249" s="270" t="s">
        <v>4420</v>
      </c>
      <c r="B249" s="251" t="s">
        <v>1738</v>
      </c>
      <c r="C249" s="267" t="str">
        <f t="shared" si="3"/>
        <v>Sousa, PB</v>
      </c>
      <c r="D249" s="271">
        <v>-6.84</v>
      </c>
      <c r="E249" s="251">
        <v>234</v>
      </c>
      <c r="F249" s="272">
        <v>26.728763440000002</v>
      </c>
      <c r="G249" s="272">
        <v>27.311755949999998</v>
      </c>
      <c r="H249" s="272">
        <v>27.90349462</v>
      </c>
      <c r="I249" s="272">
        <v>26.981249999999999</v>
      </c>
      <c r="J249" s="272">
        <v>26.266129029999998</v>
      </c>
      <c r="K249" s="272">
        <v>24.37388889</v>
      </c>
      <c r="L249" s="272">
        <v>24.65806452</v>
      </c>
      <c r="M249" s="272">
        <v>26.55362903</v>
      </c>
      <c r="N249" s="272">
        <v>27.750277780000001</v>
      </c>
      <c r="O249" s="272">
        <v>27.40672043</v>
      </c>
      <c r="P249" s="272">
        <v>28.116250000000001</v>
      </c>
      <c r="Q249" s="272">
        <v>27.94637097</v>
      </c>
      <c r="R249" s="272">
        <v>26.833049554999999</v>
      </c>
      <c r="S249" s="267">
        <f>SUMIFS(Aux_Lista!AD:AD,Aux_Lista!AB:AB,Aux_TBS!B249,Aux_Lista!AC:AC,Aux_TBS!A249)</f>
        <v>7</v>
      </c>
      <c r="T249" s="267" t="s">
        <v>6015</v>
      </c>
      <c r="U249" s="267">
        <v>38</v>
      </c>
    </row>
    <row r="250" spans="1:21" x14ac:dyDescent="0.25">
      <c r="A250" s="270" t="s">
        <v>2198</v>
      </c>
      <c r="B250" s="251" t="s">
        <v>217</v>
      </c>
      <c r="C250" s="267" t="str">
        <f t="shared" si="3"/>
        <v>Arcoverde, PE</v>
      </c>
      <c r="D250" s="271">
        <v>-8.42</v>
      </c>
      <c r="E250" s="251">
        <v>681</v>
      </c>
      <c r="F250" s="272">
        <v>25.723790319999999</v>
      </c>
      <c r="G250" s="272">
        <v>24.50178571</v>
      </c>
      <c r="H250" s="272">
        <v>24.971236560000001</v>
      </c>
      <c r="I250" s="272">
        <v>24.09416667</v>
      </c>
      <c r="J250" s="272">
        <v>22.422715050000001</v>
      </c>
      <c r="K250" s="272">
        <v>21.239722220000001</v>
      </c>
      <c r="L250" s="272">
        <v>20.878494620000001</v>
      </c>
      <c r="M250" s="272">
        <v>20.857930110000002</v>
      </c>
      <c r="N250" s="272">
        <v>23.065972219999999</v>
      </c>
      <c r="O250" s="272">
        <v>24.947983870000002</v>
      </c>
      <c r="P250" s="272">
        <v>25.154166669999999</v>
      </c>
      <c r="Q250" s="272">
        <v>25.245026880000001</v>
      </c>
      <c r="R250" s="272">
        <v>23.591915908333334</v>
      </c>
      <c r="S250" s="267">
        <f>SUMIFS(Aux_Lista!AD:AD,Aux_Lista!AB:AB,Aux_TBS!B250,Aux_Lista!AC:AC,Aux_TBS!A250)</f>
        <v>7</v>
      </c>
      <c r="T250" s="267" t="s">
        <v>6015</v>
      </c>
      <c r="U250" s="267">
        <v>38</v>
      </c>
    </row>
    <row r="251" spans="1:21" x14ac:dyDescent="0.25">
      <c r="A251" s="270" t="s">
        <v>5037</v>
      </c>
      <c r="B251" s="251" t="s">
        <v>217</v>
      </c>
      <c r="C251" s="267" t="str">
        <f t="shared" si="3"/>
        <v>Cabrobó, PE</v>
      </c>
      <c r="D251" s="271">
        <v>-8.5</v>
      </c>
      <c r="E251" s="251">
        <v>342</v>
      </c>
      <c r="F251" s="272">
        <v>28.560349460000001</v>
      </c>
      <c r="G251" s="272">
        <v>27.011755950000001</v>
      </c>
      <c r="H251" s="272">
        <v>27.402419349999999</v>
      </c>
      <c r="I251" s="272">
        <v>25.864305559999998</v>
      </c>
      <c r="J251" s="272">
        <v>24.529973120000001</v>
      </c>
      <c r="K251" s="272">
        <v>24.286944439999999</v>
      </c>
      <c r="L251" s="272">
        <v>24.617204300000001</v>
      </c>
      <c r="M251" s="272">
        <v>25.030510750000001</v>
      </c>
      <c r="N251" s="272">
        <v>27.377500000000001</v>
      </c>
      <c r="O251" s="272">
        <v>28.642741940000001</v>
      </c>
      <c r="P251" s="272">
        <v>29.36861111</v>
      </c>
      <c r="Q251" s="272">
        <v>28.68655914</v>
      </c>
      <c r="R251" s="272">
        <v>26.781572926666666</v>
      </c>
      <c r="S251" s="267">
        <f>SUMIFS(Aux_Lista!AD:AD,Aux_Lista!AB:AB,Aux_TBS!B251,Aux_Lista!AC:AC,Aux_TBS!A251)</f>
        <v>7</v>
      </c>
      <c r="T251" s="267" t="s">
        <v>6015</v>
      </c>
      <c r="U251" s="267">
        <v>38</v>
      </c>
    </row>
    <row r="252" spans="1:21" x14ac:dyDescent="0.25">
      <c r="A252" s="270" t="s">
        <v>2185</v>
      </c>
      <c r="B252" s="251" t="s">
        <v>217</v>
      </c>
      <c r="C252" s="267" t="str">
        <f t="shared" si="3"/>
        <v>Caruaru, PE</v>
      </c>
      <c r="D252" s="271">
        <v>-8.24</v>
      </c>
      <c r="E252" s="251">
        <v>550</v>
      </c>
      <c r="F252" s="272">
        <v>25.004301080000001</v>
      </c>
      <c r="G252" s="272">
        <v>23.90357143</v>
      </c>
      <c r="H252" s="272">
        <v>24.270833329999999</v>
      </c>
      <c r="I252" s="272">
        <v>24.312638889999999</v>
      </c>
      <c r="J252" s="272">
        <v>23.43696237</v>
      </c>
      <c r="K252" s="272">
        <v>21.89083333</v>
      </c>
      <c r="L252" s="272">
        <v>21.254838710000001</v>
      </c>
      <c r="M252" s="272">
        <v>21.264784949999999</v>
      </c>
      <c r="N252" s="272">
        <v>22.354583330000001</v>
      </c>
      <c r="O252" s="272">
        <v>23.798790319999998</v>
      </c>
      <c r="P252" s="272">
        <v>23.96805556</v>
      </c>
      <c r="Q252" s="272">
        <v>24.643682800000001</v>
      </c>
      <c r="R252" s="272">
        <v>23.341989675000004</v>
      </c>
      <c r="S252" s="267">
        <f>SUMIFS(Aux_Lista!AD:AD,Aux_Lista!AB:AB,Aux_TBS!B252,Aux_Lista!AC:AC,Aux_TBS!A252)</f>
        <v>8</v>
      </c>
      <c r="T252" s="267" t="s">
        <v>6015</v>
      </c>
      <c r="U252" s="267">
        <v>38</v>
      </c>
    </row>
    <row r="253" spans="1:21" x14ac:dyDescent="0.25">
      <c r="A253" s="270" t="s">
        <v>3100</v>
      </c>
      <c r="B253" s="251" t="s">
        <v>217</v>
      </c>
      <c r="C253" s="267" t="str">
        <f t="shared" si="3"/>
        <v>Floresta, PE</v>
      </c>
      <c r="D253" s="271">
        <v>-8.61</v>
      </c>
      <c r="E253" s="251">
        <v>329</v>
      </c>
      <c r="F253" s="272">
        <v>28.242876339999999</v>
      </c>
      <c r="G253" s="272">
        <v>27.096279760000002</v>
      </c>
      <c r="H253" s="272">
        <v>27.9</v>
      </c>
      <c r="I253" s="272">
        <v>26.170416670000002</v>
      </c>
      <c r="J253" s="272">
        <v>24.808064519999999</v>
      </c>
      <c r="K253" s="272">
        <v>23.940694440000001</v>
      </c>
      <c r="L253" s="272">
        <v>24.108064519999999</v>
      </c>
      <c r="M253" s="272">
        <v>24.295967739999998</v>
      </c>
      <c r="N253" s="272">
        <v>26.71986111</v>
      </c>
      <c r="O253" s="272">
        <v>28.62258065</v>
      </c>
      <c r="P253" s="272">
        <v>28.854027779999999</v>
      </c>
      <c r="Q253" s="272">
        <v>28.5</v>
      </c>
      <c r="R253" s="272">
        <v>26.604902794166666</v>
      </c>
      <c r="S253" s="267">
        <f>SUMIFS(Aux_Lista!AD:AD,Aux_Lista!AB:AB,Aux_TBS!B253,Aux_Lista!AC:AC,Aux_TBS!A253)</f>
        <v>7</v>
      </c>
      <c r="T253" s="267" t="s">
        <v>6015</v>
      </c>
      <c r="U253" s="267">
        <v>38</v>
      </c>
    </row>
    <row r="254" spans="1:21" x14ac:dyDescent="0.25">
      <c r="A254" s="270" t="s">
        <v>2199</v>
      </c>
      <c r="B254" s="251" t="s">
        <v>217</v>
      </c>
      <c r="C254" s="267" t="str">
        <f t="shared" si="3"/>
        <v>Garanhuns, PE</v>
      </c>
      <c r="D254" s="271">
        <v>-8.89</v>
      </c>
      <c r="E254" s="251">
        <v>823</v>
      </c>
      <c r="F254" s="272">
        <v>22.64825269</v>
      </c>
      <c r="G254" s="272">
        <v>23.21696429</v>
      </c>
      <c r="H254" s="272">
        <v>22.568413979999999</v>
      </c>
      <c r="I254" s="272">
        <v>21.980972220000002</v>
      </c>
      <c r="J254" s="272">
        <v>20.471236560000001</v>
      </c>
      <c r="K254" s="272">
        <v>18.991944440000001</v>
      </c>
      <c r="L254" s="272">
        <v>18.15725806</v>
      </c>
      <c r="M254" s="272">
        <v>18.67956989</v>
      </c>
      <c r="N254" s="272">
        <v>19.748611109999999</v>
      </c>
      <c r="O254" s="272">
        <v>20.606048390000002</v>
      </c>
      <c r="P254" s="272">
        <v>22.544583329999998</v>
      </c>
      <c r="Q254" s="272">
        <v>23.039112899999999</v>
      </c>
      <c r="R254" s="272">
        <v>21.054413988333334</v>
      </c>
      <c r="S254" s="267">
        <f>SUMIFS(Aux_Lista!AD:AD,Aux_Lista!AB:AB,Aux_TBS!B254,Aux_Lista!AC:AC,Aux_TBS!A254)</f>
        <v>5</v>
      </c>
      <c r="T254" s="267" t="s">
        <v>6015</v>
      </c>
      <c r="U254" s="267">
        <v>38</v>
      </c>
    </row>
    <row r="255" spans="1:21" x14ac:dyDescent="0.25">
      <c r="A255" s="270" t="s">
        <v>5394</v>
      </c>
      <c r="B255" s="251" t="s">
        <v>217</v>
      </c>
      <c r="C255" s="267" t="str">
        <f t="shared" si="3"/>
        <v>Ibimirim, PE</v>
      </c>
      <c r="D255" s="271">
        <v>-8.51</v>
      </c>
      <c r="E255" s="251">
        <v>448</v>
      </c>
      <c r="F255" s="272">
        <v>27.82137097</v>
      </c>
      <c r="G255" s="272">
        <v>26.493154759999999</v>
      </c>
      <c r="H255" s="272">
        <v>27.394220430000001</v>
      </c>
      <c r="I255" s="272">
        <v>25.711388889999998</v>
      </c>
      <c r="J255" s="272">
        <v>23.759274189999999</v>
      </c>
      <c r="K255" s="272">
        <v>22.600416670000001</v>
      </c>
      <c r="L255" s="272">
        <v>22.63158602</v>
      </c>
      <c r="M255" s="272">
        <v>22.927284950000001</v>
      </c>
      <c r="N255" s="272">
        <v>25.338194439999999</v>
      </c>
      <c r="O255" s="272">
        <v>27.55873656</v>
      </c>
      <c r="P255" s="272">
        <v>27.724444439999999</v>
      </c>
      <c r="Q255" s="272">
        <v>27.290053759999999</v>
      </c>
      <c r="R255" s="272">
        <v>25.60417717333333</v>
      </c>
      <c r="S255" s="267">
        <f>SUMIFS(Aux_Lista!AD:AD,Aux_Lista!AB:AB,Aux_TBS!B255,Aux_Lista!AC:AC,Aux_TBS!A255)</f>
        <v>8</v>
      </c>
      <c r="T255" s="267" t="s">
        <v>6015</v>
      </c>
      <c r="U255" s="267">
        <v>38</v>
      </c>
    </row>
    <row r="256" spans="1:21" x14ac:dyDescent="0.25">
      <c r="A256" s="270" t="s">
        <v>4883</v>
      </c>
      <c r="B256" s="251" t="s">
        <v>217</v>
      </c>
      <c r="C256" s="267" t="str">
        <f t="shared" si="3"/>
        <v>Palmares, PE</v>
      </c>
      <c r="D256" s="271">
        <v>-8.67</v>
      </c>
      <c r="E256" s="251">
        <v>180</v>
      </c>
      <c r="F256" s="272">
        <v>26.661155910000002</v>
      </c>
      <c r="G256" s="272">
        <v>25.76889881</v>
      </c>
      <c r="H256" s="272">
        <v>26.55551075</v>
      </c>
      <c r="I256" s="272">
        <v>25.953888890000002</v>
      </c>
      <c r="J256" s="272">
        <v>24.8125</v>
      </c>
      <c r="K256" s="272">
        <v>23.63</v>
      </c>
      <c r="L256" s="272">
        <v>23.009274189999999</v>
      </c>
      <c r="M256" s="272">
        <v>23.077688169999998</v>
      </c>
      <c r="N256" s="272">
        <v>24.16333333</v>
      </c>
      <c r="O256" s="272">
        <v>25.32836022</v>
      </c>
      <c r="P256" s="272">
        <v>25.530694440000001</v>
      </c>
      <c r="Q256" s="272">
        <v>26.184005379999999</v>
      </c>
      <c r="R256" s="272">
        <v>25.056275840833333</v>
      </c>
      <c r="S256" s="267">
        <f>SUMIFS(Aux_Lista!AD:AD,Aux_Lista!AB:AB,Aux_TBS!B256,Aux_Lista!AC:AC,Aux_TBS!A256)</f>
        <v>8</v>
      </c>
      <c r="T256" s="267" t="s">
        <v>6015</v>
      </c>
      <c r="U256" s="267">
        <v>38</v>
      </c>
    </row>
    <row r="257" spans="1:21" x14ac:dyDescent="0.25">
      <c r="A257" s="270" t="s">
        <v>4999</v>
      </c>
      <c r="B257" s="251" t="s">
        <v>217</v>
      </c>
      <c r="C257" s="267" t="str">
        <f t="shared" si="3"/>
        <v>Petrolina, PE</v>
      </c>
      <c r="D257" s="271">
        <v>-9.39</v>
      </c>
      <c r="E257" s="251">
        <v>370</v>
      </c>
      <c r="F257" s="272">
        <v>28.529166669999999</v>
      </c>
      <c r="G257" s="272">
        <v>27.060565480000001</v>
      </c>
      <c r="H257" s="272">
        <v>27.8030914</v>
      </c>
      <c r="I257" s="272">
        <v>26.127500000000001</v>
      </c>
      <c r="J257" s="272">
        <v>25.00698925</v>
      </c>
      <c r="K257" s="272">
        <v>24.735416669999999</v>
      </c>
      <c r="L257" s="272">
        <v>24.983333330000001</v>
      </c>
      <c r="M257" s="272">
        <v>25.45107527</v>
      </c>
      <c r="N257" s="272">
        <v>27.841805560000001</v>
      </c>
      <c r="O257" s="272">
        <v>28.057123659999998</v>
      </c>
      <c r="P257" s="272">
        <v>28.83583333</v>
      </c>
      <c r="Q257" s="272">
        <v>28.504301080000001</v>
      </c>
      <c r="R257" s="272">
        <v>26.91135014166667</v>
      </c>
      <c r="S257" s="267">
        <f>SUMIFS(Aux_Lista!AD:AD,Aux_Lista!AB:AB,Aux_TBS!B257,Aux_Lista!AC:AC,Aux_TBS!A257)</f>
        <v>7</v>
      </c>
      <c r="T257" s="267" t="s">
        <v>6015</v>
      </c>
      <c r="U257" s="267">
        <v>38</v>
      </c>
    </row>
    <row r="258" spans="1:21" x14ac:dyDescent="0.25">
      <c r="A258" s="270" t="s">
        <v>3903</v>
      </c>
      <c r="B258" s="251" t="s">
        <v>217</v>
      </c>
      <c r="C258" s="267" t="str">
        <f t="shared" si="3"/>
        <v>Recife, PE</v>
      </c>
      <c r="D258" s="271">
        <v>-8.0500000000000007</v>
      </c>
      <c r="E258" s="251">
        <v>10</v>
      </c>
      <c r="F258" s="272">
        <v>26.772983870000001</v>
      </c>
      <c r="G258" s="272">
        <v>27.405505949999998</v>
      </c>
      <c r="H258" s="272">
        <v>26.371370970000001</v>
      </c>
      <c r="I258" s="272">
        <v>26.412777779999999</v>
      </c>
      <c r="J258" s="272">
        <v>25.109677420000001</v>
      </c>
      <c r="K258" s="272">
        <v>24.534722219999999</v>
      </c>
      <c r="L258" s="272">
        <v>23.94354839</v>
      </c>
      <c r="M258" s="272">
        <v>24.11653226</v>
      </c>
      <c r="N258" s="272">
        <v>24.855694440000001</v>
      </c>
      <c r="O258" s="272">
        <v>26.356182799999999</v>
      </c>
      <c r="P258" s="272">
        <v>26.62166667</v>
      </c>
      <c r="Q258" s="272">
        <v>26.652822579999999</v>
      </c>
      <c r="R258" s="272">
        <v>25.762790445833332</v>
      </c>
      <c r="S258" s="267">
        <f>SUMIFS(Aux_Lista!AD:AD,Aux_Lista!AB:AB,Aux_TBS!B258,Aux_Lista!AC:AC,Aux_TBS!A258)</f>
        <v>8</v>
      </c>
      <c r="T258" s="267" t="s">
        <v>6015</v>
      </c>
      <c r="U258" s="267">
        <v>38</v>
      </c>
    </row>
    <row r="259" spans="1:21" x14ac:dyDescent="0.25">
      <c r="A259" s="270" t="s">
        <v>5069</v>
      </c>
      <c r="B259" s="251" t="s">
        <v>217</v>
      </c>
      <c r="C259" s="267" t="str">
        <f t="shared" ref="C259:C322" si="4">CONCATENATE(A259,", ",B259)</f>
        <v>Serra Talhada, PE</v>
      </c>
      <c r="D259" s="271">
        <v>-7.95</v>
      </c>
      <c r="E259" s="251">
        <v>461</v>
      </c>
      <c r="F259" s="272">
        <v>25.566129029999999</v>
      </c>
      <c r="G259" s="272">
        <v>26.38005952</v>
      </c>
      <c r="H259" s="272">
        <v>25.421370970000002</v>
      </c>
      <c r="I259" s="272">
        <v>24.62277778</v>
      </c>
      <c r="J259" s="272">
        <v>23.435887099999999</v>
      </c>
      <c r="K259" s="272">
        <v>22.574305559999999</v>
      </c>
      <c r="L259" s="272">
        <v>22.805645160000001</v>
      </c>
      <c r="M259" s="272">
        <v>23.388844089999999</v>
      </c>
      <c r="N259" s="272">
        <v>26.168333329999999</v>
      </c>
      <c r="O259" s="272">
        <v>27.639784949999999</v>
      </c>
      <c r="P259" s="272">
        <v>27.95027778</v>
      </c>
      <c r="Q259" s="272">
        <v>27.306989250000001</v>
      </c>
      <c r="R259" s="272">
        <v>25.271700376666669</v>
      </c>
      <c r="S259" s="267">
        <f>SUMIFS(Aux_Lista!AD:AD,Aux_Lista!AB:AB,Aux_TBS!B259,Aux_Lista!AC:AC,Aux_TBS!A259)</f>
        <v>6</v>
      </c>
      <c r="T259" s="267" t="s">
        <v>6015</v>
      </c>
      <c r="U259" s="267">
        <v>38</v>
      </c>
    </row>
    <row r="260" spans="1:21" x14ac:dyDescent="0.25">
      <c r="A260" s="270" t="s">
        <v>5015</v>
      </c>
      <c r="B260" s="251" t="s">
        <v>217</v>
      </c>
      <c r="C260" s="267" t="str">
        <f t="shared" si="4"/>
        <v>Surubim, PE</v>
      </c>
      <c r="D260" s="271">
        <v>-7.84</v>
      </c>
      <c r="E260" s="251">
        <v>418</v>
      </c>
      <c r="F260" s="272">
        <v>25.84986559</v>
      </c>
      <c r="G260" s="272">
        <v>24.914285710000001</v>
      </c>
      <c r="H260" s="272">
        <v>25.141935480000001</v>
      </c>
      <c r="I260" s="272">
        <v>25.17166667</v>
      </c>
      <c r="J260" s="272">
        <v>24.246639779999999</v>
      </c>
      <c r="K260" s="272">
        <v>22.577361109999998</v>
      </c>
      <c r="L260" s="272">
        <v>22.047043009999999</v>
      </c>
      <c r="M260" s="272">
        <v>22.035752689999999</v>
      </c>
      <c r="N260" s="272">
        <v>23.322916670000001</v>
      </c>
      <c r="O260" s="272">
        <v>24.67392473</v>
      </c>
      <c r="P260" s="272">
        <v>24.94805556</v>
      </c>
      <c r="Q260" s="272">
        <v>25.733870970000002</v>
      </c>
      <c r="R260" s="272">
        <v>24.221943164166674</v>
      </c>
      <c r="S260" s="267">
        <f>SUMIFS(Aux_Lista!AD:AD,Aux_Lista!AB:AB,Aux_TBS!B260,Aux_Lista!AC:AC,Aux_TBS!A260)</f>
        <v>8</v>
      </c>
      <c r="T260" s="267" t="s">
        <v>6015</v>
      </c>
      <c r="U260" s="267">
        <v>38</v>
      </c>
    </row>
    <row r="261" spans="1:21" x14ac:dyDescent="0.25">
      <c r="A261" s="270" t="s">
        <v>5311</v>
      </c>
      <c r="B261" s="251" t="s">
        <v>3845</v>
      </c>
      <c r="C261" s="267" t="str">
        <f t="shared" si="4"/>
        <v>Alvorada do Gurguéia, PI</v>
      </c>
      <c r="D261" s="271">
        <v>-8.44</v>
      </c>
      <c r="E261" s="251">
        <v>270</v>
      </c>
      <c r="F261" s="272">
        <v>25.568951609999999</v>
      </c>
      <c r="G261" s="272">
        <v>24.83080357</v>
      </c>
      <c r="H261" s="272">
        <v>25.365053759999999</v>
      </c>
      <c r="I261" s="272">
        <v>24.880694439999999</v>
      </c>
      <c r="J261" s="272">
        <v>24.84704301</v>
      </c>
      <c r="K261" s="272">
        <v>24.826111109999999</v>
      </c>
      <c r="L261" s="272">
        <v>26.28413978</v>
      </c>
      <c r="M261" s="272">
        <v>27.679301079999998</v>
      </c>
      <c r="N261" s="272">
        <v>28.667777780000002</v>
      </c>
      <c r="O261" s="272">
        <v>28.244758059999999</v>
      </c>
      <c r="P261" s="272">
        <v>28.293888890000002</v>
      </c>
      <c r="Q261" s="272">
        <v>26.0797043</v>
      </c>
      <c r="R261" s="272">
        <v>26.2973522825</v>
      </c>
      <c r="S261" s="267">
        <f>SUMIFS(Aux_Lista!AD:AD,Aux_Lista!AB:AB,Aux_TBS!B261,Aux_Lista!AC:AC,Aux_TBS!A261)</f>
        <v>7</v>
      </c>
      <c r="T261" s="267" t="s">
        <v>6015</v>
      </c>
      <c r="U261" s="267">
        <v>38</v>
      </c>
    </row>
    <row r="262" spans="1:21" x14ac:dyDescent="0.25">
      <c r="A262" s="270" t="s">
        <v>1318</v>
      </c>
      <c r="B262" s="251" t="s">
        <v>3845</v>
      </c>
      <c r="C262" s="267" t="str">
        <f t="shared" si="4"/>
        <v>Bom Jesus, PI</v>
      </c>
      <c r="D262" s="271">
        <v>-9.07</v>
      </c>
      <c r="E262" s="251">
        <v>331</v>
      </c>
      <c r="F262" s="272">
        <v>25.68790323</v>
      </c>
      <c r="G262" s="272">
        <v>25.313839290000001</v>
      </c>
      <c r="H262" s="272">
        <v>25.481720429999999</v>
      </c>
      <c r="I262" s="272">
        <v>25.221944440000001</v>
      </c>
      <c r="J262" s="272">
        <v>24.929838709999999</v>
      </c>
      <c r="K262" s="272">
        <v>24.878194440000001</v>
      </c>
      <c r="L262" s="272">
        <v>25.449731180000001</v>
      </c>
      <c r="M262" s="272">
        <v>27.487903230000001</v>
      </c>
      <c r="N262" s="272">
        <v>30.2225</v>
      </c>
      <c r="O262" s="272">
        <v>27.945698920000002</v>
      </c>
      <c r="P262" s="272">
        <v>28.20861111</v>
      </c>
      <c r="Q262" s="272">
        <v>25.862096770000001</v>
      </c>
      <c r="R262" s="272">
        <v>26.390831812499997</v>
      </c>
      <c r="S262" s="267">
        <f>SUMIFS(Aux_Lista!AD:AD,Aux_Lista!AB:AB,Aux_TBS!B262,Aux_Lista!AC:AC,Aux_TBS!A262)</f>
        <v>7</v>
      </c>
      <c r="T262" s="267" t="s">
        <v>6015</v>
      </c>
      <c r="U262" s="267">
        <v>38</v>
      </c>
    </row>
    <row r="263" spans="1:21" x14ac:dyDescent="0.25">
      <c r="A263" s="270" t="s">
        <v>3091</v>
      </c>
      <c r="B263" s="251" t="s">
        <v>3845</v>
      </c>
      <c r="C263" s="267" t="str">
        <f t="shared" si="4"/>
        <v>Caracol, PI</v>
      </c>
      <c r="D263" s="271">
        <v>-9.2899999999999991</v>
      </c>
      <c r="E263" s="251">
        <v>100</v>
      </c>
      <c r="F263" s="272">
        <v>24.569758060000002</v>
      </c>
      <c r="G263" s="272">
        <v>26.725892859999998</v>
      </c>
      <c r="H263" s="272">
        <v>23.78642473</v>
      </c>
      <c r="I263" s="272">
        <v>23.633333329999999</v>
      </c>
      <c r="J263" s="272">
        <v>23.248387099999999</v>
      </c>
      <c r="K263" s="272">
        <v>21.845416669999999</v>
      </c>
      <c r="L263" s="272">
        <v>22.374865589999999</v>
      </c>
      <c r="M263" s="272">
        <v>24.140053760000001</v>
      </c>
      <c r="N263" s="272">
        <v>26.700555560000002</v>
      </c>
      <c r="O263" s="272">
        <v>27.31155914</v>
      </c>
      <c r="P263" s="272">
        <v>27.49625</v>
      </c>
      <c r="Q263" s="272">
        <v>24.740053759999999</v>
      </c>
      <c r="R263" s="272">
        <v>24.714379213333331</v>
      </c>
      <c r="S263" s="267">
        <f>SUMIFS(Aux_Lista!AD:AD,Aux_Lista!AB:AB,Aux_TBS!B263,Aux_Lista!AC:AC,Aux_TBS!A263)</f>
        <v>7</v>
      </c>
      <c r="T263" s="267" t="s">
        <v>6015</v>
      </c>
      <c r="U263" s="267">
        <v>38</v>
      </c>
    </row>
    <row r="264" spans="1:21" x14ac:dyDescent="0.25">
      <c r="A264" s="270" t="s">
        <v>5479</v>
      </c>
      <c r="B264" s="251" t="s">
        <v>3845</v>
      </c>
      <c r="C264" s="267" t="str">
        <f t="shared" si="4"/>
        <v>Castelo do Piauí, PI</v>
      </c>
      <c r="D264" s="271">
        <v>-5.35</v>
      </c>
      <c r="E264" s="251">
        <v>286</v>
      </c>
      <c r="F264" s="272">
        <v>26.7405914</v>
      </c>
      <c r="G264" s="272">
        <v>28.229166670000001</v>
      </c>
      <c r="H264" s="272">
        <v>28.124731180000001</v>
      </c>
      <c r="I264" s="272">
        <v>28.189305560000001</v>
      </c>
      <c r="J264" s="272">
        <v>24.764784949999999</v>
      </c>
      <c r="K264" s="272">
        <v>24.928055560000001</v>
      </c>
      <c r="L264" s="272">
        <v>25.377150539999999</v>
      </c>
      <c r="M264" s="272">
        <v>26.57137097</v>
      </c>
      <c r="N264" s="272">
        <v>28.706111109999998</v>
      </c>
      <c r="O264" s="272">
        <v>28.8438172</v>
      </c>
      <c r="P264" s="272">
        <v>29.408055560000001</v>
      </c>
      <c r="Q264" s="272">
        <v>28.181182799999998</v>
      </c>
      <c r="R264" s="272">
        <v>27.338693624999994</v>
      </c>
      <c r="S264" s="267">
        <f>SUMIFS(Aux_Lista!AD:AD,Aux_Lista!AB:AB,Aux_TBS!B264,Aux_Lista!AC:AC,Aux_TBS!A264)</f>
        <v>7</v>
      </c>
      <c r="T264" s="267" t="s">
        <v>6015</v>
      </c>
      <c r="U264" s="267">
        <v>38</v>
      </c>
    </row>
    <row r="265" spans="1:21" x14ac:dyDescent="0.25">
      <c r="A265" s="270" t="s">
        <v>4530</v>
      </c>
      <c r="B265" s="251" t="s">
        <v>3845</v>
      </c>
      <c r="C265" s="267" t="str">
        <f t="shared" si="4"/>
        <v>Esperantina, PI</v>
      </c>
      <c r="D265" s="271">
        <v>-3.9</v>
      </c>
      <c r="E265" s="251">
        <v>65</v>
      </c>
      <c r="F265" s="272">
        <v>27.300940860000001</v>
      </c>
      <c r="G265" s="272">
        <v>26.110565480000002</v>
      </c>
      <c r="H265" s="272">
        <v>25.831451609999998</v>
      </c>
      <c r="I265" s="272">
        <v>25.619861109999999</v>
      </c>
      <c r="J265" s="272">
        <v>25.527284949999999</v>
      </c>
      <c r="K265" s="272">
        <v>25.89569444</v>
      </c>
      <c r="L265" s="272">
        <v>26.268951609999998</v>
      </c>
      <c r="M265" s="272">
        <v>27.235618280000001</v>
      </c>
      <c r="N265" s="272">
        <v>28.237083330000001</v>
      </c>
      <c r="O265" s="272">
        <v>28.58629032</v>
      </c>
      <c r="P265" s="272">
        <v>28.677222220000001</v>
      </c>
      <c r="Q265" s="272">
        <v>28.41424731</v>
      </c>
      <c r="R265" s="272">
        <v>26.975434293333333</v>
      </c>
      <c r="S265" s="267">
        <f>SUMIFS(Aux_Lista!AD:AD,Aux_Lista!AB:AB,Aux_TBS!B265,Aux_Lista!AC:AC,Aux_TBS!A265)</f>
        <v>8</v>
      </c>
      <c r="T265" s="267" t="s">
        <v>6015</v>
      </c>
      <c r="U265" s="267">
        <v>38</v>
      </c>
    </row>
    <row r="266" spans="1:21" x14ac:dyDescent="0.25">
      <c r="A266" s="270" t="s">
        <v>5063</v>
      </c>
      <c r="B266" s="251" t="s">
        <v>3845</v>
      </c>
      <c r="C266" s="267" t="str">
        <f t="shared" si="4"/>
        <v>Floriano, PI</v>
      </c>
      <c r="D266" s="271">
        <v>-6.77</v>
      </c>
      <c r="E266" s="251">
        <v>123</v>
      </c>
      <c r="F266" s="272">
        <v>28.015591400000002</v>
      </c>
      <c r="G266" s="272">
        <v>26.11488095</v>
      </c>
      <c r="H266" s="272">
        <v>26.474731179999999</v>
      </c>
      <c r="I266" s="272">
        <v>26.272500000000001</v>
      </c>
      <c r="J266" s="272">
        <v>26.953897850000001</v>
      </c>
      <c r="K266" s="272">
        <v>26.11680556</v>
      </c>
      <c r="L266" s="272">
        <v>27.015725809999999</v>
      </c>
      <c r="M266" s="272">
        <v>28.667741939999999</v>
      </c>
      <c r="N266" s="272">
        <v>30.055138889999998</v>
      </c>
      <c r="O266" s="272">
        <v>29.43091398</v>
      </c>
      <c r="P266" s="272">
        <v>28.06625</v>
      </c>
      <c r="Q266" s="272">
        <v>27.68844086</v>
      </c>
      <c r="R266" s="272">
        <v>27.572718201666671</v>
      </c>
      <c r="S266" s="267">
        <f>SUMIFS(Aux_Lista!AD:AD,Aux_Lista!AB:AB,Aux_TBS!B266,Aux_Lista!AC:AC,Aux_TBS!A266)</f>
        <v>7</v>
      </c>
      <c r="T266" s="267" t="s">
        <v>6015</v>
      </c>
      <c r="U266" s="267">
        <v>38</v>
      </c>
    </row>
    <row r="267" spans="1:21" x14ac:dyDescent="0.25">
      <c r="A267" s="270" t="s">
        <v>5010</v>
      </c>
      <c r="B267" s="251" t="s">
        <v>3845</v>
      </c>
      <c r="C267" s="267" t="str">
        <f t="shared" si="4"/>
        <v>Gilbués, PI</v>
      </c>
      <c r="D267" s="271">
        <v>-9.8699999999999992</v>
      </c>
      <c r="E267" s="251">
        <v>425</v>
      </c>
      <c r="F267" s="272">
        <v>25.65766129</v>
      </c>
      <c r="G267" s="272">
        <v>26.45133929</v>
      </c>
      <c r="H267" s="272">
        <v>26.29341398</v>
      </c>
      <c r="I267" s="272">
        <v>26.213611109999999</v>
      </c>
      <c r="J267" s="272">
        <v>25.911693549999999</v>
      </c>
      <c r="K267" s="272">
        <v>24.500138889999999</v>
      </c>
      <c r="L267" s="272">
        <v>25.297715050000001</v>
      </c>
      <c r="M267" s="272">
        <v>27.30591398</v>
      </c>
      <c r="N267" s="272">
        <v>29.770416669999999</v>
      </c>
      <c r="O267" s="272">
        <v>27.374731180000001</v>
      </c>
      <c r="P267" s="272">
        <v>27.654166669999999</v>
      </c>
      <c r="Q267" s="272">
        <v>25.55873656</v>
      </c>
      <c r="R267" s="272">
        <v>26.499128185</v>
      </c>
      <c r="S267" s="267">
        <f>SUMIFS(Aux_Lista!AD:AD,Aux_Lista!AB:AB,Aux_TBS!B267,Aux_Lista!AC:AC,Aux_TBS!A267)</f>
        <v>7</v>
      </c>
      <c r="T267" s="267" t="s">
        <v>6015</v>
      </c>
      <c r="U267" s="267">
        <v>38</v>
      </c>
    </row>
    <row r="268" spans="1:21" x14ac:dyDescent="0.25">
      <c r="A268" s="270" t="s">
        <v>5477</v>
      </c>
      <c r="B268" s="251" t="s">
        <v>3845</v>
      </c>
      <c r="C268" s="267" t="str">
        <f t="shared" si="4"/>
        <v>Oeiras, PI</v>
      </c>
      <c r="D268" s="271">
        <v>-6.97</v>
      </c>
      <c r="E268" s="251">
        <v>156</v>
      </c>
      <c r="F268" s="272">
        <v>26.45336022</v>
      </c>
      <c r="G268" s="272">
        <v>25.879761899999998</v>
      </c>
      <c r="H268" s="272">
        <v>25.970833330000001</v>
      </c>
      <c r="I268" s="272">
        <v>25.55541667</v>
      </c>
      <c r="J268" s="272">
        <v>25.35497312</v>
      </c>
      <c r="K268" s="272">
        <v>24.734999999999999</v>
      </c>
      <c r="L268" s="272">
        <v>25.196639780000002</v>
      </c>
      <c r="M268" s="272">
        <v>27.08293011</v>
      </c>
      <c r="N268" s="272">
        <v>29.098472220000001</v>
      </c>
      <c r="O268" s="272">
        <v>29.155913980000001</v>
      </c>
      <c r="P268" s="272">
        <v>29.41486111</v>
      </c>
      <c r="Q268" s="272">
        <v>27.614784950000001</v>
      </c>
      <c r="R268" s="272">
        <v>26.792745615833336</v>
      </c>
      <c r="S268" s="267">
        <f>SUMIFS(Aux_Lista!AD:AD,Aux_Lista!AB:AB,Aux_TBS!B268,Aux_Lista!AC:AC,Aux_TBS!A268)</f>
        <v>7</v>
      </c>
      <c r="T268" s="267" t="s">
        <v>6015</v>
      </c>
      <c r="U268" s="267">
        <v>38</v>
      </c>
    </row>
    <row r="269" spans="1:21" x14ac:dyDescent="0.25">
      <c r="A269" s="270" t="s">
        <v>5000</v>
      </c>
      <c r="B269" s="251" t="s">
        <v>3845</v>
      </c>
      <c r="C269" s="267" t="str">
        <f t="shared" si="4"/>
        <v>Parnaíba, PI</v>
      </c>
      <c r="D269" s="271">
        <v>-2.9</v>
      </c>
      <c r="E269" s="251">
        <v>80</v>
      </c>
      <c r="F269" s="272">
        <v>26.911962370000001</v>
      </c>
      <c r="G269" s="272">
        <v>28.009374999999999</v>
      </c>
      <c r="H269" s="272">
        <v>27.265994620000001</v>
      </c>
      <c r="I269" s="272">
        <v>25.730277780000002</v>
      </c>
      <c r="J269" s="272">
        <v>26.200672040000001</v>
      </c>
      <c r="K269" s="272">
        <v>26.18152778</v>
      </c>
      <c r="L269" s="272">
        <v>26.407392470000001</v>
      </c>
      <c r="M269" s="272">
        <v>27.459543010000001</v>
      </c>
      <c r="N269" s="272">
        <v>28.200138890000002</v>
      </c>
      <c r="O269" s="272">
        <v>28.332123660000001</v>
      </c>
      <c r="P269" s="272">
        <v>29.14083333</v>
      </c>
      <c r="Q269" s="272">
        <v>28.354838709999999</v>
      </c>
      <c r="R269" s="272">
        <v>27.34955663833334</v>
      </c>
      <c r="S269" s="267">
        <f>SUMIFS(Aux_Lista!AD:AD,Aux_Lista!AB:AB,Aux_TBS!B269,Aux_Lista!AC:AC,Aux_TBS!A269)</f>
        <v>8</v>
      </c>
      <c r="T269" s="267" t="s">
        <v>6015</v>
      </c>
      <c r="U269" s="267">
        <v>38</v>
      </c>
    </row>
    <row r="270" spans="1:21" x14ac:dyDescent="0.25">
      <c r="A270" s="270" t="s">
        <v>4915</v>
      </c>
      <c r="B270" s="251" t="s">
        <v>3845</v>
      </c>
      <c r="C270" s="267" t="str">
        <f t="shared" si="4"/>
        <v>Paulistana, PI</v>
      </c>
      <c r="D270" s="271">
        <v>-8.14</v>
      </c>
      <c r="E270" s="251">
        <v>374</v>
      </c>
      <c r="F270" s="272">
        <v>27.02795699</v>
      </c>
      <c r="G270" s="272">
        <v>28.720684519999999</v>
      </c>
      <c r="H270" s="272">
        <v>28.380913979999999</v>
      </c>
      <c r="I270" s="272">
        <v>26.938472220000001</v>
      </c>
      <c r="J270" s="272">
        <v>28.512231180000001</v>
      </c>
      <c r="K270" s="272">
        <v>26.04666667</v>
      </c>
      <c r="L270" s="272">
        <v>25.53319892</v>
      </c>
      <c r="M270" s="272">
        <v>26.090591400000001</v>
      </c>
      <c r="N270" s="272">
        <v>27.596250000000001</v>
      </c>
      <c r="O270" s="272">
        <v>29.691935480000001</v>
      </c>
      <c r="P270" s="272">
        <v>29.701250000000002</v>
      </c>
      <c r="Q270" s="272">
        <v>26.84180108</v>
      </c>
      <c r="R270" s="272">
        <v>27.590162703333331</v>
      </c>
      <c r="S270" s="267">
        <f>SUMIFS(Aux_Lista!AD:AD,Aux_Lista!AB:AB,Aux_TBS!B270,Aux_Lista!AC:AC,Aux_TBS!A270)</f>
        <v>7</v>
      </c>
      <c r="T270" s="267" t="s">
        <v>6015</v>
      </c>
      <c r="U270" s="267">
        <v>38</v>
      </c>
    </row>
    <row r="271" spans="1:21" x14ac:dyDescent="0.25">
      <c r="A271" s="270" t="s">
        <v>5316</v>
      </c>
      <c r="B271" s="251" t="s">
        <v>3845</v>
      </c>
      <c r="C271" s="267" t="str">
        <f t="shared" si="4"/>
        <v>Picos, PI</v>
      </c>
      <c r="D271" s="271">
        <v>-7.07</v>
      </c>
      <c r="E271" s="251">
        <v>233</v>
      </c>
      <c r="F271" s="272">
        <v>27.17903226</v>
      </c>
      <c r="G271" s="272">
        <v>28.653273810000002</v>
      </c>
      <c r="H271" s="272">
        <v>27.746370970000001</v>
      </c>
      <c r="I271" s="272">
        <v>26.59708333</v>
      </c>
      <c r="J271" s="272">
        <v>27.45887097</v>
      </c>
      <c r="K271" s="272">
        <v>26.35430556</v>
      </c>
      <c r="L271" s="272">
        <v>26.26169355</v>
      </c>
      <c r="M271" s="272">
        <v>27.944220430000001</v>
      </c>
      <c r="N271" s="272">
        <v>30.22583333</v>
      </c>
      <c r="O271" s="272">
        <v>30.33252688</v>
      </c>
      <c r="P271" s="272">
        <v>31.21458333</v>
      </c>
      <c r="Q271" s="272">
        <v>28.740994619999999</v>
      </c>
      <c r="R271" s="272">
        <v>28.225732419999996</v>
      </c>
      <c r="S271" s="267">
        <f>SUMIFS(Aux_Lista!AD:AD,Aux_Lista!AB:AB,Aux_TBS!B271,Aux_Lista!AC:AC,Aux_TBS!A271)</f>
        <v>7</v>
      </c>
      <c r="T271" s="267" t="s">
        <v>6015</v>
      </c>
      <c r="U271" s="267">
        <v>38</v>
      </c>
    </row>
    <row r="272" spans="1:21" x14ac:dyDescent="0.25">
      <c r="A272" s="270" t="s">
        <v>5440</v>
      </c>
      <c r="B272" s="251" t="s">
        <v>3845</v>
      </c>
      <c r="C272" s="267" t="str">
        <f t="shared" si="4"/>
        <v>Piripiri, PI</v>
      </c>
      <c r="D272" s="271">
        <v>-4.2699999999999996</v>
      </c>
      <c r="E272" s="251">
        <v>161</v>
      </c>
      <c r="F272" s="272">
        <v>27.34139785</v>
      </c>
      <c r="G272" s="272">
        <v>28.442857140000001</v>
      </c>
      <c r="H272" s="272">
        <v>27.37459677</v>
      </c>
      <c r="I272" s="272">
        <v>27.028888890000001</v>
      </c>
      <c r="J272" s="272">
        <v>27.15725806</v>
      </c>
      <c r="K272" s="272">
        <v>26.933611110000001</v>
      </c>
      <c r="L272" s="272">
        <v>27.77284946</v>
      </c>
      <c r="M272" s="272">
        <v>28.392069889999998</v>
      </c>
      <c r="N272" s="272">
        <v>29.316527780000001</v>
      </c>
      <c r="O272" s="272">
        <v>28.976612899999999</v>
      </c>
      <c r="P272" s="272">
        <v>28.95972222</v>
      </c>
      <c r="Q272" s="272">
        <v>27.219489249999999</v>
      </c>
      <c r="R272" s="272">
        <v>27.909656776666665</v>
      </c>
      <c r="S272" s="267">
        <f>SUMIFS(Aux_Lista!AD:AD,Aux_Lista!AB:AB,Aux_TBS!B272,Aux_Lista!AC:AC,Aux_TBS!A272)</f>
        <v>7</v>
      </c>
      <c r="T272" s="267" t="s">
        <v>6015</v>
      </c>
      <c r="U272" s="267">
        <v>38</v>
      </c>
    </row>
    <row r="273" spans="1:21" x14ac:dyDescent="0.25">
      <c r="A273" s="270" t="s">
        <v>4266</v>
      </c>
      <c r="B273" s="251" t="s">
        <v>3845</v>
      </c>
      <c r="C273" s="267" t="str">
        <f t="shared" si="4"/>
        <v>São João do Piauí, PI</v>
      </c>
      <c r="D273" s="271">
        <v>-8.36</v>
      </c>
      <c r="E273" s="251">
        <v>235</v>
      </c>
      <c r="F273" s="272">
        <v>26.62916667</v>
      </c>
      <c r="G273" s="272">
        <v>28.57633929</v>
      </c>
      <c r="H273" s="272">
        <v>27.698387100000001</v>
      </c>
      <c r="I273" s="272">
        <v>27.297499999999999</v>
      </c>
      <c r="J273" s="272">
        <v>29.30551075</v>
      </c>
      <c r="K273" s="272">
        <v>27.811111109999999</v>
      </c>
      <c r="L273" s="272">
        <v>27.334274189999999</v>
      </c>
      <c r="M273" s="272">
        <v>27.865456989999998</v>
      </c>
      <c r="N273" s="272">
        <v>29.283750000000001</v>
      </c>
      <c r="O273" s="272">
        <v>30.303225810000001</v>
      </c>
      <c r="P273" s="272">
        <v>29.610277780000001</v>
      </c>
      <c r="Q273" s="272">
        <v>27.232526880000002</v>
      </c>
      <c r="R273" s="272">
        <v>28.245627214166671</v>
      </c>
      <c r="S273" s="267">
        <f>SUMIFS(Aux_Lista!AD:AD,Aux_Lista!AB:AB,Aux_TBS!B273,Aux_Lista!AC:AC,Aux_TBS!A273)</f>
        <v>7</v>
      </c>
      <c r="T273" s="267" t="s">
        <v>6015</v>
      </c>
      <c r="U273" s="267">
        <v>38</v>
      </c>
    </row>
    <row r="274" spans="1:21" x14ac:dyDescent="0.25">
      <c r="A274" s="270" t="s">
        <v>4471</v>
      </c>
      <c r="B274" s="251" t="s">
        <v>3845</v>
      </c>
      <c r="C274" s="267" t="str">
        <f t="shared" si="4"/>
        <v>São Pedro do Piauí, PI</v>
      </c>
      <c r="D274" s="271">
        <v>-5.91</v>
      </c>
      <c r="E274" s="251">
        <v>287</v>
      </c>
      <c r="F274" s="272">
        <v>25.654704299999999</v>
      </c>
      <c r="G274" s="272">
        <v>26.365625000000001</v>
      </c>
      <c r="H274" s="272">
        <v>25.93373656</v>
      </c>
      <c r="I274" s="272">
        <v>25.917777780000002</v>
      </c>
      <c r="J274" s="272">
        <v>25.910080650000001</v>
      </c>
      <c r="K274" s="272">
        <v>24.77263889</v>
      </c>
      <c r="L274" s="272">
        <v>24.97163978</v>
      </c>
      <c r="M274" s="272">
        <v>25.84663978</v>
      </c>
      <c r="N274" s="272">
        <v>27.976388889999999</v>
      </c>
      <c r="O274" s="272">
        <v>27.596370969999999</v>
      </c>
      <c r="P274" s="272">
        <v>28.072777779999999</v>
      </c>
      <c r="Q274" s="272">
        <v>25.867741939999998</v>
      </c>
      <c r="R274" s="272">
        <v>26.240510193333336</v>
      </c>
      <c r="S274" s="267">
        <f>SUMIFS(Aux_Lista!AD:AD,Aux_Lista!AB:AB,Aux_TBS!B274,Aux_Lista!AC:AC,Aux_TBS!A274)</f>
        <v>7</v>
      </c>
      <c r="T274" s="267" t="s">
        <v>6015</v>
      </c>
      <c r="U274" s="267">
        <v>38</v>
      </c>
    </row>
    <row r="275" spans="1:21" x14ac:dyDescent="0.25">
      <c r="A275" s="270" t="s">
        <v>4765</v>
      </c>
      <c r="B275" s="251" t="s">
        <v>3845</v>
      </c>
      <c r="C275" s="267" t="str">
        <f t="shared" si="4"/>
        <v>São Raimundo Nonato, PI</v>
      </c>
      <c r="D275" s="271">
        <v>-9.0299999999999994</v>
      </c>
      <c r="E275" s="251">
        <v>402</v>
      </c>
      <c r="F275" s="272">
        <v>27.536962370000001</v>
      </c>
      <c r="G275" s="272">
        <v>28.40625</v>
      </c>
      <c r="H275" s="272">
        <v>27.136155909999999</v>
      </c>
      <c r="I275" s="272">
        <v>26.53763889</v>
      </c>
      <c r="J275" s="272">
        <v>26.565860220000001</v>
      </c>
      <c r="K275" s="272">
        <v>25.530416670000001</v>
      </c>
      <c r="L275" s="272">
        <v>24.926209679999999</v>
      </c>
      <c r="M275" s="272">
        <v>26.68239247</v>
      </c>
      <c r="N275" s="272">
        <v>28.228611109999999</v>
      </c>
      <c r="O275" s="272">
        <v>27.692069889999999</v>
      </c>
      <c r="P275" s="272">
        <v>28.05458333</v>
      </c>
      <c r="Q275" s="272">
        <v>27.253494620000001</v>
      </c>
      <c r="R275" s="272">
        <v>27.045887096666664</v>
      </c>
      <c r="S275" s="267">
        <f>SUMIFS(Aux_Lista!AD:AD,Aux_Lista!AB:AB,Aux_TBS!B275,Aux_Lista!AC:AC,Aux_TBS!A275)</f>
        <v>7</v>
      </c>
      <c r="T275" s="267" t="s">
        <v>6015</v>
      </c>
      <c r="U275" s="267">
        <v>38</v>
      </c>
    </row>
    <row r="276" spans="1:21" x14ac:dyDescent="0.25">
      <c r="A276" s="270" t="s">
        <v>4733</v>
      </c>
      <c r="B276" s="251" t="s">
        <v>3845</v>
      </c>
      <c r="C276" s="267" t="str">
        <f t="shared" si="4"/>
        <v>Teresina, PI</v>
      </c>
      <c r="D276" s="271">
        <v>-5.09</v>
      </c>
      <c r="E276" s="251">
        <v>74</v>
      </c>
      <c r="F276" s="272">
        <v>27.346774190000001</v>
      </c>
      <c r="G276" s="272">
        <v>26.48169643</v>
      </c>
      <c r="H276" s="272">
        <v>27.715725809999999</v>
      </c>
      <c r="I276" s="272">
        <v>27.103611109999999</v>
      </c>
      <c r="J276" s="272">
        <v>27.376747309999999</v>
      </c>
      <c r="K276" s="272">
        <v>26.551666669999999</v>
      </c>
      <c r="L276" s="272">
        <v>26.863844090000001</v>
      </c>
      <c r="M276" s="272">
        <v>28.330913979999998</v>
      </c>
      <c r="N276" s="272">
        <v>29.316527780000001</v>
      </c>
      <c r="O276" s="272">
        <v>28.976612899999999</v>
      </c>
      <c r="P276" s="272">
        <v>28.95972222</v>
      </c>
      <c r="Q276" s="272">
        <v>27.214247310000001</v>
      </c>
      <c r="R276" s="272">
        <v>27.68650748333334</v>
      </c>
      <c r="S276" s="267">
        <f>SUMIFS(Aux_Lista!AD:AD,Aux_Lista!AB:AB,Aux_TBS!B276,Aux_Lista!AC:AC,Aux_TBS!A276)</f>
        <v>7</v>
      </c>
      <c r="T276" s="267" t="s">
        <v>6015</v>
      </c>
      <c r="U276" s="267">
        <v>38</v>
      </c>
    </row>
    <row r="277" spans="1:21" x14ac:dyDescent="0.25">
      <c r="A277" s="270" t="s">
        <v>5023</v>
      </c>
      <c r="B277" s="251" t="s">
        <v>3845</v>
      </c>
      <c r="C277" s="267" t="str">
        <f t="shared" si="4"/>
        <v>Uruçuí, PI</v>
      </c>
      <c r="D277" s="271">
        <v>-7.47</v>
      </c>
      <c r="E277" s="251">
        <v>393</v>
      </c>
      <c r="F277" s="272">
        <v>25.463844089999998</v>
      </c>
      <c r="G277" s="272">
        <v>24.42782738</v>
      </c>
      <c r="H277" s="272">
        <v>24.802956989999998</v>
      </c>
      <c r="I277" s="272">
        <v>24.62277778</v>
      </c>
      <c r="J277" s="272">
        <v>24.682258059999999</v>
      </c>
      <c r="K277" s="272">
        <v>24.824027780000002</v>
      </c>
      <c r="L277" s="272">
        <v>25.93655914</v>
      </c>
      <c r="M277" s="272">
        <v>27.117204300000001</v>
      </c>
      <c r="N277" s="272">
        <v>28.854027779999999</v>
      </c>
      <c r="O277" s="272">
        <v>26.912096770000002</v>
      </c>
      <c r="P277" s="272">
        <v>26.64236111</v>
      </c>
      <c r="Q277" s="272">
        <v>25.40295699</v>
      </c>
      <c r="R277" s="272">
        <v>25.807408180833335</v>
      </c>
      <c r="S277" s="267">
        <f>SUMIFS(Aux_Lista!AD:AD,Aux_Lista!AB:AB,Aux_TBS!B277,Aux_Lista!AC:AC,Aux_TBS!A277)</f>
        <v>7</v>
      </c>
      <c r="T277" s="267" t="s">
        <v>6015</v>
      </c>
      <c r="U277" s="267">
        <v>38</v>
      </c>
    </row>
    <row r="278" spans="1:21" x14ac:dyDescent="0.25">
      <c r="A278" s="270" t="s">
        <v>5334</v>
      </c>
      <c r="B278" s="251" t="s">
        <v>3845</v>
      </c>
      <c r="C278" s="267" t="str">
        <f t="shared" si="4"/>
        <v>Valença do Piauí, PI</v>
      </c>
      <c r="D278" s="271">
        <v>-6.4</v>
      </c>
      <c r="E278" s="251">
        <v>301</v>
      </c>
      <c r="F278" s="272">
        <v>26.318682800000001</v>
      </c>
      <c r="G278" s="272">
        <v>27.710863100000001</v>
      </c>
      <c r="H278" s="272">
        <v>26.860349459999998</v>
      </c>
      <c r="I278" s="272">
        <v>26.615138890000001</v>
      </c>
      <c r="J278" s="272">
        <v>25.135483870000002</v>
      </c>
      <c r="K278" s="272">
        <v>25.313749999999999</v>
      </c>
      <c r="L278" s="272">
        <v>25.615725810000001</v>
      </c>
      <c r="M278" s="272">
        <v>26.593145159999999</v>
      </c>
      <c r="N278" s="272">
        <v>28.863194440000001</v>
      </c>
      <c r="O278" s="272">
        <v>28.951747309999998</v>
      </c>
      <c r="P278" s="272">
        <v>29.491527779999998</v>
      </c>
      <c r="Q278" s="272">
        <v>27.45564516</v>
      </c>
      <c r="R278" s="272">
        <v>27.077104481666669</v>
      </c>
      <c r="S278" s="267">
        <f>SUMIFS(Aux_Lista!AD:AD,Aux_Lista!AB:AB,Aux_TBS!B278,Aux_Lista!AC:AC,Aux_TBS!A278)</f>
        <v>7</v>
      </c>
      <c r="T278" s="267" t="s">
        <v>6015</v>
      </c>
      <c r="U278" s="267">
        <v>38</v>
      </c>
    </row>
    <row r="279" spans="1:21" x14ac:dyDescent="0.25">
      <c r="A279" s="270" t="s">
        <v>513</v>
      </c>
      <c r="B279" s="251" t="s">
        <v>214</v>
      </c>
      <c r="C279" s="267" t="str">
        <f t="shared" si="4"/>
        <v>Castro, PR</v>
      </c>
      <c r="D279" s="271">
        <v>-24.79</v>
      </c>
      <c r="E279" s="251">
        <v>1008</v>
      </c>
      <c r="F279" s="272">
        <v>19.416397849999999</v>
      </c>
      <c r="G279" s="272">
        <v>20.488392860000001</v>
      </c>
      <c r="H279" s="272">
        <v>19.244623659999998</v>
      </c>
      <c r="I279" s="272">
        <v>17.296388889999999</v>
      </c>
      <c r="J279" s="272">
        <v>13.93360215</v>
      </c>
      <c r="K279" s="272">
        <v>13.665416670000001</v>
      </c>
      <c r="L279" s="272">
        <v>13.44596774</v>
      </c>
      <c r="M279" s="272">
        <v>14.943010749999999</v>
      </c>
      <c r="N279" s="272">
        <v>14.57847222</v>
      </c>
      <c r="O279" s="272">
        <v>17.738978490000001</v>
      </c>
      <c r="P279" s="272">
        <v>18.40777778</v>
      </c>
      <c r="Q279" s="272">
        <v>19.568682800000001</v>
      </c>
      <c r="R279" s="272">
        <v>16.893975988333334</v>
      </c>
      <c r="S279" s="267">
        <f>SUMIFS(Aux_Lista!AD:AD,Aux_Lista!AB:AB,Aux_TBS!B279,Aux_Lista!AC:AC,Aux_TBS!A279)</f>
        <v>1</v>
      </c>
      <c r="T279" s="267" t="s">
        <v>6018</v>
      </c>
      <c r="U279" s="267">
        <v>40</v>
      </c>
    </row>
    <row r="280" spans="1:21" x14ac:dyDescent="0.25">
      <c r="A280" s="270" t="s">
        <v>3045</v>
      </c>
      <c r="B280" s="251" t="s">
        <v>214</v>
      </c>
      <c r="C280" s="267" t="str">
        <f t="shared" si="4"/>
        <v>Cidade Gaúcha, PR</v>
      </c>
      <c r="D280" s="271">
        <v>-23.36</v>
      </c>
      <c r="E280" s="251">
        <v>381</v>
      </c>
      <c r="F280" s="272">
        <v>24.78266129</v>
      </c>
      <c r="G280" s="272">
        <v>25.70223214</v>
      </c>
      <c r="H280" s="272">
        <v>25.238037630000001</v>
      </c>
      <c r="I280" s="272">
        <v>22.909861110000001</v>
      </c>
      <c r="J280" s="272">
        <v>19.329838710000001</v>
      </c>
      <c r="K280" s="272">
        <v>17.88291667</v>
      </c>
      <c r="L280" s="272">
        <v>20.796102149999999</v>
      </c>
      <c r="M280" s="272">
        <v>21.251612900000001</v>
      </c>
      <c r="N280" s="272">
        <v>20.50902778</v>
      </c>
      <c r="O280" s="272">
        <v>24.371908600000001</v>
      </c>
      <c r="P280" s="272">
        <v>24.72513889</v>
      </c>
      <c r="Q280" s="272">
        <v>26.45793011</v>
      </c>
      <c r="R280" s="272">
        <v>22.829772331666671</v>
      </c>
      <c r="S280" s="267">
        <f>SUMIFS(Aux_Lista!AD:AD,Aux_Lista!AB:AB,Aux_TBS!B280,Aux_Lista!AC:AC,Aux_TBS!A280)</f>
        <v>3</v>
      </c>
      <c r="T280" s="267" t="s">
        <v>6018</v>
      </c>
      <c r="U280" s="267">
        <v>40</v>
      </c>
    </row>
    <row r="281" spans="1:21" x14ac:dyDescent="0.25">
      <c r="A281" s="270" t="s">
        <v>1352</v>
      </c>
      <c r="B281" s="251" t="s">
        <v>214</v>
      </c>
      <c r="C281" s="267" t="str">
        <f t="shared" si="4"/>
        <v>Clevelândia, PR</v>
      </c>
      <c r="D281" s="271">
        <v>-26.42</v>
      </c>
      <c r="E281" s="251">
        <v>980</v>
      </c>
      <c r="F281" s="272">
        <v>19.423252690000002</v>
      </c>
      <c r="G281" s="272">
        <v>21.154613099999999</v>
      </c>
      <c r="H281" s="272">
        <v>20.617607530000001</v>
      </c>
      <c r="I281" s="272">
        <v>18.630416669999999</v>
      </c>
      <c r="J281" s="272">
        <v>16.257123660000001</v>
      </c>
      <c r="K281" s="272">
        <v>13.018333330000001</v>
      </c>
      <c r="L281" s="272">
        <v>15.45846774</v>
      </c>
      <c r="M281" s="272">
        <v>15.24865591</v>
      </c>
      <c r="N281" s="272">
        <v>13.745972220000001</v>
      </c>
      <c r="O281" s="272">
        <v>17.617338709999999</v>
      </c>
      <c r="P281" s="272">
        <v>19.307777779999999</v>
      </c>
      <c r="Q281" s="272">
        <v>20.510080649999999</v>
      </c>
      <c r="R281" s="272">
        <v>17.582469999166666</v>
      </c>
      <c r="S281" s="267">
        <f>SUMIFS(Aux_Lista!AD:AD,Aux_Lista!AB:AB,Aux_TBS!B281,Aux_Lista!AC:AC,Aux_TBS!A281)</f>
        <v>1</v>
      </c>
      <c r="T281" s="267" t="s">
        <v>6018</v>
      </c>
      <c r="U281" s="267">
        <v>40</v>
      </c>
    </row>
    <row r="282" spans="1:21" x14ac:dyDescent="0.25">
      <c r="A282" s="270" t="s">
        <v>514</v>
      </c>
      <c r="B282" s="251" t="s">
        <v>214</v>
      </c>
      <c r="C282" s="267" t="str">
        <f t="shared" si="4"/>
        <v>Curitiba, PR</v>
      </c>
      <c r="D282" s="271">
        <v>-25.43</v>
      </c>
      <c r="E282" s="251">
        <v>924</v>
      </c>
      <c r="F282" s="272">
        <v>19.61841398</v>
      </c>
      <c r="G282" s="272">
        <v>20.869642859999999</v>
      </c>
      <c r="H282" s="272">
        <v>19.941935480000001</v>
      </c>
      <c r="I282" s="272">
        <v>17.85347222</v>
      </c>
      <c r="J282" s="272">
        <v>15.018817200000001</v>
      </c>
      <c r="K282" s="272">
        <v>14.712638889999999</v>
      </c>
      <c r="L282" s="272">
        <v>15.39018817</v>
      </c>
      <c r="M282" s="272">
        <v>15.72459677</v>
      </c>
      <c r="N282" s="272">
        <v>14.61972222</v>
      </c>
      <c r="O282" s="272">
        <v>17.5983871</v>
      </c>
      <c r="P282" s="272">
        <v>18.009861109999999</v>
      </c>
      <c r="Q282" s="272">
        <v>19.409677420000001</v>
      </c>
      <c r="R282" s="272">
        <v>17.397279451666666</v>
      </c>
      <c r="S282" s="267">
        <f>SUMIFS(Aux_Lista!AD:AD,Aux_Lista!AB:AB,Aux_TBS!B282,Aux_Lista!AC:AC,Aux_TBS!A282)</f>
        <v>1</v>
      </c>
      <c r="T282" s="267" t="s">
        <v>6018</v>
      </c>
      <c r="U282" s="267">
        <v>40</v>
      </c>
    </row>
    <row r="283" spans="1:21" x14ac:dyDescent="0.25">
      <c r="A283" s="270" t="s">
        <v>3203</v>
      </c>
      <c r="B283" s="251" t="s">
        <v>214</v>
      </c>
      <c r="C283" s="267" t="str">
        <f t="shared" si="4"/>
        <v>Diamante do Norte, PR</v>
      </c>
      <c r="D283" s="271">
        <v>-22.64</v>
      </c>
      <c r="E283" s="251">
        <v>362</v>
      </c>
      <c r="F283" s="272">
        <v>24.587499999999999</v>
      </c>
      <c r="G283" s="272">
        <v>25.64241071</v>
      </c>
      <c r="H283" s="272">
        <v>24.929166670000001</v>
      </c>
      <c r="I283" s="272">
        <v>22.858472219999999</v>
      </c>
      <c r="J283" s="272">
        <v>19.237096770000001</v>
      </c>
      <c r="K283" s="272">
        <v>18.32152778</v>
      </c>
      <c r="L283" s="272">
        <v>20.785349459999999</v>
      </c>
      <c r="M283" s="272">
        <v>21.55403226</v>
      </c>
      <c r="N283" s="272">
        <v>20.536666669999999</v>
      </c>
      <c r="O283" s="272">
        <v>24.496908600000001</v>
      </c>
      <c r="P283" s="272">
        <v>24.511111110000002</v>
      </c>
      <c r="Q283" s="272">
        <v>26.195295699999999</v>
      </c>
      <c r="R283" s="272">
        <v>22.804628162499998</v>
      </c>
      <c r="S283" s="267">
        <f>SUMIFS(Aux_Lista!AD:AD,Aux_Lista!AB:AB,Aux_TBS!B283,Aux_Lista!AC:AC,Aux_TBS!A283)</f>
        <v>3</v>
      </c>
      <c r="T283" s="267" t="s">
        <v>6018</v>
      </c>
      <c r="U283" s="267">
        <v>40</v>
      </c>
    </row>
    <row r="284" spans="1:21" x14ac:dyDescent="0.25">
      <c r="A284" s="270" t="s">
        <v>1530</v>
      </c>
      <c r="B284" s="251" t="s">
        <v>214</v>
      </c>
      <c r="C284" s="267" t="str">
        <f t="shared" si="4"/>
        <v>Dois Vizinhos, PR</v>
      </c>
      <c r="D284" s="271">
        <v>-25.69</v>
      </c>
      <c r="E284" s="251">
        <v>520</v>
      </c>
      <c r="F284" s="272">
        <v>23.181586020000001</v>
      </c>
      <c r="G284" s="272">
        <v>23.450595239999998</v>
      </c>
      <c r="H284" s="272">
        <v>22.699865590000002</v>
      </c>
      <c r="I284" s="272">
        <v>19.299305560000001</v>
      </c>
      <c r="J284" s="272">
        <v>16.765322579999999</v>
      </c>
      <c r="K284" s="272">
        <v>14.682499999999999</v>
      </c>
      <c r="L284" s="272">
        <v>17.616801079999998</v>
      </c>
      <c r="M284" s="272">
        <v>18.511424730000002</v>
      </c>
      <c r="N284" s="272">
        <v>17.216666669999999</v>
      </c>
      <c r="O284" s="272">
        <v>20.830107529999999</v>
      </c>
      <c r="P284" s="272">
        <v>22.31180556</v>
      </c>
      <c r="Q284" s="272">
        <v>23.766397850000001</v>
      </c>
      <c r="R284" s="272">
        <v>20.027698200833335</v>
      </c>
      <c r="S284" s="267">
        <f>SUMIFS(Aux_Lista!AD:AD,Aux_Lista!AB:AB,Aux_TBS!B284,Aux_Lista!AC:AC,Aux_TBS!A284)</f>
        <v>2</v>
      </c>
      <c r="T284" s="267" t="s">
        <v>6018</v>
      </c>
      <c r="U284" s="267">
        <v>40</v>
      </c>
    </row>
    <row r="285" spans="1:21" x14ac:dyDescent="0.25">
      <c r="A285" s="270" t="s">
        <v>3380</v>
      </c>
      <c r="B285" s="251" t="s">
        <v>214</v>
      </c>
      <c r="C285" s="267" t="str">
        <f t="shared" si="4"/>
        <v>Foz do Iguaçu, PR</v>
      </c>
      <c r="D285" s="271">
        <v>-25.6</v>
      </c>
      <c r="E285" s="251">
        <v>231</v>
      </c>
      <c r="F285" s="272">
        <v>25.994220429999999</v>
      </c>
      <c r="G285" s="272">
        <v>26.32857143</v>
      </c>
      <c r="H285" s="272">
        <v>25.117607530000001</v>
      </c>
      <c r="I285" s="272">
        <v>22.489027780000001</v>
      </c>
      <c r="J285" s="272">
        <v>18.87311828</v>
      </c>
      <c r="K285" s="272">
        <v>14.294166669999999</v>
      </c>
      <c r="L285" s="272">
        <v>14.926881720000001</v>
      </c>
      <c r="M285" s="272">
        <v>18.649999999999999</v>
      </c>
      <c r="N285" s="272">
        <v>18.796388889999999</v>
      </c>
      <c r="O285" s="272">
        <v>22.173387099999999</v>
      </c>
      <c r="P285" s="272">
        <v>25.766249999999999</v>
      </c>
      <c r="Q285" s="272">
        <v>25.393682800000001</v>
      </c>
      <c r="R285" s="272">
        <v>21.566941885833341</v>
      </c>
      <c r="S285" s="267">
        <f>SUMIFS(Aux_Lista!AD:AD,Aux_Lista!AB:AB,Aux_TBS!B285,Aux_Lista!AC:AC,Aux_TBS!A285)</f>
        <v>3</v>
      </c>
      <c r="T285" s="267" t="s">
        <v>6018</v>
      </c>
      <c r="U285" s="267">
        <v>40</v>
      </c>
    </row>
    <row r="286" spans="1:21" x14ac:dyDescent="0.25">
      <c r="A286" s="270" t="s">
        <v>1552</v>
      </c>
      <c r="B286" s="251" t="s">
        <v>214</v>
      </c>
      <c r="C286" s="267" t="str">
        <f t="shared" si="4"/>
        <v>General Carneiro, PR</v>
      </c>
      <c r="D286" s="271">
        <v>-26.4</v>
      </c>
      <c r="E286" s="251">
        <v>1018</v>
      </c>
      <c r="F286" s="272">
        <v>18.568010749999999</v>
      </c>
      <c r="G286" s="272">
        <v>20.177976189999999</v>
      </c>
      <c r="H286" s="272">
        <v>19.23413978</v>
      </c>
      <c r="I286" s="272">
        <v>15.71777778</v>
      </c>
      <c r="J286" s="272">
        <v>13.80215054</v>
      </c>
      <c r="K286" s="272">
        <v>11.342083329999999</v>
      </c>
      <c r="L286" s="272">
        <v>11.923387099999999</v>
      </c>
      <c r="M286" s="272">
        <v>13.62446237</v>
      </c>
      <c r="N286" s="272">
        <v>13.07375</v>
      </c>
      <c r="O286" s="272">
        <v>16.480376339999999</v>
      </c>
      <c r="P286" s="272">
        <v>17.420277779999999</v>
      </c>
      <c r="Q286" s="272">
        <v>18.967069890000001</v>
      </c>
      <c r="R286" s="272">
        <v>15.860955154166666</v>
      </c>
      <c r="S286" s="267">
        <f>SUMIFS(Aux_Lista!AD:AD,Aux_Lista!AB:AB,Aux_TBS!B286,Aux_Lista!AC:AC,Aux_TBS!A286)</f>
        <v>2</v>
      </c>
      <c r="T286" s="267" t="s">
        <v>6018</v>
      </c>
      <c r="U286" s="267">
        <v>40</v>
      </c>
    </row>
    <row r="287" spans="1:21" x14ac:dyDescent="0.25">
      <c r="A287" s="270" t="s">
        <v>515</v>
      </c>
      <c r="B287" s="251" t="s">
        <v>214</v>
      </c>
      <c r="C287" s="267" t="str">
        <f t="shared" si="4"/>
        <v>Ibaiti, PR</v>
      </c>
      <c r="D287" s="271">
        <v>-23.77</v>
      </c>
      <c r="E287" s="251">
        <v>930</v>
      </c>
      <c r="F287" s="272">
        <v>21.779973120000001</v>
      </c>
      <c r="G287" s="272">
        <v>23.456101189999998</v>
      </c>
      <c r="H287" s="272">
        <v>23.09045699</v>
      </c>
      <c r="I287" s="272">
        <v>20.205138890000001</v>
      </c>
      <c r="J287" s="272">
        <v>17.417741939999999</v>
      </c>
      <c r="K287" s="272">
        <v>16.710972219999999</v>
      </c>
      <c r="L287" s="272">
        <v>18.31196237</v>
      </c>
      <c r="M287" s="272">
        <v>18.68561828</v>
      </c>
      <c r="N287" s="272">
        <v>18.16680556</v>
      </c>
      <c r="O287" s="272">
        <v>21.11330645</v>
      </c>
      <c r="P287" s="272">
        <v>21.246388889999999</v>
      </c>
      <c r="Q287" s="272">
        <v>22.559139779999999</v>
      </c>
      <c r="R287" s="272">
        <v>20.228633806666668</v>
      </c>
      <c r="S287" s="267">
        <f>SUMIFS(Aux_Lista!AD:AD,Aux_Lista!AB:AB,Aux_TBS!B287,Aux_Lista!AC:AC,Aux_TBS!A287)</f>
        <v>2</v>
      </c>
      <c r="T287" s="267" t="s">
        <v>6018</v>
      </c>
      <c r="U287" s="267">
        <v>40</v>
      </c>
    </row>
    <row r="288" spans="1:21" x14ac:dyDescent="0.25">
      <c r="A288" s="270" t="s">
        <v>3167</v>
      </c>
      <c r="B288" s="251" t="s">
        <v>214</v>
      </c>
      <c r="C288" s="267" t="str">
        <f t="shared" si="4"/>
        <v>Icaraíma, PR</v>
      </c>
      <c r="D288" s="271">
        <v>-23.4</v>
      </c>
      <c r="E288" s="251">
        <v>385</v>
      </c>
      <c r="F288" s="272">
        <v>25.455510749999998</v>
      </c>
      <c r="G288" s="272">
        <v>26.215922620000001</v>
      </c>
      <c r="H288" s="272">
        <v>25.354435479999999</v>
      </c>
      <c r="I288" s="272">
        <v>23.16111111</v>
      </c>
      <c r="J288" s="272">
        <v>18.41330645</v>
      </c>
      <c r="K288" s="272">
        <v>19.628888889999999</v>
      </c>
      <c r="L288" s="272">
        <v>18.777419349999999</v>
      </c>
      <c r="M288" s="272">
        <v>19.958736559999998</v>
      </c>
      <c r="N288" s="272">
        <v>22.288194440000002</v>
      </c>
      <c r="O288" s="272">
        <v>21.892876340000001</v>
      </c>
      <c r="P288" s="272">
        <v>23.496805559999999</v>
      </c>
      <c r="Q288" s="272">
        <v>24.674327959999999</v>
      </c>
      <c r="R288" s="272">
        <v>22.443127959166663</v>
      </c>
      <c r="S288" s="267">
        <f>SUMIFS(Aux_Lista!AD:AD,Aux_Lista!AB:AB,Aux_TBS!B288,Aux_Lista!AC:AC,Aux_TBS!A288)</f>
        <v>3</v>
      </c>
      <c r="T288" s="267" t="s">
        <v>6018</v>
      </c>
      <c r="U288" s="267">
        <v>40</v>
      </c>
    </row>
    <row r="289" spans="1:21" x14ac:dyDescent="0.25">
      <c r="A289" s="270" t="s">
        <v>2874</v>
      </c>
      <c r="B289" s="251" t="s">
        <v>214</v>
      </c>
      <c r="C289" s="267" t="str">
        <f t="shared" si="4"/>
        <v>Paranaguá, PR</v>
      </c>
      <c r="D289" s="271">
        <v>-25.57</v>
      </c>
      <c r="E289" s="251">
        <v>1</v>
      </c>
      <c r="F289" s="272">
        <v>24.33763441</v>
      </c>
      <c r="G289" s="272">
        <v>24.80238095</v>
      </c>
      <c r="H289" s="272">
        <v>24.267069889999998</v>
      </c>
      <c r="I289" s="272">
        <v>21.89569444</v>
      </c>
      <c r="J289" s="272">
        <v>19.63534946</v>
      </c>
      <c r="K289" s="272">
        <v>17.52263889</v>
      </c>
      <c r="L289" s="272">
        <v>18.459677419999998</v>
      </c>
      <c r="M289" s="272">
        <v>18.780645159999999</v>
      </c>
      <c r="N289" s="272">
        <v>18.270277780000001</v>
      </c>
      <c r="O289" s="272">
        <v>20.699596769999999</v>
      </c>
      <c r="P289" s="272">
        <v>21.99027778</v>
      </c>
      <c r="Q289" s="272">
        <v>22.303494619999999</v>
      </c>
      <c r="R289" s="272">
        <v>21.080394797500002</v>
      </c>
      <c r="S289" s="267">
        <f>SUMIFS(Aux_Lista!AD:AD,Aux_Lista!AB:AB,Aux_TBS!B289,Aux_Lista!AC:AC,Aux_TBS!A289)</f>
        <v>3</v>
      </c>
      <c r="T289" s="267" t="s">
        <v>6018</v>
      </c>
      <c r="U289" s="267">
        <v>40</v>
      </c>
    </row>
    <row r="290" spans="1:21" x14ac:dyDescent="0.25">
      <c r="A290" s="270" t="s">
        <v>1201</v>
      </c>
      <c r="B290" s="251" t="s">
        <v>214</v>
      </c>
      <c r="C290" s="267" t="str">
        <f t="shared" si="4"/>
        <v>Inácio Martins, PR</v>
      </c>
      <c r="D290" s="271">
        <v>-25.57</v>
      </c>
      <c r="E290" s="251">
        <v>1260</v>
      </c>
      <c r="F290" s="272">
        <v>19.496505379999999</v>
      </c>
      <c r="G290" s="272">
        <v>19.376190480000002</v>
      </c>
      <c r="H290" s="272">
        <v>19.757661290000001</v>
      </c>
      <c r="I290" s="272">
        <v>16.943611109999999</v>
      </c>
      <c r="J290" s="272">
        <v>13.113844090000001</v>
      </c>
      <c r="K290" s="272">
        <v>14.20805556</v>
      </c>
      <c r="L290" s="272">
        <v>11.971370970000001</v>
      </c>
      <c r="M290" s="272">
        <v>13.74005376</v>
      </c>
      <c r="N290" s="272">
        <v>17.279305560000001</v>
      </c>
      <c r="O290" s="272">
        <v>14.77836022</v>
      </c>
      <c r="P290" s="272">
        <v>17.19458333</v>
      </c>
      <c r="Q290" s="272">
        <v>17.92862903</v>
      </c>
      <c r="R290" s="272">
        <v>16.315680898333333</v>
      </c>
      <c r="S290" s="267">
        <f>SUMIFS(Aux_Lista!AD:AD,Aux_Lista!AB:AB,Aux_TBS!B290,Aux_Lista!AC:AC,Aux_TBS!A290)</f>
        <v>2</v>
      </c>
      <c r="T290" s="267" t="s">
        <v>6018</v>
      </c>
      <c r="U290" s="267">
        <v>40</v>
      </c>
    </row>
    <row r="291" spans="1:21" x14ac:dyDescent="0.25">
      <c r="A291" s="270" t="s">
        <v>1548</v>
      </c>
      <c r="B291" s="251" t="s">
        <v>214</v>
      </c>
      <c r="C291" s="267" t="str">
        <f t="shared" si="4"/>
        <v>Ivaí, PR</v>
      </c>
      <c r="D291" s="271">
        <v>-25.01</v>
      </c>
      <c r="E291" s="251">
        <v>808</v>
      </c>
      <c r="F291" s="272">
        <v>22.39314516</v>
      </c>
      <c r="G291" s="272">
        <v>22.217559519999998</v>
      </c>
      <c r="H291" s="272">
        <v>22.163575269999999</v>
      </c>
      <c r="I291" s="272">
        <v>19.757638889999999</v>
      </c>
      <c r="J291" s="272">
        <v>15.8375</v>
      </c>
      <c r="K291" s="272">
        <v>15.717083329999999</v>
      </c>
      <c r="L291" s="272">
        <v>13.794892470000001</v>
      </c>
      <c r="M291" s="272">
        <v>17.295967739999998</v>
      </c>
      <c r="N291" s="272">
        <v>16.766388890000002</v>
      </c>
      <c r="O291" s="272">
        <v>20.190188169999999</v>
      </c>
      <c r="P291" s="272">
        <v>20.632361110000002</v>
      </c>
      <c r="Q291" s="272">
        <v>22.50981183</v>
      </c>
      <c r="R291" s="272">
        <v>19.106342698333332</v>
      </c>
      <c r="S291" s="267">
        <f>SUMIFS(Aux_Lista!AD:AD,Aux_Lista!AB:AB,Aux_TBS!B291,Aux_Lista!AC:AC,Aux_TBS!A291)</f>
        <v>2</v>
      </c>
      <c r="T291" s="267" t="s">
        <v>6018</v>
      </c>
      <c r="U291" s="267">
        <v>40</v>
      </c>
    </row>
    <row r="292" spans="1:21" x14ac:dyDescent="0.25">
      <c r="A292" s="270" t="s">
        <v>3340</v>
      </c>
      <c r="B292" s="251" t="s">
        <v>214</v>
      </c>
      <c r="C292" s="267" t="str">
        <f t="shared" si="4"/>
        <v>Joaquim Távora, PR</v>
      </c>
      <c r="D292" s="271">
        <v>-23.5</v>
      </c>
      <c r="E292" s="251">
        <v>522</v>
      </c>
      <c r="F292" s="272">
        <v>22.955913979999998</v>
      </c>
      <c r="G292" s="272">
        <v>23.466815480000001</v>
      </c>
      <c r="H292" s="272">
        <v>22.759005380000001</v>
      </c>
      <c r="I292" s="272">
        <v>20.703749999999999</v>
      </c>
      <c r="J292" s="272">
        <v>16.90443548</v>
      </c>
      <c r="K292" s="272">
        <v>16.533194439999999</v>
      </c>
      <c r="L292" s="272">
        <v>17.27889785</v>
      </c>
      <c r="M292" s="272">
        <v>18.972849459999999</v>
      </c>
      <c r="N292" s="272">
        <v>18.74847222</v>
      </c>
      <c r="O292" s="272">
        <v>22.04663978</v>
      </c>
      <c r="P292" s="272">
        <v>22.390138889999999</v>
      </c>
      <c r="Q292" s="272">
        <v>23.54112903</v>
      </c>
      <c r="R292" s="272">
        <v>20.525103499166665</v>
      </c>
      <c r="S292" s="267">
        <f>SUMIFS(Aux_Lista!AD:AD,Aux_Lista!AB:AB,Aux_TBS!B292,Aux_Lista!AC:AC,Aux_TBS!A292)</f>
        <v>2</v>
      </c>
      <c r="T292" s="267" t="s">
        <v>6018</v>
      </c>
      <c r="U292" s="267">
        <v>40</v>
      </c>
    </row>
    <row r="293" spans="1:21" x14ac:dyDescent="0.25">
      <c r="A293" s="270" t="s">
        <v>3571</v>
      </c>
      <c r="B293" s="251" t="s">
        <v>214</v>
      </c>
      <c r="C293" s="267" t="str">
        <f t="shared" si="4"/>
        <v>Londrina, PR</v>
      </c>
      <c r="D293" s="271">
        <v>-23.38</v>
      </c>
      <c r="E293" s="251">
        <v>566</v>
      </c>
      <c r="F293" s="272">
        <v>23.900403229999998</v>
      </c>
      <c r="G293" s="272">
        <v>23.98854167</v>
      </c>
      <c r="H293" s="272">
        <v>24.199596769999999</v>
      </c>
      <c r="I293" s="272">
        <v>22.925416670000001</v>
      </c>
      <c r="J293" s="272">
        <v>18.535215050000001</v>
      </c>
      <c r="K293" s="272">
        <v>18.684583329999999</v>
      </c>
      <c r="L293" s="272">
        <v>16.613440860000001</v>
      </c>
      <c r="M293" s="272">
        <v>19.711827960000001</v>
      </c>
      <c r="N293" s="272">
        <v>23.300694440000001</v>
      </c>
      <c r="O293" s="272">
        <v>23.494086020000001</v>
      </c>
      <c r="P293" s="272">
        <v>22.737500000000001</v>
      </c>
      <c r="Q293" s="272">
        <v>24.097715050000001</v>
      </c>
      <c r="R293" s="272">
        <v>21.849085087500001</v>
      </c>
      <c r="S293" s="267">
        <f>SUMIFS(Aux_Lista!AD:AD,Aux_Lista!AB:AB,Aux_TBS!B293,Aux_Lista!AC:AC,Aux_TBS!A293)</f>
        <v>3</v>
      </c>
      <c r="T293" s="267" t="s">
        <v>6018</v>
      </c>
      <c r="U293" s="267">
        <v>40</v>
      </c>
    </row>
    <row r="294" spans="1:21" x14ac:dyDescent="0.25">
      <c r="A294" s="270" t="s">
        <v>3236</v>
      </c>
      <c r="B294" s="251" t="s">
        <v>214</v>
      </c>
      <c r="C294" s="267" t="str">
        <f t="shared" si="4"/>
        <v>Marechal Cândido Rondon, PR</v>
      </c>
      <c r="D294" s="271">
        <v>-24.56</v>
      </c>
      <c r="E294" s="251">
        <v>392</v>
      </c>
      <c r="F294" s="272">
        <v>23.90537634</v>
      </c>
      <c r="G294" s="272">
        <v>24.328422620000001</v>
      </c>
      <c r="H294" s="272">
        <v>24.061827959999999</v>
      </c>
      <c r="I294" s="272">
        <v>21.392777779999999</v>
      </c>
      <c r="J294" s="272">
        <v>17.76908602</v>
      </c>
      <c r="K294" s="272">
        <v>15.836527780000001</v>
      </c>
      <c r="L294" s="272">
        <v>19.274999999999999</v>
      </c>
      <c r="M294" s="272">
        <v>20.186693550000001</v>
      </c>
      <c r="N294" s="272">
        <v>18.60430556</v>
      </c>
      <c r="O294" s="272">
        <v>23.16612903</v>
      </c>
      <c r="P294" s="272">
        <v>23.507222219999999</v>
      </c>
      <c r="Q294" s="272">
        <v>24.884274189999999</v>
      </c>
      <c r="R294" s="272">
        <v>21.409803587499997</v>
      </c>
      <c r="S294" s="267">
        <f>SUMIFS(Aux_Lista!AD:AD,Aux_Lista!AB:AB,Aux_TBS!B294,Aux_Lista!AC:AC,Aux_TBS!A294)</f>
        <v>3</v>
      </c>
      <c r="T294" s="267" t="s">
        <v>6018</v>
      </c>
      <c r="U294" s="267">
        <v>40</v>
      </c>
    </row>
    <row r="295" spans="1:21" x14ac:dyDescent="0.25">
      <c r="A295" s="270" t="s">
        <v>3210</v>
      </c>
      <c r="B295" s="251" t="s">
        <v>214</v>
      </c>
      <c r="C295" s="267" t="str">
        <f t="shared" si="4"/>
        <v>Maringá, PR</v>
      </c>
      <c r="D295" s="271">
        <v>-23.42</v>
      </c>
      <c r="E295" s="251">
        <v>542</v>
      </c>
      <c r="F295" s="272">
        <v>24.389516130000001</v>
      </c>
      <c r="G295" s="272">
        <v>24.858184519999998</v>
      </c>
      <c r="H295" s="272">
        <v>25.305107530000001</v>
      </c>
      <c r="I295" s="272">
        <v>24.014583330000001</v>
      </c>
      <c r="J295" s="272">
        <v>19.588709680000001</v>
      </c>
      <c r="K295" s="272">
        <v>20.261944440000001</v>
      </c>
      <c r="L295" s="272">
        <v>18.854838709999999</v>
      </c>
      <c r="M295" s="272">
        <v>21.024999999999999</v>
      </c>
      <c r="N295" s="272">
        <v>25.160555559999999</v>
      </c>
      <c r="O295" s="272">
        <v>23.925268819999999</v>
      </c>
      <c r="P295" s="272">
        <v>24.015138889999999</v>
      </c>
      <c r="Q295" s="272">
        <v>25.146102150000001</v>
      </c>
      <c r="R295" s="272">
        <v>23.04541248</v>
      </c>
      <c r="S295" s="267">
        <f>SUMIFS(Aux_Lista!AD:AD,Aux_Lista!AB:AB,Aux_TBS!B295,Aux_Lista!AC:AC,Aux_TBS!A295)</f>
        <v>1</v>
      </c>
      <c r="T295" s="267" t="s">
        <v>6018</v>
      </c>
      <c r="U295" s="267">
        <v>40</v>
      </c>
    </row>
    <row r="296" spans="1:21" x14ac:dyDescent="0.25">
      <c r="A296" s="270" t="s">
        <v>2028</v>
      </c>
      <c r="B296" s="251" t="s">
        <v>214</v>
      </c>
      <c r="C296" s="267" t="str">
        <f t="shared" si="4"/>
        <v>Nova Fátima, PR</v>
      </c>
      <c r="D296" s="271">
        <v>-23.43</v>
      </c>
      <c r="E296" s="251">
        <v>668</v>
      </c>
      <c r="F296" s="272">
        <v>21.870698919999999</v>
      </c>
      <c r="G296" s="272">
        <v>22.617261899999999</v>
      </c>
      <c r="H296" s="272">
        <v>22.12688172</v>
      </c>
      <c r="I296" s="272">
        <v>20.775694439999999</v>
      </c>
      <c r="J296" s="272">
        <v>18.44637097</v>
      </c>
      <c r="K296" s="272">
        <v>19.487361109999998</v>
      </c>
      <c r="L296" s="272">
        <v>16.929704300000001</v>
      </c>
      <c r="M296" s="272">
        <v>19.543951610000001</v>
      </c>
      <c r="N296" s="272">
        <v>23.169583329999998</v>
      </c>
      <c r="O296" s="272">
        <v>19.977822580000002</v>
      </c>
      <c r="P296" s="272">
        <v>21.96430556</v>
      </c>
      <c r="Q296" s="272">
        <v>22.59139785</v>
      </c>
      <c r="R296" s="272">
        <v>20.791752857499997</v>
      </c>
      <c r="S296" s="267">
        <f>SUMIFS(Aux_Lista!AD:AD,Aux_Lista!AB:AB,Aux_TBS!B296,Aux_Lista!AC:AC,Aux_TBS!A296)</f>
        <v>3</v>
      </c>
      <c r="T296" s="267" t="s">
        <v>6018</v>
      </c>
      <c r="U296" s="267">
        <v>40</v>
      </c>
    </row>
    <row r="297" spans="1:21" x14ac:dyDescent="0.25">
      <c r="A297" s="270" t="s">
        <v>371</v>
      </c>
      <c r="B297" s="251" t="s">
        <v>214</v>
      </c>
      <c r="C297" s="267" t="str">
        <f t="shared" si="4"/>
        <v>Nova Tebas, PR</v>
      </c>
      <c r="D297" s="271">
        <v>-24.44</v>
      </c>
      <c r="E297" s="251">
        <v>654</v>
      </c>
      <c r="F297" s="272">
        <v>22.421370970000002</v>
      </c>
      <c r="G297" s="272">
        <v>22.937351190000001</v>
      </c>
      <c r="H297" s="272">
        <v>22.291263440000002</v>
      </c>
      <c r="I297" s="272">
        <v>19.985972220000001</v>
      </c>
      <c r="J297" s="272">
        <v>17.33252688</v>
      </c>
      <c r="K297" s="272">
        <v>16.06666667</v>
      </c>
      <c r="L297" s="272">
        <v>17.93844086</v>
      </c>
      <c r="M297" s="272">
        <v>18.72580645</v>
      </c>
      <c r="N297" s="272">
        <v>18.085000000000001</v>
      </c>
      <c r="O297" s="272">
        <v>21.425000000000001</v>
      </c>
      <c r="P297" s="272">
        <v>21.933611110000001</v>
      </c>
      <c r="Q297" s="272">
        <v>23.389784949999999</v>
      </c>
      <c r="R297" s="272">
        <v>20.211066228333333</v>
      </c>
      <c r="S297" s="267">
        <f>SUMIFS(Aux_Lista!AD:AD,Aux_Lista!AB:AB,Aux_TBS!B297,Aux_Lista!AC:AC,Aux_TBS!A297)</f>
        <v>2</v>
      </c>
      <c r="T297" s="267" t="s">
        <v>6018</v>
      </c>
      <c r="U297" s="267">
        <v>40</v>
      </c>
    </row>
    <row r="298" spans="1:21" x14ac:dyDescent="0.25">
      <c r="A298" s="270" t="s">
        <v>3266</v>
      </c>
      <c r="B298" s="251" t="s">
        <v>214</v>
      </c>
      <c r="C298" s="267" t="str">
        <f t="shared" si="4"/>
        <v>Paranapoema, PR</v>
      </c>
      <c r="D298" s="271">
        <v>-22.49</v>
      </c>
      <c r="E298" s="251">
        <v>311</v>
      </c>
      <c r="F298" s="272">
        <v>24.838709680000001</v>
      </c>
      <c r="G298" s="272">
        <v>25.963839289999999</v>
      </c>
      <c r="H298" s="272">
        <v>24.35497312</v>
      </c>
      <c r="I298" s="272">
        <v>23.104166670000001</v>
      </c>
      <c r="J298" s="272">
        <v>19.152284949999999</v>
      </c>
      <c r="K298" s="272">
        <v>18.648472219999999</v>
      </c>
      <c r="L298" s="272">
        <v>20.4016129</v>
      </c>
      <c r="M298" s="272">
        <v>21.52607527</v>
      </c>
      <c r="N298" s="272">
        <v>20.792777780000002</v>
      </c>
      <c r="O298" s="272">
        <v>24.76491935</v>
      </c>
      <c r="P298" s="272">
        <v>24.684722220000001</v>
      </c>
      <c r="Q298" s="272">
        <v>26.34045699</v>
      </c>
      <c r="R298" s="272">
        <v>22.88108420333333</v>
      </c>
      <c r="S298" s="267">
        <f>SUMIFS(Aux_Lista!AD:AD,Aux_Lista!AB:AB,Aux_TBS!B298,Aux_Lista!AC:AC,Aux_TBS!A298)</f>
        <v>3</v>
      </c>
      <c r="T298" s="267" t="s">
        <v>6018</v>
      </c>
      <c r="U298" s="267">
        <v>40</v>
      </c>
    </row>
    <row r="299" spans="1:21" x14ac:dyDescent="0.25">
      <c r="A299" s="270" t="s">
        <v>1421</v>
      </c>
      <c r="B299" s="251" t="s">
        <v>214</v>
      </c>
      <c r="C299" s="267" t="str">
        <f t="shared" si="4"/>
        <v>Planalto, PR</v>
      </c>
      <c r="D299" s="271">
        <v>-25.72</v>
      </c>
      <c r="E299" s="251">
        <v>346</v>
      </c>
      <c r="F299" s="272">
        <v>25.20793011</v>
      </c>
      <c r="G299" s="272">
        <v>25.501041669999999</v>
      </c>
      <c r="H299" s="272">
        <v>24.14596774</v>
      </c>
      <c r="I299" s="272">
        <v>21.05347222</v>
      </c>
      <c r="J299" s="272">
        <v>17.333602150000001</v>
      </c>
      <c r="K299" s="272">
        <v>15.51527778</v>
      </c>
      <c r="L299" s="272">
        <v>18.847311829999999</v>
      </c>
      <c r="M299" s="272">
        <v>19.246505379999999</v>
      </c>
      <c r="N299" s="272">
        <v>18.0975</v>
      </c>
      <c r="O299" s="272">
        <v>22.09986559</v>
      </c>
      <c r="P299" s="272">
        <v>23.765138889999999</v>
      </c>
      <c r="Q299" s="272">
        <v>25.265053760000001</v>
      </c>
      <c r="R299" s="272">
        <v>21.339888926666664</v>
      </c>
      <c r="S299" s="267">
        <f>SUMIFS(Aux_Lista!AD:AD,Aux_Lista!AB:AB,Aux_TBS!B299,Aux_Lista!AC:AC,Aux_TBS!A299)</f>
        <v>2</v>
      </c>
      <c r="T299" s="267" t="s">
        <v>6018</v>
      </c>
      <c r="U299" s="267">
        <v>40</v>
      </c>
    </row>
    <row r="300" spans="1:21" x14ac:dyDescent="0.25">
      <c r="A300" s="270" t="s">
        <v>1598</v>
      </c>
      <c r="B300" s="251" t="s">
        <v>227</v>
      </c>
      <c r="C300" s="267" t="str">
        <f t="shared" si="4"/>
        <v>Arraial do Cabo, RJ</v>
      </c>
      <c r="D300" s="271">
        <v>-22.97</v>
      </c>
      <c r="E300" s="251">
        <v>4</v>
      </c>
      <c r="F300" s="272">
        <v>23.199327960000002</v>
      </c>
      <c r="G300" s="272">
        <v>24.702083330000001</v>
      </c>
      <c r="H300" s="272">
        <v>25.243548390000001</v>
      </c>
      <c r="I300" s="272">
        <v>24.525416669999998</v>
      </c>
      <c r="J300" s="272">
        <v>22.59233871</v>
      </c>
      <c r="K300" s="272">
        <v>21.997916669999999</v>
      </c>
      <c r="L300" s="272">
        <v>21.46827957</v>
      </c>
      <c r="M300" s="272">
        <v>21.822043010000002</v>
      </c>
      <c r="N300" s="272">
        <v>21.226388889999999</v>
      </c>
      <c r="O300" s="272">
        <v>22.235483869999999</v>
      </c>
      <c r="P300" s="272">
        <v>22.989166669999999</v>
      </c>
      <c r="Q300" s="272">
        <v>23.304301079999998</v>
      </c>
      <c r="R300" s="272">
        <v>22.942191234999999</v>
      </c>
      <c r="S300" s="267">
        <f>SUMIFS(Aux_Lista!AD:AD,Aux_Lista!AB:AB,Aux_TBS!B300,Aux_Lista!AC:AC,Aux_TBS!A300)</f>
        <v>3</v>
      </c>
      <c r="T300" s="267" t="s">
        <v>6017</v>
      </c>
      <c r="U300" s="267">
        <v>40</v>
      </c>
    </row>
    <row r="301" spans="1:21" x14ac:dyDescent="0.25">
      <c r="A301" s="270" t="s">
        <v>3320</v>
      </c>
      <c r="B301" s="251" t="s">
        <v>227</v>
      </c>
      <c r="C301" s="267" t="str">
        <f t="shared" si="4"/>
        <v>Cambuci, RJ</v>
      </c>
      <c r="D301" s="271">
        <v>-21.58</v>
      </c>
      <c r="E301" s="251">
        <v>35</v>
      </c>
      <c r="F301" s="272">
        <v>26.0938172</v>
      </c>
      <c r="G301" s="272">
        <v>25.324999999999999</v>
      </c>
      <c r="H301" s="272">
        <v>25.957392469999998</v>
      </c>
      <c r="I301" s="272">
        <v>25.03944444</v>
      </c>
      <c r="J301" s="272">
        <v>22.243817199999999</v>
      </c>
      <c r="K301" s="272">
        <v>20.21986111</v>
      </c>
      <c r="L301" s="272">
        <v>19.008064520000001</v>
      </c>
      <c r="M301" s="272">
        <v>21.78548387</v>
      </c>
      <c r="N301" s="272">
        <v>21.874444440000001</v>
      </c>
      <c r="O301" s="272">
        <v>24.390053760000001</v>
      </c>
      <c r="P301" s="272">
        <v>23.734722219999998</v>
      </c>
      <c r="Q301" s="272">
        <v>24.097177420000001</v>
      </c>
      <c r="R301" s="272">
        <v>23.314106554166667</v>
      </c>
      <c r="S301" s="267">
        <f>SUMIFS(Aux_Lista!AD:AD,Aux_Lista!AB:AB,Aux_TBS!B301,Aux_Lista!AC:AC,Aux_TBS!A301)</f>
        <v>5</v>
      </c>
      <c r="T301" s="267" t="s">
        <v>6017</v>
      </c>
      <c r="U301" s="267">
        <v>40</v>
      </c>
    </row>
    <row r="302" spans="1:21" x14ac:dyDescent="0.25">
      <c r="A302" s="270" t="s">
        <v>2917</v>
      </c>
      <c r="B302" s="251" t="s">
        <v>227</v>
      </c>
      <c r="C302" s="267" t="str">
        <f t="shared" si="4"/>
        <v>Campos dos Goytacazes, RJ</v>
      </c>
      <c r="D302" s="271">
        <v>-21.75</v>
      </c>
      <c r="E302" s="251">
        <v>25</v>
      </c>
      <c r="F302" s="272">
        <v>25.71680108</v>
      </c>
      <c r="G302" s="272">
        <v>26.86904762</v>
      </c>
      <c r="H302" s="272">
        <v>26.247446239999999</v>
      </c>
      <c r="I302" s="272">
        <v>24.05541667</v>
      </c>
      <c r="J302" s="272">
        <v>22.555241939999998</v>
      </c>
      <c r="K302" s="272">
        <v>20.472222219999999</v>
      </c>
      <c r="L302" s="272">
        <v>21.289112899999999</v>
      </c>
      <c r="M302" s="272">
        <v>21.592607529999999</v>
      </c>
      <c r="N302" s="272">
        <v>23.44805556</v>
      </c>
      <c r="O302" s="272">
        <v>23.868145160000001</v>
      </c>
      <c r="P302" s="272">
        <v>26.263472220000001</v>
      </c>
      <c r="Q302" s="272">
        <v>26.00188172</v>
      </c>
      <c r="R302" s="272">
        <v>24.031620905</v>
      </c>
      <c r="S302" s="267">
        <f>SUMIFS(Aux_Lista!AD:AD,Aux_Lista!AB:AB,Aux_TBS!B302,Aux_Lista!AC:AC,Aux_TBS!A302)</f>
        <v>5</v>
      </c>
      <c r="T302" s="267" t="s">
        <v>6017</v>
      </c>
      <c r="U302" s="267">
        <v>40</v>
      </c>
    </row>
    <row r="303" spans="1:21" x14ac:dyDescent="0.25">
      <c r="A303" s="270" t="s">
        <v>3098</v>
      </c>
      <c r="B303" s="251" t="s">
        <v>227</v>
      </c>
      <c r="C303" s="267" t="str">
        <f t="shared" si="4"/>
        <v>Duque de Caxias, RJ</v>
      </c>
      <c r="D303" s="271">
        <v>-22.57</v>
      </c>
      <c r="E303" s="251">
        <v>0</v>
      </c>
      <c r="F303" s="272">
        <v>25.733467739999998</v>
      </c>
      <c r="G303" s="272">
        <v>24.594047620000001</v>
      </c>
      <c r="H303" s="272">
        <v>25.507661290000001</v>
      </c>
      <c r="I303" s="272">
        <v>24.741111109999999</v>
      </c>
      <c r="J303" s="272">
        <v>21.83669355</v>
      </c>
      <c r="K303" s="272">
        <v>20.423055560000002</v>
      </c>
      <c r="L303" s="272">
        <v>19.28548387</v>
      </c>
      <c r="M303" s="272">
        <v>22.155510750000001</v>
      </c>
      <c r="N303" s="272">
        <v>21.585416670000001</v>
      </c>
      <c r="O303" s="272">
        <v>21.65672043</v>
      </c>
      <c r="P303" s="272">
        <v>23.596666670000001</v>
      </c>
      <c r="Q303" s="272">
        <v>25.61465054</v>
      </c>
      <c r="R303" s="272">
        <v>23.060873816666668</v>
      </c>
      <c r="S303" s="267">
        <f>SUMIFS(Aux_Lista!AD:AD,Aux_Lista!AB:AB,Aux_TBS!B303,Aux_Lista!AC:AC,Aux_TBS!A303)</f>
        <v>5</v>
      </c>
      <c r="T303" s="267" t="s">
        <v>6017</v>
      </c>
      <c r="U303" s="267">
        <v>40</v>
      </c>
    </row>
    <row r="304" spans="1:21" x14ac:dyDescent="0.25">
      <c r="A304" s="270" t="s">
        <v>2917</v>
      </c>
      <c r="B304" s="251" t="s">
        <v>227</v>
      </c>
      <c r="C304" s="267" t="str">
        <f t="shared" si="4"/>
        <v>Campos dos Goytacazes, RJ</v>
      </c>
      <c r="D304" s="271">
        <v>-22.04</v>
      </c>
      <c r="E304" s="251">
        <v>4</v>
      </c>
      <c r="F304" s="272">
        <v>25.15389785</v>
      </c>
      <c r="G304" s="272">
        <v>26.637499999999999</v>
      </c>
      <c r="H304" s="272">
        <v>26.29153226</v>
      </c>
      <c r="I304" s="272">
        <v>24.76958333</v>
      </c>
      <c r="J304" s="272">
        <v>23.74865591</v>
      </c>
      <c r="K304" s="272">
        <v>21.475277779999999</v>
      </c>
      <c r="L304" s="272">
        <v>21.593145159999999</v>
      </c>
      <c r="M304" s="272">
        <v>22.54206989</v>
      </c>
      <c r="N304" s="272">
        <v>21.839444440000001</v>
      </c>
      <c r="O304" s="272">
        <v>23.516935480000001</v>
      </c>
      <c r="P304" s="272">
        <v>23.910555559999999</v>
      </c>
      <c r="Q304" s="272">
        <v>24.16048387</v>
      </c>
      <c r="R304" s="272">
        <v>23.803256794166668</v>
      </c>
      <c r="S304" s="267">
        <f>SUMIFS(Aux_Lista!AD:AD,Aux_Lista!AB:AB,Aux_TBS!B304,Aux_Lista!AC:AC,Aux_TBS!A304)</f>
        <v>5</v>
      </c>
      <c r="T304" s="267" t="s">
        <v>6017</v>
      </c>
      <c r="U304" s="267">
        <v>40</v>
      </c>
    </row>
    <row r="305" spans="1:21" x14ac:dyDescent="0.25">
      <c r="A305" s="270" t="s">
        <v>2999</v>
      </c>
      <c r="B305" s="251" t="s">
        <v>227</v>
      </c>
      <c r="C305" s="267" t="str">
        <f t="shared" si="4"/>
        <v>Macaé, RJ</v>
      </c>
      <c r="D305" s="271">
        <v>-22.37</v>
      </c>
      <c r="E305" s="251">
        <v>32</v>
      </c>
      <c r="F305" s="272">
        <v>25.201612900000001</v>
      </c>
      <c r="G305" s="272">
        <v>26.195982140000002</v>
      </c>
      <c r="H305" s="272">
        <v>25.591532260000001</v>
      </c>
      <c r="I305" s="272">
        <v>23.39083333</v>
      </c>
      <c r="J305" s="272">
        <v>22.394892469999998</v>
      </c>
      <c r="K305" s="272">
        <v>20.174166670000002</v>
      </c>
      <c r="L305" s="272">
        <v>21.035080650000001</v>
      </c>
      <c r="M305" s="272">
        <v>21.34287634</v>
      </c>
      <c r="N305" s="272">
        <v>22.844722220000001</v>
      </c>
      <c r="O305" s="272">
        <v>23.162231179999999</v>
      </c>
      <c r="P305" s="272">
        <v>26.046527780000002</v>
      </c>
      <c r="Q305" s="272">
        <v>25.666397849999999</v>
      </c>
      <c r="R305" s="272">
        <v>23.5872379825</v>
      </c>
      <c r="S305" s="267">
        <f>SUMIFS(Aux_Lista!AD:AD,Aux_Lista!AB:AB,Aux_TBS!B305,Aux_Lista!AC:AC,Aux_TBS!A305)</f>
        <v>5</v>
      </c>
      <c r="T305" s="267" t="s">
        <v>6017</v>
      </c>
      <c r="U305" s="267">
        <v>40</v>
      </c>
    </row>
    <row r="306" spans="1:21" x14ac:dyDescent="0.25">
      <c r="A306" s="270" t="s">
        <v>1810</v>
      </c>
      <c r="B306" s="251" t="s">
        <v>227</v>
      </c>
      <c r="C306" s="267" t="str">
        <f t="shared" si="4"/>
        <v>Niterói, RJ</v>
      </c>
      <c r="D306" s="271">
        <v>-22.91</v>
      </c>
      <c r="E306" s="251">
        <v>13</v>
      </c>
      <c r="F306" s="272">
        <v>23.49583333</v>
      </c>
      <c r="G306" s="272">
        <v>25.278273810000002</v>
      </c>
      <c r="H306" s="272">
        <v>24.72674731</v>
      </c>
      <c r="I306" s="272">
        <v>22.71013889</v>
      </c>
      <c r="J306" s="272">
        <v>22.3344086</v>
      </c>
      <c r="K306" s="272">
        <v>20.136805559999999</v>
      </c>
      <c r="L306" s="272">
        <v>20.30685484</v>
      </c>
      <c r="M306" s="272">
        <v>21.947580649999999</v>
      </c>
      <c r="N306" s="272">
        <v>19.517638890000001</v>
      </c>
      <c r="O306" s="272">
        <v>20.82607527</v>
      </c>
      <c r="P306" s="272">
        <v>20.74583333</v>
      </c>
      <c r="Q306" s="272">
        <v>21.497849460000001</v>
      </c>
      <c r="R306" s="272">
        <v>21.96033666166667</v>
      </c>
      <c r="S306" s="267">
        <f>SUMIFS(Aux_Lista!AD:AD,Aux_Lista!AB:AB,Aux_TBS!B306,Aux_Lista!AC:AC,Aux_TBS!A306)</f>
        <v>5</v>
      </c>
      <c r="T306" s="267" t="s">
        <v>6017</v>
      </c>
      <c r="U306" s="267">
        <v>40</v>
      </c>
    </row>
    <row r="307" spans="1:21" x14ac:dyDescent="0.25">
      <c r="A307" s="270" t="s">
        <v>5871</v>
      </c>
      <c r="B307" s="251" t="s">
        <v>227</v>
      </c>
      <c r="C307" s="267" t="str">
        <f t="shared" si="4"/>
        <v>Parati, RJ</v>
      </c>
      <c r="D307" s="271">
        <v>-23.22</v>
      </c>
      <c r="E307" s="251">
        <v>4</v>
      </c>
      <c r="F307" s="272">
        <v>24.737634409999998</v>
      </c>
      <c r="G307" s="272">
        <v>25.596726189999998</v>
      </c>
      <c r="H307" s="272">
        <v>24.218951610000001</v>
      </c>
      <c r="I307" s="272">
        <v>23.215138889999999</v>
      </c>
      <c r="J307" s="272">
        <v>20.207123660000001</v>
      </c>
      <c r="K307" s="272">
        <v>19.576111109999999</v>
      </c>
      <c r="L307" s="272">
        <v>18.854838709999999</v>
      </c>
      <c r="M307" s="272">
        <v>20.640322579999999</v>
      </c>
      <c r="N307" s="272">
        <v>19.989999999999998</v>
      </c>
      <c r="O307" s="272">
        <v>22.16935484</v>
      </c>
      <c r="P307" s="272">
        <v>22.307083330000001</v>
      </c>
      <c r="Q307" s="272">
        <v>22.881317200000002</v>
      </c>
      <c r="R307" s="272">
        <v>22.032883544166669</v>
      </c>
      <c r="S307" s="267">
        <f>SUMIFS(Aux_Lista!AD:AD,Aux_Lista!AB:AB,Aux_TBS!B307,Aux_Lista!AC:AC,Aux_TBS!A307)</f>
        <v>3</v>
      </c>
      <c r="T307" s="267" t="s">
        <v>6017</v>
      </c>
      <c r="U307" s="267">
        <v>40</v>
      </c>
    </row>
    <row r="308" spans="1:21" x14ac:dyDescent="0.25">
      <c r="A308" s="270" t="s">
        <v>646</v>
      </c>
      <c r="B308" s="251" t="s">
        <v>227</v>
      </c>
      <c r="C308" s="267" t="str">
        <f t="shared" si="4"/>
        <v>Petrópolis, RJ</v>
      </c>
      <c r="D308" s="271">
        <v>-22.46</v>
      </c>
      <c r="E308" s="251">
        <v>1777</v>
      </c>
      <c r="F308" s="272">
        <v>15.86505376</v>
      </c>
      <c r="G308" s="272">
        <v>15.88467262</v>
      </c>
      <c r="H308" s="272">
        <v>15.196236559999999</v>
      </c>
      <c r="I308" s="272">
        <v>14.80513889</v>
      </c>
      <c r="J308" s="272">
        <v>11.710887100000001</v>
      </c>
      <c r="K308" s="272">
        <v>11.31569444</v>
      </c>
      <c r="L308" s="272">
        <v>11.60497312</v>
      </c>
      <c r="M308" s="272">
        <v>12.527419350000001</v>
      </c>
      <c r="N308" s="272">
        <v>12.032500000000001</v>
      </c>
      <c r="O308" s="272">
        <v>14.565188170000001</v>
      </c>
      <c r="P308" s="272">
        <v>13.497638889999999</v>
      </c>
      <c r="Q308" s="272">
        <v>14.356317199999999</v>
      </c>
      <c r="R308" s="272">
        <v>13.613476675000001</v>
      </c>
      <c r="S308" s="267">
        <f>SUMIFS(Aux_Lista!AD:AD,Aux_Lista!AB:AB,Aux_TBS!B308,Aux_Lista!AC:AC,Aux_TBS!A308)</f>
        <v>3</v>
      </c>
      <c r="T308" s="267" t="s">
        <v>6017</v>
      </c>
      <c r="U308" s="267">
        <v>40</v>
      </c>
    </row>
    <row r="309" spans="1:21" x14ac:dyDescent="0.25">
      <c r="A309" s="270" t="s">
        <v>2140</v>
      </c>
      <c r="B309" s="251" t="s">
        <v>227</v>
      </c>
      <c r="C309" s="267" t="str">
        <f t="shared" si="4"/>
        <v>Resende, RJ</v>
      </c>
      <c r="D309" s="271">
        <v>-22.47</v>
      </c>
      <c r="E309" s="251">
        <v>440</v>
      </c>
      <c r="F309" s="272">
        <v>22.53172043</v>
      </c>
      <c r="G309" s="272">
        <v>22.9641369</v>
      </c>
      <c r="H309" s="272">
        <v>22.907795700000001</v>
      </c>
      <c r="I309" s="272">
        <v>21.854583330000001</v>
      </c>
      <c r="J309" s="272">
        <v>18.87540323</v>
      </c>
      <c r="K309" s="272">
        <v>17.85083333</v>
      </c>
      <c r="L309" s="272">
        <v>17.1563172</v>
      </c>
      <c r="M309" s="272">
        <v>19.5311828</v>
      </c>
      <c r="N309" s="272">
        <v>19.254999999999999</v>
      </c>
      <c r="O309" s="272">
        <v>21.932661289999999</v>
      </c>
      <c r="P309" s="272">
        <v>21.49583333</v>
      </c>
      <c r="Q309" s="272">
        <v>22.205241940000001</v>
      </c>
      <c r="R309" s="272">
        <v>20.713392456666668</v>
      </c>
      <c r="S309" s="267">
        <f>SUMIFS(Aux_Lista!AD:AD,Aux_Lista!AB:AB,Aux_TBS!B309,Aux_Lista!AC:AC,Aux_TBS!A309)</f>
        <v>3</v>
      </c>
      <c r="T309" s="267" t="s">
        <v>6017</v>
      </c>
      <c r="U309" s="267">
        <v>40</v>
      </c>
    </row>
    <row r="310" spans="1:21" x14ac:dyDescent="0.25">
      <c r="A310" s="270" t="s">
        <v>2866</v>
      </c>
      <c r="B310" s="251" t="s">
        <v>227</v>
      </c>
      <c r="C310" s="267" t="str">
        <f t="shared" si="4"/>
        <v>Rio de Janeiro, RJ</v>
      </c>
      <c r="D310" s="271">
        <v>-22.86</v>
      </c>
      <c r="E310" s="251">
        <v>45</v>
      </c>
      <c r="F310" s="272">
        <v>25.57419355</v>
      </c>
      <c r="G310" s="272">
        <v>26.037500000000001</v>
      </c>
      <c r="H310" s="272">
        <v>25.780645159999999</v>
      </c>
      <c r="I310" s="272">
        <v>24.412916670000001</v>
      </c>
      <c r="J310" s="272">
        <v>21.342473120000001</v>
      </c>
      <c r="K310" s="272">
        <v>20.62722222</v>
      </c>
      <c r="L310" s="272">
        <v>19.465188170000001</v>
      </c>
      <c r="M310" s="272">
        <v>21.967204299999999</v>
      </c>
      <c r="N310" s="272">
        <v>20.949444440000001</v>
      </c>
      <c r="O310" s="272">
        <v>23.925403230000001</v>
      </c>
      <c r="P310" s="272">
        <v>23.602083329999999</v>
      </c>
      <c r="Q310" s="272">
        <v>24.311693550000001</v>
      </c>
      <c r="R310" s="272">
        <v>23.166330644999999</v>
      </c>
      <c r="S310" s="267">
        <f>SUMIFS(Aux_Lista!AD:AD,Aux_Lista!AB:AB,Aux_TBS!B310,Aux_Lista!AC:AC,Aux_TBS!A310)</f>
        <v>8</v>
      </c>
      <c r="T310" s="267" t="s">
        <v>6017</v>
      </c>
      <c r="U310" s="267">
        <v>40</v>
      </c>
    </row>
    <row r="311" spans="1:21" x14ac:dyDescent="0.25">
      <c r="A311" s="270" t="s">
        <v>524</v>
      </c>
      <c r="B311" s="251" t="s">
        <v>227</v>
      </c>
      <c r="C311" s="267" t="str">
        <f t="shared" si="4"/>
        <v>Teresópolis, RJ</v>
      </c>
      <c r="D311" s="271">
        <v>-22.41</v>
      </c>
      <c r="E311" s="251">
        <v>980</v>
      </c>
      <c r="F311" s="272">
        <v>19.93709677</v>
      </c>
      <c r="G311" s="272">
        <v>20.678571430000002</v>
      </c>
      <c r="H311" s="272">
        <v>21.170967739999998</v>
      </c>
      <c r="I311" s="272">
        <v>18.86972222</v>
      </c>
      <c r="J311" s="272">
        <v>15.25349462</v>
      </c>
      <c r="K311" s="272">
        <v>15.76152778</v>
      </c>
      <c r="L311" s="272">
        <v>15.23508065</v>
      </c>
      <c r="M311" s="272">
        <v>15.9438172</v>
      </c>
      <c r="N311" s="272">
        <v>17.143055560000001</v>
      </c>
      <c r="O311" s="272">
        <v>18.350000000000001</v>
      </c>
      <c r="P311" s="272">
        <v>17.439861109999999</v>
      </c>
      <c r="Q311" s="272">
        <v>18.468548389999999</v>
      </c>
      <c r="R311" s="272">
        <v>17.854311955833332</v>
      </c>
      <c r="S311" s="267">
        <f>SUMIFS(Aux_Lista!AD:AD,Aux_Lista!AB:AB,Aux_TBS!B311,Aux_Lista!AC:AC,Aux_TBS!A311)</f>
        <v>2</v>
      </c>
      <c r="T311" s="267" t="s">
        <v>6017</v>
      </c>
      <c r="U311" s="267">
        <v>40</v>
      </c>
    </row>
    <row r="312" spans="1:21" x14ac:dyDescent="0.25">
      <c r="A312" s="270" t="s">
        <v>2081</v>
      </c>
      <c r="B312" s="251" t="s">
        <v>227</v>
      </c>
      <c r="C312" s="267" t="str">
        <f t="shared" si="4"/>
        <v>Valença, RJ</v>
      </c>
      <c r="D312" s="271">
        <v>-22.25</v>
      </c>
      <c r="E312" s="251">
        <v>367</v>
      </c>
      <c r="F312" s="272">
        <v>23.504569889999999</v>
      </c>
      <c r="G312" s="272">
        <v>24.669345239999998</v>
      </c>
      <c r="H312" s="272">
        <v>25.061827959999999</v>
      </c>
      <c r="I312" s="272">
        <v>23.32375</v>
      </c>
      <c r="J312" s="272">
        <v>19.127150539999999</v>
      </c>
      <c r="K312" s="272">
        <v>19.00638889</v>
      </c>
      <c r="L312" s="272">
        <v>18.677553759999999</v>
      </c>
      <c r="M312" s="272">
        <v>19.522580649999998</v>
      </c>
      <c r="N312" s="272">
        <v>21.71</v>
      </c>
      <c r="O312" s="272">
        <v>22.136155909999999</v>
      </c>
      <c r="P312" s="272">
        <v>25.348333329999999</v>
      </c>
      <c r="Q312" s="272">
        <v>23.91706989</v>
      </c>
      <c r="R312" s="272">
        <v>22.167060504999998</v>
      </c>
      <c r="S312" s="267">
        <f>SUMIFS(Aux_Lista!AD:AD,Aux_Lista!AB:AB,Aux_TBS!B312,Aux_Lista!AC:AC,Aux_TBS!A312)</f>
        <v>3</v>
      </c>
      <c r="T312" s="267" t="s">
        <v>6017</v>
      </c>
      <c r="U312" s="267">
        <v>40</v>
      </c>
    </row>
    <row r="313" spans="1:21" x14ac:dyDescent="0.25">
      <c r="A313" s="270" t="s">
        <v>5108</v>
      </c>
      <c r="B313" s="251" t="s">
        <v>1642</v>
      </c>
      <c r="C313" s="267" t="str">
        <f t="shared" si="4"/>
        <v>Apodi, RN</v>
      </c>
      <c r="D313" s="271">
        <v>-5.63</v>
      </c>
      <c r="E313" s="251">
        <v>150</v>
      </c>
      <c r="F313" s="272">
        <v>28.450940859999999</v>
      </c>
      <c r="G313" s="272">
        <v>26.705505949999999</v>
      </c>
      <c r="H313" s="272">
        <v>26.426612899999999</v>
      </c>
      <c r="I313" s="272">
        <v>25.94194444</v>
      </c>
      <c r="J313" s="272">
        <v>25.770564520000001</v>
      </c>
      <c r="K313" s="272">
        <v>25.421388889999999</v>
      </c>
      <c r="L313" s="272">
        <v>25.273655909999999</v>
      </c>
      <c r="M313" s="272">
        <v>25.762096769999999</v>
      </c>
      <c r="N313" s="272">
        <v>26.863611110000001</v>
      </c>
      <c r="O313" s="272">
        <v>27.562768819999999</v>
      </c>
      <c r="P313" s="272">
        <v>28.388194439999999</v>
      </c>
      <c r="Q313" s="272">
        <v>28.55833333</v>
      </c>
      <c r="R313" s="272">
        <v>26.760468161666665</v>
      </c>
      <c r="S313" s="267">
        <f>SUMIFS(Aux_Lista!AD:AD,Aux_Lista!AB:AB,Aux_TBS!B313,Aux_Lista!AC:AC,Aux_TBS!A313)</f>
        <v>8</v>
      </c>
      <c r="T313" s="267" t="s">
        <v>6015</v>
      </c>
      <c r="U313" s="267">
        <v>38</v>
      </c>
    </row>
    <row r="314" spans="1:21" x14ac:dyDescent="0.25">
      <c r="A314" s="270" t="s">
        <v>5327</v>
      </c>
      <c r="B314" s="251" t="s">
        <v>1642</v>
      </c>
      <c r="C314" s="267" t="str">
        <f t="shared" si="4"/>
        <v>Caicó, RN</v>
      </c>
      <c r="D314" s="271">
        <v>-6.46</v>
      </c>
      <c r="E314" s="251">
        <v>170</v>
      </c>
      <c r="F314" s="272">
        <v>29.248387099999999</v>
      </c>
      <c r="G314" s="272">
        <v>29.244345240000001</v>
      </c>
      <c r="H314" s="272">
        <v>27.06155914</v>
      </c>
      <c r="I314" s="272">
        <v>26.142222220000001</v>
      </c>
      <c r="J314" s="272">
        <v>26.00658602</v>
      </c>
      <c r="K314" s="272">
        <v>25.86527778</v>
      </c>
      <c r="L314" s="272">
        <v>25.912500000000001</v>
      </c>
      <c r="M314" s="272">
        <v>27.01263441</v>
      </c>
      <c r="N314" s="272">
        <v>28.128194440000001</v>
      </c>
      <c r="O314" s="272">
        <v>29.12352151</v>
      </c>
      <c r="P314" s="272">
        <v>29.707777780000001</v>
      </c>
      <c r="Q314" s="272">
        <v>29.939516130000001</v>
      </c>
      <c r="R314" s="272">
        <v>27.782710147500001</v>
      </c>
      <c r="S314" s="267">
        <f>SUMIFS(Aux_Lista!AD:AD,Aux_Lista!AB:AB,Aux_TBS!B314,Aux_Lista!AC:AC,Aux_TBS!A314)</f>
        <v>7</v>
      </c>
      <c r="T314" s="267" t="s">
        <v>6015</v>
      </c>
      <c r="U314" s="267">
        <v>38</v>
      </c>
    </row>
    <row r="315" spans="1:21" x14ac:dyDescent="0.25">
      <c r="A315" s="270" t="s">
        <v>4119</v>
      </c>
      <c r="B315" s="251" t="s">
        <v>1642</v>
      </c>
      <c r="C315" s="267" t="str">
        <f t="shared" si="4"/>
        <v>Macau, RN</v>
      </c>
      <c r="D315" s="271">
        <v>-5.1100000000000003</v>
      </c>
      <c r="E315" s="251">
        <v>3</v>
      </c>
      <c r="F315" s="272">
        <v>27.58158602</v>
      </c>
      <c r="G315" s="272">
        <v>27.43154762</v>
      </c>
      <c r="H315" s="272">
        <v>27.285752689999999</v>
      </c>
      <c r="I315" s="272">
        <v>26.981944439999999</v>
      </c>
      <c r="J315" s="272">
        <v>26.980645160000002</v>
      </c>
      <c r="K315" s="272">
        <v>26.345416669999999</v>
      </c>
      <c r="L315" s="272">
        <v>26.00752688</v>
      </c>
      <c r="M315" s="272">
        <v>26.112096770000001</v>
      </c>
      <c r="N315" s="272">
        <v>26.733888889999999</v>
      </c>
      <c r="O315" s="272">
        <v>26.600940860000001</v>
      </c>
      <c r="P315" s="272">
        <v>27.154861109999999</v>
      </c>
      <c r="Q315" s="272">
        <v>27.651478489999999</v>
      </c>
      <c r="R315" s="272">
        <v>26.905640466666664</v>
      </c>
      <c r="S315" s="267">
        <f>SUMIFS(Aux_Lista!AD:AD,Aux_Lista!AB:AB,Aux_TBS!B315,Aux_Lista!AC:AC,Aux_TBS!A315)</f>
        <v>8</v>
      </c>
      <c r="T315" s="267" t="s">
        <v>6015</v>
      </c>
      <c r="U315" s="267">
        <v>38</v>
      </c>
    </row>
    <row r="316" spans="1:21" x14ac:dyDescent="0.25">
      <c r="A316" s="270" t="s">
        <v>4966</v>
      </c>
      <c r="B316" s="251" t="s">
        <v>1642</v>
      </c>
      <c r="C316" s="267" t="str">
        <f t="shared" si="4"/>
        <v>Mossoró, RN</v>
      </c>
      <c r="D316" s="271">
        <v>-5.19</v>
      </c>
      <c r="E316" s="251">
        <v>36</v>
      </c>
      <c r="F316" s="272">
        <v>28.024999999999999</v>
      </c>
      <c r="G316" s="272">
        <v>28.25818452</v>
      </c>
      <c r="H316" s="272">
        <v>26.470967739999999</v>
      </c>
      <c r="I316" s="272">
        <v>26.063888890000001</v>
      </c>
      <c r="J316" s="272">
        <v>25.983467739999998</v>
      </c>
      <c r="K316" s="272">
        <v>25.17847222</v>
      </c>
      <c r="L316" s="272">
        <v>25.215591400000001</v>
      </c>
      <c r="M316" s="272">
        <v>25.69314516</v>
      </c>
      <c r="N316" s="272">
        <v>26.803055560000001</v>
      </c>
      <c r="O316" s="272">
        <v>27.3922043</v>
      </c>
      <c r="P316" s="272">
        <v>27.66</v>
      </c>
      <c r="Q316" s="272">
        <v>27.905913980000001</v>
      </c>
      <c r="R316" s="272">
        <v>26.720824292499998</v>
      </c>
      <c r="S316" s="267">
        <f>SUMIFS(Aux_Lista!AD:AD,Aux_Lista!AB:AB,Aux_TBS!B316,Aux_Lista!AC:AC,Aux_TBS!A316)</f>
        <v>7</v>
      </c>
      <c r="T316" s="267" t="s">
        <v>6015</v>
      </c>
      <c r="U316" s="267">
        <v>38</v>
      </c>
    </row>
    <row r="317" spans="1:21" x14ac:dyDescent="0.25">
      <c r="A317" s="270" t="s">
        <v>4120</v>
      </c>
      <c r="B317" s="251" t="s">
        <v>1642</v>
      </c>
      <c r="C317" s="267" t="str">
        <f t="shared" si="4"/>
        <v>Natal, RN</v>
      </c>
      <c r="D317" s="271">
        <v>-5.8</v>
      </c>
      <c r="E317" s="251">
        <v>49</v>
      </c>
      <c r="F317" s="272">
        <v>27.58158602</v>
      </c>
      <c r="G317" s="272">
        <v>27.43154762</v>
      </c>
      <c r="H317" s="272">
        <v>27.285752689999999</v>
      </c>
      <c r="I317" s="272">
        <v>26.981944439999999</v>
      </c>
      <c r="J317" s="272">
        <v>26.980645160000002</v>
      </c>
      <c r="K317" s="272">
        <v>26.345416669999999</v>
      </c>
      <c r="L317" s="272">
        <v>26.00752688</v>
      </c>
      <c r="M317" s="272">
        <v>26.112096770000001</v>
      </c>
      <c r="N317" s="272">
        <v>26.733888889999999</v>
      </c>
      <c r="O317" s="272">
        <v>26.600940860000001</v>
      </c>
      <c r="P317" s="272">
        <v>27.154861109999999</v>
      </c>
      <c r="Q317" s="272">
        <v>27.651478489999999</v>
      </c>
      <c r="R317" s="272">
        <v>26.905640466666664</v>
      </c>
      <c r="S317" s="267">
        <f>SUMIFS(Aux_Lista!AD:AD,Aux_Lista!AB:AB,Aux_TBS!B317,Aux_Lista!AC:AC,Aux_TBS!A317)</f>
        <v>8</v>
      </c>
      <c r="T317" s="267" t="s">
        <v>6015</v>
      </c>
      <c r="U317" s="267">
        <v>38</v>
      </c>
    </row>
    <row r="318" spans="1:21" x14ac:dyDescent="0.25">
      <c r="A318" s="270" t="s">
        <v>3942</v>
      </c>
      <c r="B318" s="251" t="s">
        <v>1642</v>
      </c>
      <c r="C318" s="267" t="str">
        <f t="shared" si="4"/>
        <v>Touros, RN</v>
      </c>
      <c r="D318" s="271">
        <v>-5.16</v>
      </c>
      <c r="E318" s="251">
        <v>17</v>
      </c>
      <c r="F318" s="272">
        <v>28.090591400000001</v>
      </c>
      <c r="G318" s="272">
        <v>28.346279760000002</v>
      </c>
      <c r="H318" s="272">
        <v>27.556317199999999</v>
      </c>
      <c r="I318" s="272">
        <v>26.962638890000001</v>
      </c>
      <c r="J318" s="272">
        <v>26.231317199999999</v>
      </c>
      <c r="K318" s="272">
        <v>25.5</v>
      </c>
      <c r="L318" s="272">
        <v>25.25147849</v>
      </c>
      <c r="M318" s="272">
        <v>25.416397849999999</v>
      </c>
      <c r="N318" s="272">
        <v>26.651111109999999</v>
      </c>
      <c r="O318" s="272">
        <v>27.064516130000001</v>
      </c>
      <c r="P318" s="272">
        <v>27.37875</v>
      </c>
      <c r="Q318" s="272">
        <v>27.755376340000002</v>
      </c>
      <c r="R318" s="272">
        <v>26.85039786416667</v>
      </c>
      <c r="S318" s="267">
        <f>SUMIFS(Aux_Lista!AD:AD,Aux_Lista!AB:AB,Aux_TBS!B318,Aux_Lista!AC:AC,Aux_TBS!A318)</f>
        <v>8</v>
      </c>
      <c r="T318" s="267" t="s">
        <v>6015</v>
      </c>
      <c r="U318" s="267">
        <v>38</v>
      </c>
    </row>
    <row r="319" spans="1:21" x14ac:dyDescent="0.25">
      <c r="A319" s="270" t="s">
        <v>4756</v>
      </c>
      <c r="B319" s="251" t="s">
        <v>2173</v>
      </c>
      <c r="C319" s="267" t="str">
        <f t="shared" si="4"/>
        <v>Ariquemes, RO</v>
      </c>
      <c r="D319" s="271">
        <v>-9.9499999999999993</v>
      </c>
      <c r="E319" s="251">
        <v>140</v>
      </c>
      <c r="F319" s="272">
        <v>25.524999999999999</v>
      </c>
      <c r="G319" s="272">
        <v>25.147172619999999</v>
      </c>
      <c r="H319" s="272">
        <v>25.53494624</v>
      </c>
      <c r="I319" s="272">
        <v>25.331111109999998</v>
      </c>
      <c r="J319" s="272">
        <v>25.42163978</v>
      </c>
      <c r="K319" s="272">
        <v>24.436944440000001</v>
      </c>
      <c r="L319" s="272">
        <v>24.958198920000001</v>
      </c>
      <c r="M319" s="272">
        <v>26.890994620000001</v>
      </c>
      <c r="N319" s="272">
        <v>26.635972219999999</v>
      </c>
      <c r="O319" s="272">
        <v>26.442473119999999</v>
      </c>
      <c r="P319" s="272">
        <v>25.798888890000001</v>
      </c>
      <c r="Q319" s="272">
        <v>25.40766129</v>
      </c>
      <c r="R319" s="272">
        <v>25.627583604166663</v>
      </c>
      <c r="S319" s="267">
        <f>SUMIFS(Aux_Lista!AD:AD,Aux_Lista!AB:AB,Aux_TBS!B319,Aux_Lista!AC:AC,Aux_TBS!A319)</f>
        <v>8</v>
      </c>
      <c r="T319" s="267" t="s">
        <v>6014</v>
      </c>
      <c r="U319" s="267">
        <v>38</v>
      </c>
    </row>
    <row r="320" spans="1:21" x14ac:dyDescent="0.25">
      <c r="A320" s="270" t="s">
        <v>4778</v>
      </c>
      <c r="B320" s="251" t="s">
        <v>2173</v>
      </c>
      <c r="C320" s="267" t="str">
        <f t="shared" si="4"/>
        <v>Cacoal, RO</v>
      </c>
      <c r="D320" s="271">
        <v>-11.45</v>
      </c>
      <c r="E320" s="251">
        <v>210</v>
      </c>
      <c r="F320" s="272">
        <v>26.047715050000001</v>
      </c>
      <c r="G320" s="272">
        <v>25.404315480000001</v>
      </c>
      <c r="H320" s="272">
        <v>25.727419350000002</v>
      </c>
      <c r="I320" s="272">
        <v>25.65583333</v>
      </c>
      <c r="J320" s="272">
        <v>25.5983871</v>
      </c>
      <c r="K320" s="272">
        <v>24.468888889999999</v>
      </c>
      <c r="L320" s="272">
        <v>25.90712366</v>
      </c>
      <c r="M320" s="272">
        <v>27.551344090000001</v>
      </c>
      <c r="N320" s="272">
        <v>27.53013889</v>
      </c>
      <c r="O320" s="272">
        <v>27.146639780000001</v>
      </c>
      <c r="P320" s="272">
        <v>26.900138890000001</v>
      </c>
      <c r="Q320" s="272">
        <v>25.747849460000001</v>
      </c>
      <c r="R320" s="272">
        <v>26.140482830833331</v>
      </c>
      <c r="S320" s="267">
        <f>SUMIFS(Aux_Lista!AD:AD,Aux_Lista!AB:AB,Aux_TBS!B320,Aux_Lista!AC:AC,Aux_TBS!A320)</f>
        <v>8</v>
      </c>
      <c r="T320" s="267" t="s">
        <v>6014</v>
      </c>
      <c r="U320" s="267">
        <v>38</v>
      </c>
    </row>
    <row r="321" spans="1:21" x14ac:dyDescent="0.25">
      <c r="A321" s="270" t="s">
        <v>4247</v>
      </c>
      <c r="B321" s="251" t="s">
        <v>2173</v>
      </c>
      <c r="C321" s="267" t="str">
        <f t="shared" si="4"/>
        <v>Porto Velho, RO</v>
      </c>
      <c r="D321" s="271">
        <v>-8.76</v>
      </c>
      <c r="E321" s="251">
        <v>95</v>
      </c>
      <c r="F321" s="272">
        <v>25.707258060000001</v>
      </c>
      <c r="G321" s="272">
        <v>25.319345240000001</v>
      </c>
      <c r="H321" s="272">
        <v>25.6155914</v>
      </c>
      <c r="I321" s="272">
        <v>25.680972220000001</v>
      </c>
      <c r="J321" s="272">
        <v>25.57419355</v>
      </c>
      <c r="K321" s="272">
        <v>24.978611109999999</v>
      </c>
      <c r="L321" s="272">
        <v>25.4</v>
      </c>
      <c r="M321" s="272">
        <v>26.427553759999999</v>
      </c>
      <c r="N321" s="272">
        <v>26.812361110000001</v>
      </c>
      <c r="O321" s="272">
        <v>27.193413979999999</v>
      </c>
      <c r="P321" s="272">
        <v>26.600694440000002</v>
      </c>
      <c r="Q321" s="272">
        <v>25.830913979999998</v>
      </c>
      <c r="R321" s="272">
        <v>25.928409070833329</v>
      </c>
      <c r="S321" s="267">
        <f>SUMIFS(Aux_Lista!AD:AD,Aux_Lista!AB:AB,Aux_TBS!B321,Aux_Lista!AC:AC,Aux_TBS!A321)</f>
        <v>8</v>
      </c>
      <c r="T321" s="267" t="s">
        <v>6014</v>
      </c>
      <c r="U321" s="267">
        <v>38</v>
      </c>
    </row>
    <row r="322" spans="1:21" x14ac:dyDescent="0.25">
      <c r="A322" s="270" t="s">
        <v>2174</v>
      </c>
      <c r="B322" s="251" t="s">
        <v>2173</v>
      </c>
      <c r="C322" s="267" t="str">
        <f t="shared" si="4"/>
        <v>Vilhena, RO</v>
      </c>
      <c r="D322" s="271">
        <v>-12.73</v>
      </c>
      <c r="E322" s="251">
        <v>590</v>
      </c>
      <c r="F322" s="272">
        <v>24.010483870000002</v>
      </c>
      <c r="G322" s="272">
        <v>23.561160709999999</v>
      </c>
      <c r="H322" s="272">
        <v>23.727553759999999</v>
      </c>
      <c r="I322" s="272">
        <v>24.198472219999999</v>
      </c>
      <c r="J322" s="272">
        <v>24.15537634</v>
      </c>
      <c r="K322" s="272">
        <v>22.92319444</v>
      </c>
      <c r="L322" s="272">
        <v>23.886290320000001</v>
      </c>
      <c r="M322" s="272">
        <v>25.41518817</v>
      </c>
      <c r="N322" s="272">
        <v>25.282916669999999</v>
      </c>
      <c r="O322" s="272">
        <v>24.929704300000001</v>
      </c>
      <c r="P322" s="272">
        <v>24.62347222</v>
      </c>
      <c r="Q322" s="272">
        <v>23.805376339999999</v>
      </c>
      <c r="R322" s="272">
        <v>24.209932446666667</v>
      </c>
      <c r="S322" s="267">
        <f>SUMIFS(Aux_Lista!AD:AD,Aux_Lista!AB:AB,Aux_TBS!B322,Aux_Lista!AC:AC,Aux_TBS!A322)</f>
        <v>8</v>
      </c>
      <c r="T322" s="267" t="s">
        <v>6014</v>
      </c>
      <c r="U322" s="267">
        <v>38</v>
      </c>
    </row>
    <row r="323" spans="1:21" x14ac:dyDescent="0.25">
      <c r="A323" s="270" t="s">
        <v>2032</v>
      </c>
      <c r="B323" s="251" t="s">
        <v>1669</v>
      </c>
      <c r="C323" s="267" t="str">
        <f t="shared" ref="C323:C386" si="5">CONCATENATE(A323,", ",B323)</f>
        <v>Boa Vista, RR</v>
      </c>
      <c r="D323" s="271">
        <v>2.8</v>
      </c>
      <c r="E323" s="251">
        <v>90</v>
      </c>
      <c r="F323" s="272">
        <v>27.28413978</v>
      </c>
      <c r="G323" s="272">
        <v>28.05654762</v>
      </c>
      <c r="H323" s="272">
        <v>26.131854839999999</v>
      </c>
      <c r="I323" s="272">
        <v>26.128611110000001</v>
      </c>
      <c r="J323" s="272">
        <v>25.900940859999999</v>
      </c>
      <c r="K323" s="272">
        <v>25.91263889</v>
      </c>
      <c r="L323" s="272">
        <v>26.181317199999999</v>
      </c>
      <c r="M323" s="272">
        <v>27.079032260000002</v>
      </c>
      <c r="N323" s="272">
        <v>28.168888890000002</v>
      </c>
      <c r="O323" s="272">
        <v>28.72956989</v>
      </c>
      <c r="P323" s="272">
        <v>27.431805560000001</v>
      </c>
      <c r="Q323" s="272">
        <v>27.217473120000001</v>
      </c>
      <c r="R323" s="272">
        <v>27.018568335000001</v>
      </c>
      <c r="S323" s="267">
        <f>SUMIFS(Aux_Lista!AD:AD,Aux_Lista!AB:AB,Aux_TBS!B323,Aux_Lista!AC:AC,Aux_TBS!A323)</f>
        <v>8</v>
      </c>
      <c r="T323" s="267" t="s">
        <v>6014</v>
      </c>
      <c r="U323" s="267">
        <v>38</v>
      </c>
    </row>
    <row r="324" spans="1:21" x14ac:dyDescent="0.25">
      <c r="A324" s="270" t="s">
        <v>1553</v>
      </c>
      <c r="B324" s="251" t="s">
        <v>207</v>
      </c>
      <c r="C324" s="267" t="str">
        <f t="shared" si="5"/>
        <v>Alegrete, RS</v>
      </c>
      <c r="D324" s="271">
        <v>-29.78</v>
      </c>
      <c r="E324" s="251">
        <v>121</v>
      </c>
      <c r="F324" s="272">
        <v>24.970026879999999</v>
      </c>
      <c r="G324" s="272">
        <v>24.476488100000001</v>
      </c>
      <c r="H324" s="272">
        <v>23.071236559999999</v>
      </c>
      <c r="I324" s="272">
        <v>18.468472219999999</v>
      </c>
      <c r="J324" s="272">
        <v>15.911290320000001</v>
      </c>
      <c r="K324" s="272">
        <v>12.11194444</v>
      </c>
      <c r="L324" s="272">
        <v>14.55806452</v>
      </c>
      <c r="M324" s="272">
        <v>14.41935484</v>
      </c>
      <c r="N324" s="272">
        <v>15.13986111</v>
      </c>
      <c r="O324" s="272">
        <v>19.422849459999998</v>
      </c>
      <c r="P324" s="272">
        <v>23.138194439999999</v>
      </c>
      <c r="Q324" s="272">
        <v>24.439516130000001</v>
      </c>
      <c r="R324" s="272">
        <v>19.177274918333335</v>
      </c>
      <c r="S324" s="267">
        <f>SUMIFS(Aux_Lista!AD:AD,Aux_Lista!AB:AB,Aux_TBS!B324,Aux_Lista!AC:AC,Aux_TBS!A324)</f>
        <v>2</v>
      </c>
      <c r="T324" s="267" t="s">
        <v>6018</v>
      </c>
      <c r="U324" s="267">
        <v>40</v>
      </c>
    </row>
    <row r="325" spans="1:21" x14ac:dyDescent="0.25">
      <c r="A325" s="270" t="s">
        <v>1558</v>
      </c>
      <c r="B325" s="251" t="s">
        <v>207</v>
      </c>
      <c r="C325" s="267" t="str">
        <f t="shared" si="5"/>
        <v>Bagé, RS</v>
      </c>
      <c r="D325" s="271">
        <v>-31.33</v>
      </c>
      <c r="E325" s="251">
        <v>230</v>
      </c>
      <c r="F325" s="272">
        <v>23.048118280000001</v>
      </c>
      <c r="G325" s="272">
        <v>22.600892859999998</v>
      </c>
      <c r="H325" s="272">
        <v>21.249731180000001</v>
      </c>
      <c r="I325" s="272">
        <v>17.979583330000001</v>
      </c>
      <c r="J325" s="272">
        <v>14.977016130000001</v>
      </c>
      <c r="K325" s="272">
        <v>11.35388889</v>
      </c>
      <c r="L325" s="272">
        <v>14.44731183</v>
      </c>
      <c r="M325" s="272">
        <v>13.109274190000001</v>
      </c>
      <c r="N325" s="272">
        <v>13.360618280000001</v>
      </c>
      <c r="O325" s="272">
        <v>17.206989249999999</v>
      </c>
      <c r="P325" s="272">
        <v>20.987361109999998</v>
      </c>
      <c r="Q325" s="272">
        <v>21.093010750000001</v>
      </c>
      <c r="R325" s="272">
        <v>17.617816339999997</v>
      </c>
      <c r="S325" s="267">
        <f>SUMIFS(Aux_Lista!AD:AD,Aux_Lista!AB:AB,Aux_TBS!B325,Aux_Lista!AC:AC,Aux_TBS!A325)</f>
        <v>2</v>
      </c>
      <c r="T325" s="267" t="s">
        <v>6018</v>
      </c>
      <c r="U325" s="267">
        <v>40</v>
      </c>
    </row>
    <row r="326" spans="1:21" x14ac:dyDescent="0.25">
      <c r="A326" s="270" t="s">
        <v>1122</v>
      </c>
      <c r="B326" s="251" t="s">
        <v>207</v>
      </c>
      <c r="C326" s="267" t="str">
        <f t="shared" si="5"/>
        <v>Bento Gonçalves, RS</v>
      </c>
      <c r="D326" s="271">
        <v>-29.17</v>
      </c>
      <c r="E326" s="251">
        <v>640</v>
      </c>
      <c r="F326" s="272">
        <v>21.339381719999999</v>
      </c>
      <c r="G326" s="272">
        <v>21.210267859999998</v>
      </c>
      <c r="H326" s="272">
        <v>20.580510749999998</v>
      </c>
      <c r="I326" s="272">
        <v>17.298888890000001</v>
      </c>
      <c r="J326" s="272">
        <v>14.765322579999999</v>
      </c>
      <c r="K326" s="272">
        <v>11.793611110000001</v>
      </c>
      <c r="L326" s="272">
        <v>14.94650538</v>
      </c>
      <c r="M326" s="272">
        <v>14.64717742</v>
      </c>
      <c r="N326" s="272">
        <v>13.33375</v>
      </c>
      <c r="O326" s="272">
        <v>16.785349459999999</v>
      </c>
      <c r="P326" s="272">
        <v>19.229444440000002</v>
      </c>
      <c r="Q326" s="272">
        <v>20.348655910000002</v>
      </c>
      <c r="R326" s="272">
        <v>17.189905460000002</v>
      </c>
      <c r="S326" s="267">
        <f>SUMIFS(Aux_Lista!AD:AD,Aux_Lista!AB:AB,Aux_TBS!B326,Aux_Lista!AC:AC,Aux_TBS!A326)</f>
        <v>1</v>
      </c>
      <c r="T326" s="267" t="s">
        <v>6018</v>
      </c>
      <c r="U326" s="267">
        <v>40</v>
      </c>
    </row>
    <row r="327" spans="1:21" x14ac:dyDescent="0.25">
      <c r="A327" s="270" t="s">
        <v>1217</v>
      </c>
      <c r="B327" s="251" t="s">
        <v>207</v>
      </c>
      <c r="C327" s="267" t="str">
        <f t="shared" si="5"/>
        <v>Caçapava do Sul, RS</v>
      </c>
      <c r="D327" s="271">
        <v>-30.51</v>
      </c>
      <c r="E327" s="251">
        <v>420</v>
      </c>
      <c r="F327" s="272">
        <v>21.808467740000001</v>
      </c>
      <c r="G327" s="272">
        <v>21.66592262</v>
      </c>
      <c r="H327" s="272">
        <v>20.789516129999999</v>
      </c>
      <c r="I327" s="272">
        <v>17.87916667</v>
      </c>
      <c r="J327" s="272">
        <v>14.912634410000001</v>
      </c>
      <c r="K327" s="272">
        <v>10.308611109999999</v>
      </c>
      <c r="L327" s="272">
        <v>15.76653226</v>
      </c>
      <c r="M327" s="272">
        <v>14.157526880000001</v>
      </c>
      <c r="N327" s="272">
        <v>14.83152778</v>
      </c>
      <c r="O327" s="272">
        <v>17.99395161</v>
      </c>
      <c r="P327" s="272">
        <v>18.37458333</v>
      </c>
      <c r="Q327" s="272">
        <v>22.76680108</v>
      </c>
      <c r="R327" s="272">
        <v>17.604603468333334</v>
      </c>
      <c r="S327" s="267">
        <f>SUMIFS(Aux_Lista!AD:AD,Aux_Lista!AB:AB,Aux_TBS!B327,Aux_Lista!AC:AC,Aux_TBS!A327)</f>
        <v>2</v>
      </c>
      <c r="T327" s="267" t="s">
        <v>6018</v>
      </c>
      <c r="U327" s="267">
        <v>40</v>
      </c>
    </row>
    <row r="328" spans="1:21" x14ac:dyDescent="0.25">
      <c r="A328" s="270" t="s">
        <v>1181</v>
      </c>
      <c r="B328" s="251" t="s">
        <v>207</v>
      </c>
      <c r="C328" s="267" t="str">
        <f t="shared" si="5"/>
        <v>Camaquã, RS</v>
      </c>
      <c r="D328" s="271">
        <v>-30.81</v>
      </c>
      <c r="E328" s="251">
        <v>108</v>
      </c>
      <c r="F328" s="272">
        <v>23.006451609999999</v>
      </c>
      <c r="G328" s="272">
        <v>22.32395833</v>
      </c>
      <c r="H328" s="272">
        <v>21.949596769999999</v>
      </c>
      <c r="I328" s="272">
        <v>18.074027780000002</v>
      </c>
      <c r="J328" s="272">
        <v>15.40067204</v>
      </c>
      <c r="K328" s="272">
        <v>12.005416670000001</v>
      </c>
      <c r="L328" s="272">
        <v>14.75564516</v>
      </c>
      <c r="M328" s="272">
        <v>13.217473119999999</v>
      </c>
      <c r="N328" s="272">
        <v>14.52763889</v>
      </c>
      <c r="O328" s="272">
        <v>17.730376339999999</v>
      </c>
      <c r="P328" s="272">
        <v>20.642222220000001</v>
      </c>
      <c r="Q328" s="272">
        <v>21.63346774</v>
      </c>
      <c r="R328" s="272">
        <v>17.938912222499997</v>
      </c>
      <c r="S328" s="267">
        <f>SUMIFS(Aux_Lista!AD:AD,Aux_Lista!AB:AB,Aux_TBS!B328,Aux_Lista!AC:AC,Aux_TBS!A328)</f>
        <v>2</v>
      </c>
      <c r="T328" s="267" t="s">
        <v>6018</v>
      </c>
      <c r="U328" s="267">
        <v>40</v>
      </c>
    </row>
    <row r="329" spans="1:21" x14ac:dyDescent="0.25">
      <c r="A329" s="270" t="s">
        <v>1105</v>
      </c>
      <c r="B329" s="251" t="s">
        <v>207</v>
      </c>
      <c r="C329" s="267" t="str">
        <f t="shared" si="5"/>
        <v>Canela, RS</v>
      </c>
      <c r="D329" s="271">
        <v>-29.37</v>
      </c>
      <c r="E329" s="251">
        <v>830</v>
      </c>
      <c r="F329" s="272">
        <v>18.3391129</v>
      </c>
      <c r="G329" s="272">
        <v>19.827976190000001</v>
      </c>
      <c r="H329" s="272">
        <v>18.90712366</v>
      </c>
      <c r="I329" s="272">
        <v>16.309999999999999</v>
      </c>
      <c r="J329" s="272">
        <v>14.18212366</v>
      </c>
      <c r="K329" s="272">
        <v>9.633472222</v>
      </c>
      <c r="L329" s="272">
        <v>10.61236559</v>
      </c>
      <c r="M329" s="272">
        <v>13.56572581</v>
      </c>
      <c r="N329" s="272">
        <v>12.93527778</v>
      </c>
      <c r="O329" s="272">
        <v>14.86102151</v>
      </c>
      <c r="P329" s="272">
        <v>19.693194439999999</v>
      </c>
      <c r="Q329" s="272">
        <v>19.12083333</v>
      </c>
      <c r="R329" s="272">
        <v>15.665685591000001</v>
      </c>
      <c r="S329" s="267">
        <f>SUMIFS(Aux_Lista!AD:AD,Aux_Lista!AB:AB,Aux_TBS!B329,Aux_Lista!AC:AC,Aux_TBS!A329)</f>
        <v>1</v>
      </c>
      <c r="T329" s="267" t="s">
        <v>6018</v>
      </c>
      <c r="U329" s="267">
        <v>40</v>
      </c>
    </row>
    <row r="330" spans="1:21" x14ac:dyDescent="0.25">
      <c r="A330" s="270" t="s">
        <v>1101</v>
      </c>
      <c r="B330" s="251" t="s">
        <v>207</v>
      </c>
      <c r="C330" s="267" t="str">
        <f t="shared" si="5"/>
        <v>Canguçu, RS</v>
      </c>
      <c r="D330" s="271">
        <v>-31.41</v>
      </c>
      <c r="E330" s="251">
        <v>464</v>
      </c>
      <c r="F330" s="272">
        <v>19.92715054</v>
      </c>
      <c r="G330" s="272">
        <v>20.96964286</v>
      </c>
      <c r="H330" s="272">
        <v>19.973118280000001</v>
      </c>
      <c r="I330" s="272">
        <v>17.846666670000001</v>
      </c>
      <c r="J330" s="272">
        <v>15.30174731</v>
      </c>
      <c r="K330" s="272">
        <v>10.57777778</v>
      </c>
      <c r="L330" s="272">
        <v>9.9864247309999996</v>
      </c>
      <c r="M330" s="272">
        <v>13.94784946</v>
      </c>
      <c r="N330" s="272">
        <v>12.758749999999999</v>
      </c>
      <c r="O330" s="272">
        <v>15.134677419999999</v>
      </c>
      <c r="P330" s="272">
        <v>19.20597222</v>
      </c>
      <c r="Q330" s="272">
        <v>19.631720430000001</v>
      </c>
      <c r="R330" s="272">
        <v>16.271791475083337</v>
      </c>
      <c r="S330" s="267">
        <f>SUMIFS(Aux_Lista!AD:AD,Aux_Lista!AB:AB,Aux_TBS!B330,Aux_Lista!AC:AC,Aux_TBS!A330)</f>
        <v>2</v>
      </c>
      <c r="T330" s="267" t="s">
        <v>6018</v>
      </c>
      <c r="U330" s="267">
        <v>40</v>
      </c>
    </row>
    <row r="331" spans="1:21" x14ac:dyDescent="0.25">
      <c r="A331" s="270" t="s">
        <v>1106</v>
      </c>
      <c r="B331" s="251" t="s">
        <v>207</v>
      </c>
      <c r="C331" s="267" t="str">
        <f t="shared" si="5"/>
        <v>Chuí, RS</v>
      </c>
      <c r="D331" s="271">
        <v>-33.74</v>
      </c>
      <c r="E331" s="251">
        <v>26</v>
      </c>
      <c r="F331" s="272">
        <v>23.018817200000001</v>
      </c>
      <c r="G331" s="272">
        <v>23.54508929</v>
      </c>
      <c r="H331" s="272">
        <v>21.975537630000002</v>
      </c>
      <c r="I331" s="272">
        <v>18.757361110000002</v>
      </c>
      <c r="J331" s="272">
        <v>16.01680108</v>
      </c>
      <c r="K331" s="272">
        <v>11.61111111</v>
      </c>
      <c r="L331" s="272">
        <v>10.643548389999999</v>
      </c>
      <c r="M331" s="272">
        <v>13.658736559999999</v>
      </c>
      <c r="N331" s="272">
        <v>13.48847222</v>
      </c>
      <c r="O331" s="272">
        <v>15.096908600000001</v>
      </c>
      <c r="P331" s="272">
        <v>19.036666669999999</v>
      </c>
      <c r="Q331" s="272">
        <v>20.46680108</v>
      </c>
      <c r="R331" s="272">
        <v>17.276320911666669</v>
      </c>
      <c r="S331" s="267">
        <f>SUMIFS(Aux_Lista!AD:AD,Aux_Lista!AB:AB,Aux_TBS!B331,Aux_Lista!AC:AC,Aux_TBS!A331)</f>
        <v>2</v>
      </c>
      <c r="T331" s="267" t="s">
        <v>6018</v>
      </c>
      <c r="U331" s="267">
        <v>40</v>
      </c>
    </row>
    <row r="332" spans="1:21" x14ac:dyDescent="0.25">
      <c r="A332" s="270" t="s">
        <v>1539</v>
      </c>
      <c r="B332" s="251" t="s">
        <v>207</v>
      </c>
      <c r="C332" s="267" t="str">
        <f t="shared" si="5"/>
        <v>Cruz Alta, RS</v>
      </c>
      <c r="D332" s="271">
        <v>-28.6</v>
      </c>
      <c r="E332" s="251">
        <v>432</v>
      </c>
      <c r="F332" s="272">
        <v>23.333736559999998</v>
      </c>
      <c r="G332" s="272">
        <v>22.610714290000001</v>
      </c>
      <c r="H332" s="272">
        <v>21.624327959999999</v>
      </c>
      <c r="I332" s="272">
        <v>18.42736111</v>
      </c>
      <c r="J332" s="272">
        <v>15.922715050000001</v>
      </c>
      <c r="K332" s="272">
        <v>12.531388890000001</v>
      </c>
      <c r="L332" s="272">
        <v>16.215591400000001</v>
      </c>
      <c r="M332" s="272">
        <v>14.778091399999999</v>
      </c>
      <c r="N332" s="272">
        <v>14.187361109999999</v>
      </c>
      <c r="O332" s="272">
        <v>18.327956990000001</v>
      </c>
      <c r="P332" s="272">
        <v>22.001805560000001</v>
      </c>
      <c r="Q332" s="272">
        <v>23.08629032</v>
      </c>
      <c r="R332" s="272">
        <v>18.587278386666664</v>
      </c>
      <c r="S332" s="267">
        <f>SUMIFS(Aux_Lista!AD:AD,Aux_Lista!AB:AB,Aux_TBS!B332,Aux_Lista!AC:AC,Aux_TBS!A332)</f>
        <v>2</v>
      </c>
      <c r="T332" s="267" t="s">
        <v>6018</v>
      </c>
      <c r="U332" s="267">
        <v>40</v>
      </c>
    </row>
    <row r="333" spans="1:21" x14ac:dyDescent="0.25">
      <c r="A333" s="270" t="s">
        <v>1535</v>
      </c>
      <c r="B333" s="251" t="s">
        <v>207</v>
      </c>
      <c r="C333" s="267" t="str">
        <f t="shared" si="5"/>
        <v>Erechim, RS</v>
      </c>
      <c r="D333" s="271">
        <v>-27.63</v>
      </c>
      <c r="E333" s="251">
        <v>765</v>
      </c>
      <c r="F333" s="272">
        <v>21.233736560000001</v>
      </c>
      <c r="G333" s="272">
        <v>21.17559524</v>
      </c>
      <c r="H333" s="272">
        <v>20.019220430000001</v>
      </c>
      <c r="I333" s="272">
        <v>16.919444439999999</v>
      </c>
      <c r="J333" s="272">
        <v>14.341263440000001</v>
      </c>
      <c r="K333" s="272">
        <v>12.015000000000001</v>
      </c>
      <c r="L333" s="272">
        <v>16.380510749999999</v>
      </c>
      <c r="M333" s="272">
        <v>15.72862903</v>
      </c>
      <c r="N333" s="272">
        <v>13.95013889</v>
      </c>
      <c r="O333" s="272">
        <v>17.228225810000001</v>
      </c>
      <c r="P333" s="272">
        <v>19.409861110000001</v>
      </c>
      <c r="Q333" s="272">
        <v>21.15013441</v>
      </c>
      <c r="R333" s="272">
        <v>17.462646675833337</v>
      </c>
      <c r="S333" s="267">
        <f>SUMIFS(Aux_Lista!AD:AD,Aux_Lista!AB:AB,Aux_TBS!B333,Aux_Lista!AC:AC,Aux_TBS!A333)</f>
        <v>2</v>
      </c>
      <c r="T333" s="267" t="s">
        <v>6018</v>
      </c>
      <c r="U333" s="267">
        <v>40</v>
      </c>
    </row>
    <row r="334" spans="1:21" x14ac:dyDescent="0.25">
      <c r="A334" s="270" t="s">
        <v>1485</v>
      </c>
      <c r="B334" s="251" t="s">
        <v>207</v>
      </c>
      <c r="C334" s="267" t="str">
        <f t="shared" si="5"/>
        <v>Frederico Westphalen, RS</v>
      </c>
      <c r="D334" s="271">
        <v>-27.4</v>
      </c>
      <c r="E334" s="251">
        <v>490</v>
      </c>
      <c r="F334" s="272">
        <v>23.681182799999998</v>
      </c>
      <c r="G334" s="272">
        <v>23.64434524</v>
      </c>
      <c r="H334" s="272">
        <v>22.205913979999998</v>
      </c>
      <c r="I334" s="272">
        <v>18.502777779999999</v>
      </c>
      <c r="J334" s="272">
        <v>15.821236559999999</v>
      </c>
      <c r="K334" s="272">
        <v>12.83888889</v>
      </c>
      <c r="L334" s="272">
        <v>17.526881719999999</v>
      </c>
      <c r="M334" s="272">
        <v>16.906048389999999</v>
      </c>
      <c r="N334" s="272">
        <v>15.76597222</v>
      </c>
      <c r="O334" s="272">
        <v>19.428897849999998</v>
      </c>
      <c r="P334" s="272">
        <v>21.695833329999999</v>
      </c>
      <c r="Q334" s="272">
        <v>23.18696237</v>
      </c>
      <c r="R334" s="272">
        <v>19.2670784275</v>
      </c>
      <c r="S334" s="267">
        <f>SUMIFS(Aux_Lista!AD:AD,Aux_Lista!AB:AB,Aux_TBS!B334,Aux_Lista!AC:AC,Aux_TBS!A334)</f>
        <v>3</v>
      </c>
      <c r="T334" s="267" t="s">
        <v>6018</v>
      </c>
      <c r="U334" s="267">
        <v>40</v>
      </c>
    </row>
    <row r="335" spans="1:21" x14ac:dyDescent="0.25">
      <c r="A335" s="270" t="s">
        <v>1220</v>
      </c>
      <c r="B335" s="251" t="s">
        <v>207</v>
      </c>
      <c r="C335" s="267" t="str">
        <f t="shared" si="5"/>
        <v>Jaguarão, RS</v>
      </c>
      <c r="D335" s="271">
        <v>-32.57</v>
      </c>
      <c r="E335" s="251">
        <v>47</v>
      </c>
      <c r="F335" s="272">
        <v>22.80174731</v>
      </c>
      <c r="G335" s="272">
        <v>23.407589290000001</v>
      </c>
      <c r="H335" s="272">
        <v>21.716666669999999</v>
      </c>
      <c r="I335" s="272">
        <v>18.13666667</v>
      </c>
      <c r="J335" s="272">
        <v>15.20658602</v>
      </c>
      <c r="K335" s="272">
        <v>11.251805559999999</v>
      </c>
      <c r="L335" s="272">
        <v>14.61357527</v>
      </c>
      <c r="M335" s="272">
        <v>12.58817204</v>
      </c>
      <c r="N335" s="272">
        <v>14.02819444</v>
      </c>
      <c r="O335" s="272">
        <v>17.878360220000001</v>
      </c>
      <c r="P335" s="272">
        <v>21.295416670000002</v>
      </c>
      <c r="Q335" s="272">
        <v>21.725403230000001</v>
      </c>
      <c r="R335" s="272">
        <v>17.887515282500001</v>
      </c>
      <c r="S335" s="267">
        <f>SUMIFS(Aux_Lista!AD:AD,Aux_Lista!AB:AB,Aux_TBS!B335,Aux_Lista!AC:AC,Aux_TBS!A335)</f>
        <v>2</v>
      </c>
      <c r="T335" s="267" t="s">
        <v>6018</v>
      </c>
      <c r="U335" s="267">
        <v>40</v>
      </c>
    </row>
    <row r="336" spans="1:21" x14ac:dyDescent="0.25">
      <c r="A336" s="270" t="s">
        <v>1137</v>
      </c>
      <c r="B336" s="251" t="s">
        <v>207</v>
      </c>
      <c r="C336" s="267" t="str">
        <f t="shared" si="5"/>
        <v>Lagoa Vermelha, RS</v>
      </c>
      <c r="D336" s="271">
        <v>-28.22</v>
      </c>
      <c r="E336" s="251">
        <v>842</v>
      </c>
      <c r="F336" s="272">
        <v>20.3436828</v>
      </c>
      <c r="G336" s="272">
        <v>20.325744050000001</v>
      </c>
      <c r="H336" s="272">
        <v>19.384005380000001</v>
      </c>
      <c r="I336" s="272">
        <v>16.709444439999999</v>
      </c>
      <c r="J336" s="272">
        <v>14.21129032</v>
      </c>
      <c r="K336" s="272">
        <v>11.27</v>
      </c>
      <c r="L336" s="272">
        <v>14.846370970000001</v>
      </c>
      <c r="M336" s="272">
        <v>14.787634410000001</v>
      </c>
      <c r="N336" s="272">
        <v>12.799583330000001</v>
      </c>
      <c r="O336" s="272">
        <v>16.378360220000001</v>
      </c>
      <c r="P336" s="272">
        <v>18.434027780000001</v>
      </c>
      <c r="Q336" s="272">
        <v>20.0672043</v>
      </c>
      <c r="R336" s="272">
        <v>16.629778999999999</v>
      </c>
      <c r="S336" s="267">
        <f>SUMIFS(Aux_Lista!AD:AD,Aux_Lista!AB:AB,Aux_TBS!B336,Aux_Lista!AC:AC,Aux_TBS!A336)</f>
        <v>2</v>
      </c>
      <c r="T336" s="267" t="s">
        <v>6018</v>
      </c>
      <c r="U336" s="267">
        <v>40</v>
      </c>
    </row>
    <row r="337" spans="1:21" x14ac:dyDescent="0.25">
      <c r="A337" s="270" t="s">
        <v>1111</v>
      </c>
      <c r="B337" s="251" t="s">
        <v>207</v>
      </c>
      <c r="C337" s="267" t="str">
        <f t="shared" si="5"/>
        <v>Mostardas, RS</v>
      </c>
      <c r="D337" s="271">
        <v>-31.25</v>
      </c>
      <c r="E337" s="251">
        <v>10</v>
      </c>
      <c r="F337" s="272">
        <v>22.505376340000002</v>
      </c>
      <c r="G337" s="272">
        <v>23.748065480000001</v>
      </c>
      <c r="H337" s="272">
        <v>23.43709677</v>
      </c>
      <c r="I337" s="272">
        <v>21.155694440000001</v>
      </c>
      <c r="J337" s="272">
        <v>18.28172043</v>
      </c>
      <c r="K337" s="272">
        <v>13.731111110000001</v>
      </c>
      <c r="L337" s="272">
        <v>13.170833330000001</v>
      </c>
      <c r="M337" s="272">
        <v>14.61680108</v>
      </c>
      <c r="N337" s="272">
        <v>15.38125</v>
      </c>
      <c r="O337" s="272">
        <v>18.713978489999999</v>
      </c>
      <c r="P337" s="272">
        <v>20.678055560000001</v>
      </c>
      <c r="Q337" s="272">
        <v>21.360215050000001</v>
      </c>
      <c r="R337" s="272">
        <v>18.898349839999998</v>
      </c>
      <c r="S337" s="267">
        <f>SUMIFS(Aux_Lista!AD:AD,Aux_Lista!AB:AB,Aux_TBS!B337,Aux_Lista!AC:AC,Aux_TBS!A337)</f>
        <v>2</v>
      </c>
      <c r="T337" s="267" t="s">
        <v>6018</v>
      </c>
      <c r="U337" s="267">
        <v>40</v>
      </c>
    </row>
    <row r="338" spans="1:21" x14ac:dyDescent="0.25">
      <c r="A338" s="270" t="s">
        <v>1182</v>
      </c>
      <c r="B338" s="251" t="s">
        <v>207</v>
      </c>
      <c r="C338" s="267" t="str">
        <f t="shared" si="5"/>
        <v>Palmeira das Missões, RS</v>
      </c>
      <c r="D338" s="271">
        <v>-27.92</v>
      </c>
      <c r="E338" s="251">
        <v>642</v>
      </c>
      <c r="F338" s="272">
        <v>21.329435480000001</v>
      </c>
      <c r="G338" s="272">
        <v>22.829464290000001</v>
      </c>
      <c r="H338" s="272">
        <v>21.226344090000001</v>
      </c>
      <c r="I338" s="272">
        <v>18.497638890000001</v>
      </c>
      <c r="J338" s="272">
        <v>15.81733871</v>
      </c>
      <c r="K338" s="272">
        <v>12.67111111</v>
      </c>
      <c r="L338" s="272">
        <v>17.037634409999999</v>
      </c>
      <c r="M338" s="272">
        <v>15.97459677</v>
      </c>
      <c r="N338" s="272">
        <v>14.28027778</v>
      </c>
      <c r="O338" s="272">
        <v>18.108064519999999</v>
      </c>
      <c r="P338" s="272">
        <v>20.845138890000001</v>
      </c>
      <c r="Q338" s="272">
        <v>22.044086020000002</v>
      </c>
      <c r="R338" s="272">
        <v>18.388427580000002</v>
      </c>
      <c r="S338" s="267">
        <f>SUMIFS(Aux_Lista!AD:AD,Aux_Lista!AB:AB,Aux_TBS!B338,Aux_Lista!AC:AC,Aux_TBS!A338)</f>
        <v>2</v>
      </c>
      <c r="T338" s="267" t="s">
        <v>6018</v>
      </c>
      <c r="U338" s="267">
        <v>40</v>
      </c>
    </row>
    <row r="339" spans="1:21" x14ac:dyDescent="0.25">
      <c r="A339" s="270" t="s">
        <v>1159</v>
      </c>
      <c r="B339" s="251" t="s">
        <v>207</v>
      </c>
      <c r="C339" s="267" t="str">
        <f t="shared" si="5"/>
        <v>Passo Fundo, RS</v>
      </c>
      <c r="D339" s="271">
        <v>-28.26</v>
      </c>
      <c r="E339" s="251">
        <v>684</v>
      </c>
      <c r="F339" s="272">
        <v>21.414516129999999</v>
      </c>
      <c r="G339" s="272">
        <v>21.11309524</v>
      </c>
      <c r="H339" s="272">
        <v>20.322177419999999</v>
      </c>
      <c r="I339" s="272">
        <v>17.580138890000001</v>
      </c>
      <c r="J339" s="272">
        <v>14.77271505</v>
      </c>
      <c r="K339" s="272">
        <v>12.06986111</v>
      </c>
      <c r="L339" s="272">
        <v>15.3969086</v>
      </c>
      <c r="M339" s="272">
        <v>15.11787634</v>
      </c>
      <c r="N339" s="272">
        <v>13.55402778</v>
      </c>
      <c r="O339" s="272">
        <v>17.385080649999999</v>
      </c>
      <c r="P339" s="272">
        <v>20.002083330000001</v>
      </c>
      <c r="Q339" s="272">
        <v>21.407392470000001</v>
      </c>
      <c r="R339" s="272">
        <v>17.511322750833333</v>
      </c>
      <c r="S339" s="267">
        <f>SUMIFS(Aux_Lista!AD:AD,Aux_Lista!AB:AB,Aux_TBS!B339,Aux_Lista!AC:AC,Aux_TBS!A339)</f>
        <v>2</v>
      </c>
      <c r="T339" s="267" t="s">
        <v>6018</v>
      </c>
      <c r="U339" s="267">
        <v>40</v>
      </c>
    </row>
    <row r="340" spans="1:21" x14ac:dyDescent="0.25">
      <c r="A340" s="270" t="s">
        <v>1123</v>
      </c>
      <c r="B340" s="251" t="s">
        <v>207</v>
      </c>
      <c r="C340" s="267" t="str">
        <f t="shared" si="5"/>
        <v>Porto Alegre, RS</v>
      </c>
      <c r="D340" s="271">
        <v>-30.03</v>
      </c>
      <c r="E340" s="251">
        <v>47</v>
      </c>
      <c r="F340" s="272">
        <v>25.324059139999999</v>
      </c>
      <c r="G340" s="272">
        <v>24.32261905</v>
      </c>
      <c r="H340" s="272">
        <v>23.611962370000001</v>
      </c>
      <c r="I340" s="272">
        <v>20.379027780000001</v>
      </c>
      <c r="J340" s="272">
        <v>15.771102150000001</v>
      </c>
      <c r="K340" s="272">
        <v>15.74291667</v>
      </c>
      <c r="L340" s="272">
        <v>17.49717742</v>
      </c>
      <c r="M340" s="272">
        <v>15.575672040000001</v>
      </c>
      <c r="N340" s="272">
        <v>16.326944439999998</v>
      </c>
      <c r="O340" s="272">
        <v>20.371370970000001</v>
      </c>
      <c r="P340" s="272">
        <v>20.74513889</v>
      </c>
      <c r="Q340" s="272">
        <v>24.84704301</v>
      </c>
      <c r="R340" s="272">
        <v>20.042919494166664</v>
      </c>
      <c r="S340" s="267">
        <f>SUMIFS(Aux_Lista!AD:AD,Aux_Lista!AB:AB,Aux_TBS!B340,Aux_Lista!AC:AC,Aux_TBS!A340)</f>
        <v>3</v>
      </c>
      <c r="T340" s="267" t="s">
        <v>6018</v>
      </c>
      <c r="U340" s="267">
        <v>40</v>
      </c>
    </row>
    <row r="341" spans="1:21" x14ac:dyDescent="0.25">
      <c r="A341" s="270" t="s">
        <v>1565</v>
      </c>
      <c r="B341" s="251" t="s">
        <v>207</v>
      </c>
      <c r="C341" s="267" t="str">
        <f t="shared" si="5"/>
        <v>Quaraí, RS</v>
      </c>
      <c r="D341" s="271">
        <v>-30.37</v>
      </c>
      <c r="E341" s="251">
        <v>124</v>
      </c>
      <c r="F341" s="272">
        <v>25.399059139999999</v>
      </c>
      <c r="G341" s="272">
        <v>25.36354167</v>
      </c>
      <c r="H341" s="272">
        <v>23.069220430000001</v>
      </c>
      <c r="I341" s="272">
        <v>18.323472219999999</v>
      </c>
      <c r="J341" s="272">
        <v>15.341129029999999</v>
      </c>
      <c r="K341" s="272">
        <v>11.11527778</v>
      </c>
      <c r="L341" s="272">
        <v>15.82069892</v>
      </c>
      <c r="M341" s="272">
        <v>13.457258059999999</v>
      </c>
      <c r="N341" s="272">
        <v>14.708888890000001</v>
      </c>
      <c r="O341" s="272">
        <v>18.796102149999999</v>
      </c>
      <c r="P341" s="272">
        <v>23.014027779999999</v>
      </c>
      <c r="Q341" s="272">
        <v>24.526478489999999</v>
      </c>
      <c r="R341" s="272">
        <v>19.077929546666663</v>
      </c>
      <c r="S341" s="267">
        <f>SUMIFS(Aux_Lista!AD:AD,Aux_Lista!AB:AB,Aux_TBS!B341,Aux_Lista!AC:AC,Aux_TBS!A341)</f>
        <v>2</v>
      </c>
      <c r="T341" s="267" t="s">
        <v>6018</v>
      </c>
      <c r="U341" s="267">
        <v>40</v>
      </c>
    </row>
    <row r="342" spans="1:21" x14ac:dyDescent="0.25">
      <c r="A342" s="270" t="s">
        <v>1189</v>
      </c>
      <c r="B342" s="251" t="s">
        <v>207</v>
      </c>
      <c r="C342" s="267" t="str">
        <f t="shared" si="5"/>
        <v>Rio Pardo, RS</v>
      </c>
      <c r="D342" s="271">
        <v>-29.87</v>
      </c>
      <c r="E342" s="251">
        <v>111</v>
      </c>
      <c r="F342" s="272">
        <v>23.555241939999998</v>
      </c>
      <c r="G342" s="272">
        <v>23.54598214</v>
      </c>
      <c r="H342" s="272">
        <v>22.628897850000001</v>
      </c>
      <c r="I342" s="272">
        <v>18.721250000000001</v>
      </c>
      <c r="J342" s="272">
        <v>16.046102149999999</v>
      </c>
      <c r="K342" s="272">
        <v>12.337222219999999</v>
      </c>
      <c r="L342" s="272">
        <v>15.85026882</v>
      </c>
      <c r="M342" s="272">
        <v>14.68494624</v>
      </c>
      <c r="N342" s="272">
        <v>15.17527778</v>
      </c>
      <c r="O342" s="272">
        <v>18.600672039999999</v>
      </c>
      <c r="P342" s="272">
        <v>21.835277779999998</v>
      </c>
      <c r="Q342" s="272">
        <v>22.754301080000001</v>
      </c>
      <c r="R342" s="272">
        <v>18.811286669999998</v>
      </c>
      <c r="S342" s="267">
        <f>SUMIFS(Aux_Lista!AD:AD,Aux_Lista!AB:AB,Aux_TBS!B342,Aux_Lista!AC:AC,Aux_TBS!A342)</f>
        <v>2</v>
      </c>
      <c r="T342" s="267" t="s">
        <v>6018</v>
      </c>
      <c r="U342" s="267">
        <v>40</v>
      </c>
    </row>
    <row r="343" spans="1:21" x14ac:dyDescent="0.25">
      <c r="A343" s="270" t="s">
        <v>1551</v>
      </c>
      <c r="B343" s="251" t="s">
        <v>207</v>
      </c>
      <c r="C343" s="267" t="str">
        <f t="shared" si="5"/>
        <v>Santa Maria, RS</v>
      </c>
      <c r="D343" s="271">
        <v>-29.68</v>
      </c>
      <c r="E343" s="251">
        <v>95</v>
      </c>
      <c r="F343" s="272">
        <v>24.927016129999998</v>
      </c>
      <c r="G343" s="272">
        <v>24.82395833</v>
      </c>
      <c r="H343" s="272">
        <v>22.20981183</v>
      </c>
      <c r="I343" s="272">
        <v>18.638055560000002</v>
      </c>
      <c r="J343" s="272">
        <v>16.547043009999999</v>
      </c>
      <c r="K343" s="272">
        <v>15.63236111</v>
      </c>
      <c r="L343" s="272">
        <v>14.426881720000001</v>
      </c>
      <c r="M343" s="272">
        <v>13.41814516</v>
      </c>
      <c r="N343" s="272">
        <v>16.024027780000001</v>
      </c>
      <c r="O343" s="272">
        <v>19.805241939999998</v>
      </c>
      <c r="P343" s="272">
        <v>21.30347222</v>
      </c>
      <c r="Q343" s="272">
        <v>21.158870969999999</v>
      </c>
      <c r="R343" s="272">
        <v>19.076240479999999</v>
      </c>
      <c r="S343" s="267">
        <f>SUMIFS(Aux_Lista!AD:AD,Aux_Lista!AB:AB,Aux_TBS!B343,Aux_Lista!AC:AC,Aux_TBS!A343)</f>
        <v>2</v>
      </c>
      <c r="T343" s="267" t="s">
        <v>6018</v>
      </c>
      <c r="U343" s="267">
        <v>40</v>
      </c>
    </row>
    <row r="344" spans="1:21" x14ac:dyDescent="0.25">
      <c r="A344" s="270" t="s">
        <v>5857</v>
      </c>
      <c r="B344" s="251" t="s">
        <v>207</v>
      </c>
      <c r="C344" s="267" t="str">
        <f t="shared" si="5"/>
        <v>Santana do Livramento, RS</v>
      </c>
      <c r="D344" s="271">
        <v>-30.89</v>
      </c>
      <c r="E344" s="251">
        <v>328</v>
      </c>
      <c r="F344" s="272">
        <v>23.362634409999998</v>
      </c>
      <c r="G344" s="272">
        <v>23.14241071</v>
      </c>
      <c r="H344" s="272">
        <v>21.699731180000001</v>
      </c>
      <c r="I344" s="272">
        <v>17.344722220000001</v>
      </c>
      <c r="J344" s="272">
        <v>14.285349460000001</v>
      </c>
      <c r="K344" s="272">
        <v>12.39458333</v>
      </c>
      <c r="L344" s="272">
        <v>12.08696237</v>
      </c>
      <c r="M344" s="272">
        <v>12.566532260000001</v>
      </c>
      <c r="N344" s="272">
        <v>14.75638889</v>
      </c>
      <c r="O344" s="272">
        <v>16.355779569999999</v>
      </c>
      <c r="P344" s="272">
        <v>19.70291667</v>
      </c>
      <c r="Q344" s="272">
        <v>23.616666670000001</v>
      </c>
      <c r="R344" s="272">
        <v>17.609556478333335</v>
      </c>
      <c r="S344" s="267">
        <f>SUMIFS(Aux_Lista!AD:AD,Aux_Lista!AB:AB,Aux_TBS!B344,Aux_Lista!AC:AC,Aux_TBS!A344)</f>
        <v>2</v>
      </c>
      <c r="T344" s="267" t="s">
        <v>6018</v>
      </c>
      <c r="U344" s="267">
        <v>40</v>
      </c>
    </row>
    <row r="345" spans="1:21" x14ac:dyDescent="0.25">
      <c r="A345" s="270" t="s">
        <v>1179</v>
      </c>
      <c r="B345" s="251" t="s">
        <v>207</v>
      </c>
      <c r="C345" s="267" t="str">
        <f t="shared" si="5"/>
        <v>Santiago, RS</v>
      </c>
      <c r="D345" s="271">
        <v>-29.19</v>
      </c>
      <c r="E345" s="251">
        <v>394</v>
      </c>
      <c r="F345" s="272">
        <v>23.462096769999999</v>
      </c>
      <c r="G345" s="272">
        <v>23.822767859999999</v>
      </c>
      <c r="H345" s="272">
        <v>22.244489250000001</v>
      </c>
      <c r="I345" s="272">
        <v>19.843888889999999</v>
      </c>
      <c r="J345" s="272">
        <v>16.764516130000001</v>
      </c>
      <c r="K345" s="272">
        <v>11.22458333</v>
      </c>
      <c r="L345" s="272">
        <v>11.964247309999999</v>
      </c>
      <c r="M345" s="272">
        <v>15.701612900000001</v>
      </c>
      <c r="N345" s="272">
        <v>15.00208333</v>
      </c>
      <c r="O345" s="272">
        <v>18.499865589999999</v>
      </c>
      <c r="P345" s="272">
        <v>22.34486111</v>
      </c>
      <c r="Q345" s="272">
        <v>22.934811830000001</v>
      </c>
      <c r="R345" s="272">
        <v>18.650818691666672</v>
      </c>
      <c r="S345" s="267">
        <f>SUMIFS(Aux_Lista!AD:AD,Aux_Lista!AB:AB,Aux_TBS!B345,Aux_Lista!AC:AC,Aux_TBS!A345)</f>
        <v>2</v>
      </c>
      <c r="T345" s="267" t="s">
        <v>6018</v>
      </c>
      <c r="U345" s="267">
        <v>40</v>
      </c>
    </row>
    <row r="346" spans="1:21" x14ac:dyDescent="0.25">
      <c r="A346" s="270" t="s">
        <v>1212</v>
      </c>
      <c r="B346" s="251" t="s">
        <v>207</v>
      </c>
      <c r="C346" s="267" t="str">
        <f t="shared" si="5"/>
        <v>Santo Augusto, RS</v>
      </c>
      <c r="D346" s="271">
        <v>-27.85</v>
      </c>
      <c r="E346" s="251">
        <v>550</v>
      </c>
      <c r="F346" s="272">
        <v>23.33763441</v>
      </c>
      <c r="G346" s="272">
        <v>24.504017860000001</v>
      </c>
      <c r="H346" s="272">
        <v>22.367741939999998</v>
      </c>
      <c r="I346" s="272">
        <v>19.05236111</v>
      </c>
      <c r="J346" s="272">
        <v>14.69448925</v>
      </c>
      <c r="K346" s="272">
        <v>15.20805556</v>
      </c>
      <c r="L346" s="272">
        <v>15.40228495</v>
      </c>
      <c r="M346" s="272">
        <v>16.101344090000001</v>
      </c>
      <c r="N346" s="272">
        <v>16.730277780000002</v>
      </c>
      <c r="O346" s="272">
        <v>18.059408600000001</v>
      </c>
      <c r="P346" s="272">
        <v>20.74583333</v>
      </c>
      <c r="Q346" s="272">
        <v>22.757795699999999</v>
      </c>
      <c r="R346" s="272">
        <v>19.080103715000003</v>
      </c>
      <c r="S346" s="267">
        <f>SUMIFS(Aux_Lista!AD:AD,Aux_Lista!AB:AB,Aux_TBS!B346,Aux_Lista!AC:AC,Aux_TBS!A346)</f>
        <v>2</v>
      </c>
      <c r="T346" s="267" t="s">
        <v>6018</v>
      </c>
      <c r="U346" s="267">
        <v>40</v>
      </c>
    </row>
    <row r="347" spans="1:21" x14ac:dyDescent="0.25">
      <c r="A347" s="270" t="s">
        <v>1542</v>
      </c>
      <c r="B347" s="251" t="s">
        <v>207</v>
      </c>
      <c r="C347" s="267" t="str">
        <f t="shared" si="5"/>
        <v>São Borja, RS</v>
      </c>
      <c r="D347" s="271">
        <v>-28.66</v>
      </c>
      <c r="E347" s="251">
        <v>83</v>
      </c>
      <c r="F347" s="272">
        <v>26.549193549999998</v>
      </c>
      <c r="G347" s="272">
        <v>25.923065480000002</v>
      </c>
      <c r="H347" s="272">
        <v>24.22903226</v>
      </c>
      <c r="I347" s="272">
        <v>19.849444439999999</v>
      </c>
      <c r="J347" s="272">
        <v>16.568817200000002</v>
      </c>
      <c r="K347" s="272">
        <v>13.80777778</v>
      </c>
      <c r="L347" s="272">
        <v>17.621505379999999</v>
      </c>
      <c r="M347" s="272">
        <v>16.078629029999998</v>
      </c>
      <c r="N347" s="272">
        <v>16.313472220000001</v>
      </c>
      <c r="O347" s="272">
        <v>20.674059140000001</v>
      </c>
      <c r="P347" s="272">
        <v>24.379027780000001</v>
      </c>
      <c r="Q347" s="272">
        <v>26.199059139999999</v>
      </c>
      <c r="R347" s="272">
        <v>20.682756949999998</v>
      </c>
      <c r="S347" s="267">
        <f>SUMIFS(Aux_Lista!AD:AD,Aux_Lista!AB:AB,Aux_TBS!B347,Aux_Lista!AC:AC,Aux_TBS!A347)</f>
        <v>2</v>
      </c>
      <c r="T347" s="267" t="s">
        <v>6018</v>
      </c>
      <c r="U347" s="267">
        <v>40</v>
      </c>
    </row>
    <row r="348" spans="1:21" x14ac:dyDescent="0.25">
      <c r="A348" s="270" t="s">
        <v>1556</v>
      </c>
      <c r="B348" s="251" t="s">
        <v>207</v>
      </c>
      <c r="C348" s="267" t="str">
        <f t="shared" si="5"/>
        <v>São Gabriel, RS</v>
      </c>
      <c r="D348" s="271">
        <v>-30.34</v>
      </c>
      <c r="E348" s="251">
        <v>126</v>
      </c>
      <c r="F348" s="272">
        <v>24.790725810000001</v>
      </c>
      <c r="G348" s="272">
        <v>24.344940480000002</v>
      </c>
      <c r="H348" s="272">
        <v>23.047043009999999</v>
      </c>
      <c r="I348" s="272">
        <v>18.07069444</v>
      </c>
      <c r="J348" s="272">
        <v>15.74395161</v>
      </c>
      <c r="K348" s="272">
        <v>12.01847222</v>
      </c>
      <c r="L348" s="272">
        <v>15.568682799999999</v>
      </c>
      <c r="M348" s="272">
        <v>14.112903230000001</v>
      </c>
      <c r="N348" s="272">
        <v>14.967083329999999</v>
      </c>
      <c r="O348" s="272">
        <v>19.065860220000001</v>
      </c>
      <c r="P348" s="272">
        <v>23.091249999999999</v>
      </c>
      <c r="Q348" s="272">
        <v>24.32607527</v>
      </c>
      <c r="R348" s="272">
        <v>19.095640201666665</v>
      </c>
      <c r="S348" s="267">
        <f>SUMIFS(Aux_Lista!AD:AD,Aux_Lista!AB:AB,Aux_TBS!B348,Aux_Lista!AC:AC,Aux_TBS!A348)</f>
        <v>2</v>
      </c>
      <c r="T348" s="267" t="s">
        <v>6018</v>
      </c>
      <c r="U348" s="267">
        <v>40</v>
      </c>
    </row>
    <row r="349" spans="1:21" x14ac:dyDescent="0.25">
      <c r="A349" s="270" t="s">
        <v>303</v>
      </c>
      <c r="B349" s="251" t="s">
        <v>207</v>
      </c>
      <c r="C349" s="267" t="str">
        <f t="shared" si="5"/>
        <v>São José dos Ausentes, RS</v>
      </c>
      <c r="D349" s="271">
        <v>-28.75</v>
      </c>
      <c r="E349" s="251">
        <v>1244</v>
      </c>
      <c r="F349" s="272">
        <v>15.79314516</v>
      </c>
      <c r="G349" s="272">
        <v>16.339732139999999</v>
      </c>
      <c r="H349" s="272">
        <v>15.89677419</v>
      </c>
      <c r="I349" s="272">
        <v>14.35791667</v>
      </c>
      <c r="J349" s="272">
        <v>11.80927419</v>
      </c>
      <c r="K349" s="272">
        <v>12.348333330000001</v>
      </c>
      <c r="L349" s="272">
        <v>10.85215054</v>
      </c>
      <c r="M349" s="272">
        <v>12.078897850000001</v>
      </c>
      <c r="N349" s="272">
        <v>14.68430556</v>
      </c>
      <c r="O349" s="272">
        <v>12.665456989999999</v>
      </c>
      <c r="P349" s="272">
        <v>13.818055559999999</v>
      </c>
      <c r="Q349" s="272">
        <v>15.20981183</v>
      </c>
      <c r="R349" s="272">
        <v>13.821154500833336</v>
      </c>
      <c r="S349" s="267">
        <f>SUMIFS(Aux_Lista!AD:AD,Aux_Lista!AB:AB,Aux_TBS!B349,Aux_Lista!AC:AC,Aux_TBS!A349)</f>
        <v>1</v>
      </c>
      <c r="T349" s="267" t="s">
        <v>6018</v>
      </c>
      <c r="U349" s="267">
        <v>40</v>
      </c>
    </row>
    <row r="350" spans="1:21" x14ac:dyDescent="0.25">
      <c r="A350" s="270" t="s">
        <v>1549</v>
      </c>
      <c r="B350" s="251" t="s">
        <v>207</v>
      </c>
      <c r="C350" s="267" t="str">
        <f t="shared" si="5"/>
        <v>São Luiz Gonzaga, RS</v>
      </c>
      <c r="D350" s="271">
        <v>-28.41</v>
      </c>
      <c r="E350" s="251">
        <v>245</v>
      </c>
      <c r="F350" s="272">
        <v>25.352419350000002</v>
      </c>
      <c r="G350" s="272">
        <v>24.88005952</v>
      </c>
      <c r="H350" s="272">
        <v>23.471236560000001</v>
      </c>
      <c r="I350" s="272">
        <v>19.979722219999999</v>
      </c>
      <c r="J350" s="272">
        <v>16.77567204</v>
      </c>
      <c r="K350" s="272">
        <v>13.66069444</v>
      </c>
      <c r="L350" s="272">
        <v>18.03413978</v>
      </c>
      <c r="M350" s="272">
        <v>16.231048390000002</v>
      </c>
      <c r="N350" s="272">
        <v>16.121805559999999</v>
      </c>
      <c r="O350" s="272">
        <v>20.047043009999999</v>
      </c>
      <c r="P350" s="272">
        <v>23.62125</v>
      </c>
      <c r="Q350" s="272">
        <v>25.191935480000001</v>
      </c>
      <c r="R350" s="272">
        <v>20.280585529166668</v>
      </c>
      <c r="S350" s="267">
        <f>SUMIFS(Aux_Lista!AD:AD,Aux_Lista!AB:AB,Aux_TBS!B350,Aux_Lista!AC:AC,Aux_TBS!A350)</f>
        <v>2</v>
      </c>
      <c r="T350" s="267" t="s">
        <v>6018</v>
      </c>
      <c r="U350" s="267">
        <v>40</v>
      </c>
    </row>
    <row r="351" spans="1:21" x14ac:dyDescent="0.25">
      <c r="A351" s="270" t="s">
        <v>1140</v>
      </c>
      <c r="B351" s="251" t="s">
        <v>207</v>
      </c>
      <c r="C351" s="267" t="str">
        <f t="shared" si="5"/>
        <v>Soledade, RS</v>
      </c>
      <c r="D351" s="271">
        <v>-28.85</v>
      </c>
      <c r="E351" s="251">
        <v>667</v>
      </c>
      <c r="F351" s="272">
        <v>20.353897849999999</v>
      </c>
      <c r="G351" s="272">
        <v>21.647321430000002</v>
      </c>
      <c r="H351" s="272">
        <v>20.813709679999999</v>
      </c>
      <c r="I351" s="272">
        <v>18.837916669999998</v>
      </c>
      <c r="J351" s="272">
        <v>15.76142473</v>
      </c>
      <c r="K351" s="272">
        <v>10.835000000000001</v>
      </c>
      <c r="L351" s="272">
        <v>11.564516129999999</v>
      </c>
      <c r="M351" s="272">
        <v>15.112903230000001</v>
      </c>
      <c r="N351" s="272">
        <v>14.25069444</v>
      </c>
      <c r="O351" s="272">
        <v>16.952688169999998</v>
      </c>
      <c r="P351" s="272">
        <v>21.586111110000001</v>
      </c>
      <c r="Q351" s="272">
        <v>21.37553763</v>
      </c>
      <c r="R351" s="272">
        <v>17.424310089166664</v>
      </c>
      <c r="S351" s="267">
        <f>SUMIFS(Aux_Lista!AD:AD,Aux_Lista!AB:AB,Aux_TBS!B351,Aux_Lista!AC:AC,Aux_TBS!A351)</f>
        <v>2</v>
      </c>
      <c r="T351" s="267" t="s">
        <v>6018</v>
      </c>
      <c r="U351" s="267">
        <v>40</v>
      </c>
    </row>
    <row r="352" spans="1:21" x14ac:dyDescent="0.25">
      <c r="A352" s="270" t="s">
        <v>1207</v>
      </c>
      <c r="B352" s="251" t="s">
        <v>207</v>
      </c>
      <c r="C352" s="267" t="str">
        <f t="shared" si="5"/>
        <v>Torres, RS</v>
      </c>
      <c r="D352" s="271">
        <v>-29.33</v>
      </c>
      <c r="E352" s="251">
        <v>5</v>
      </c>
      <c r="F352" s="272">
        <v>23.175672039999998</v>
      </c>
      <c r="G352" s="272">
        <v>22.7016369</v>
      </c>
      <c r="H352" s="272">
        <v>22.267338710000001</v>
      </c>
      <c r="I352" s="272">
        <v>20.0425</v>
      </c>
      <c r="J352" s="272">
        <v>17.390725809999999</v>
      </c>
      <c r="K352" s="272">
        <v>14.09319444</v>
      </c>
      <c r="L352" s="272">
        <v>16.10362903</v>
      </c>
      <c r="M352" s="272">
        <v>15.418951610000001</v>
      </c>
      <c r="N352" s="272">
        <v>15.81152778</v>
      </c>
      <c r="O352" s="272">
        <v>18.755510749999999</v>
      </c>
      <c r="P352" s="272">
        <v>19.7775</v>
      </c>
      <c r="Q352" s="272">
        <v>20.887768820000002</v>
      </c>
      <c r="R352" s="272">
        <v>18.868829657500001</v>
      </c>
      <c r="S352" s="267">
        <f>SUMIFS(Aux_Lista!AD:AD,Aux_Lista!AB:AB,Aux_TBS!B352,Aux_Lista!AC:AC,Aux_TBS!A352)</f>
        <v>3</v>
      </c>
      <c r="T352" s="267" t="s">
        <v>6018</v>
      </c>
      <c r="U352" s="267">
        <v>40</v>
      </c>
    </row>
    <row r="353" spans="1:21" x14ac:dyDescent="0.25">
      <c r="A353" s="270" t="s">
        <v>1126</v>
      </c>
      <c r="B353" s="251" t="s">
        <v>207</v>
      </c>
      <c r="C353" s="267" t="str">
        <f t="shared" si="5"/>
        <v>Tramandaí, RS</v>
      </c>
      <c r="D353" s="271">
        <v>-30.01</v>
      </c>
      <c r="E353" s="251">
        <v>1</v>
      </c>
      <c r="F353" s="272">
        <v>22.322043010000002</v>
      </c>
      <c r="G353" s="272">
        <v>23.178125000000001</v>
      </c>
      <c r="H353" s="272">
        <v>23.270295699999998</v>
      </c>
      <c r="I353" s="272">
        <v>20.246527780000001</v>
      </c>
      <c r="J353" s="272">
        <v>17.389381719999999</v>
      </c>
      <c r="K353" s="272">
        <v>13.965972219999999</v>
      </c>
      <c r="L353" s="272">
        <v>16.18884409</v>
      </c>
      <c r="M353" s="272">
        <v>15.44825269</v>
      </c>
      <c r="N353" s="272">
        <v>15.708888890000001</v>
      </c>
      <c r="O353" s="272">
        <v>18.956720430000001</v>
      </c>
      <c r="P353" s="272">
        <v>20.160138889999999</v>
      </c>
      <c r="Q353" s="272">
        <v>21.026344089999998</v>
      </c>
      <c r="R353" s="272">
        <v>18.988461209166669</v>
      </c>
      <c r="S353" s="267">
        <f>SUMIFS(Aux_Lista!AD:AD,Aux_Lista!AB:AB,Aux_TBS!B353,Aux_Lista!AC:AC,Aux_TBS!A353)</f>
        <v>2</v>
      </c>
      <c r="T353" s="267" t="s">
        <v>6018</v>
      </c>
      <c r="U353" s="267">
        <v>40</v>
      </c>
    </row>
    <row r="354" spans="1:21" x14ac:dyDescent="0.25">
      <c r="A354" s="270" t="s">
        <v>1554</v>
      </c>
      <c r="B354" s="251" t="s">
        <v>207</v>
      </c>
      <c r="C354" s="267" t="str">
        <f t="shared" si="5"/>
        <v>Uruguaiana, RS</v>
      </c>
      <c r="D354" s="271">
        <v>-29.75</v>
      </c>
      <c r="E354" s="251">
        <v>62</v>
      </c>
      <c r="F354" s="272">
        <v>25.637903229999999</v>
      </c>
      <c r="G354" s="272">
        <v>25.602827380000001</v>
      </c>
      <c r="H354" s="272">
        <v>24.121370970000001</v>
      </c>
      <c r="I354" s="272">
        <v>19.328611110000001</v>
      </c>
      <c r="J354" s="272">
        <v>15.59193548</v>
      </c>
      <c r="K354" s="272">
        <v>14.23027778</v>
      </c>
      <c r="L354" s="272">
        <v>13.45887097</v>
      </c>
      <c r="M354" s="272">
        <v>14.34704301</v>
      </c>
      <c r="N354" s="272">
        <v>16.778472220000001</v>
      </c>
      <c r="O354" s="272">
        <v>18.78077957</v>
      </c>
      <c r="P354" s="272">
        <v>22.153749999999999</v>
      </c>
      <c r="Q354" s="272">
        <v>24.970833330000001</v>
      </c>
      <c r="R354" s="272">
        <v>19.583556254166666</v>
      </c>
      <c r="S354" s="267">
        <f>SUMIFS(Aux_Lista!AD:AD,Aux_Lista!AB:AB,Aux_TBS!B354,Aux_Lista!AC:AC,Aux_TBS!A354)</f>
        <v>2</v>
      </c>
      <c r="T354" s="267" t="s">
        <v>6018</v>
      </c>
      <c r="U354" s="267">
        <v>40</v>
      </c>
    </row>
    <row r="355" spans="1:21" x14ac:dyDescent="0.25">
      <c r="A355" s="270" t="s">
        <v>1458</v>
      </c>
      <c r="B355" s="251" t="s">
        <v>207</v>
      </c>
      <c r="C355" s="267" t="str">
        <f t="shared" si="5"/>
        <v>Vacaria, RS</v>
      </c>
      <c r="D355" s="271">
        <v>-28.51</v>
      </c>
      <c r="E355" s="251">
        <v>986</v>
      </c>
      <c r="F355" s="272">
        <v>18.219489249999999</v>
      </c>
      <c r="G355" s="272">
        <v>19.70684524</v>
      </c>
      <c r="H355" s="272">
        <v>18.891935480000001</v>
      </c>
      <c r="I355" s="272">
        <v>16.541527779999999</v>
      </c>
      <c r="J355" s="272">
        <v>13.541801080000001</v>
      </c>
      <c r="K355" s="272">
        <v>9.721944444</v>
      </c>
      <c r="L355" s="272">
        <v>10.611827959999999</v>
      </c>
      <c r="M355" s="272">
        <v>12.83467742</v>
      </c>
      <c r="N355" s="272">
        <v>12.99472222</v>
      </c>
      <c r="O355" s="272">
        <v>15.40107527</v>
      </c>
      <c r="P355" s="272">
        <v>19.8825</v>
      </c>
      <c r="Q355" s="272">
        <v>19.657930109999999</v>
      </c>
      <c r="R355" s="272">
        <v>15.667189687833334</v>
      </c>
      <c r="S355" s="267">
        <f>SUMIFS(Aux_Lista!AD:AD,Aux_Lista!AB:AB,Aux_TBS!B355,Aux_Lista!AC:AC,Aux_TBS!A355)</f>
        <v>1</v>
      </c>
      <c r="T355" s="267" t="s">
        <v>6018</v>
      </c>
      <c r="U355" s="267">
        <v>40</v>
      </c>
    </row>
    <row r="356" spans="1:21" x14ac:dyDescent="0.25">
      <c r="A356" s="270" t="s">
        <v>1225</v>
      </c>
      <c r="B356" s="251" t="s">
        <v>27</v>
      </c>
      <c r="C356" s="267" t="str">
        <f t="shared" si="5"/>
        <v>Araranguá, SC</v>
      </c>
      <c r="D356" s="271">
        <v>-28.93</v>
      </c>
      <c r="E356" s="251">
        <v>12</v>
      </c>
      <c r="F356" s="272">
        <v>22.546505379999999</v>
      </c>
      <c r="G356" s="272">
        <v>23.52380952</v>
      </c>
      <c r="H356" s="272">
        <v>22.956720430000001</v>
      </c>
      <c r="I356" s="272">
        <v>20.167777780000002</v>
      </c>
      <c r="J356" s="272">
        <v>17.56572581</v>
      </c>
      <c r="K356" s="272">
        <v>13.964722220000001</v>
      </c>
      <c r="L356" s="272">
        <v>13.238844090000001</v>
      </c>
      <c r="M356" s="272">
        <v>15.96129032</v>
      </c>
      <c r="N356" s="272">
        <v>17.30236111</v>
      </c>
      <c r="O356" s="272">
        <v>18.714650540000001</v>
      </c>
      <c r="P356" s="272">
        <v>23.228333330000002</v>
      </c>
      <c r="Q356" s="272">
        <v>23.570161290000001</v>
      </c>
      <c r="R356" s="272">
        <v>19.395075151666671</v>
      </c>
      <c r="S356" s="267">
        <f>SUMIFS(Aux_Lista!AD:AD,Aux_Lista!AB:AB,Aux_TBS!B356,Aux_Lista!AC:AC,Aux_TBS!A356)</f>
        <v>2</v>
      </c>
      <c r="T356" s="267" t="s">
        <v>6018</v>
      </c>
      <c r="U356" s="267">
        <v>40</v>
      </c>
    </row>
    <row r="357" spans="1:21" x14ac:dyDescent="0.25">
      <c r="A357" s="270" t="s">
        <v>1454</v>
      </c>
      <c r="B357" s="251" t="s">
        <v>27</v>
      </c>
      <c r="C357" s="267" t="str">
        <f t="shared" si="5"/>
        <v>Caçador, SC</v>
      </c>
      <c r="D357" s="271">
        <v>-26.82</v>
      </c>
      <c r="E357" s="251">
        <v>952</v>
      </c>
      <c r="F357" s="272">
        <v>18.988172039999998</v>
      </c>
      <c r="G357" s="272">
        <v>20.492410710000001</v>
      </c>
      <c r="H357" s="272">
        <v>19.886021509999999</v>
      </c>
      <c r="I357" s="272">
        <v>15.67930556</v>
      </c>
      <c r="J357" s="272">
        <v>13.34045699</v>
      </c>
      <c r="K357" s="272">
        <v>12.565</v>
      </c>
      <c r="L357" s="272">
        <v>13.952553760000001</v>
      </c>
      <c r="M357" s="272">
        <v>14.79502688</v>
      </c>
      <c r="N357" s="272">
        <v>14.214166669999999</v>
      </c>
      <c r="O357" s="272">
        <v>16.65860215</v>
      </c>
      <c r="P357" s="272">
        <v>17.928055560000001</v>
      </c>
      <c r="Q357" s="272">
        <v>19.260618279999999</v>
      </c>
      <c r="R357" s="272">
        <v>16.480032509166666</v>
      </c>
      <c r="S357" s="267">
        <f>SUMIFS(Aux_Lista!AD:AD,Aux_Lista!AB:AB,Aux_TBS!B357,Aux_Lista!AC:AC,Aux_TBS!A357)</f>
        <v>2</v>
      </c>
      <c r="T357" s="267" t="s">
        <v>6018</v>
      </c>
      <c r="U357" s="267">
        <v>40</v>
      </c>
    </row>
    <row r="358" spans="1:21" x14ac:dyDescent="0.25">
      <c r="A358" s="270" t="s">
        <v>1175</v>
      </c>
      <c r="B358" s="251" t="s">
        <v>27</v>
      </c>
      <c r="C358" s="267" t="str">
        <f t="shared" si="5"/>
        <v>Curitibanos, SC</v>
      </c>
      <c r="D358" s="271">
        <v>-27.29</v>
      </c>
      <c r="E358" s="251">
        <v>982</v>
      </c>
      <c r="F358" s="272">
        <v>18.967069890000001</v>
      </c>
      <c r="G358" s="272">
        <v>20.334672619999999</v>
      </c>
      <c r="H358" s="272">
        <v>18.757123660000001</v>
      </c>
      <c r="I358" s="272">
        <v>15.88208333</v>
      </c>
      <c r="J358" s="272">
        <v>13.61169355</v>
      </c>
      <c r="K358" s="272">
        <v>12.51791667</v>
      </c>
      <c r="L358" s="272">
        <v>14.404704300000001</v>
      </c>
      <c r="M358" s="272">
        <v>14.078763439999999</v>
      </c>
      <c r="N358" s="272">
        <v>12.77486111</v>
      </c>
      <c r="O358" s="272">
        <v>15.876209680000001</v>
      </c>
      <c r="P358" s="272">
        <v>17.187222219999999</v>
      </c>
      <c r="Q358" s="272">
        <v>18.883602150000002</v>
      </c>
      <c r="R358" s="272">
        <v>16.106326884999998</v>
      </c>
      <c r="S358" s="267">
        <f>SUMIFS(Aux_Lista!AD:AD,Aux_Lista!AB:AB,Aux_TBS!B358,Aux_Lista!AC:AC,Aux_TBS!A358)</f>
        <v>2</v>
      </c>
      <c r="T358" s="267" t="s">
        <v>6018</v>
      </c>
      <c r="U358" s="267">
        <v>40</v>
      </c>
    </row>
    <row r="359" spans="1:21" x14ac:dyDescent="0.25">
      <c r="A359" s="270" t="s">
        <v>1138</v>
      </c>
      <c r="B359" s="251" t="s">
        <v>27</v>
      </c>
      <c r="C359" s="267" t="str">
        <f t="shared" si="5"/>
        <v>Dionísio Cerqueira, SC</v>
      </c>
      <c r="D359" s="271">
        <v>-26.29</v>
      </c>
      <c r="E359" s="251">
        <v>810</v>
      </c>
      <c r="F359" s="272">
        <v>21.321102150000002</v>
      </c>
      <c r="G359" s="272">
        <v>22.839732139999999</v>
      </c>
      <c r="H359" s="272">
        <v>22.998924729999999</v>
      </c>
      <c r="I359" s="272">
        <v>20.931944439999999</v>
      </c>
      <c r="J359" s="272">
        <v>17.096774190000001</v>
      </c>
      <c r="K359" s="272">
        <v>13.47236111</v>
      </c>
      <c r="L359" s="272">
        <v>14.084543010000001</v>
      </c>
      <c r="M359" s="272">
        <v>16.72150538</v>
      </c>
      <c r="N359" s="272">
        <v>16.212222220000001</v>
      </c>
      <c r="O359" s="272">
        <v>19.413575269999999</v>
      </c>
      <c r="P359" s="272">
        <v>23.007361110000002</v>
      </c>
      <c r="Q359" s="272">
        <v>22.551075269999998</v>
      </c>
      <c r="R359" s="272">
        <v>19.220926751666667</v>
      </c>
      <c r="S359" s="267">
        <f>SUMIFS(Aux_Lista!AD:AD,Aux_Lista!AB:AB,Aux_TBS!B359,Aux_Lista!AC:AC,Aux_TBS!A359)</f>
        <v>2</v>
      </c>
      <c r="T359" s="267" t="s">
        <v>6018</v>
      </c>
      <c r="U359" s="267">
        <v>40</v>
      </c>
    </row>
    <row r="360" spans="1:21" x14ac:dyDescent="0.25">
      <c r="A360" s="270" t="s">
        <v>26</v>
      </c>
      <c r="B360" s="251" t="s">
        <v>27</v>
      </c>
      <c r="C360" s="267" t="str">
        <f t="shared" si="5"/>
        <v>Florianópolis, SC</v>
      </c>
      <c r="D360" s="271">
        <v>-27.6</v>
      </c>
      <c r="E360" s="251">
        <v>2</v>
      </c>
      <c r="F360" s="272">
        <v>24.288172039999999</v>
      </c>
      <c r="G360" s="272">
        <v>24.19494048</v>
      </c>
      <c r="H360" s="272">
        <v>23.580376340000001</v>
      </c>
      <c r="I360" s="272">
        <v>22.28763889</v>
      </c>
      <c r="J360" s="272">
        <v>19.44072581</v>
      </c>
      <c r="K360" s="272">
        <v>18.650555560000001</v>
      </c>
      <c r="L360" s="272">
        <v>17.541935479999999</v>
      </c>
      <c r="M360" s="272">
        <v>16.44448925</v>
      </c>
      <c r="N360" s="272">
        <v>17.842916670000001</v>
      </c>
      <c r="O360" s="272">
        <v>21.250672040000001</v>
      </c>
      <c r="P360" s="272">
        <v>22.218611110000001</v>
      </c>
      <c r="Q360" s="272">
        <v>23.44166667</v>
      </c>
      <c r="R360" s="272">
        <v>20.931891695000001</v>
      </c>
      <c r="S360" s="267">
        <f>SUMIFS(Aux_Lista!AD:AD,Aux_Lista!AB:AB,Aux_TBS!B360,Aux_Lista!AC:AC,Aux_TBS!A360)</f>
        <v>3</v>
      </c>
      <c r="T360" s="267" t="s">
        <v>6018</v>
      </c>
      <c r="U360" s="267">
        <v>40</v>
      </c>
    </row>
    <row r="361" spans="1:21" x14ac:dyDescent="0.25">
      <c r="A361" s="270" t="s">
        <v>1178</v>
      </c>
      <c r="B361" s="251" t="s">
        <v>27</v>
      </c>
      <c r="C361" s="267" t="str">
        <f t="shared" si="5"/>
        <v>Indaial, SC</v>
      </c>
      <c r="D361" s="271">
        <v>-26.92</v>
      </c>
      <c r="E361" s="251">
        <v>86</v>
      </c>
      <c r="F361" s="272">
        <v>23.49112903</v>
      </c>
      <c r="G361" s="272">
        <v>24.25</v>
      </c>
      <c r="H361" s="272">
        <v>23.332123660000001</v>
      </c>
      <c r="I361" s="272">
        <v>20.677499999999998</v>
      </c>
      <c r="J361" s="272">
        <v>17.329032260000002</v>
      </c>
      <c r="K361" s="272">
        <v>14.70569444</v>
      </c>
      <c r="L361" s="272">
        <v>17.282930109999999</v>
      </c>
      <c r="M361" s="272">
        <v>17.722311829999999</v>
      </c>
      <c r="N361" s="272">
        <v>17.140277780000002</v>
      </c>
      <c r="O361" s="272">
        <v>20.008064520000001</v>
      </c>
      <c r="P361" s="272">
        <v>20.807916670000001</v>
      </c>
      <c r="Q361" s="272">
        <v>22.939516130000001</v>
      </c>
      <c r="R361" s="272">
        <v>19.973874702499998</v>
      </c>
      <c r="S361" s="267">
        <f>SUMIFS(Aux_Lista!AD:AD,Aux_Lista!AB:AB,Aux_TBS!B361,Aux_Lista!AC:AC,Aux_TBS!A361)</f>
        <v>3</v>
      </c>
      <c r="T361" s="267" t="s">
        <v>6018</v>
      </c>
      <c r="U361" s="267">
        <v>40</v>
      </c>
    </row>
    <row r="362" spans="1:21" x14ac:dyDescent="0.25">
      <c r="A362" s="270" t="s">
        <v>527</v>
      </c>
      <c r="B362" s="251" t="s">
        <v>27</v>
      </c>
      <c r="C362" s="267" t="str">
        <f t="shared" si="5"/>
        <v>Itapoá, SC</v>
      </c>
      <c r="D362" s="271">
        <v>-26.12</v>
      </c>
      <c r="E362" s="251">
        <v>2</v>
      </c>
      <c r="F362" s="272">
        <v>23.4594086</v>
      </c>
      <c r="G362" s="272">
        <v>24.027827380000002</v>
      </c>
      <c r="H362" s="272">
        <v>23.42768817</v>
      </c>
      <c r="I362" s="272">
        <v>20.584166669999998</v>
      </c>
      <c r="J362" s="272">
        <v>17.545564519999999</v>
      </c>
      <c r="K362" s="272">
        <v>15.654305559999999</v>
      </c>
      <c r="L362" s="272">
        <v>16.852016129999999</v>
      </c>
      <c r="M362" s="272">
        <v>17.522043010000001</v>
      </c>
      <c r="N362" s="272">
        <v>17.161666669999999</v>
      </c>
      <c r="O362" s="272">
        <v>19.990053759999999</v>
      </c>
      <c r="P362" s="272">
        <v>21.189444439999999</v>
      </c>
      <c r="Q362" s="272">
        <v>22.131317200000002</v>
      </c>
      <c r="R362" s="272">
        <v>19.962125175833332</v>
      </c>
      <c r="S362" s="267">
        <f>SUMIFS(Aux_Lista!AD:AD,Aux_Lista!AB:AB,Aux_TBS!B362,Aux_Lista!AC:AC,Aux_TBS!A362)</f>
        <v>5</v>
      </c>
      <c r="T362" s="267" t="s">
        <v>6018</v>
      </c>
      <c r="U362" s="267">
        <v>40</v>
      </c>
    </row>
    <row r="363" spans="1:21" x14ac:dyDescent="0.25">
      <c r="A363" s="270" t="s">
        <v>1144</v>
      </c>
      <c r="B363" s="251" t="s">
        <v>27</v>
      </c>
      <c r="C363" s="267" t="str">
        <f t="shared" si="5"/>
        <v>Ituporanga, SC</v>
      </c>
      <c r="D363" s="271">
        <v>-27.42</v>
      </c>
      <c r="E363" s="251">
        <v>484</v>
      </c>
      <c r="F363" s="272">
        <v>21.14502688</v>
      </c>
      <c r="G363" s="272">
        <v>22.544345239999998</v>
      </c>
      <c r="H363" s="272">
        <v>21.883333329999999</v>
      </c>
      <c r="I363" s="272">
        <v>19.048888890000001</v>
      </c>
      <c r="J363" s="272">
        <v>15.518548389999999</v>
      </c>
      <c r="K363" s="272">
        <v>12.12763889</v>
      </c>
      <c r="L363" s="272">
        <v>12.278629029999999</v>
      </c>
      <c r="M363" s="272">
        <v>14.6858871</v>
      </c>
      <c r="N363" s="272">
        <v>16.136388889999999</v>
      </c>
      <c r="O363" s="272">
        <v>17.56061828</v>
      </c>
      <c r="P363" s="272">
        <v>22.644444440000001</v>
      </c>
      <c r="Q363" s="272">
        <v>22.576209680000002</v>
      </c>
      <c r="R363" s="272">
        <v>18.179163253333336</v>
      </c>
      <c r="S363" s="267">
        <f>SUMIFS(Aux_Lista!AD:AD,Aux_Lista!AB:AB,Aux_TBS!B363,Aux_Lista!AC:AC,Aux_TBS!A363)</f>
        <v>2</v>
      </c>
      <c r="T363" s="267" t="s">
        <v>6018</v>
      </c>
      <c r="U363" s="267">
        <v>40</v>
      </c>
    </row>
    <row r="364" spans="1:21" x14ac:dyDescent="0.25">
      <c r="A364" s="270" t="s">
        <v>1500</v>
      </c>
      <c r="B364" s="251" t="s">
        <v>27</v>
      </c>
      <c r="C364" s="267" t="str">
        <f t="shared" si="5"/>
        <v>Joaçaba, SC</v>
      </c>
      <c r="D364" s="271">
        <v>-27.17</v>
      </c>
      <c r="E364" s="251">
        <v>776</v>
      </c>
      <c r="F364" s="272">
        <v>21.15013441</v>
      </c>
      <c r="G364" s="272">
        <v>20.931249999999999</v>
      </c>
      <c r="H364" s="272">
        <v>20.4108871</v>
      </c>
      <c r="I364" s="272">
        <v>16.524999999999999</v>
      </c>
      <c r="J364" s="272">
        <v>14.496908599999999</v>
      </c>
      <c r="K364" s="272">
        <v>13.48569444</v>
      </c>
      <c r="L364" s="272">
        <v>15.38534946</v>
      </c>
      <c r="M364" s="272">
        <v>16.182661289999999</v>
      </c>
      <c r="N364" s="272">
        <v>15.21097222</v>
      </c>
      <c r="O364" s="272">
        <v>17.669220429999999</v>
      </c>
      <c r="P364" s="272">
        <v>19.318055560000001</v>
      </c>
      <c r="Q364" s="272">
        <v>20.79435484</v>
      </c>
      <c r="R364" s="272">
        <v>17.630040695833333</v>
      </c>
      <c r="S364" s="267">
        <f>SUMIFS(Aux_Lista!AD:AD,Aux_Lista!AB:AB,Aux_TBS!B364,Aux_Lista!AC:AC,Aux_TBS!A364)</f>
        <v>2</v>
      </c>
      <c r="T364" s="267" t="s">
        <v>6018</v>
      </c>
      <c r="U364" s="267">
        <v>40</v>
      </c>
    </row>
    <row r="365" spans="1:21" x14ac:dyDescent="0.25">
      <c r="A365" s="270" t="s">
        <v>1210</v>
      </c>
      <c r="B365" s="251" t="s">
        <v>27</v>
      </c>
      <c r="C365" s="267" t="str">
        <f t="shared" si="5"/>
        <v>Major Vieira, SC</v>
      </c>
      <c r="D365" s="271">
        <v>-26.4</v>
      </c>
      <c r="E365" s="251">
        <v>808</v>
      </c>
      <c r="F365" s="272">
        <v>19.226344090000001</v>
      </c>
      <c r="G365" s="272">
        <v>20.62872024</v>
      </c>
      <c r="H365" s="272">
        <v>20.64314516</v>
      </c>
      <c r="I365" s="272">
        <v>17.824861110000001</v>
      </c>
      <c r="J365" s="272">
        <v>14.6780914</v>
      </c>
      <c r="K365" s="272">
        <v>11.440277780000001</v>
      </c>
      <c r="L365" s="272">
        <v>11.53333333</v>
      </c>
      <c r="M365" s="272">
        <v>13.601612899999999</v>
      </c>
      <c r="N365" s="272">
        <v>15.323472219999999</v>
      </c>
      <c r="O365" s="272">
        <v>16.788037630000002</v>
      </c>
      <c r="P365" s="272">
        <v>21.844999999999999</v>
      </c>
      <c r="Q365" s="272">
        <v>20.35215054</v>
      </c>
      <c r="R365" s="272">
        <v>16.990420533333332</v>
      </c>
      <c r="S365" s="267">
        <f>SUMIFS(Aux_Lista!AD:AD,Aux_Lista!AB:AB,Aux_TBS!B365,Aux_Lista!AC:AC,Aux_TBS!A365)</f>
        <v>2</v>
      </c>
      <c r="T365" s="267" t="s">
        <v>6018</v>
      </c>
      <c r="U365" s="267">
        <v>40</v>
      </c>
    </row>
    <row r="366" spans="1:21" x14ac:dyDescent="0.25">
      <c r="A366" s="270" t="s">
        <v>914</v>
      </c>
      <c r="B366" s="251" t="s">
        <v>27</v>
      </c>
      <c r="C366" s="267" t="str">
        <f t="shared" si="5"/>
        <v>Novo Horizonte, SC</v>
      </c>
      <c r="D366" s="271">
        <v>-26.41</v>
      </c>
      <c r="E366" s="251">
        <v>960</v>
      </c>
      <c r="F366" s="272">
        <v>19.90201613</v>
      </c>
      <c r="G366" s="272">
        <v>21.64806548</v>
      </c>
      <c r="H366" s="272">
        <v>21.46827957</v>
      </c>
      <c r="I366" s="272">
        <v>19.91444444</v>
      </c>
      <c r="J366" s="272">
        <v>16.472715050000001</v>
      </c>
      <c r="K366" s="272">
        <v>12.56833333</v>
      </c>
      <c r="L366" s="272">
        <v>12.837365589999999</v>
      </c>
      <c r="M366" s="272">
        <v>15.70362903</v>
      </c>
      <c r="N366" s="272">
        <v>15.43305556</v>
      </c>
      <c r="O366" s="272">
        <v>18.240860219999998</v>
      </c>
      <c r="P366" s="272">
        <v>21.925694440000001</v>
      </c>
      <c r="Q366" s="272">
        <v>21.36895161</v>
      </c>
      <c r="R366" s="272">
        <v>18.123617537500003</v>
      </c>
      <c r="S366" s="267">
        <f>SUMIFS(Aux_Lista!AD:AD,Aux_Lista!AB:AB,Aux_TBS!B366,Aux_Lista!AC:AC,Aux_TBS!A366)</f>
        <v>2</v>
      </c>
      <c r="T366" s="267" t="s">
        <v>6018</v>
      </c>
      <c r="U366" s="267">
        <v>40</v>
      </c>
    </row>
    <row r="367" spans="1:21" x14ac:dyDescent="0.25">
      <c r="A367" s="270" t="s">
        <v>1219</v>
      </c>
      <c r="B367" s="251" t="s">
        <v>27</v>
      </c>
      <c r="C367" s="267" t="str">
        <f t="shared" si="5"/>
        <v>Rio Negrinho, SC</v>
      </c>
      <c r="D367" s="271">
        <v>-26.25</v>
      </c>
      <c r="E367" s="251">
        <v>869</v>
      </c>
      <c r="F367" s="272">
        <v>19.226344090000001</v>
      </c>
      <c r="G367" s="272">
        <v>20.501339290000001</v>
      </c>
      <c r="H367" s="272">
        <v>20.308198919999999</v>
      </c>
      <c r="I367" s="272">
        <v>16.52305556</v>
      </c>
      <c r="J367" s="272">
        <v>14.05806452</v>
      </c>
      <c r="K367" s="272">
        <v>12.69569444</v>
      </c>
      <c r="L367" s="272">
        <v>13.327822579999999</v>
      </c>
      <c r="M367" s="272">
        <v>14.70107527</v>
      </c>
      <c r="N367" s="272">
        <v>13.178750000000001</v>
      </c>
      <c r="O367" s="272">
        <v>16.601612899999999</v>
      </c>
      <c r="P367" s="272">
        <v>17.055138889999998</v>
      </c>
      <c r="Q367" s="272">
        <v>18.837499999999999</v>
      </c>
      <c r="R367" s="272">
        <v>16.417883038333333</v>
      </c>
      <c r="S367" s="267">
        <f>SUMIFS(Aux_Lista!AD:AD,Aux_Lista!AB:AB,Aux_TBS!B367,Aux_Lista!AC:AC,Aux_TBS!A367)</f>
        <v>3</v>
      </c>
      <c r="T367" s="267" t="s">
        <v>6018</v>
      </c>
      <c r="U367" s="267">
        <v>40</v>
      </c>
    </row>
    <row r="368" spans="1:21" x14ac:dyDescent="0.25">
      <c r="A368" s="270" t="s">
        <v>892</v>
      </c>
      <c r="B368" s="251" t="s">
        <v>27</v>
      </c>
      <c r="C368" s="267" t="str">
        <f t="shared" si="5"/>
        <v>Laguna, SC</v>
      </c>
      <c r="D368" s="271">
        <v>-28.6</v>
      </c>
      <c r="E368" s="251">
        <v>52</v>
      </c>
      <c r="F368" s="272">
        <v>22.063709679999999</v>
      </c>
      <c r="G368" s="272">
        <v>22.535267860000001</v>
      </c>
      <c r="H368" s="272">
        <v>23.541935479999999</v>
      </c>
      <c r="I368" s="272">
        <v>21.539305559999999</v>
      </c>
      <c r="J368" s="272">
        <v>19.301075269999998</v>
      </c>
      <c r="K368" s="272">
        <v>15.216805559999999</v>
      </c>
      <c r="L368" s="272">
        <v>17.438172040000001</v>
      </c>
      <c r="M368" s="272">
        <v>16.415322580000002</v>
      </c>
      <c r="N368" s="272">
        <v>16.480555559999999</v>
      </c>
      <c r="O368" s="272">
        <v>18.668279569999999</v>
      </c>
      <c r="P368" s="272">
        <v>19.552638890000001</v>
      </c>
      <c r="Q368" s="272">
        <v>20.542607530000002</v>
      </c>
      <c r="R368" s="272">
        <v>19.441306298333334</v>
      </c>
      <c r="S368" s="267">
        <f>SUMIFS(Aux_Lista!AD:AD,Aux_Lista!AB:AB,Aux_TBS!B368,Aux_Lista!AC:AC,Aux_TBS!A368)</f>
        <v>2</v>
      </c>
      <c r="T368" s="267" t="s">
        <v>6018</v>
      </c>
      <c r="U368" s="267">
        <v>40</v>
      </c>
    </row>
    <row r="369" spans="1:21" x14ac:dyDescent="0.25">
      <c r="A369" s="270" t="s">
        <v>316</v>
      </c>
      <c r="B369" s="251" t="s">
        <v>27</v>
      </c>
      <c r="C369" s="267" t="str">
        <f t="shared" si="5"/>
        <v>São Joaquim, SC</v>
      </c>
      <c r="D369" s="271">
        <v>-28.28</v>
      </c>
      <c r="E369" s="251">
        <v>1410</v>
      </c>
      <c r="F369" s="272">
        <v>15.950537629999999</v>
      </c>
      <c r="G369" s="272">
        <v>17.46830357</v>
      </c>
      <c r="H369" s="272">
        <v>16.829032260000002</v>
      </c>
      <c r="I369" s="272">
        <v>14.06666667</v>
      </c>
      <c r="J369" s="272">
        <v>11.71155914</v>
      </c>
      <c r="K369" s="272">
        <v>10.35166667</v>
      </c>
      <c r="L369" s="272">
        <v>12.58185484</v>
      </c>
      <c r="M369" s="272">
        <v>11.903763440000001</v>
      </c>
      <c r="N369" s="272">
        <v>10.65319444</v>
      </c>
      <c r="O369" s="272">
        <v>13.00766129</v>
      </c>
      <c r="P369" s="272">
        <v>13.836111109999999</v>
      </c>
      <c r="Q369" s="272">
        <v>15.453897850000001</v>
      </c>
      <c r="R369" s="272">
        <v>13.651187409166667</v>
      </c>
      <c r="S369" s="267">
        <f>SUMIFS(Aux_Lista!AD:AD,Aux_Lista!AB:AB,Aux_TBS!B369,Aux_Lista!AC:AC,Aux_TBS!A369)</f>
        <v>1</v>
      </c>
      <c r="T369" s="267" t="s">
        <v>6018</v>
      </c>
      <c r="U369" s="267">
        <v>40</v>
      </c>
    </row>
    <row r="370" spans="1:21" x14ac:dyDescent="0.25">
      <c r="A370" s="270" t="s">
        <v>5856</v>
      </c>
      <c r="B370" s="251" t="s">
        <v>27</v>
      </c>
      <c r="C370" s="267" t="str">
        <f t="shared" si="5"/>
        <v>São Miguel d'Oeste, SC</v>
      </c>
      <c r="D370" s="271">
        <v>-26.78</v>
      </c>
      <c r="E370" s="251">
        <v>665</v>
      </c>
      <c r="F370" s="272">
        <v>22.570698920000002</v>
      </c>
      <c r="G370" s="272">
        <v>24.602232140000002</v>
      </c>
      <c r="H370" s="272">
        <v>23.217204299999999</v>
      </c>
      <c r="I370" s="272">
        <v>19.022916670000001</v>
      </c>
      <c r="J370" s="272">
        <v>16.202553760000001</v>
      </c>
      <c r="K370" s="272">
        <v>13.29972222</v>
      </c>
      <c r="L370" s="272">
        <v>18.586827960000001</v>
      </c>
      <c r="M370" s="272">
        <v>17.799731179999998</v>
      </c>
      <c r="N370" s="272">
        <v>15.601388890000001</v>
      </c>
      <c r="O370" s="272">
        <v>19.634543010000002</v>
      </c>
      <c r="P370" s="272">
        <v>21.832777780000001</v>
      </c>
      <c r="Q370" s="272">
        <v>23.65430108</v>
      </c>
      <c r="R370" s="272">
        <v>19.668741492500001</v>
      </c>
      <c r="S370" s="267">
        <f>SUMIFS(Aux_Lista!AD:AD,Aux_Lista!AB:AB,Aux_TBS!B370,Aux_Lista!AC:AC,Aux_TBS!A370)</f>
        <v>2</v>
      </c>
      <c r="T370" s="267" t="s">
        <v>6018</v>
      </c>
      <c r="U370" s="267">
        <v>40</v>
      </c>
    </row>
    <row r="371" spans="1:21" x14ac:dyDescent="0.25">
      <c r="A371" s="270" t="s">
        <v>229</v>
      </c>
      <c r="B371" s="251" t="s">
        <v>27</v>
      </c>
      <c r="C371" s="267" t="str">
        <f t="shared" si="5"/>
        <v>Urubici, SC</v>
      </c>
      <c r="D371" s="271">
        <v>-28.13</v>
      </c>
      <c r="E371" s="251">
        <v>1810</v>
      </c>
      <c r="F371" s="272">
        <v>12.443010749999999</v>
      </c>
      <c r="G371" s="272">
        <v>13.25758929</v>
      </c>
      <c r="H371" s="272">
        <v>13.19784946</v>
      </c>
      <c r="I371" s="272">
        <v>11.90666667</v>
      </c>
      <c r="J371" s="272">
        <v>10.27177419</v>
      </c>
      <c r="K371" s="272">
        <v>7.8927777780000001</v>
      </c>
      <c r="L371" s="272">
        <v>9.7053763439999994</v>
      </c>
      <c r="M371" s="272">
        <v>10.337365589999999</v>
      </c>
      <c r="N371" s="272">
        <v>8.4208333329999991</v>
      </c>
      <c r="O371" s="272">
        <v>10.12123656</v>
      </c>
      <c r="P371" s="272">
        <v>10.43958333</v>
      </c>
      <c r="Q371" s="272">
        <v>12.09744624</v>
      </c>
      <c r="R371" s="272">
        <v>10.840959127916669</v>
      </c>
      <c r="S371" s="267">
        <f>SUMIFS(Aux_Lista!AD:AD,Aux_Lista!AB:AB,Aux_TBS!B371,Aux_Lista!AC:AC,Aux_TBS!A371)</f>
        <v>1</v>
      </c>
      <c r="T371" s="267" t="s">
        <v>6018</v>
      </c>
      <c r="U371" s="267">
        <v>40</v>
      </c>
    </row>
    <row r="372" spans="1:21" x14ac:dyDescent="0.25">
      <c r="A372" s="270" t="s">
        <v>1545</v>
      </c>
      <c r="B372" s="251" t="s">
        <v>27</v>
      </c>
      <c r="C372" s="267" t="str">
        <f t="shared" si="5"/>
        <v>Urussanga, SC</v>
      </c>
      <c r="D372" s="271">
        <v>-28.53</v>
      </c>
      <c r="E372" s="251">
        <v>48</v>
      </c>
      <c r="F372" s="272">
        <v>22.638844089999999</v>
      </c>
      <c r="G372" s="272">
        <v>23.80833333</v>
      </c>
      <c r="H372" s="272">
        <v>23.33575269</v>
      </c>
      <c r="I372" s="272">
        <v>20.525138890000001</v>
      </c>
      <c r="J372" s="272">
        <v>17.785080650000001</v>
      </c>
      <c r="K372" s="272">
        <v>14.00111111</v>
      </c>
      <c r="L372" s="272">
        <v>13.449731180000001</v>
      </c>
      <c r="M372" s="272">
        <v>16.660618280000001</v>
      </c>
      <c r="N372" s="272">
        <v>17.35347222</v>
      </c>
      <c r="O372" s="272">
        <v>18.91276882</v>
      </c>
      <c r="P372" s="272">
        <v>23.87805556</v>
      </c>
      <c r="Q372" s="272">
        <v>23.704569889999998</v>
      </c>
      <c r="R372" s="272">
        <v>19.671123059166664</v>
      </c>
      <c r="S372" s="267">
        <f>SUMIFS(Aux_Lista!AD:AD,Aux_Lista!AB:AB,Aux_TBS!B372,Aux_Lista!AC:AC,Aux_TBS!A372)</f>
        <v>2</v>
      </c>
      <c r="T372" s="267" t="s">
        <v>6018</v>
      </c>
      <c r="U372" s="267">
        <v>40</v>
      </c>
    </row>
    <row r="373" spans="1:21" x14ac:dyDescent="0.25">
      <c r="A373" s="270" t="s">
        <v>1119</v>
      </c>
      <c r="B373" s="251" t="s">
        <v>27</v>
      </c>
      <c r="C373" s="267" t="str">
        <f t="shared" si="5"/>
        <v>Xanxerê, SC</v>
      </c>
      <c r="D373" s="271">
        <v>-26.94</v>
      </c>
      <c r="E373" s="251">
        <v>889</v>
      </c>
      <c r="F373" s="272">
        <v>20.251747309999999</v>
      </c>
      <c r="G373" s="272">
        <v>21.910565479999999</v>
      </c>
      <c r="H373" s="272">
        <v>21.115456989999998</v>
      </c>
      <c r="I373" s="272">
        <v>17.555972220000001</v>
      </c>
      <c r="J373" s="272">
        <v>15.32526882</v>
      </c>
      <c r="K373" s="272">
        <v>13.57680556</v>
      </c>
      <c r="L373" s="272">
        <v>17.378897850000001</v>
      </c>
      <c r="M373" s="272">
        <v>16.149999999999999</v>
      </c>
      <c r="N373" s="272">
        <v>14.58708333</v>
      </c>
      <c r="O373" s="272">
        <v>17.988978490000001</v>
      </c>
      <c r="P373" s="272">
        <v>19.56930556</v>
      </c>
      <c r="Q373" s="272">
        <v>21.222849459999999</v>
      </c>
      <c r="R373" s="272">
        <v>18.052744255833336</v>
      </c>
      <c r="S373" s="267">
        <f>SUMIFS(Aux_Lista!AD:AD,Aux_Lista!AB:AB,Aux_TBS!B373,Aux_Lista!AC:AC,Aux_TBS!A373)</f>
        <v>2</v>
      </c>
      <c r="T373" s="267" t="s">
        <v>6018</v>
      </c>
      <c r="U373" s="267">
        <v>40</v>
      </c>
    </row>
    <row r="374" spans="1:21" x14ac:dyDescent="0.25">
      <c r="A374" s="270" t="s">
        <v>4839</v>
      </c>
      <c r="B374" s="251" t="s">
        <v>56</v>
      </c>
      <c r="C374" s="267" t="str">
        <f t="shared" si="5"/>
        <v>Aracaju, SE</v>
      </c>
      <c r="D374" s="271">
        <v>-10.91</v>
      </c>
      <c r="E374" s="251">
        <v>5</v>
      </c>
      <c r="F374" s="272">
        <v>27.453494620000001</v>
      </c>
      <c r="G374" s="272">
        <v>27.999255949999998</v>
      </c>
      <c r="H374" s="272">
        <v>27.859543009999999</v>
      </c>
      <c r="I374" s="272">
        <v>27.878472219999999</v>
      </c>
      <c r="J374" s="272">
        <v>26.48091398</v>
      </c>
      <c r="K374" s="272">
        <v>25.58736111</v>
      </c>
      <c r="L374" s="272">
        <v>25.00241935</v>
      </c>
      <c r="M374" s="272">
        <v>24.90900538</v>
      </c>
      <c r="N374" s="272">
        <v>25.59791667</v>
      </c>
      <c r="O374" s="272">
        <v>26.041935479999999</v>
      </c>
      <c r="P374" s="272">
        <v>26.399583329999999</v>
      </c>
      <c r="Q374" s="272">
        <v>27.260080649999999</v>
      </c>
      <c r="R374" s="272">
        <v>26.539165145833334</v>
      </c>
      <c r="S374" s="267">
        <f>SUMIFS(Aux_Lista!AD:AD,Aux_Lista!AB:AB,Aux_TBS!B374,Aux_Lista!AC:AC,Aux_TBS!A374)</f>
        <v>8</v>
      </c>
      <c r="T374" s="267" t="s">
        <v>6015</v>
      </c>
      <c r="U374" s="267">
        <v>38</v>
      </c>
    </row>
    <row r="375" spans="1:21" x14ac:dyDescent="0.25">
      <c r="A375" s="270" t="s">
        <v>4850</v>
      </c>
      <c r="B375" s="251" t="s">
        <v>56</v>
      </c>
      <c r="C375" s="267" t="str">
        <f t="shared" si="5"/>
        <v>Brejo Grande, SE</v>
      </c>
      <c r="D375" s="271">
        <v>-10.47</v>
      </c>
      <c r="E375" s="251">
        <v>10</v>
      </c>
      <c r="F375" s="272">
        <v>27.379569889999999</v>
      </c>
      <c r="G375" s="272">
        <v>27.254017860000001</v>
      </c>
      <c r="H375" s="272">
        <v>27.47956989</v>
      </c>
      <c r="I375" s="272">
        <v>27.236944439999998</v>
      </c>
      <c r="J375" s="272">
        <v>25.716532260000001</v>
      </c>
      <c r="K375" s="272">
        <v>25.447916670000001</v>
      </c>
      <c r="L375" s="272">
        <v>24.707392469999998</v>
      </c>
      <c r="M375" s="272">
        <v>24.754032259999999</v>
      </c>
      <c r="N375" s="272">
        <v>25.303055560000001</v>
      </c>
      <c r="O375" s="272">
        <v>26.362231179999998</v>
      </c>
      <c r="P375" s="272">
        <v>26.877500000000001</v>
      </c>
      <c r="Q375" s="272">
        <v>27.268010749999998</v>
      </c>
      <c r="R375" s="272">
        <v>26.315564435833334</v>
      </c>
      <c r="S375" s="267">
        <f>SUMIFS(Aux_Lista!AD:AD,Aux_Lista!AB:AB,Aux_TBS!B375,Aux_Lista!AC:AC,Aux_TBS!A375)</f>
        <v>8</v>
      </c>
      <c r="T375" s="267" t="s">
        <v>6015</v>
      </c>
      <c r="U375" s="267">
        <v>38</v>
      </c>
    </row>
    <row r="376" spans="1:21" x14ac:dyDescent="0.25">
      <c r="A376" s="270" t="s">
        <v>3314</v>
      </c>
      <c r="B376" s="251" t="s">
        <v>56</v>
      </c>
      <c r="C376" s="267" t="str">
        <f t="shared" si="5"/>
        <v>Carira, SE</v>
      </c>
      <c r="D376" s="271">
        <v>-10.4</v>
      </c>
      <c r="E376" s="251">
        <v>308</v>
      </c>
      <c r="F376" s="272">
        <v>26.264112900000001</v>
      </c>
      <c r="G376" s="272">
        <v>26.028869050000001</v>
      </c>
      <c r="H376" s="272">
        <v>26.543010750000001</v>
      </c>
      <c r="I376" s="272">
        <v>24.981111110000001</v>
      </c>
      <c r="J376" s="272">
        <v>23.1202957</v>
      </c>
      <c r="K376" s="272">
        <v>21.734999999999999</v>
      </c>
      <c r="L376" s="272">
        <v>20.768413979999998</v>
      </c>
      <c r="M376" s="272">
        <v>21.382123660000001</v>
      </c>
      <c r="N376" s="272">
        <v>22.749166670000001</v>
      </c>
      <c r="O376" s="272">
        <v>24.27836022</v>
      </c>
      <c r="P376" s="272">
        <v>26.18041667</v>
      </c>
      <c r="Q376" s="272">
        <v>26.244758059999999</v>
      </c>
      <c r="R376" s="272">
        <v>24.189636564166662</v>
      </c>
      <c r="S376" s="267">
        <f>SUMIFS(Aux_Lista!AD:AD,Aux_Lista!AB:AB,Aux_TBS!B376,Aux_Lista!AC:AC,Aux_TBS!A376)</f>
        <v>8</v>
      </c>
      <c r="T376" s="267" t="s">
        <v>6015</v>
      </c>
      <c r="U376" s="267">
        <v>38</v>
      </c>
    </row>
    <row r="377" spans="1:21" x14ac:dyDescent="0.25">
      <c r="A377" s="270" t="s">
        <v>4948</v>
      </c>
      <c r="B377" s="251" t="s">
        <v>56</v>
      </c>
      <c r="C377" s="267" t="str">
        <f t="shared" si="5"/>
        <v>Itabaianinha, SE</v>
      </c>
      <c r="D377" s="271">
        <v>-11.27</v>
      </c>
      <c r="E377" s="251">
        <v>208</v>
      </c>
      <c r="F377" s="272">
        <v>26.658333330000001</v>
      </c>
      <c r="G377" s="272">
        <v>26.07633929</v>
      </c>
      <c r="H377" s="272">
        <v>26.622446239999999</v>
      </c>
      <c r="I377" s="272">
        <v>25.17958333</v>
      </c>
      <c r="J377" s="272">
        <v>24.837365590000001</v>
      </c>
      <c r="K377" s="272">
        <v>22.789305559999999</v>
      </c>
      <c r="L377" s="272">
        <v>22.217069890000001</v>
      </c>
      <c r="M377" s="272">
        <v>21.806586020000001</v>
      </c>
      <c r="N377" s="272">
        <v>22.530694440000001</v>
      </c>
      <c r="O377" s="272">
        <v>24.90524194</v>
      </c>
      <c r="P377" s="272">
        <v>25.45444444</v>
      </c>
      <c r="Q377" s="272">
        <v>26.222849459999999</v>
      </c>
      <c r="R377" s="272">
        <v>24.608354960833335</v>
      </c>
      <c r="S377" s="267">
        <f>SUMIFS(Aux_Lista!AD:AD,Aux_Lista!AB:AB,Aux_TBS!B377,Aux_Lista!AC:AC,Aux_TBS!A377)</f>
        <v>8</v>
      </c>
      <c r="T377" s="267" t="s">
        <v>6015</v>
      </c>
      <c r="U377" s="267">
        <v>38</v>
      </c>
    </row>
    <row r="378" spans="1:21" x14ac:dyDescent="0.25">
      <c r="A378" s="270" t="s">
        <v>3302</v>
      </c>
      <c r="B378" s="251" t="s">
        <v>56</v>
      </c>
      <c r="C378" s="267" t="str">
        <f t="shared" si="5"/>
        <v>Poço Verde, SE</v>
      </c>
      <c r="D378" s="271">
        <v>-10.74</v>
      </c>
      <c r="E378" s="251">
        <v>362</v>
      </c>
      <c r="F378" s="272">
        <v>26.189516130000001</v>
      </c>
      <c r="G378" s="272">
        <v>26.12827381</v>
      </c>
      <c r="H378" s="272">
        <v>26.458602150000001</v>
      </c>
      <c r="I378" s="272">
        <v>24.99472222</v>
      </c>
      <c r="J378" s="272">
        <v>22.827822579999999</v>
      </c>
      <c r="K378" s="272">
        <v>21.450416669999999</v>
      </c>
      <c r="L378" s="272">
        <v>20.44596774</v>
      </c>
      <c r="M378" s="272">
        <v>21.146639780000001</v>
      </c>
      <c r="N378" s="272">
        <v>22.768194439999998</v>
      </c>
      <c r="O378" s="272">
        <v>24.126612900000001</v>
      </c>
      <c r="P378" s="272">
        <v>25.79972222</v>
      </c>
      <c r="Q378" s="272">
        <v>25.92069892</v>
      </c>
      <c r="R378" s="272">
        <v>24.02143246333333</v>
      </c>
      <c r="S378" s="267">
        <f>SUMIFS(Aux_Lista!AD:AD,Aux_Lista!AB:AB,Aux_TBS!B378,Aux_Lista!AC:AC,Aux_TBS!A378)</f>
        <v>8</v>
      </c>
      <c r="T378" s="267" t="s">
        <v>6015</v>
      </c>
      <c r="U378" s="267">
        <v>38</v>
      </c>
    </row>
    <row r="379" spans="1:21" x14ac:dyDescent="0.25">
      <c r="A379" s="270" t="s">
        <v>3743</v>
      </c>
      <c r="B379" s="251" t="s">
        <v>233</v>
      </c>
      <c r="C379" s="267" t="str">
        <f t="shared" si="5"/>
        <v>Ariranha, SP</v>
      </c>
      <c r="D379" s="271">
        <v>-21.13</v>
      </c>
      <c r="E379" s="251">
        <v>525</v>
      </c>
      <c r="F379" s="272">
        <v>23.674596770000001</v>
      </c>
      <c r="G379" s="272">
        <v>23.997619050000001</v>
      </c>
      <c r="H379" s="272">
        <v>23.19314516</v>
      </c>
      <c r="I379" s="272">
        <v>22.33777778</v>
      </c>
      <c r="J379" s="272">
        <v>18.7188172</v>
      </c>
      <c r="K379" s="272">
        <v>19.06319444</v>
      </c>
      <c r="L379" s="272">
        <v>19.03172043</v>
      </c>
      <c r="M379" s="272">
        <v>21.546370970000002</v>
      </c>
      <c r="N379" s="272">
        <v>21.319166670000001</v>
      </c>
      <c r="O379" s="272">
        <v>24.641935480000001</v>
      </c>
      <c r="P379" s="272">
        <v>24.666666670000001</v>
      </c>
      <c r="Q379" s="272">
        <v>24.187634410000001</v>
      </c>
      <c r="R379" s="272">
        <v>22.19822041916667</v>
      </c>
      <c r="S379" s="267">
        <f>SUMIFS(Aux_Lista!AD:AD,Aux_Lista!AB:AB,Aux_TBS!B379,Aux_Lista!AC:AC,Aux_TBS!A379)</f>
        <v>6</v>
      </c>
      <c r="T379" s="267" t="s">
        <v>6017</v>
      </c>
      <c r="U379" s="267">
        <v>40</v>
      </c>
    </row>
    <row r="380" spans="1:21" x14ac:dyDescent="0.25">
      <c r="A380" s="270" t="s">
        <v>529</v>
      </c>
      <c r="B380" s="251" t="s">
        <v>233</v>
      </c>
      <c r="C380" s="267" t="str">
        <f t="shared" si="5"/>
        <v>Avaré, SP</v>
      </c>
      <c r="D380" s="271">
        <v>-23.1</v>
      </c>
      <c r="E380" s="251">
        <v>654</v>
      </c>
      <c r="F380" s="272">
        <v>21.412231179999999</v>
      </c>
      <c r="G380" s="272">
        <v>22.2046131</v>
      </c>
      <c r="H380" s="272">
        <v>21.693682800000001</v>
      </c>
      <c r="I380" s="272">
        <v>19.872083329999999</v>
      </c>
      <c r="J380" s="272">
        <v>16.51491935</v>
      </c>
      <c r="K380" s="272">
        <v>16.62277778</v>
      </c>
      <c r="L380" s="272">
        <v>17.295161289999999</v>
      </c>
      <c r="M380" s="272">
        <v>18.436827959999999</v>
      </c>
      <c r="N380" s="272">
        <v>17.686527779999999</v>
      </c>
      <c r="O380" s="272">
        <v>20.81155914</v>
      </c>
      <c r="P380" s="272">
        <v>20.770138889999998</v>
      </c>
      <c r="Q380" s="272">
        <v>21.94637097</v>
      </c>
      <c r="R380" s="272">
        <v>19.605574464166668</v>
      </c>
      <c r="S380" s="267">
        <f>SUMIFS(Aux_Lista!AD:AD,Aux_Lista!AB:AB,Aux_TBS!B380,Aux_Lista!AC:AC,Aux_TBS!A380)</f>
        <v>3</v>
      </c>
      <c r="T380" s="267" t="s">
        <v>6017</v>
      </c>
      <c r="U380" s="267">
        <v>40</v>
      </c>
    </row>
    <row r="381" spans="1:21" x14ac:dyDescent="0.25">
      <c r="A381" s="270" t="s">
        <v>2573</v>
      </c>
      <c r="B381" s="251" t="s">
        <v>233</v>
      </c>
      <c r="C381" s="267" t="str">
        <f t="shared" si="5"/>
        <v>Bauru, SP</v>
      </c>
      <c r="D381" s="271">
        <v>-22.32</v>
      </c>
      <c r="E381" s="251">
        <v>550</v>
      </c>
      <c r="F381" s="272">
        <v>22.0891129</v>
      </c>
      <c r="G381" s="272">
        <v>23.01979167</v>
      </c>
      <c r="H381" s="272">
        <v>22.5094086</v>
      </c>
      <c r="I381" s="272">
        <v>21.072083330000002</v>
      </c>
      <c r="J381" s="272">
        <v>17.828629029999998</v>
      </c>
      <c r="K381" s="272">
        <v>17.913611110000002</v>
      </c>
      <c r="L381" s="272">
        <v>18.398655909999999</v>
      </c>
      <c r="M381" s="272">
        <v>20</v>
      </c>
      <c r="N381" s="272">
        <v>19.574027780000002</v>
      </c>
      <c r="O381" s="272">
        <v>22.391263439999999</v>
      </c>
      <c r="P381" s="272">
        <v>22.353333330000002</v>
      </c>
      <c r="Q381" s="272">
        <v>23.075403229999999</v>
      </c>
      <c r="R381" s="272">
        <v>20.8521100275</v>
      </c>
      <c r="S381" s="267">
        <f>SUMIFS(Aux_Lista!AD:AD,Aux_Lista!AB:AB,Aux_TBS!B381,Aux_Lista!AC:AC,Aux_TBS!A381)</f>
        <v>4</v>
      </c>
      <c r="T381" s="267" t="s">
        <v>6017</v>
      </c>
      <c r="U381" s="267">
        <v>40</v>
      </c>
    </row>
    <row r="382" spans="1:21" x14ac:dyDescent="0.25">
      <c r="A382" s="270" t="s">
        <v>3476</v>
      </c>
      <c r="B382" s="251" t="s">
        <v>233</v>
      </c>
      <c r="C382" s="267" t="str">
        <f t="shared" si="5"/>
        <v>Campinas, SP</v>
      </c>
      <c r="D382" s="271">
        <v>-22.82</v>
      </c>
      <c r="E382" s="251">
        <v>640</v>
      </c>
      <c r="F382" s="272">
        <v>22.1563172</v>
      </c>
      <c r="G382" s="272">
        <v>21.356994050000001</v>
      </c>
      <c r="H382" s="272">
        <v>23.762096769999999</v>
      </c>
      <c r="I382" s="272">
        <v>23.853055560000001</v>
      </c>
      <c r="J382" s="272">
        <v>20.10026882</v>
      </c>
      <c r="K382" s="272">
        <v>20.135416670000001</v>
      </c>
      <c r="L382" s="272">
        <v>18.11465054</v>
      </c>
      <c r="M382" s="272">
        <v>21.817338710000001</v>
      </c>
      <c r="N382" s="272">
        <v>20.802499999999998</v>
      </c>
      <c r="O382" s="272">
        <v>25.406854840000001</v>
      </c>
      <c r="P382" s="272">
        <v>22.9025</v>
      </c>
      <c r="Q382" s="272">
        <v>23.995430110000001</v>
      </c>
      <c r="R382" s="272">
        <v>22.033618605833336</v>
      </c>
      <c r="S382" s="267">
        <f>SUMIFS(Aux_Lista!AD:AD,Aux_Lista!AB:AB,Aux_TBS!B382,Aux_Lista!AC:AC,Aux_TBS!A382)</f>
        <v>3</v>
      </c>
      <c r="T382" s="267" t="s">
        <v>6017</v>
      </c>
      <c r="U382" s="267">
        <v>40</v>
      </c>
    </row>
    <row r="383" spans="1:21" x14ac:dyDescent="0.25">
      <c r="A383" s="270" t="s">
        <v>532</v>
      </c>
      <c r="B383" s="251" t="s">
        <v>233</v>
      </c>
      <c r="C383" s="267" t="str">
        <f t="shared" si="5"/>
        <v>Campos do Jordão, SP</v>
      </c>
      <c r="D383" s="271">
        <v>-22.74</v>
      </c>
      <c r="E383" s="251">
        <v>1642</v>
      </c>
      <c r="F383" s="272">
        <v>18.097715050000001</v>
      </c>
      <c r="G383" s="272">
        <v>17.979017859999999</v>
      </c>
      <c r="H383" s="272">
        <v>17.057661289999999</v>
      </c>
      <c r="I383" s="272">
        <v>16.140694440000001</v>
      </c>
      <c r="J383" s="272">
        <v>13.21290323</v>
      </c>
      <c r="K383" s="272">
        <v>12.58680556</v>
      </c>
      <c r="L383" s="272">
        <v>11.732392470000001</v>
      </c>
      <c r="M383" s="272">
        <v>14.081048389999999</v>
      </c>
      <c r="N383" s="272">
        <v>13.483888889999999</v>
      </c>
      <c r="O383" s="272">
        <v>16.96075269</v>
      </c>
      <c r="P383" s="272">
        <v>15.86430556</v>
      </c>
      <c r="Q383" s="272">
        <v>16.71075269</v>
      </c>
      <c r="R383" s="272">
        <v>15.325661509999998</v>
      </c>
      <c r="S383" s="267">
        <f>SUMIFS(Aux_Lista!AD:AD,Aux_Lista!AB:AB,Aux_TBS!B383,Aux_Lista!AC:AC,Aux_TBS!A383)</f>
        <v>1</v>
      </c>
      <c r="T383" s="267" t="s">
        <v>6017</v>
      </c>
      <c r="U383" s="267">
        <v>40</v>
      </c>
    </row>
    <row r="384" spans="1:21" x14ac:dyDescent="0.25">
      <c r="A384" s="270" t="s">
        <v>2128</v>
      </c>
      <c r="B384" s="251" t="s">
        <v>233</v>
      </c>
      <c r="C384" s="267" t="str">
        <f t="shared" si="5"/>
        <v>Casa Branca, SP</v>
      </c>
      <c r="D384" s="271">
        <v>-21.77</v>
      </c>
      <c r="E384" s="251">
        <v>730</v>
      </c>
      <c r="F384" s="272">
        <v>22.878360220000001</v>
      </c>
      <c r="G384" s="272">
        <v>23.202976190000001</v>
      </c>
      <c r="H384" s="272">
        <v>22.515456990000001</v>
      </c>
      <c r="I384" s="272">
        <v>21.406111110000001</v>
      </c>
      <c r="J384" s="272">
        <v>18.640725809999999</v>
      </c>
      <c r="K384" s="272">
        <v>18.787500000000001</v>
      </c>
      <c r="L384" s="272">
        <v>19.004973119999999</v>
      </c>
      <c r="M384" s="272">
        <v>21.154569890000001</v>
      </c>
      <c r="N384" s="272">
        <v>20.672361110000001</v>
      </c>
      <c r="O384" s="272">
        <v>23.24153226</v>
      </c>
      <c r="P384" s="272">
        <v>22.616527779999998</v>
      </c>
      <c r="Q384" s="272">
        <v>22.586827960000001</v>
      </c>
      <c r="R384" s="272">
        <v>21.392326870000002</v>
      </c>
      <c r="S384" s="267">
        <f>SUMIFS(Aux_Lista!AD:AD,Aux_Lista!AB:AB,Aux_TBS!B384,Aux_Lista!AC:AC,Aux_TBS!A384)</f>
        <v>4</v>
      </c>
      <c r="T384" s="267" t="s">
        <v>6017</v>
      </c>
      <c r="U384" s="267">
        <v>40</v>
      </c>
    </row>
    <row r="385" spans="1:21" x14ac:dyDescent="0.25">
      <c r="A385" s="270" t="s">
        <v>2008</v>
      </c>
      <c r="B385" s="251" t="s">
        <v>233</v>
      </c>
      <c r="C385" s="267" t="str">
        <f t="shared" si="5"/>
        <v>Franca, SP</v>
      </c>
      <c r="D385" s="271">
        <v>-20.54</v>
      </c>
      <c r="E385" s="251">
        <v>1026</v>
      </c>
      <c r="F385" s="272">
        <v>21.558467740000001</v>
      </c>
      <c r="G385" s="272">
        <v>21.884970240000001</v>
      </c>
      <c r="H385" s="272">
        <v>21.610752690000002</v>
      </c>
      <c r="I385" s="272">
        <v>21.17472222</v>
      </c>
      <c r="J385" s="272">
        <v>18.583602150000001</v>
      </c>
      <c r="K385" s="272">
        <v>19.038611110000002</v>
      </c>
      <c r="L385" s="272">
        <v>18.97069892</v>
      </c>
      <c r="M385" s="272">
        <v>21.20241935</v>
      </c>
      <c r="N385" s="272">
        <v>21.14805556</v>
      </c>
      <c r="O385" s="272">
        <v>22.92163978</v>
      </c>
      <c r="P385" s="272">
        <v>21.910833329999999</v>
      </c>
      <c r="Q385" s="272">
        <v>21.614784950000001</v>
      </c>
      <c r="R385" s="272">
        <v>20.968296503333331</v>
      </c>
      <c r="S385" s="267">
        <f>SUMIFS(Aux_Lista!AD:AD,Aux_Lista!AB:AB,Aux_TBS!B385,Aux_Lista!AC:AC,Aux_TBS!A385)</f>
        <v>4</v>
      </c>
      <c r="T385" s="267" t="s">
        <v>6017</v>
      </c>
      <c r="U385" s="267">
        <v>40</v>
      </c>
    </row>
    <row r="386" spans="1:21" x14ac:dyDescent="0.25">
      <c r="A386" s="270" t="s">
        <v>3672</v>
      </c>
      <c r="B386" s="251" t="s">
        <v>233</v>
      </c>
      <c r="C386" s="267" t="str">
        <f t="shared" si="5"/>
        <v>Ibitinga, SP</v>
      </c>
      <c r="D386" s="271">
        <v>-21.86</v>
      </c>
      <c r="E386" s="251">
        <v>492</v>
      </c>
      <c r="F386" s="272">
        <v>23.360349459999998</v>
      </c>
      <c r="G386" s="272">
        <v>24.12827381</v>
      </c>
      <c r="H386" s="272">
        <v>23.388037629999999</v>
      </c>
      <c r="I386" s="272">
        <v>22.157222220000001</v>
      </c>
      <c r="J386" s="272">
        <v>18.668010750000001</v>
      </c>
      <c r="K386" s="272">
        <v>18.872083329999999</v>
      </c>
      <c r="L386" s="272">
        <v>18.97956989</v>
      </c>
      <c r="M386" s="272">
        <v>21.23602151</v>
      </c>
      <c r="N386" s="272">
        <v>20.83472222</v>
      </c>
      <c r="O386" s="272">
        <v>23.875134410000001</v>
      </c>
      <c r="P386" s="272">
        <v>23.671111109999998</v>
      </c>
      <c r="Q386" s="272">
        <v>23.933870970000001</v>
      </c>
      <c r="R386" s="272">
        <v>21.925367275833334</v>
      </c>
      <c r="S386" s="267">
        <f>SUMIFS(Aux_Lista!AD:AD,Aux_Lista!AB:AB,Aux_TBS!B386,Aux_Lista!AC:AC,Aux_TBS!A386)</f>
        <v>3</v>
      </c>
      <c r="T386" s="267" t="s">
        <v>6017</v>
      </c>
      <c r="U386" s="267">
        <v>40</v>
      </c>
    </row>
    <row r="387" spans="1:21" x14ac:dyDescent="0.25">
      <c r="A387" s="270" t="s">
        <v>3268</v>
      </c>
      <c r="B387" s="251" t="s">
        <v>233</v>
      </c>
      <c r="C387" s="267" t="str">
        <f t="shared" ref="C387:C413" si="6">CONCATENATE(A387,", ",B387)</f>
        <v>Iguape, SP</v>
      </c>
      <c r="D387" s="271">
        <v>-24.71</v>
      </c>
      <c r="E387" s="251">
        <v>3</v>
      </c>
      <c r="F387" s="272">
        <v>24.273924730000001</v>
      </c>
      <c r="G387" s="272">
        <v>25.117708329999999</v>
      </c>
      <c r="H387" s="272">
        <v>24.781451610000001</v>
      </c>
      <c r="I387" s="272">
        <v>22.21875</v>
      </c>
      <c r="J387" s="272">
        <v>20.335215049999999</v>
      </c>
      <c r="K387" s="272">
        <v>16.250138889999999</v>
      </c>
      <c r="L387" s="272">
        <v>17.49865591</v>
      </c>
      <c r="M387" s="272">
        <v>18.807661289999999</v>
      </c>
      <c r="N387" s="272">
        <v>18.68041667</v>
      </c>
      <c r="O387" s="272">
        <v>21.178360219999998</v>
      </c>
      <c r="P387" s="272">
        <v>21.931805560000001</v>
      </c>
      <c r="Q387" s="272">
        <v>22.38293011</v>
      </c>
      <c r="R387" s="272">
        <v>21.121418197499999</v>
      </c>
      <c r="S387" s="267">
        <f>SUMIFS(Aux_Lista!AD:AD,Aux_Lista!AB:AB,Aux_TBS!B387,Aux_Lista!AC:AC,Aux_TBS!A387)</f>
        <v>5</v>
      </c>
      <c r="T387" s="267" t="s">
        <v>6017</v>
      </c>
      <c r="U387" s="267">
        <v>40</v>
      </c>
    </row>
    <row r="388" spans="1:21" x14ac:dyDescent="0.25">
      <c r="A388" s="270" t="s">
        <v>536</v>
      </c>
      <c r="B388" s="251" t="s">
        <v>233</v>
      </c>
      <c r="C388" s="267" t="str">
        <f t="shared" si="6"/>
        <v>Itapeva, SP</v>
      </c>
      <c r="D388" s="271">
        <v>-23.98</v>
      </c>
      <c r="E388" s="251">
        <v>707</v>
      </c>
      <c r="F388" s="272">
        <v>21.005376340000002</v>
      </c>
      <c r="G388" s="272">
        <v>22.008928569999998</v>
      </c>
      <c r="H388" s="272">
        <v>21.46639785</v>
      </c>
      <c r="I388" s="272">
        <v>19.621527780000001</v>
      </c>
      <c r="J388" s="272">
        <v>16.53494624</v>
      </c>
      <c r="K388" s="272">
        <v>16.042361110000002</v>
      </c>
      <c r="L388" s="272">
        <v>17.01491935</v>
      </c>
      <c r="M388" s="272">
        <v>17.62553763</v>
      </c>
      <c r="N388" s="272">
        <v>17.11597222</v>
      </c>
      <c r="O388" s="272">
        <v>19.71451613</v>
      </c>
      <c r="P388" s="272">
        <v>20.077361109999998</v>
      </c>
      <c r="Q388" s="272">
        <v>21.238978490000001</v>
      </c>
      <c r="R388" s="272">
        <v>19.122235234999998</v>
      </c>
      <c r="S388" s="267">
        <f>SUMIFS(Aux_Lista!AD:AD,Aux_Lista!AB:AB,Aux_TBS!B388,Aux_Lista!AC:AC,Aux_TBS!A388)</f>
        <v>2</v>
      </c>
      <c r="T388" s="267" t="s">
        <v>6017</v>
      </c>
      <c r="U388" s="267">
        <v>40</v>
      </c>
    </row>
    <row r="389" spans="1:21" x14ac:dyDescent="0.25">
      <c r="A389" s="270" t="s">
        <v>3337</v>
      </c>
      <c r="B389" s="251" t="s">
        <v>233</v>
      </c>
      <c r="C389" s="267" t="str">
        <f t="shared" si="6"/>
        <v>Itapira, SP</v>
      </c>
      <c r="D389" s="271">
        <v>-22.42</v>
      </c>
      <c r="E389" s="251">
        <v>633</v>
      </c>
      <c r="F389" s="272">
        <v>23.036021510000001</v>
      </c>
      <c r="G389" s="272">
        <v>23.522916670000001</v>
      </c>
      <c r="H389" s="272">
        <v>22.574462369999999</v>
      </c>
      <c r="I389" s="272">
        <v>21.599305560000001</v>
      </c>
      <c r="J389" s="272">
        <v>18.138037629999999</v>
      </c>
      <c r="K389" s="272">
        <v>18.388750000000002</v>
      </c>
      <c r="L389" s="272">
        <v>17.554435479999999</v>
      </c>
      <c r="M389" s="272">
        <v>20.41518817</v>
      </c>
      <c r="N389" s="272">
        <v>20.099861109999999</v>
      </c>
      <c r="O389" s="272">
        <v>23.4688172</v>
      </c>
      <c r="P389" s="272">
        <v>22.857500000000002</v>
      </c>
      <c r="Q389" s="272">
        <v>23.190994620000001</v>
      </c>
      <c r="R389" s="272">
        <v>21.237190860000002</v>
      </c>
      <c r="S389" s="267">
        <f>SUMIFS(Aux_Lista!AD:AD,Aux_Lista!AB:AB,Aux_TBS!B389,Aux_Lista!AC:AC,Aux_TBS!A389)</f>
        <v>3</v>
      </c>
      <c r="T389" s="267" t="s">
        <v>6017</v>
      </c>
      <c r="U389" s="267">
        <v>40</v>
      </c>
    </row>
    <row r="390" spans="1:21" x14ac:dyDescent="0.25">
      <c r="A390" s="270" t="s">
        <v>3755</v>
      </c>
      <c r="B390" s="251" t="s">
        <v>233</v>
      </c>
      <c r="C390" s="267" t="str">
        <f t="shared" si="6"/>
        <v>Ituverava, SP</v>
      </c>
      <c r="D390" s="271">
        <v>-20.36</v>
      </c>
      <c r="E390" s="251">
        <v>600</v>
      </c>
      <c r="F390" s="272">
        <v>24.168145160000002</v>
      </c>
      <c r="G390" s="272">
        <v>24.544047620000001</v>
      </c>
      <c r="H390" s="272">
        <v>23.924327959999999</v>
      </c>
      <c r="I390" s="272">
        <v>21.713055560000001</v>
      </c>
      <c r="J390" s="272">
        <v>19.307258059999999</v>
      </c>
      <c r="K390" s="272">
        <v>17.91444444</v>
      </c>
      <c r="L390" s="272">
        <v>20.172849459999998</v>
      </c>
      <c r="M390" s="272">
        <v>20.482526880000002</v>
      </c>
      <c r="N390" s="272">
        <v>23.96833333</v>
      </c>
      <c r="O390" s="272">
        <v>23.479166670000001</v>
      </c>
      <c r="P390" s="272">
        <v>23.307777779999999</v>
      </c>
      <c r="Q390" s="272">
        <v>24.464381719999999</v>
      </c>
      <c r="R390" s="272">
        <v>22.28719288666667</v>
      </c>
      <c r="S390" s="267">
        <f>SUMIFS(Aux_Lista!AD:AD,Aux_Lista!AB:AB,Aux_TBS!B390,Aux_Lista!AC:AC,Aux_TBS!A390)</f>
        <v>4</v>
      </c>
      <c r="T390" s="267" t="s">
        <v>6017</v>
      </c>
      <c r="U390" s="267">
        <v>40</v>
      </c>
    </row>
    <row r="391" spans="1:21" x14ac:dyDescent="0.25">
      <c r="A391" s="270" t="s">
        <v>2171</v>
      </c>
      <c r="B391" s="251" t="s">
        <v>233</v>
      </c>
      <c r="C391" s="267" t="str">
        <f t="shared" si="6"/>
        <v>Jales, SP</v>
      </c>
      <c r="D391" s="271">
        <v>-20.27</v>
      </c>
      <c r="E391" s="251">
        <v>457</v>
      </c>
      <c r="F391" s="272">
        <v>24.62405914</v>
      </c>
      <c r="G391" s="272">
        <v>24.66592262</v>
      </c>
      <c r="H391" s="272">
        <v>24.370967740000001</v>
      </c>
      <c r="I391" s="272">
        <v>23.911249999999999</v>
      </c>
      <c r="J391" s="272">
        <v>20.632123660000001</v>
      </c>
      <c r="K391" s="272">
        <v>21.208333329999999</v>
      </c>
      <c r="L391" s="272">
        <v>22.378360220000001</v>
      </c>
      <c r="M391" s="272">
        <v>24.174059140000001</v>
      </c>
      <c r="N391" s="272">
        <v>23.69013889</v>
      </c>
      <c r="O391" s="272">
        <v>26.15819892</v>
      </c>
      <c r="P391" s="272">
        <v>25.575972220000001</v>
      </c>
      <c r="Q391" s="272">
        <v>25.55174731</v>
      </c>
      <c r="R391" s="272">
        <v>23.911761099166664</v>
      </c>
      <c r="S391" s="267">
        <f>SUMIFS(Aux_Lista!AD:AD,Aux_Lista!AB:AB,Aux_TBS!B391,Aux_Lista!AC:AC,Aux_TBS!A391)</f>
        <v>6</v>
      </c>
      <c r="T391" s="267" t="s">
        <v>6017</v>
      </c>
      <c r="U391" s="267">
        <v>40</v>
      </c>
    </row>
    <row r="392" spans="1:21" x14ac:dyDescent="0.25">
      <c r="A392" s="270" t="s">
        <v>3675</v>
      </c>
      <c r="B392" s="251" t="s">
        <v>233</v>
      </c>
      <c r="C392" s="267" t="str">
        <f t="shared" si="6"/>
        <v>José Bonifácio, SP</v>
      </c>
      <c r="D392" s="271">
        <v>-21.1</v>
      </c>
      <c r="E392" s="251">
        <v>405</v>
      </c>
      <c r="F392" s="272">
        <v>24.290994619999999</v>
      </c>
      <c r="G392" s="272">
        <v>24.74255952</v>
      </c>
      <c r="H392" s="272">
        <v>24.03037634</v>
      </c>
      <c r="I392" s="272">
        <v>23.237361109999998</v>
      </c>
      <c r="J392" s="272">
        <v>19.21223118</v>
      </c>
      <c r="K392" s="272">
        <v>19.669861109999999</v>
      </c>
      <c r="L392" s="272">
        <v>19.96975806</v>
      </c>
      <c r="M392" s="272">
        <v>22.210887100000001</v>
      </c>
      <c r="N392" s="272">
        <v>21.96722222</v>
      </c>
      <c r="O392" s="272">
        <v>25.012365590000002</v>
      </c>
      <c r="P392" s="272">
        <v>25.398611110000001</v>
      </c>
      <c r="Q392" s="272">
        <v>25.40994624</v>
      </c>
      <c r="R392" s="272">
        <v>22.929347849999999</v>
      </c>
      <c r="S392" s="267">
        <f>SUMIFS(Aux_Lista!AD:AD,Aux_Lista!AB:AB,Aux_TBS!B392,Aux_Lista!AC:AC,Aux_TBS!A392)</f>
        <v>6</v>
      </c>
      <c r="T392" s="267" t="s">
        <v>6017</v>
      </c>
      <c r="U392" s="267">
        <v>40</v>
      </c>
    </row>
    <row r="393" spans="1:21" x14ac:dyDescent="0.25">
      <c r="A393" s="270" t="s">
        <v>2691</v>
      </c>
      <c r="B393" s="251" t="s">
        <v>233</v>
      </c>
      <c r="C393" s="267" t="str">
        <f t="shared" si="6"/>
        <v>Lins, SP</v>
      </c>
      <c r="D393" s="271">
        <v>-21.68</v>
      </c>
      <c r="E393" s="251">
        <v>459</v>
      </c>
      <c r="F393" s="272">
        <v>24.073655909999999</v>
      </c>
      <c r="G393" s="272">
        <v>24.7453869</v>
      </c>
      <c r="H393" s="272">
        <v>24.330107529999999</v>
      </c>
      <c r="I393" s="272">
        <v>22.929166670000001</v>
      </c>
      <c r="J393" s="272">
        <v>19.38064516</v>
      </c>
      <c r="K393" s="272">
        <v>19.738472219999998</v>
      </c>
      <c r="L393" s="272">
        <v>20.51357527</v>
      </c>
      <c r="M393" s="272">
        <v>22.109543009999999</v>
      </c>
      <c r="N393" s="272">
        <v>21.56</v>
      </c>
      <c r="O393" s="272">
        <v>24.663978490000002</v>
      </c>
      <c r="P393" s="272">
        <v>24.777638889999999</v>
      </c>
      <c r="Q393" s="272">
        <v>25.247043009999999</v>
      </c>
      <c r="R393" s="272">
        <v>22.839101088333337</v>
      </c>
      <c r="S393" s="267">
        <f>SUMIFS(Aux_Lista!AD:AD,Aux_Lista!AB:AB,Aux_TBS!B393,Aux_Lista!AC:AC,Aux_TBS!A393)</f>
        <v>3</v>
      </c>
      <c r="T393" s="267" t="s">
        <v>6017</v>
      </c>
      <c r="U393" s="267">
        <v>40</v>
      </c>
    </row>
    <row r="394" spans="1:21" x14ac:dyDescent="0.25">
      <c r="A394" s="270" t="s">
        <v>3336</v>
      </c>
      <c r="B394" s="251" t="s">
        <v>233</v>
      </c>
      <c r="C394" s="267" t="str">
        <f t="shared" si="6"/>
        <v>Ourinhos, SP</v>
      </c>
      <c r="D394" s="271">
        <v>-22.98</v>
      </c>
      <c r="E394" s="251">
        <v>448</v>
      </c>
      <c r="F394" s="272">
        <v>23.134139780000002</v>
      </c>
      <c r="G394" s="272">
        <v>23.67098214</v>
      </c>
      <c r="H394" s="272">
        <v>22.960483870000001</v>
      </c>
      <c r="I394" s="272">
        <v>21.213333330000001</v>
      </c>
      <c r="J394" s="272">
        <v>17.38897849</v>
      </c>
      <c r="K394" s="272">
        <v>17.05986111</v>
      </c>
      <c r="L394" s="272">
        <v>17.35819892</v>
      </c>
      <c r="M394" s="272">
        <v>19.169892470000001</v>
      </c>
      <c r="N394" s="272">
        <v>19.356111110000001</v>
      </c>
      <c r="O394" s="272">
        <v>22.589784949999999</v>
      </c>
      <c r="P394" s="272">
        <v>22.995416670000001</v>
      </c>
      <c r="Q394" s="272">
        <v>24.305645160000001</v>
      </c>
      <c r="R394" s="272">
        <v>20.933569000000002</v>
      </c>
      <c r="S394" s="267">
        <f>SUMIFS(Aux_Lista!AD:AD,Aux_Lista!AB:AB,Aux_TBS!B394,Aux_Lista!AC:AC,Aux_TBS!A394)</f>
        <v>3</v>
      </c>
      <c r="T394" s="267" t="s">
        <v>6017</v>
      </c>
      <c r="U394" s="267">
        <v>40</v>
      </c>
    </row>
    <row r="395" spans="1:21" x14ac:dyDescent="0.25">
      <c r="A395" s="270" t="s">
        <v>3347</v>
      </c>
      <c r="B395" s="251" t="s">
        <v>233</v>
      </c>
      <c r="C395" s="267" t="str">
        <f t="shared" si="6"/>
        <v>Piracicaba, SP</v>
      </c>
      <c r="D395" s="271">
        <v>-22.73</v>
      </c>
      <c r="E395" s="251">
        <v>573</v>
      </c>
      <c r="F395" s="272">
        <v>22.56478495</v>
      </c>
      <c r="G395" s="272">
        <v>23.431845240000001</v>
      </c>
      <c r="H395" s="272">
        <v>22.791801079999999</v>
      </c>
      <c r="I395" s="272">
        <v>21.314861109999999</v>
      </c>
      <c r="J395" s="272">
        <v>17.798790319999998</v>
      </c>
      <c r="K395" s="272">
        <v>17.966666669999999</v>
      </c>
      <c r="L395" s="272">
        <v>17.580913979999998</v>
      </c>
      <c r="M395" s="272">
        <v>19.858064519999999</v>
      </c>
      <c r="N395" s="272">
        <v>19.531388889999999</v>
      </c>
      <c r="O395" s="272">
        <v>22.693682800000001</v>
      </c>
      <c r="P395" s="272">
        <v>22.72666667</v>
      </c>
      <c r="Q395" s="272">
        <v>22.953763439999999</v>
      </c>
      <c r="R395" s="272">
        <v>20.934435805833331</v>
      </c>
      <c r="S395" s="267">
        <f>SUMIFS(Aux_Lista!AD:AD,Aux_Lista!AB:AB,Aux_TBS!B395,Aux_Lista!AC:AC,Aux_TBS!A395)</f>
        <v>2</v>
      </c>
      <c r="T395" s="267" t="s">
        <v>6017</v>
      </c>
      <c r="U395" s="267">
        <v>40</v>
      </c>
    </row>
    <row r="396" spans="1:21" x14ac:dyDescent="0.25">
      <c r="A396" s="270" t="s">
        <v>3249</v>
      </c>
      <c r="B396" s="251" t="s">
        <v>233</v>
      </c>
      <c r="C396" s="267" t="str">
        <f t="shared" si="6"/>
        <v>Presidente Prudente, SP</v>
      </c>
      <c r="D396" s="271">
        <v>-22.13</v>
      </c>
      <c r="E396" s="251">
        <v>436</v>
      </c>
      <c r="F396" s="272">
        <v>26.117741939999998</v>
      </c>
      <c r="G396" s="272">
        <v>25.14806548</v>
      </c>
      <c r="H396" s="272">
        <v>25.596236560000001</v>
      </c>
      <c r="I396" s="272">
        <v>23.606805560000002</v>
      </c>
      <c r="J396" s="272">
        <v>19.62688172</v>
      </c>
      <c r="K396" s="272">
        <v>20.668888890000002</v>
      </c>
      <c r="L396" s="272">
        <v>21.789784950000001</v>
      </c>
      <c r="M396" s="272">
        <v>23.694623660000001</v>
      </c>
      <c r="N396" s="272">
        <v>22.6525</v>
      </c>
      <c r="O396" s="272">
        <v>25.1469086</v>
      </c>
      <c r="P396" s="272">
        <v>25.619305560000001</v>
      </c>
      <c r="Q396" s="272">
        <v>25.731451610000001</v>
      </c>
      <c r="R396" s="272">
        <v>23.783266210833336</v>
      </c>
      <c r="S396" s="267">
        <f>SUMIFS(Aux_Lista!AD:AD,Aux_Lista!AB:AB,Aux_TBS!B396,Aux_Lista!AC:AC,Aux_TBS!A396)</f>
        <v>6</v>
      </c>
      <c r="T396" s="267" t="s">
        <v>6017</v>
      </c>
      <c r="U396" s="267">
        <v>40</v>
      </c>
    </row>
    <row r="397" spans="1:21" x14ac:dyDescent="0.25">
      <c r="A397" s="270" t="s">
        <v>3768</v>
      </c>
      <c r="B397" s="251" t="s">
        <v>233</v>
      </c>
      <c r="C397" s="267" t="str">
        <f t="shared" si="6"/>
        <v>Rancharia, SP</v>
      </c>
      <c r="D397" s="271">
        <v>-22.37</v>
      </c>
      <c r="E397" s="251">
        <v>350</v>
      </c>
      <c r="F397" s="272">
        <v>23.843548389999999</v>
      </c>
      <c r="G397" s="272">
        <v>24.333482140000001</v>
      </c>
      <c r="H397" s="272">
        <v>23.356182799999999</v>
      </c>
      <c r="I397" s="272">
        <v>21.953611110000001</v>
      </c>
      <c r="J397" s="272">
        <v>17.514784949999999</v>
      </c>
      <c r="K397" s="272">
        <v>17.217916670000001</v>
      </c>
      <c r="L397" s="272">
        <v>17.126075270000001</v>
      </c>
      <c r="M397" s="272">
        <v>19.537634409999999</v>
      </c>
      <c r="N397" s="272">
        <v>19.669444439999999</v>
      </c>
      <c r="O397" s="272">
        <v>23.747311830000001</v>
      </c>
      <c r="P397" s="272">
        <v>23.753194440000001</v>
      </c>
      <c r="Q397" s="272">
        <v>24.66935484</v>
      </c>
      <c r="R397" s="272">
        <v>21.3935451075</v>
      </c>
      <c r="S397" s="267">
        <f>SUMIFS(Aux_Lista!AD:AD,Aux_Lista!AB:AB,Aux_TBS!B397,Aux_Lista!AC:AC,Aux_TBS!A397)</f>
        <v>6</v>
      </c>
      <c r="T397" s="267" t="s">
        <v>6017</v>
      </c>
      <c r="U397" s="267">
        <v>40</v>
      </c>
    </row>
    <row r="398" spans="1:21" x14ac:dyDescent="0.25">
      <c r="A398" s="270" t="s">
        <v>540</v>
      </c>
      <c r="B398" s="251" t="s">
        <v>233</v>
      </c>
      <c r="C398" s="267" t="str">
        <f t="shared" si="6"/>
        <v>São Carlos, SP</v>
      </c>
      <c r="D398" s="271">
        <v>-22.02</v>
      </c>
      <c r="E398" s="251">
        <v>863</v>
      </c>
      <c r="F398" s="272">
        <v>21.67580645</v>
      </c>
      <c r="G398" s="272">
        <v>22.474107140000001</v>
      </c>
      <c r="H398" s="272">
        <v>21.558198919999999</v>
      </c>
      <c r="I398" s="272">
        <v>20.532916669999999</v>
      </c>
      <c r="J398" s="272">
        <v>17.22620968</v>
      </c>
      <c r="K398" s="272">
        <v>17.403888890000001</v>
      </c>
      <c r="L398" s="272">
        <v>17.588709680000001</v>
      </c>
      <c r="M398" s="272">
        <v>19.821505380000001</v>
      </c>
      <c r="N398" s="272">
        <v>19.444861110000002</v>
      </c>
      <c r="O398" s="272">
        <v>22.325672040000001</v>
      </c>
      <c r="P398" s="272">
        <v>21.838611109999999</v>
      </c>
      <c r="Q398" s="272">
        <v>21.702956990000001</v>
      </c>
      <c r="R398" s="272">
        <v>20.299453671666665</v>
      </c>
      <c r="S398" s="267">
        <f>SUMIFS(Aux_Lista!AD:AD,Aux_Lista!AB:AB,Aux_TBS!B398,Aux_Lista!AC:AC,Aux_TBS!A398)</f>
        <v>4</v>
      </c>
      <c r="T398" s="267" t="s">
        <v>6017</v>
      </c>
      <c r="U398" s="267">
        <v>40</v>
      </c>
    </row>
    <row r="399" spans="1:21" x14ac:dyDescent="0.25">
      <c r="A399" s="270" t="s">
        <v>541</v>
      </c>
      <c r="B399" s="251" t="s">
        <v>233</v>
      </c>
      <c r="C399" s="267" t="str">
        <f t="shared" si="6"/>
        <v>São Luís do Paraitinga, SP</v>
      </c>
      <c r="D399" s="271">
        <v>-23.23</v>
      </c>
      <c r="E399" s="251">
        <v>874</v>
      </c>
      <c r="F399" s="272">
        <v>22.531854840000001</v>
      </c>
      <c r="G399" s="272">
        <v>23.05877976</v>
      </c>
      <c r="H399" s="272">
        <v>21.487096770000001</v>
      </c>
      <c r="I399" s="272">
        <v>18.91375</v>
      </c>
      <c r="J399" s="272">
        <v>15.82486559</v>
      </c>
      <c r="K399" s="272">
        <v>15.74625</v>
      </c>
      <c r="L399" s="272">
        <v>15.056586019999999</v>
      </c>
      <c r="M399" s="272">
        <v>17.762768820000002</v>
      </c>
      <c r="N399" s="272">
        <v>18.756944440000002</v>
      </c>
      <c r="O399" s="272">
        <v>21.950403229999999</v>
      </c>
      <c r="P399" s="272">
        <v>22.27791667</v>
      </c>
      <c r="Q399" s="272">
        <v>23.386827960000002</v>
      </c>
      <c r="R399" s="272">
        <v>19.729503675</v>
      </c>
      <c r="S399" s="267">
        <f>SUMIFS(Aux_Lista!AD:AD,Aux_Lista!AB:AB,Aux_TBS!B399,Aux_Lista!AC:AC,Aux_TBS!A399)</f>
        <v>3</v>
      </c>
      <c r="T399" s="267" t="s">
        <v>6017</v>
      </c>
      <c r="U399" s="267">
        <v>40</v>
      </c>
    </row>
    <row r="400" spans="1:21" x14ac:dyDescent="0.25">
      <c r="A400" s="270" t="s">
        <v>234</v>
      </c>
      <c r="B400" s="251" t="s">
        <v>233</v>
      </c>
      <c r="C400" s="267" t="str">
        <f t="shared" si="6"/>
        <v>São Paulo, SP</v>
      </c>
      <c r="D400" s="271">
        <v>-23.85</v>
      </c>
      <c r="E400" s="251">
        <v>792</v>
      </c>
      <c r="F400" s="272">
        <v>21.158736560000001</v>
      </c>
      <c r="G400" s="272">
        <v>22.34791667</v>
      </c>
      <c r="H400" s="272">
        <v>21.669623659999999</v>
      </c>
      <c r="I400" s="272">
        <v>20.758055559999999</v>
      </c>
      <c r="J400" s="272">
        <v>17.454569889999998</v>
      </c>
      <c r="K400" s="272">
        <v>16.769166670000001</v>
      </c>
      <c r="L400" s="272">
        <v>17.336424730000001</v>
      </c>
      <c r="M400" s="272">
        <v>18.281451610000001</v>
      </c>
      <c r="N400" s="272">
        <v>17.677083329999999</v>
      </c>
      <c r="O400" s="272">
        <v>20.50981183</v>
      </c>
      <c r="P400" s="272">
        <v>20.150555560000001</v>
      </c>
      <c r="Q400" s="272">
        <v>20.87311828</v>
      </c>
      <c r="R400" s="272">
        <v>19.582209529166665</v>
      </c>
      <c r="S400" s="267">
        <f>SUMIFS(Aux_Lista!AD:AD,Aux_Lista!AB:AB,Aux_TBS!B400,Aux_Lista!AC:AC,Aux_TBS!A400)</f>
        <v>3</v>
      </c>
      <c r="T400" s="267" t="s">
        <v>6017</v>
      </c>
      <c r="U400" s="267">
        <v>40</v>
      </c>
    </row>
    <row r="401" spans="1:21" x14ac:dyDescent="0.25">
      <c r="A401" s="270" t="s">
        <v>3329</v>
      </c>
      <c r="B401" s="251" t="s">
        <v>233</v>
      </c>
      <c r="C401" s="267" t="str">
        <f t="shared" si="6"/>
        <v>Sorocaba, SP</v>
      </c>
      <c r="D401" s="271">
        <v>-23.5</v>
      </c>
      <c r="E401" s="251">
        <v>609</v>
      </c>
      <c r="F401" s="272">
        <v>22.762365590000002</v>
      </c>
      <c r="G401" s="272">
        <v>23.360416669999999</v>
      </c>
      <c r="H401" s="272">
        <v>23.79663978</v>
      </c>
      <c r="I401" s="272">
        <v>22.085277779999998</v>
      </c>
      <c r="J401" s="272">
        <v>16.770698920000001</v>
      </c>
      <c r="K401" s="272">
        <v>16.924027779999999</v>
      </c>
      <c r="L401" s="272">
        <v>17</v>
      </c>
      <c r="M401" s="272">
        <v>18.55967742</v>
      </c>
      <c r="N401" s="272">
        <v>18.657222220000001</v>
      </c>
      <c r="O401" s="272">
        <v>21.00887097</v>
      </c>
      <c r="P401" s="272">
        <v>21.446249999999999</v>
      </c>
      <c r="Q401" s="272">
        <v>23.080241940000001</v>
      </c>
      <c r="R401" s="272">
        <v>20.454307422499998</v>
      </c>
      <c r="S401" s="267">
        <f>SUMIFS(Aux_Lista!AD:AD,Aux_Lista!AB:AB,Aux_TBS!B401,Aux_Lista!AC:AC,Aux_TBS!A401)</f>
        <v>3</v>
      </c>
      <c r="T401" s="267" t="s">
        <v>6017</v>
      </c>
      <c r="U401" s="267">
        <v>40</v>
      </c>
    </row>
    <row r="402" spans="1:21" x14ac:dyDescent="0.25">
      <c r="A402" s="270" t="s">
        <v>3322</v>
      </c>
      <c r="B402" s="251" t="s">
        <v>233</v>
      </c>
      <c r="C402" s="267" t="str">
        <f t="shared" si="6"/>
        <v>Taubaté, SP</v>
      </c>
      <c r="D402" s="271">
        <v>-23.03</v>
      </c>
      <c r="E402" s="251">
        <v>571</v>
      </c>
      <c r="F402" s="272">
        <v>23.3436828</v>
      </c>
      <c r="G402" s="272">
        <v>24.145089290000001</v>
      </c>
      <c r="H402" s="272">
        <v>24.148521509999998</v>
      </c>
      <c r="I402" s="272">
        <v>22.186527779999999</v>
      </c>
      <c r="J402" s="272">
        <v>17.512499999999999</v>
      </c>
      <c r="K402" s="272">
        <v>16.779166669999999</v>
      </c>
      <c r="L402" s="272">
        <v>16.051209679999999</v>
      </c>
      <c r="M402" s="272">
        <v>18.005241940000001</v>
      </c>
      <c r="N402" s="272">
        <v>20.82041667</v>
      </c>
      <c r="O402" s="272">
        <v>22.346236560000001</v>
      </c>
      <c r="P402" s="272">
        <v>21.43972222</v>
      </c>
      <c r="Q402" s="272">
        <v>21.954838710000001</v>
      </c>
      <c r="R402" s="272">
        <v>20.727762819166667</v>
      </c>
      <c r="S402" s="267">
        <f>SUMIFS(Aux_Lista!AD:AD,Aux_Lista!AB:AB,Aux_TBS!B402,Aux_Lista!AC:AC,Aux_TBS!A402)</f>
        <v>3</v>
      </c>
      <c r="T402" s="267" t="s">
        <v>6017</v>
      </c>
      <c r="U402" s="267">
        <v>40</v>
      </c>
    </row>
    <row r="403" spans="1:21" x14ac:dyDescent="0.25">
      <c r="A403" s="270" t="s">
        <v>3610</v>
      </c>
      <c r="B403" s="251" t="s">
        <v>233</v>
      </c>
      <c r="C403" s="267" t="str">
        <f t="shared" si="6"/>
        <v>Valparaíso, SP</v>
      </c>
      <c r="D403" s="271">
        <v>-21.32</v>
      </c>
      <c r="E403" s="251">
        <v>374</v>
      </c>
      <c r="F403" s="272">
        <v>24.700537629999999</v>
      </c>
      <c r="G403" s="272">
        <v>24.878422619999998</v>
      </c>
      <c r="H403" s="272">
        <v>24.1561828</v>
      </c>
      <c r="I403" s="272">
        <v>23.354444440000002</v>
      </c>
      <c r="J403" s="272">
        <v>19.484543009999999</v>
      </c>
      <c r="K403" s="272">
        <v>19.96</v>
      </c>
      <c r="L403" s="272">
        <v>21.330241940000001</v>
      </c>
      <c r="M403" s="272">
        <v>22.784274190000001</v>
      </c>
      <c r="N403" s="272">
        <v>22.313472220000001</v>
      </c>
      <c r="O403" s="272">
        <v>25.513306450000002</v>
      </c>
      <c r="P403" s="272">
        <v>25.51013889</v>
      </c>
      <c r="Q403" s="272">
        <v>25.802419350000001</v>
      </c>
      <c r="R403" s="272">
        <v>23.315665294999999</v>
      </c>
      <c r="S403" s="267">
        <f>SUMIFS(Aux_Lista!AD:AD,Aux_Lista!AB:AB,Aux_TBS!B403,Aux_Lista!AC:AC,Aux_TBS!A403)</f>
        <v>6</v>
      </c>
      <c r="T403" s="267" t="s">
        <v>6017</v>
      </c>
      <c r="U403" s="267">
        <v>40</v>
      </c>
    </row>
    <row r="404" spans="1:21" x14ac:dyDescent="0.25">
      <c r="A404" s="270" t="s">
        <v>2777</v>
      </c>
      <c r="B404" s="251" t="s">
        <v>233</v>
      </c>
      <c r="C404" s="267" t="str">
        <f t="shared" si="6"/>
        <v>Votuporanga, SP</v>
      </c>
      <c r="D404" s="271">
        <v>-20.420000000000002</v>
      </c>
      <c r="E404" s="251">
        <v>486</v>
      </c>
      <c r="F404" s="272">
        <v>24.606720429999999</v>
      </c>
      <c r="G404" s="272">
        <v>24.506994049999999</v>
      </c>
      <c r="H404" s="272">
        <v>24.40349462</v>
      </c>
      <c r="I404" s="272">
        <v>23.736388890000001</v>
      </c>
      <c r="J404" s="272">
        <v>20.453763439999999</v>
      </c>
      <c r="K404" s="272">
        <v>21.029583330000001</v>
      </c>
      <c r="L404" s="272">
        <v>21.93844086</v>
      </c>
      <c r="M404" s="272">
        <v>23.877150539999999</v>
      </c>
      <c r="N404" s="272">
        <v>23.536805560000001</v>
      </c>
      <c r="O404" s="272">
        <v>25.950403229999999</v>
      </c>
      <c r="P404" s="272">
        <v>25.625972220000001</v>
      </c>
      <c r="Q404" s="272">
        <v>25.177956989999998</v>
      </c>
      <c r="R404" s="272">
        <v>23.736972846666664</v>
      </c>
      <c r="S404" s="267">
        <f>SUMIFS(Aux_Lista!AD:AD,Aux_Lista!AB:AB,Aux_TBS!B404,Aux_Lista!AC:AC,Aux_TBS!A404)</f>
        <v>6</v>
      </c>
      <c r="T404" s="267" t="s">
        <v>6017</v>
      </c>
      <c r="U404" s="267">
        <v>40</v>
      </c>
    </row>
    <row r="405" spans="1:21" x14ac:dyDescent="0.25">
      <c r="A405" s="270" t="s">
        <v>4773</v>
      </c>
      <c r="B405" s="251" t="s">
        <v>1951</v>
      </c>
      <c r="C405" s="267" t="str">
        <f t="shared" si="6"/>
        <v>Araguaína, TO</v>
      </c>
      <c r="D405" s="271">
        <v>-7.18</v>
      </c>
      <c r="E405" s="251">
        <v>226</v>
      </c>
      <c r="F405" s="272">
        <v>25.165456989999999</v>
      </c>
      <c r="G405" s="272">
        <v>24.80327381</v>
      </c>
      <c r="H405" s="272">
        <v>25.052956989999998</v>
      </c>
      <c r="I405" s="272">
        <v>24.64722222</v>
      </c>
      <c r="J405" s="272">
        <v>24.688172040000001</v>
      </c>
      <c r="K405" s="272">
        <v>24.93972222</v>
      </c>
      <c r="L405" s="272">
        <v>24.815188169999999</v>
      </c>
      <c r="M405" s="272">
        <v>25.343413980000001</v>
      </c>
      <c r="N405" s="272">
        <v>26.006944440000002</v>
      </c>
      <c r="O405" s="272">
        <v>25.732526880000002</v>
      </c>
      <c r="P405" s="272">
        <v>25.834305560000001</v>
      </c>
      <c r="Q405" s="272">
        <v>24.51075269</v>
      </c>
      <c r="R405" s="272">
        <v>25.128327999166668</v>
      </c>
      <c r="S405" s="267">
        <f>SUMIFS(Aux_Lista!AD:AD,Aux_Lista!AB:AB,Aux_TBS!B405,Aux_Lista!AC:AC,Aux_TBS!A405)</f>
        <v>7</v>
      </c>
      <c r="T405" s="267" t="s">
        <v>6014</v>
      </c>
      <c r="U405" s="267">
        <v>38</v>
      </c>
    </row>
    <row r="406" spans="1:21" x14ac:dyDescent="0.25">
      <c r="A406" s="270" t="s">
        <v>4587</v>
      </c>
      <c r="B406" s="251" t="s">
        <v>1951</v>
      </c>
      <c r="C406" s="267" t="str">
        <f t="shared" si="6"/>
        <v>Araguatins, TO</v>
      </c>
      <c r="D406" s="271">
        <v>-5.64</v>
      </c>
      <c r="E406" s="251">
        <v>117</v>
      </c>
      <c r="F406" s="272">
        <v>26.680107530000001</v>
      </c>
      <c r="G406" s="272">
        <v>26.10431548</v>
      </c>
      <c r="H406" s="272">
        <v>26.369220429999999</v>
      </c>
      <c r="I406" s="272">
        <v>25.90777778</v>
      </c>
      <c r="J406" s="272">
        <v>25.86935484</v>
      </c>
      <c r="K406" s="272">
        <v>26.650138890000001</v>
      </c>
      <c r="L406" s="272">
        <v>27.364919350000001</v>
      </c>
      <c r="M406" s="272">
        <v>28.050268819999999</v>
      </c>
      <c r="N406" s="272">
        <v>28.603333330000002</v>
      </c>
      <c r="O406" s="272">
        <v>28.470026879999999</v>
      </c>
      <c r="P406" s="272">
        <v>28.29513889</v>
      </c>
      <c r="Q406" s="272">
        <v>26.632258060000002</v>
      </c>
      <c r="R406" s="272">
        <v>27.083071689999997</v>
      </c>
      <c r="S406" s="267">
        <f>SUMIFS(Aux_Lista!AD:AD,Aux_Lista!AB:AB,Aux_TBS!B406,Aux_Lista!AC:AC,Aux_TBS!A406)</f>
        <v>8</v>
      </c>
      <c r="T406" s="267" t="s">
        <v>6014</v>
      </c>
      <c r="U406" s="267">
        <v>38</v>
      </c>
    </row>
    <row r="407" spans="1:21" x14ac:dyDescent="0.25">
      <c r="A407" s="270" t="s">
        <v>1952</v>
      </c>
      <c r="B407" s="251" t="s">
        <v>1951</v>
      </c>
      <c r="C407" s="267" t="str">
        <f t="shared" si="6"/>
        <v>Dianópolis, TO</v>
      </c>
      <c r="D407" s="271">
        <v>-11.59</v>
      </c>
      <c r="E407" s="251">
        <v>732</v>
      </c>
      <c r="F407" s="272">
        <v>23.671908599999998</v>
      </c>
      <c r="G407" s="272">
        <v>23.35669643</v>
      </c>
      <c r="H407" s="272">
        <v>23.650940859999999</v>
      </c>
      <c r="I407" s="272">
        <v>23.28277778</v>
      </c>
      <c r="J407" s="272">
        <v>23.02137097</v>
      </c>
      <c r="K407" s="272">
        <v>23.625277780000001</v>
      </c>
      <c r="L407" s="272">
        <v>24.503091399999999</v>
      </c>
      <c r="M407" s="272">
        <v>25.697446240000001</v>
      </c>
      <c r="N407" s="272">
        <v>27.154444439999999</v>
      </c>
      <c r="O407" s="272">
        <v>24.229704300000002</v>
      </c>
      <c r="P407" s="272">
        <v>24.795694439999998</v>
      </c>
      <c r="Q407" s="272">
        <v>23.516397850000001</v>
      </c>
      <c r="R407" s="272">
        <v>24.208812590833329</v>
      </c>
      <c r="S407" s="267">
        <f>SUMIFS(Aux_Lista!AD:AD,Aux_Lista!AB:AB,Aux_TBS!B407,Aux_Lista!AC:AC,Aux_TBS!A407)</f>
        <v>7</v>
      </c>
      <c r="T407" s="267" t="s">
        <v>6014</v>
      </c>
      <c r="U407" s="267">
        <v>38</v>
      </c>
    </row>
    <row r="408" spans="1:21" x14ac:dyDescent="0.25">
      <c r="A408" s="270" t="s">
        <v>5478</v>
      </c>
      <c r="B408" s="251" t="s">
        <v>1951</v>
      </c>
      <c r="C408" s="267" t="str">
        <f t="shared" si="6"/>
        <v>Formoso do Araguaia, TO</v>
      </c>
      <c r="D408" s="271">
        <v>-11.78</v>
      </c>
      <c r="E408" s="251">
        <v>220</v>
      </c>
      <c r="F408" s="272">
        <v>26.42674731</v>
      </c>
      <c r="G408" s="272">
        <v>25.15848214</v>
      </c>
      <c r="H408" s="272">
        <v>26.301344090000001</v>
      </c>
      <c r="I408" s="272">
        <v>25.724444439999999</v>
      </c>
      <c r="J408" s="272">
        <v>25.956854839999998</v>
      </c>
      <c r="K408" s="272">
        <v>25.57638889</v>
      </c>
      <c r="L408" s="272">
        <v>25.663575269999999</v>
      </c>
      <c r="M408" s="272">
        <v>28.329166669999999</v>
      </c>
      <c r="N408" s="272">
        <v>29.364583329999999</v>
      </c>
      <c r="O408" s="272">
        <v>29.075403229999999</v>
      </c>
      <c r="P408" s="272">
        <v>26.30430556</v>
      </c>
      <c r="Q408" s="272">
        <v>25.5719086</v>
      </c>
      <c r="R408" s="272">
        <v>26.621100364166665</v>
      </c>
      <c r="S408" s="267">
        <f>SUMIFS(Aux_Lista!AD:AD,Aux_Lista!AB:AB,Aux_TBS!B408,Aux_Lista!AC:AC,Aux_TBS!A408)</f>
        <v>7</v>
      </c>
      <c r="T408" s="267" t="s">
        <v>6014</v>
      </c>
      <c r="U408" s="267">
        <v>38</v>
      </c>
    </row>
    <row r="409" spans="1:21" x14ac:dyDescent="0.25">
      <c r="A409" s="270" t="s">
        <v>5487</v>
      </c>
      <c r="B409" s="251" t="s">
        <v>1951</v>
      </c>
      <c r="C409" s="267" t="str">
        <f t="shared" si="6"/>
        <v>Gurupi, TO</v>
      </c>
      <c r="D409" s="271">
        <v>-11.72</v>
      </c>
      <c r="E409" s="251">
        <v>287</v>
      </c>
      <c r="F409" s="272">
        <v>25.93602151</v>
      </c>
      <c r="G409" s="272">
        <v>26.358333330000001</v>
      </c>
      <c r="H409" s="272">
        <v>26.293548390000002</v>
      </c>
      <c r="I409" s="272">
        <v>25.26694444</v>
      </c>
      <c r="J409" s="272">
        <v>26.653763439999999</v>
      </c>
      <c r="K409" s="272">
        <v>24.235972220000001</v>
      </c>
      <c r="L409" s="272">
        <v>24.18145161</v>
      </c>
      <c r="M409" s="272">
        <v>24.808870970000001</v>
      </c>
      <c r="N409" s="272">
        <v>27.138055560000002</v>
      </c>
      <c r="O409" s="272">
        <v>27.75282258</v>
      </c>
      <c r="P409" s="272">
        <v>25.90555556</v>
      </c>
      <c r="Q409" s="272">
        <v>25.685887099999999</v>
      </c>
      <c r="R409" s="272">
        <v>25.851435559166664</v>
      </c>
      <c r="S409" s="267">
        <f>SUMIFS(Aux_Lista!AD:AD,Aux_Lista!AB:AB,Aux_TBS!B409,Aux_Lista!AC:AC,Aux_TBS!A409)</f>
        <v>7</v>
      </c>
      <c r="T409" s="267" t="s">
        <v>6014</v>
      </c>
      <c r="U409" s="267">
        <v>38</v>
      </c>
    </row>
    <row r="410" spans="1:21" x14ac:dyDescent="0.25">
      <c r="A410" s="270" t="s">
        <v>1438</v>
      </c>
      <c r="B410" s="251" t="s">
        <v>1951</v>
      </c>
      <c r="C410" s="267" t="str">
        <f t="shared" si="6"/>
        <v>Palmas, TO</v>
      </c>
      <c r="D410" s="271">
        <v>-10.17</v>
      </c>
      <c r="E410" s="251">
        <v>280</v>
      </c>
      <c r="F410" s="272">
        <v>26.488844090000001</v>
      </c>
      <c r="G410" s="272">
        <v>25.41592262</v>
      </c>
      <c r="H410" s="272">
        <v>26.043682799999999</v>
      </c>
      <c r="I410" s="272">
        <v>25.716944439999999</v>
      </c>
      <c r="J410" s="272">
        <v>26.698790320000001</v>
      </c>
      <c r="K410" s="272">
        <v>27.173749999999998</v>
      </c>
      <c r="L410" s="272">
        <v>27.111827959999999</v>
      </c>
      <c r="M410" s="272">
        <v>28.99341398</v>
      </c>
      <c r="N410" s="272">
        <v>28.90958333</v>
      </c>
      <c r="O410" s="272">
        <v>26.4780914</v>
      </c>
      <c r="P410" s="272">
        <v>26.72180556</v>
      </c>
      <c r="Q410" s="272">
        <v>25.99865591</v>
      </c>
      <c r="R410" s="272">
        <v>26.812609367500002</v>
      </c>
      <c r="S410" s="267">
        <f>SUMIFS(Aux_Lista!AD:AD,Aux_Lista!AB:AB,Aux_TBS!B410,Aux_Lista!AC:AC,Aux_TBS!A410)</f>
        <v>7</v>
      </c>
      <c r="T410" s="267" t="s">
        <v>6014</v>
      </c>
      <c r="U410" s="267">
        <v>38</v>
      </c>
    </row>
    <row r="411" spans="1:21" x14ac:dyDescent="0.25">
      <c r="A411" s="270" t="s">
        <v>4801</v>
      </c>
      <c r="B411" s="251" t="s">
        <v>1951</v>
      </c>
      <c r="C411" s="267" t="str">
        <f t="shared" si="6"/>
        <v>Paranã, TO</v>
      </c>
      <c r="D411" s="271">
        <v>-12.6</v>
      </c>
      <c r="E411" s="251">
        <v>280</v>
      </c>
      <c r="F411" s="272">
        <v>26.39596774</v>
      </c>
      <c r="G411" s="272">
        <v>25.108779760000001</v>
      </c>
      <c r="H411" s="272">
        <v>26.43978495</v>
      </c>
      <c r="I411" s="272">
        <v>26.815972219999999</v>
      </c>
      <c r="J411" s="272">
        <v>25.955241940000001</v>
      </c>
      <c r="K411" s="272">
        <v>24.006527779999999</v>
      </c>
      <c r="L411" s="272">
        <v>24.550268819999999</v>
      </c>
      <c r="M411" s="272">
        <v>25.504569889999999</v>
      </c>
      <c r="N411" s="272">
        <v>27.693055560000001</v>
      </c>
      <c r="O411" s="272">
        <v>26.539919350000002</v>
      </c>
      <c r="P411" s="272">
        <v>26.552222220000001</v>
      </c>
      <c r="Q411" s="272">
        <v>25.59193548</v>
      </c>
      <c r="R411" s="272">
        <v>25.929520475833332</v>
      </c>
      <c r="S411" s="267">
        <f>SUMIFS(Aux_Lista!AD:AD,Aux_Lista!AB:AB,Aux_TBS!B411,Aux_Lista!AC:AC,Aux_TBS!A411)</f>
        <v>6</v>
      </c>
      <c r="T411" s="267" t="s">
        <v>6014</v>
      </c>
      <c r="U411" s="267">
        <v>38</v>
      </c>
    </row>
    <row r="412" spans="1:21" x14ac:dyDescent="0.25">
      <c r="A412" s="270" t="s">
        <v>4760</v>
      </c>
      <c r="B412" s="251" t="s">
        <v>1951</v>
      </c>
      <c r="C412" s="267" t="str">
        <f t="shared" si="6"/>
        <v>Pedro Afonso, TO</v>
      </c>
      <c r="D412" s="271">
        <v>-8.9700000000000006</v>
      </c>
      <c r="E412" s="251">
        <v>189</v>
      </c>
      <c r="F412" s="272">
        <v>26.293682799999999</v>
      </c>
      <c r="G412" s="272">
        <v>25.730357139999999</v>
      </c>
      <c r="H412" s="272">
        <v>26.202150540000002</v>
      </c>
      <c r="I412" s="272">
        <v>25.637499999999999</v>
      </c>
      <c r="J412" s="272">
        <v>25.56303763</v>
      </c>
      <c r="K412" s="272">
        <v>26.022916670000001</v>
      </c>
      <c r="L412" s="272">
        <v>26.224059140000001</v>
      </c>
      <c r="M412" s="272">
        <v>27.464650540000001</v>
      </c>
      <c r="N412" s="272">
        <v>28.47625</v>
      </c>
      <c r="O412" s="272">
        <v>26.776747310000001</v>
      </c>
      <c r="P412" s="272">
        <v>26.723749999999999</v>
      </c>
      <c r="Q412" s="272">
        <v>25.50147849</v>
      </c>
      <c r="R412" s="272">
        <v>26.384715021666668</v>
      </c>
      <c r="S412" s="267">
        <f>SUMIFS(Aux_Lista!AD:AD,Aux_Lista!AB:AB,Aux_TBS!B412,Aux_Lista!AC:AC,Aux_TBS!A412)</f>
        <v>7</v>
      </c>
      <c r="T412" s="267" t="s">
        <v>6014</v>
      </c>
      <c r="U412" s="267">
        <v>38</v>
      </c>
    </row>
    <row r="413" spans="1:21" x14ac:dyDescent="0.25">
      <c r="A413" s="270" t="s">
        <v>4744</v>
      </c>
      <c r="B413" s="251" t="s">
        <v>1951</v>
      </c>
      <c r="C413" s="267" t="str">
        <f t="shared" si="6"/>
        <v>Peixe, TO</v>
      </c>
      <c r="D413" s="271">
        <v>-12.02</v>
      </c>
      <c r="E413" s="251">
        <v>242</v>
      </c>
      <c r="F413" s="272">
        <v>26.292204300000002</v>
      </c>
      <c r="G413" s="272">
        <v>25.481249999999999</v>
      </c>
      <c r="H413" s="272">
        <v>26.067338710000001</v>
      </c>
      <c r="I413" s="272">
        <v>25.588194439999999</v>
      </c>
      <c r="J413" s="272">
        <v>24.93508065</v>
      </c>
      <c r="K413" s="272">
        <v>24.882222219999999</v>
      </c>
      <c r="L413" s="272">
        <v>24.722311829999999</v>
      </c>
      <c r="M413" s="272">
        <v>26.708333329999999</v>
      </c>
      <c r="N413" s="272">
        <v>28.087499999999999</v>
      </c>
      <c r="O413" s="272">
        <v>26.302284950000001</v>
      </c>
      <c r="P413" s="272">
        <v>26.55916667</v>
      </c>
      <c r="Q413" s="272">
        <v>25.40524194</v>
      </c>
      <c r="R413" s="272">
        <v>25.919260753333333</v>
      </c>
      <c r="S413" s="267">
        <f>SUMIFS(Aux_Lista!AD:AD,Aux_Lista!AB:AB,Aux_TBS!B413,Aux_Lista!AC:AC,Aux_TBS!A413)</f>
        <v>7</v>
      </c>
      <c r="T413" s="267" t="s">
        <v>6014</v>
      </c>
      <c r="U413" s="267">
        <v>38</v>
      </c>
    </row>
  </sheetData>
  <mergeCells count="6">
    <mergeCell ref="F1:R1"/>
    <mergeCell ref="A1:A2"/>
    <mergeCell ref="B1:B2"/>
    <mergeCell ref="D1:D2"/>
    <mergeCell ref="E1:E2"/>
    <mergeCell ref="C1:C2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19"/>
  <sheetViews>
    <sheetView showGridLines="0" zoomScale="80" zoomScaleNormal="80" workbookViewId="0">
      <selection activeCell="L2" sqref="L2"/>
    </sheetView>
  </sheetViews>
  <sheetFormatPr defaultRowHeight="15" x14ac:dyDescent="0.25"/>
  <cols>
    <col min="1" max="1" width="21.7109375" customWidth="1"/>
    <col min="2" max="2" width="26.140625" customWidth="1"/>
    <col min="3" max="3" width="19" customWidth="1"/>
    <col min="4" max="4" width="15.85546875" customWidth="1"/>
    <col min="6" max="6" width="18.85546875" customWidth="1"/>
    <col min="7" max="7" width="17.140625" customWidth="1"/>
    <col min="8" max="8" width="15.28515625" bestFit="1" customWidth="1"/>
    <col min="10" max="10" width="12.7109375" customWidth="1"/>
    <col min="12" max="12" width="14.5703125" customWidth="1"/>
    <col min="14" max="14" width="14.5703125" customWidth="1"/>
    <col min="16" max="16" width="14.5703125" customWidth="1"/>
    <col min="21" max="21" width="14.5703125" customWidth="1"/>
    <col min="23" max="23" width="15.28515625" bestFit="1" customWidth="1"/>
    <col min="24" max="24" width="15.28515625" customWidth="1"/>
    <col min="26" max="26" width="12.140625" bestFit="1" customWidth="1"/>
    <col min="28" max="28" width="14.5703125" customWidth="1"/>
    <col min="30" max="30" width="14.5703125" customWidth="1"/>
    <col min="32" max="32" width="14.5703125" customWidth="1"/>
    <col min="37" max="37" width="14.5703125" customWidth="1"/>
  </cols>
  <sheetData>
    <row r="2" spans="1:38" ht="15.75" x14ac:dyDescent="0.25">
      <c r="C2" s="497" t="s">
        <v>157</v>
      </c>
      <c r="D2" s="497"/>
      <c r="E2" s="497"/>
      <c r="F2" s="497"/>
      <c r="G2" s="497"/>
      <c r="H2" s="497"/>
      <c r="J2" s="495" t="s">
        <v>156</v>
      </c>
      <c r="K2" s="495"/>
    </row>
    <row r="3" spans="1:38" ht="15.75" x14ac:dyDescent="0.25">
      <c r="C3" s="497" t="s">
        <v>155</v>
      </c>
      <c r="D3" s="497"/>
      <c r="E3" s="497"/>
      <c r="F3" s="497"/>
      <c r="G3" s="497"/>
      <c r="H3" s="497"/>
    </row>
    <row r="4" spans="1:38" ht="15.75" x14ac:dyDescent="0.25">
      <c r="C4" s="497" t="s">
        <v>154</v>
      </c>
      <c r="D4" s="497"/>
      <c r="E4" s="497"/>
      <c r="F4" s="497"/>
      <c r="G4" s="497"/>
      <c r="H4" s="497"/>
    </row>
    <row r="5" spans="1:38" ht="15.75" x14ac:dyDescent="0.25">
      <c r="C5" s="22"/>
      <c r="D5" s="22"/>
      <c r="E5" s="22"/>
    </row>
    <row r="6" spans="1:38" ht="23.25" x14ac:dyDescent="0.35">
      <c r="C6" s="498" t="s">
        <v>153</v>
      </c>
      <c r="D6" s="498"/>
      <c r="E6" s="498"/>
      <c r="F6" s="498"/>
      <c r="G6" s="498"/>
      <c r="H6" s="498"/>
    </row>
    <row r="7" spans="1:38" ht="18.75" x14ac:dyDescent="0.3">
      <c r="C7" s="496" t="s">
        <v>152</v>
      </c>
      <c r="D7" s="496"/>
      <c r="E7" s="496"/>
      <c r="F7" s="440" t="s">
        <v>158</v>
      </c>
      <c r="G7" s="440"/>
      <c r="H7" s="440"/>
    </row>
    <row r="9" spans="1:38" s="26" customFormat="1" ht="12.75" x14ac:dyDescent="0.2">
      <c r="A9" s="23" t="s">
        <v>151</v>
      </c>
      <c r="B9" s="24"/>
      <c r="C9" s="24"/>
      <c r="D9" s="24"/>
      <c r="E9" s="24"/>
      <c r="F9" s="24"/>
      <c r="G9" s="25"/>
    </row>
    <row r="11" spans="1:38" ht="15.75" x14ac:dyDescent="0.25">
      <c r="A11" s="489" t="s">
        <v>21</v>
      </c>
      <c r="B11" s="489" t="s">
        <v>5</v>
      </c>
      <c r="C11" s="489" t="s">
        <v>6</v>
      </c>
      <c r="D11" s="489" t="s">
        <v>7</v>
      </c>
      <c r="E11" s="489" t="s">
        <v>20</v>
      </c>
      <c r="F11" s="489" t="s">
        <v>8</v>
      </c>
      <c r="G11" s="499" t="s">
        <v>0</v>
      </c>
      <c r="H11" s="499"/>
      <c r="I11" s="499"/>
      <c r="J11" s="499"/>
      <c r="K11" s="499"/>
      <c r="L11" s="499"/>
      <c r="M11" s="499"/>
      <c r="N11" s="499"/>
      <c r="O11" s="499"/>
      <c r="P11" s="499"/>
      <c r="Q11" s="499"/>
      <c r="R11" s="499"/>
      <c r="S11" s="499"/>
      <c r="T11" s="499"/>
      <c r="U11" s="499"/>
      <c r="V11" s="499"/>
      <c r="W11" s="500" t="s">
        <v>59</v>
      </c>
      <c r="X11" s="501"/>
      <c r="Y11" s="501"/>
      <c r="Z11" s="501"/>
      <c r="AA11" s="501"/>
      <c r="AB11" s="501"/>
      <c r="AC11" s="501"/>
      <c r="AD11" s="501"/>
      <c r="AE11" s="501"/>
      <c r="AF11" s="501"/>
      <c r="AG11" s="501"/>
      <c r="AH11" s="501"/>
      <c r="AI11" s="501"/>
      <c r="AJ11" s="501"/>
      <c r="AK11" s="501"/>
      <c r="AL11" s="501"/>
    </row>
    <row r="12" spans="1:38" ht="15" customHeight="1" x14ac:dyDescent="0.25">
      <c r="A12" s="489"/>
      <c r="B12" s="489"/>
      <c r="C12" s="489"/>
      <c r="D12" s="489"/>
      <c r="E12" s="489"/>
      <c r="F12" s="489"/>
      <c r="G12" s="492" t="s">
        <v>1</v>
      </c>
      <c r="H12" s="492" t="s">
        <v>2</v>
      </c>
      <c r="I12" s="502" t="s">
        <v>3</v>
      </c>
      <c r="J12" s="502"/>
      <c r="K12" s="492" t="s">
        <v>4</v>
      </c>
      <c r="L12" s="492"/>
      <c r="M12" s="502" t="s">
        <v>16</v>
      </c>
      <c r="N12" s="502"/>
      <c r="O12" s="492" t="s">
        <v>17</v>
      </c>
      <c r="P12" s="492"/>
      <c r="Q12" s="490" t="s">
        <v>22</v>
      </c>
      <c r="R12" s="490" t="s">
        <v>18</v>
      </c>
      <c r="S12" s="490" t="s">
        <v>19</v>
      </c>
      <c r="T12" s="492" t="s">
        <v>10</v>
      </c>
      <c r="U12" s="492"/>
      <c r="V12" s="492" t="s">
        <v>11</v>
      </c>
      <c r="W12" s="485" t="s">
        <v>1</v>
      </c>
      <c r="X12" s="485" t="s">
        <v>2</v>
      </c>
      <c r="Y12" s="487" t="s">
        <v>3</v>
      </c>
      <c r="Z12" s="488"/>
      <c r="AA12" s="493" t="s">
        <v>4</v>
      </c>
      <c r="AB12" s="494"/>
      <c r="AC12" s="487" t="s">
        <v>16</v>
      </c>
      <c r="AD12" s="488"/>
      <c r="AE12" s="493" t="s">
        <v>17</v>
      </c>
      <c r="AF12" s="494"/>
      <c r="AG12" s="485" t="s">
        <v>22</v>
      </c>
      <c r="AH12" s="485" t="s">
        <v>18</v>
      </c>
      <c r="AI12" s="485" t="s">
        <v>19</v>
      </c>
      <c r="AJ12" s="493" t="s">
        <v>10</v>
      </c>
      <c r="AK12" s="494"/>
      <c r="AL12" s="485" t="s">
        <v>11</v>
      </c>
    </row>
    <row r="13" spans="1:38" ht="38.25" x14ac:dyDescent="0.25">
      <c r="A13" s="489"/>
      <c r="B13" s="489"/>
      <c r="C13" s="489"/>
      <c r="D13" s="489"/>
      <c r="E13" s="489"/>
      <c r="F13" s="489"/>
      <c r="G13" s="492"/>
      <c r="H13" s="492"/>
      <c r="I13" s="5" t="s">
        <v>9</v>
      </c>
      <c r="J13" s="6" t="s">
        <v>30</v>
      </c>
      <c r="K13" s="5" t="s">
        <v>9</v>
      </c>
      <c r="L13" s="6" t="s">
        <v>31</v>
      </c>
      <c r="M13" s="5" t="s">
        <v>9</v>
      </c>
      <c r="N13" s="6" t="s">
        <v>31</v>
      </c>
      <c r="O13" s="5" t="s">
        <v>9</v>
      </c>
      <c r="P13" s="6" t="s">
        <v>32</v>
      </c>
      <c r="Q13" s="491"/>
      <c r="R13" s="491"/>
      <c r="S13" s="491"/>
      <c r="T13" s="5" t="s">
        <v>9</v>
      </c>
      <c r="U13" s="6" t="s">
        <v>33</v>
      </c>
      <c r="V13" s="492"/>
      <c r="W13" s="486"/>
      <c r="X13" s="486"/>
      <c r="Y13" s="15" t="s">
        <v>9</v>
      </c>
      <c r="Z13" s="14" t="s">
        <v>30</v>
      </c>
      <c r="AA13" s="15" t="s">
        <v>9</v>
      </c>
      <c r="AB13" s="14" t="s">
        <v>31</v>
      </c>
      <c r="AC13" s="15" t="s">
        <v>9</v>
      </c>
      <c r="AD13" s="14" t="s">
        <v>31</v>
      </c>
      <c r="AE13" s="15" t="s">
        <v>9</v>
      </c>
      <c r="AF13" s="14" t="s">
        <v>32</v>
      </c>
      <c r="AG13" s="486"/>
      <c r="AH13" s="486"/>
      <c r="AI13" s="486"/>
      <c r="AJ13" s="15" t="s">
        <v>9</v>
      </c>
      <c r="AK13" s="14" t="s">
        <v>33</v>
      </c>
      <c r="AL13" s="486"/>
    </row>
    <row r="14" spans="1:38" s="2" customFormat="1" ht="32.25" customHeight="1" x14ac:dyDescent="0.25">
      <c r="A14" s="49" t="str">
        <f>Geral!$C$9</f>
        <v>Exemplo Ltda</v>
      </c>
      <c r="B14" s="49" t="str">
        <f>Geral!$C$7</f>
        <v>Exemplo Ltda</v>
      </c>
      <c r="C14" s="49" t="str">
        <f>Geral!$C$8</f>
        <v>xxxxxxxxxx</v>
      </c>
      <c r="D14" s="49" t="str">
        <f>Geral!$C$12</f>
        <v>Florianópolis</v>
      </c>
      <c r="E14" s="49" t="str">
        <f>Geral!$C$11</f>
        <v>SC</v>
      </c>
      <c r="F14" s="51" t="str">
        <f>Geral!$C$16</f>
        <v>Escritórios</v>
      </c>
      <c r="G14" s="7" t="s">
        <v>159</v>
      </c>
      <c r="H14" s="7" t="s">
        <v>15</v>
      </c>
      <c r="I14" s="9" t="s">
        <v>25</v>
      </c>
      <c r="J14" s="10">
        <v>179.19</v>
      </c>
      <c r="K14" s="9" t="s">
        <v>25</v>
      </c>
      <c r="L14" s="10">
        <v>128.15</v>
      </c>
      <c r="M14" s="9" t="s">
        <v>25</v>
      </c>
      <c r="N14" s="10">
        <v>128.99</v>
      </c>
      <c r="O14" s="9" t="s">
        <v>25</v>
      </c>
      <c r="P14" s="10">
        <v>21.02</v>
      </c>
      <c r="Q14" s="8">
        <v>0.37619999999999998</v>
      </c>
      <c r="R14" s="7" t="s">
        <v>35</v>
      </c>
      <c r="S14" s="8">
        <v>0.29799999999999999</v>
      </c>
      <c r="T14" s="9" t="s">
        <v>34</v>
      </c>
      <c r="U14" s="11">
        <v>657699.41</v>
      </c>
      <c r="V14" s="7">
        <v>1</v>
      </c>
      <c r="W14" s="7"/>
      <c r="X14" s="9"/>
      <c r="Y14" s="9"/>
      <c r="Z14" s="10"/>
      <c r="AA14" s="9"/>
      <c r="AB14" s="10"/>
      <c r="AC14" s="9"/>
      <c r="AD14" s="10"/>
      <c r="AE14" s="9"/>
      <c r="AF14" s="10"/>
      <c r="AG14" s="7"/>
      <c r="AH14" s="7"/>
      <c r="AI14" s="8"/>
      <c r="AJ14" s="9"/>
      <c r="AK14" s="11"/>
      <c r="AL14" s="7"/>
    </row>
    <row r="15" spans="1:38" s="2" customFormat="1" ht="32.25" customHeight="1" x14ac:dyDescent="0.25">
      <c r="A15" s="49" t="str">
        <f>Geral!$C$9</f>
        <v>Exemplo Ltda</v>
      </c>
      <c r="B15" s="49" t="str">
        <f>Geral!$C$7</f>
        <v>Exemplo Ltda</v>
      </c>
      <c r="C15" s="49" t="str">
        <f>Geral!$C$8</f>
        <v>xxxxxxxxxx</v>
      </c>
      <c r="D15" s="49" t="str">
        <f>Geral!$C$12</f>
        <v>Florianópolis</v>
      </c>
      <c r="E15" s="49" t="str">
        <f>Geral!$C$11</f>
        <v>SC</v>
      </c>
      <c r="F15" s="51" t="str">
        <f>Geral!$C$16</f>
        <v>Escritórios</v>
      </c>
      <c r="G15" s="7" t="s">
        <v>159</v>
      </c>
      <c r="H15" s="7" t="s">
        <v>15</v>
      </c>
      <c r="I15" s="9" t="s">
        <v>25</v>
      </c>
      <c r="J15" s="10">
        <v>185.2</v>
      </c>
      <c r="K15" s="9" t="s">
        <v>34</v>
      </c>
      <c r="L15" s="10">
        <v>97.49</v>
      </c>
      <c r="M15" s="9" t="s">
        <v>25</v>
      </c>
      <c r="N15" s="10">
        <v>128.99</v>
      </c>
      <c r="O15" s="9" t="s">
        <v>25</v>
      </c>
      <c r="P15" s="10">
        <v>21.02</v>
      </c>
      <c r="Q15" s="8">
        <v>0.31530000000000002</v>
      </c>
      <c r="R15" s="7" t="s">
        <v>35</v>
      </c>
      <c r="S15" s="8">
        <v>0.254</v>
      </c>
      <c r="T15" s="9" t="s">
        <v>34</v>
      </c>
      <c r="U15" s="11">
        <v>719472.18</v>
      </c>
      <c r="V15" s="7">
        <v>1</v>
      </c>
      <c r="W15" s="7" t="s">
        <v>159</v>
      </c>
      <c r="X15" s="7" t="s">
        <v>15</v>
      </c>
      <c r="Y15" s="9" t="s">
        <v>34</v>
      </c>
      <c r="Z15" s="10">
        <v>130.13999999999999</v>
      </c>
      <c r="AA15" s="9" t="s">
        <v>34</v>
      </c>
      <c r="AB15" s="10">
        <v>97.49</v>
      </c>
      <c r="AC15" s="9" t="s">
        <v>14</v>
      </c>
      <c r="AD15" s="10" t="s">
        <v>14</v>
      </c>
      <c r="AE15" s="9" t="s">
        <v>14</v>
      </c>
      <c r="AF15" s="10" t="s">
        <v>14</v>
      </c>
      <c r="AG15" s="8" t="s">
        <v>14</v>
      </c>
      <c r="AH15" s="7" t="s">
        <v>14</v>
      </c>
      <c r="AI15" s="8" t="s">
        <v>14</v>
      </c>
      <c r="AJ15" s="9" t="s">
        <v>14</v>
      </c>
      <c r="AK15" s="11" t="s">
        <v>14</v>
      </c>
      <c r="AL15" s="7">
        <v>1</v>
      </c>
    </row>
    <row r="16" spans="1:38" s="2" customFormat="1" ht="32.25" customHeight="1" x14ac:dyDescent="0.25">
      <c r="A16" s="49" t="str">
        <f>Geral!$C$9</f>
        <v>Exemplo Ltda</v>
      </c>
      <c r="B16" s="49" t="str">
        <f>Geral!$C$7</f>
        <v>Exemplo Ltda</v>
      </c>
      <c r="C16" s="49" t="str">
        <f>Geral!$C$8</f>
        <v>xxxxxxxxxx</v>
      </c>
      <c r="D16" s="49" t="str">
        <f>Geral!$C$12</f>
        <v>Florianópolis</v>
      </c>
      <c r="E16" s="49" t="str">
        <f>Geral!$C$11</f>
        <v>SC</v>
      </c>
      <c r="F16" s="51" t="str">
        <f>Geral!$C$16</f>
        <v>Escritórios</v>
      </c>
      <c r="G16" s="7" t="s">
        <v>14</v>
      </c>
      <c r="H16" s="7" t="s">
        <v>14</v>
      </c>
      <c r="I16" s="9" t="s">
        <v>14</v>
      </c>
      <c r="J16" s="10" t="s">
        <v>14</v>
      </c>
      <c r="K16" s="9" t="s">
        <v>14</v>
      </c>
      <c r="L16" s="10" t="s">
        <v>14</v>
      </c>
      <c r="M16" s="9" t="s">
        <v>14</v>
      </c>
      <c r="N16" s="10" t="s">
        <v>14</v>
      </c>
      <c r="O16" s="9" t="s">
        <v>14</v>
      </c>
      <c r="P16" s="10" t="s">
        <v>14</v>
      </c>
      <c r="Q16" s="8" t="s">
        <v>14</v>
      </c>
      <c r="R16" s="7" t="s">
        <v>14</v>
      </c>
      <c r="S16" s="8" t="s">
        <v>14</v>
      </c>
      <c r="T16" s="9" t="s">
        <v>14</v>
      </c>
      <c r="U16" s="11" t="s">
        <v>14</v>
      </c>
      <c r="V16" s="7">
        <v>0</v>
      </c>
      <c r="W16" s="7" t="s">
        <v>159</v>
      </c>
      <c r="X16" s="7" t="s">
        <v>15</v>
      </c>
      <c r="Y16" s="9" t="s">
        <v>25</v>
      </c>
      <c r="Z16" s="10">
        <v>430.71</v>
      </c>
      <c r="AA16" s="9" t="s">
        <v>34</v>
      </c>
      <c r="AB16" s="10">
        <v>199.2</v>
      </c>
      <c r="AC16" s="9" t="s">
        <v>25</v>
      </c>
      <c r="AD16" s="10">
        <v>128.99</v>
      </c>
      <c r="AE16" s="9" t="s">
        <v>105</v>
      </c>
      <c r="AF16" s="10">
        <v>21.02</v>
      </c>
      <c r="AG16" s="8">
        <v>0.39700000000000002</v>
      </c>
      <c r="AH16" s="7" t="s">
        <v>35</v>
      </c>
      <c r="AI16" s="8">
        <v>0.246</v>
      </c>
      <c r="AJ16" s="9" t="s">
        <v>25</v>
      </c>
      <c r="AK16" s="11">
        <v>861762.95</v>
      </c>
      <c r="AL16" s="7">
        <v>1</v>
      </c>
    </row>
    <row r="19" spans="6:6" x14ac:dyDescent="0.25">
      <c r="F19" s="4"/>
    </row>
  </sheetData>
  <mergeCells count="37">
    <mergeCell ref="AA12:AB12"/>
    <mergeCell ref="J2:K2"/>
    <mergeCell ref="C7:E7"/>
    <mergeCell ref="C2:H2"/>
    <mergeCell ref="C3:H3"/>
    <mergeCell ref="C4:H4"/>
    <mergeCell ref="C6:H6"/>
    <mergeCell ref="F7:H7"/>
    <mergeCell ref="G11:V11"/>
    <mergeCell ref="W11:AL11"/>
    <mergeCell ref="G12:G13"/>
    <mergeCell ref="H12:H13"/>
    <mergeCell ref="I12:J12"/>
    <mergeCell ref="K12:L12"/>
    <mergeCell ref="M12:N12"/>
    <mergeCell ref="O12:P12"/>
    <mergeCell ref="AL12:AL13"/>
    <mergeCell ref="AC12:AD12"/>
    <mergeCell ref="AE12:AF12"/>
    <mergeCell ref="AG12:AG13"/>
    <mergeCell ref="AH12:AH13"/>
    <mergeCell ref="AI12:AI13"/>
    <mergeCell ref="AJ12:AK12"/>
    <mergeCell ref="W12:W13"/>
    <mergeCell ref="Y12:Z12"/>
    <mergeCell ref="X12:X13"/>
    <mergeCell ref="F11:F13"/>
    <mergeCell ref="A11:A13"/>
    <mergeCell ref="B11:B13"/>
    <mergeCell ref="C11:C13"/>
    <mergeCell ref="D11:D13"/>
    <mergeCell ref="E11:E13"/>
    <mergeCell ref="Q12:Q13"/>
    <mergeCell ref="R12:R13"/>
    <mergeCell ref="S12:S13"/>
    <mergeCell ref="T12:U12"/>
    <mergeCell ref="V12:V13"/>
  </mergeCells>
  <conditionalFormatting sqref="I1:I1048576 K1 M1:M14 O1:O14 T1:T14 O17:O1048576 M17:M1048576 T16:T1048576 K3:K1048576">
    <cfRule type="cellIs" dxfId="59" priority="55" operator="equal">
      <formula>"E"</formula>
    </cfRule>
    <cfRule type="cellIs" dxfId="58" priority="56" operator="equal">
      <formula>"D"</formula>
    </cfRule>
    <cfRule type="cellIs" dxfId="57" priority="57" operator="equal">
      <formula>"C"</formula>
    </cfRule>
    <cfRule type="cellIs" dxfId="56" priority="58" operator="equal">
      <formula>"B"</formula>
    </cfRule>
    <cfRule type="cellIs" dxfId="55" priority="59" operator="equal">
      <formula>"A+"</formula>
    </cfRule>
    <cfRule type="cellIs" dxfId="54" priority="60" operator="equal">
      <formula>"A"</formula>
    </cfRule>
  </conditionalFormatting>
  <conditionalFormatting sqref="AA1:AA14 AC1:AC14 AE1:AE14 AJ1:AJ14 Y1:Y15 AJ17:AJ1048576 AE17:AE1048576 AC17:AC1048576 AA17:AA1048576 Y17:Y1048576">
    <cfRule type="cellIs" dxfId="53" priority="49" operator="equal">
      <formula>"E"</formula>
    </cfRule>
    <cfRule type="cellIs" dxfId="52" priority="50" operator="equal">
      <formula>"D"</formula>
    </cfRule>
    <cfRule type="cellIs" dxfId="51" priority="51" operator="equal">
      <formula>"C"</formula>
    </cfRule>
    <cfRule type="cellIs" dxfId="50" priority="52" operator="equal">
      <formula>"B"</formula>
    </cfRule>
    <cfRule type="cellIs" dxfId="49" priority="53" operator="equal">
      <formula>"A+"</formula>
    </cfRule>
    <cfRule type="cellIs" dxfId="48" priority="54" operator="equal">
      <formula>"A"</formula>
    </cfRule>
  </conditionalFormatting>
  <conditionalFormatting sqref="M15 O15">
    <cfRule type="cellIs" dxfId="47" priority="43" operator="equal">
      <formula>"E"</formula>
    </cfRule>
    <cfRule type="cellIs" dxfId="46" priority="44" operator="equal">
      <formula>"D"</formula>
    </cfRule>
    <cfRule type="cellIs" dxfId="45" priority="45" operator="equal">
      <formula>"C"</formula>
    </cfRule>
    <cfRule type="cellIs" dxfId="44" priority="46" operator="equal">
      <formula>"B"</formula>
    </cfRule>
    <cfRule type="cellIs" dxfId="43" priority="47" operator="equal">
      <formula>"A+"</formula>
    </cfRule>
    <cfRule type="cellIs" dxfId="42" priority="48" operator="equal">
      <formula>"A"</formula>
    </cfRule>
  </conditionalFormatting>
  <conditionalFormatting sqref="M16 O16">
    <cfRule type="cellIs" dxfId="41" priority="37" operator="equal">
      <formula>"E"</formula>
    </cfRule>
    <cfRule type="cellIs" dxfId="40" priority="38" operator="equal">
      <formula>"D"</formula>
    </cfRule>
    <cfRule type="cellIs" dxfId="39" priority="39" operator="equal">
      <formula>"C"</formula>
    </cfRule>
    <cfRule type="cellIs" dxfId="38" priority="40" operator="equal">
      <formula>"B"</formula>
    </cfRule>
    <cfRule type="cellIs" dxfId="37" priority="41" operator="equal">
      <formula>"A+"</formula>
    </cfRule>
    <cfRule type="cellIs" dxfId="36" priority="42" operator="equal">
      <formula>"A"</formula>
    </cfRule>
  </conditionalFormatting>
  <conditionalFormatting sqref="T15">
    <cfRule type="cellIs" dxfId="35" priority="31" operator="equal">
      <formula>"E"</formula>
    </cfRule>
    <cfRule type="cellIs" dxfId="34" priority="32" operator="equal">
      <formula>"D"</formula>
    </cfRule>
    <cfRule type="cellIs" dxfId="33" priority="33" operator="equal">
      <formula>"C"</formula>
    </cfRule>
    <cfRule type="cellIs" dxfId="32" priority="34" operator="equal">
      <formula>"B"</formula>
    </cfRule>
    <cfRule type="cellIs" dxfId="31" priority="35" operator="equal">
      <formula>"A+"</formula>
    </cfRule>
    <cfRule type="cellIs" dxfId="30" priority="36" operator="equal">
      <formula>"A"</formula>
    </cfRule>
  </conditionalFormatting>
  <conditionalFormatting sqref="AA15">
    <cfRule type="cellIs" dxfId="29" priority="25" operator="equal">
      <formula>"E"</formula>
    </cfRule>
    <cfRule type="cellIs" dxfId="28" priority="26" operator="equal">
      <formula>"D"</formula>
    </cfRule>
    <cfRule type="cellIs" dxfId="27" priority="27" operator="equal">
      <formula>"C"</formula>
    </cfRule>
    <cfRule type="cellIs" dxfId="26" priority="28" operator="equal">
      <formula>"B"</formula>
    </cfRule>
    <cfRule type="cellIs" dxfId="25" priority="29" operator="equal">
      <formula>"A+"</formula>
    </cfRule>
    <cfRule type="cellIs" dxfId="24" priority="30" operator="equal">
      <formula>"A"</formula>
    </cfRule>
  </conditionalFormatting>
  <conditionalFormatting sqref="AC15 AE15">
    <cfRule type="cellIs" dxfId="23" priority="19" operator="equal">
      <formula>"E"</formula>
    </cfRule>
    <cfRule type="cellIs" dxfId="22" priority="20" operator="equal">
      <formula>"D"</formula>
    </cfRule>
    <cfRule type="cellIs" dxfId="21" priority="21" operator="equal">
      <formula>"C"</formula>
    </cfRule>
    <cfRule type="cellIs" dxfId="20" priority="22" operator="equal">
      <formula>"B"</formula>
    </cfRule>
    <cfRule type="cellIs" dxfId="19" priority="23" operator="equal">
      <formula>"A+"</formula>
    </cfRule>
    <cfRule type="cellIs" dxfId="18" priority="24" operator="equal">
      <formula>"A"</formula>
    </cfRule>
  </conditionalFormatting>
  <conditionalFormatting sqref="AJ15">
    <cfRule type="cellIs" dxfId="17" priority="13" operator="equal">
      <formula>"E"</formula>
    </cfRule>
    <cfRule type="cellIs" dxfId="16" priority="14" operator="equal">
      <formula>"D"</formula>
    </cfRule>
    <cfRule type="cellIs" dxfId="15" priority="15" operator="equal">
      <formula>"C"</formula>
    </cfRule>
    <cfRule type="cellIs" dxfId="14" priority="16" operator="equal">
      <formula>"B"</formula>
    </cfRule>
    <cfRule type="cellIs" dxfId="13" priority="17" operator="equal">
      <formula>"A+"</formula>
    </cfRule>
    <cfRule type="cellIs" dxfId="12" priority="18" operator="equal">
      <formula>"A"</formula>
    </cfRule>
  </conditionalFormatting>
  <conditionalFormatting sqref="Y16 AJ16 AA16">
    <cfRule type="cellIs" dxfId="11" priority="7" operator="equal">
      <formula>"E"</formula>
    </cfRule>
    <cfRule type="cellIs" dxfId="10" priority="8" operator="equal">
      <formula>"D"</formula>
    </cfRule>
    <cfRule type="cellIs" dxfId="9" priority="9" operator="equal">
      <formula>"C"</formula>
    </cfRule>
    <cfRule type="cellIs" dxfId="8" priority="10" operator="equal">
      <formula>"B"</formula>
    </cfRule>
    <cfRule type="cellIs" dxfId="7" priority="11" operator="equal">
      <formula>"A+"</formula>
    </cfRule>
    <cfRule type="cellIs" dxfId="6" priority="12" operator="equal">
      <formula>"A"</formula>
    </cfRule>
  </conditionalFormatting>
  <conditionalFormatting sqref="AC16 AE16">
    <cfRule type="cellIs" dxfId="5" priority="1" operator="equal">
      <formula>"E"</formula>
    </cfRule>
    <cfRule type="cellIs" dxfId="4" priority="2" operator="equal">
      <formula>"D"</formula>
    </cfRule>
    <cfRule type="cellIs" dxfId="3" priority="3" operator="equal">
      <formula>"C"</formula>
    </cfRule>
    <cfRule type="cellIs" dxfId="2" priority="4" operator="equal">
      <formula>"B"</formula>
    </cfRule>
    <cfRule type="cellIs" dxfId="1" priority="5" operator="equal">
      <formula>"A+"</formula>
    </cfRule>
    <cfRule type="cellIs" dxfId="0" priority="6" operator="equal">
      <formula>"A"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Aux_Lista!$A$2:$A$11</xm:f>
          </x14:formula1>
          <xm:sqref>F14:F16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A111"/>
  <sheetViews>
    <sheetView showGridLines="0" topLeftCell="AP1" zoomScale="85" zoomScaleNormal="85" workbookViewId="0">
      <selection activeCell="F10" sqref="F10:BO15"/>
    </sheetView>
  </sheetViews>
  <sheetFormatPr defaultColWidth="9.140625" defaultRowHeight="15" x14ac:dyDescent="0.25"/>
  <cols>
    <col min="1" max="1" width="5.7109375" customWidth="1"/>
    <col min="2" max="2" width="18.5703125" bestFit="1" customWidth="1"/>
    <col min="3" max="3" width="13.7109375" bestFit="1" customWidth="1"/>
    <col min="4" max="4" width="8.42578125" customWidth="1"/>
    <col min="5" max="5" width="9.7109375" customWidth="1"/>
    <col min="6" max="16" width="8.85546875"/>
    <col min="17" max="17" width="12.140625" customWidth="1"/>
    <col min="18" max="24" width="8.85546875"/>
    <col min="25" max="25" width="9.7109375" customWidth="1"/>
    <col min="26" max="26" width="8.85546875"/>
    <col min="27" max="27" width="9.140625" style="2"/>
    <col min="28" max="56" width="8.85546875"/>
    <col min="57" max="57" width="12.28515625" bestFit="1" customWidth="1"/>
    <col min="58" max="59" width="8.85546875"/>
    <col min="60" max="67" width="11.42578125" customWidth="1"/>
    <col min="68" max="68" width="3.42578125" customWidth="1"/>
    <col min="69" max="69" width="42.140625" style="28" bestFit="1" customWidth="1"/>
    <col min="70" max="70" width="9.140625" style="28"/>
    <col min="71" max="76" width="26" style="28" customWidth="1"/>
    <col min="77" max="16384" width="9.140625" style="28"/>
  </cols>
  <sheetData>
    <row r="2" spans="1:68" ht="28.5" customHeight="1" x14ac:dyDescent="0.25"/>
    <row r="3" spans="1:68" s="29" customForma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5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</row>
    <row r="5" spans="1:68" ht="18.75" x14ac:dyDescent="0.3">
      <c r="A5" s="39"/>
      <c r="B5" s="40" t="s">
        <v>179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58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</row>
    <row r="7" spans="1:68" ht="30" x14ac:dyDescent="0.25">
      <c r="B7" s="68" t="s">
        <v>171</v>
      </c>
      <c r="C7" s="69" t="str">
        <f>Geral!C7</f>
        <v>Exemplo Ltda</v>
      </c>
      <c r="N7" s="380"/>
      <c r="O7" s="380"/>
      <c r="P7" s="380"/>
      <c r="Q7" s="380"/>
    </row>
    <row r="8" spans="1:68" x14ac:dyDescent="0.25">
      <c r="B8" s="68" t="s">
        <v>122</v>
      </c>
      <c r="C8" s="69" t="str">
        <f>Geral!C10</f>
        <v>Projeto</v>
      </c>
      <c r="N8" s="380"/>
      <c r="O8" s="380"/>
      <c r="P8" s="380"/>
      <c r="Q8" s="380"/>
    </row>
    <row r="9" spans="1:68" x14ac:dyDescent="0.25">
      <c r="N9" s="380"/>
      <c r="O9" s="380"/>
      <c r="P9" s="380"/>
      <c r="Q9" s="380"/>
      <c r="AB9" s="503" t="s">
        <v>6192</v>
      </c>
      <c r="AC9" s="503"/>
      <c r="AD9" s="503"/>
      <c r="AE9" s="503"/>
      <c r="AF9" s="503"/>
      <c r="AG9" s="503"/>
      <c r="AH9" s="503"/>
      <c r="AI9" s="503"/>
      <c r="AJ9" s="503"/>
      <c r="AK9" s="503"/>
      <c r="AL9" s="503"/>
      <c r="AM9" s="503"/>
      <c r="AN9" s="503"/>
      <c r="AO9" s="504"/>
      <c r="AR9">
        <v>3</v>
      </c>
      <c r="AS9">
        <v>4</v>
      </c>
      <c r="AT9">
        <v>5</v>
      </c>
      <c r="AU9">
        <v>6</v>
      </c>
      <c r="AV9">
        <v>7</v>
      </c>
      <c r="AW9">
        <v>2</v>
      </c>
      <c r="AX9">
        <v>3</v>
      </c>
      <c r="AY9">
        <v>4</v>
      </c>
      <c r="AZ9">
        <v>5</v>
      </c>
      <c r="BA9">
        <v>6</v>
      </c>
      <c r="BB9">
        <v>7</v>
      </c>
      <c r="BC9">
        <v>2</v>
      </c>
      <c r="BD9">
        <v>3</v>
      </c>
      <c r="BG9">
        <v>10</v>
      </c>
      <c r="BH9">
        <v>2</v>
      </c>
      <c r="BI9">
        <v>3</v>
      </c>
      <c r="BJ9">
        <v>4</v>
      </c>
      <c r="BK9">
        <v>5</v>
      </c>
      <c r="BL9">
        <v>6</v>
      </c>
      <c r="BM9">
        <v>7</v>
      </c>
      <c r="BN9">
        <v>8</v>
      </c>
      <c r="BO9">
        <v>9</v>
      </c>
    </row>
    <row r="10" spans="1:68" ht="45" x14ac:dyDescent="0.25">
      <c r="B10" s="367" t="s">
        <v>8</v>
      </c>
      <c r="C10" s="367" t="s">
        <v>47</v>
      </c>
      <c r="D10" s="367" t="s">
        <v>46</v>
      </c>
      <c r="E10" s="367" t="s">
        <v>48</v>
      </c>
      <c r="F10" s="368" t="s">
        <v>6133</v>
      </c>
      <c r="G10" s="368" t="s">
        <v>6134</v>
      </c>
      <c r="H10" s="368" t="s">
        <v>6135</v>
      </c>
      <c r="I10" s="368" t="s">
        <v>6136</v>
      </c>
      <c r="J10" s="369" t="s">
        <v>6137</v>
      </c>
      <c r="K10" s="369" t="s">
        <v>6138</v>
      </c>
      <c r="L10" s="368" t="s">
        <v>6139</v>
      </c>
      <c r="M10" s="368" t="s">
        <v>6140</v>
      </c>
      <c r="N10" s="368" t="s">
        <v>6141</v>
      </c>
      <c r="O10" s="368" t="s">
        <v>6145</v>
      </c>
      <c r="P10" s="368" t="s">
        <v>6144</v>
      </c>
      <c r="Q10" s="368" t="s">
        <v>6143</v>
      </c>
      <c r="R10" s="369" t="s">
        <v>6142</v>
      </c>
      <c r="S10" s="369" t="s">
        <v>6199</v>
      </c>
      <c r="T10" s="367" t="s">
        <v>6146</v>
      </c>
      <c r="U10" s="367" t="s">
        <v>6147</v>
      </c>
      <c r="V10" s="369" t="s">
        <v>6200</v>
      </c>
      <c r="W10" s="369" t="s">
        <v>6201</v>
      </c>
      <c r="X10" s="367" t="s">
        <v>6148</v>
      </c>
      <c r="Y10" s="367" t="s">
        <v>6149</v>
      </c>
      <c r="Z10" s="367" t="s">
        <v>6150</v>
      </c>
      <c r="AA10" s="369" t="s">
        <v>6151</v>
      </c>
      <c r="AB10" s="372" t="s">
        <v>6178</v>
      </c>
      <c r="AC10" s="372" t="s">
        <v>6179</v>
      </c>
      <c r="AD10" s="372" t="s">
        <v>6180</v>
      </c>
      <c r="AE10" s="372" t="s">
        <v>6181</v>
      </c>
      <c r="AF10" s="372" t="s">
        <v>6182</v>
      </c>
      <c r="AG10" s="372" t="s">
        <v>6183</v>
      </c>
      <c r="AH10" s="372" t="s">
        <v>6184</v>
      </c>
      <c r="AI10" s="372" t="s">
        <v>6185</v>
      </c>
      <c r="AJ10" s="372" t="s">
        <v>6186</v>
      </c>
      <c r="AK10" s="372" t="s">
        <v>6187</v>
      </c>
      <c r="AL10" s="372" t="s">
        <v>6188</v>
      </c>
      <c r="AM10" s="372" t="s">
        <v>6189</v>
      </c>
      <c r="AN10" s="372" t="s">
        <v>6190</v>
      </c>
      <c r="AO10" s="372" t="s">
        <v>6191</v>
      </c>
      <c r="AP10" s="367" t="s">
        <v>6152</v>
      </c>
      <c r="AQ10" s="368" t="s">
        <v>6153</v>
      </c>
      <c r="AR10" s="368" t="s">
        <v>6154</v>
      </c>
      <c r="AS10" s="368" t="s">
        <v>6155</v>
      </c>
      <c r="AT10" s="368" t="s">
        <v>6156</v>
      </c>
      <c r="AU10" s="368" t="s">
        <v>6157</v>
      </c>
      <c r="AV10" s="368" t="s">
        <v>6158</v>
      </c>
      <c r="AW10" s="369" t="s">
        <v>6159</v>
      </c>
      <c r="AX10" s="369" t="s">
        <v>6160</v>
      </c>
      <c r="AY10" s="369" t="s">
        <v>6161</v>
      </c>
      <c r="AZ10" s="369" t="s">
        <v>6162</v>
      </c>
      <c r="BA10" s="369" t="s">
        <v>6163</v>
      </c>
      <c r="BB10" s="369" t="s">
        <v>6164</v>
      </c>
      <c r="BC10" s="369" t="s">
        <v>6165</v>
      </c>
      <c r="BD10" s="369" t="s">
        <v>6166</v>
      </c>
      <c r="BE10" s="368" t="s">
        <v>6168</v>
      </c>
      <c r="BF10" s="368" t="s">
        <v>6167</v>
      </c>
      <c r="BG10" s="368" t="s">
        <v>6169</v>
      </c>
      <c r="BH10" s="368" t="s">
        <v>6170</v>
      </c>
      <c r="BI10" s="368" t="s">
        <v>6171</v>
      </c>
      <c r="BJ10" s="368" t="s">
        <v>6172</v>
      </c>
      <c r="BK10" s="368" t="s">
        <v>6173</v>
      </c>
      <c r="BL10" s="368" t="s">
        <v>6174</v>
      </c>
      <c r="BM10" s="368" t="s">
        <v>6175</v>
      </c>
      <c r="BN10" s="368" t="s">
        <v>6176</v>
      </c>
      <c r="BO10" s="368" t="s">
        <v>6177</v>
      </c>
    </row>
    <row r="11" spans="1:68" s="32" customFormat="1" x14ac:dyDescent="0.25">
      <c r="A11" s="1">
        <v>1</v>
      </c>
      <c r="B11" s="370" t="str">
        <f>Envoltória!I16</f>
        <v>Escritórios</v>
      </c>
      <c r="C11" s="371" t="str">
        <f>Envoltória!B16</f>
        <v>Térreo (único pvto)</v>
      </c>
      <c r="D11" s="371" t="str">
        <f>Envoltória!C16</f>
        <v>Sala 01 ZT1</v>
      </c>
      <c r="E11" s="381">
        <f>Envoltória!D16</f>
        <v>92.25</v>
      </c>
      <c r="F11" s="382">
        <f>Envoltória!E16</f>
        <v>3</v>
      </c>
      <c r="G11" s="382">
        <f>IF(BF11=1,(((2/4.5)*E11)+9)/2,SQRT(E11))</f>
        <v>25</v>
      </c>
      <c r="H11" s="383">
        <f>Envoltória!O16/100</f>
        <v>0.5</v>
      </c>
      <c r="I11" s="383">
        <f>IF(BF11=1,Envoltória!Q16,90)</f>
        <v>30</v>
      </c>
      <c r="J11" s="384">
        <f>IFERROR(VLOOKUP(Envoltória!M16,Componentes!$P:$R,2,FALSE),"")</f>
        <v>3.33</v>
      </c>
      <c r="K11" s="384">
        <f>IFERROR(VLOOKUP(Envoltória!M16,Componentes!$P:$R,3,FALSE),"")</f>
        <v>220</v>
      </c>
      <c r="L11" s="383">
        <f>IF(ISERROR(VLOOKUP(Envoltória!L16,Componentes!K:N,2,FALSE)),0,VLOOKUP(Envoltória!L16,Componentes!K:N,2,FALSE))</f>
        <v>2.06</v>
      </c>
      <c r="M11" s="383">
        <f>IF(ISERROR(VLOOKUP(Envoltória!L16,Componentes!K:N,3,FALSE)),0,VLOOKUP(Envoltória!L16,Componentes!K:N,3,FALSE))</f>
        <v>233</v>
      </c>
      <c r="N11" s="385">
        <f>IFERROR(IF(BB11&lt;&gt;0,VLOOKUP(Envoltória!L16,Componentes!K:N,4,FALSE),0),"")</f>
        <v>0.8</v>
      </c>
      <c r="O11" s="383">
        <f>IF(BF11=1,VLOOKUP(Envoltória!J16,Componentes!B:E,2,FALSE),-6)</f>
        <v>2.39</v>
      </c>
      <c r="P11" s="383">
        <f>IF(BF11=1,VLOOKUP(Envoltória!J16,Componentes!B:E,3,FALSE),-400)</f>
        <v>150</v>
      </c>
      <c r="Q11" s="383">
        <f>IF(BF11=1,VLOOKUP(Envoltória!J16,Componentes!B:E,4,FALSE),0)</f>
        <v>0.5</v>
      </c>
      <c r="R11" s="384">
        <f>IFERROR(VLOOKUP(Envoltória!K16,Componentes!G:I,2,FALSE),"")</f>
        <v>2.39</v>
      </c>
      <c r="S11" s="384">
        <f>IFERROR(VLOOKUP(Envoltória!K16,Componentes!G:I,3,FALSE),"")</f>
        <v>150</v>
      </c>
      <c r="T11" s="383">
        <f>IFERROR(IF(H11&lt;&gt;0,VLOOKUP(Envoltória!N16,Componentes!T:V,3,FALSE),0),"")</f>
        <v>0.82</v>
      </c>
      <c r="U11" s="383">
        <f>IFERROR(IF(H11&lt;&gt;0,VLOOKUP(Envoltória!N16,Componentes!T:V,2,FALSE),0),"")</f>
        <v>5.7</v>
      </c>
      <c r="V11" s="384">
        <f>IFERROR(IF(AA11&lt;&gt;0,VLOOKUP(Envoltória!U16,Componentes!X:Z,2,FALSE),0),"")</f>
        <v>0</v>
      </c>
      <c r="W11" s="384">
        <f>IFERROR(IF(AA11&lt;&gt;0,VLOOKUP(Envoltória!U16,Componentes!X:Z,3,FALSE),0),"")</f>
        <v>0</v>
      </c>
      <c r="X11" s="383">
        <f>Envoltória!X16</f>
        <v>0.1</v>
      </c>
      <c r="Y11" s="383">
        <f>Envoltória!V16</f>
        <v>14.1</v>
      </c>
      <c r="Z11" s="383">
        <f>Envoltória!W16</f>
        <v>15</v>
      </c>
      <c r="AA11" s="386">
        <f>Envoltória!T16/100</f>
        <v>0</v>
      </c>
      <c r="AB11" s="387"/>
      <c r="AC11" s="387"/>
      <c r="AD11" s="387"/>
      <c r="AE11" s="387"/>
      <c r="AF11" s="387"/>
      <c r="AG11" s="387"/>
      <c r="AH11" s="387"/>
      <c r="AI11" s="387"/>
      <c r="AJ11" s="387"/>
      <c r="AK11" s="387"/>
      <c r="AL11" s="387"/>
      <c r="AM11" s="387"/>
      <c r="AN11" s="387"/>
      <c r="AO11" s="387"/>
      <c r="AP11" s="383">
        <f>IF(BF11=0,90,Envoltória!S16)</f>
        <v>0</v>
      </c>
      <c r="AQ11" s="383">
        <f>IF(BF11=0,90,Envoltória!R16)</f>
        <v>0</v>
      </c>
      <c r="AR11" s="383">
        <f t="shared" ref="AR11:AV20" si="0">IFERROR(VLOOKUP($B11,$BQ$21:$BW$31,AR$9,FALSE),"")</f>
        <v>1</v>
      </c>
      <c r="AS11" s="383">
        <f t="shared" si="0"/>
        <v>0</v>
      </c>
      <c r="AT11" s="383">
        <f t="shared" si="0"/>
        <v>0</v>
      </c>
      <c r="AU11" s="383">
        <f t="shared" si="0"/>
        <v>0</v>
      </c>
      <c r="AV11" s="383">
        <f t="shared" si="0"/>
        <v>0</v>
      </c>
      <c r="AW11" s="384">
        <f>IFERROR(VLOOKUP(Envoltória!$B16,Aux_Lista!$N$2:$T$7,AW$9,FALSE),"")</f>
        <v>0</v>
      </c>
      <c r="AX11" s="384">
        <f>IFERROR(VLOOKUP(Envoltória!$B16,Aux_Lista!$N$2:$T$7,AX$9,FALSE),"")</f>
        <v>1</v>
      </c>
      <c r="AY11" s="384">
        <f>IFERROR(VLOOKUP(Envoltória!$B16,Aux_Lista!$N$2:$T$7,AY$9,FALSE),"")</f>
        <v>1</v>
      </c>
      <c r="AZ11" s="384">
        <f>IFERROR(VLOOKUP(Envoltória!$B16,Aux_Lista!$N$2:$T$7,AZ$9,FALSE),"")</f>
        <v>0</v>
      </c>
      <c r="BA11" s="384">
        <f>IFERROR(VLOOKUP(Envoltória!$B16,Aux_Lista!$N$2:$T$7,BA$9,FALSE),"")</f>
        <v>0</v>
      </c>
      <c r="BB11" s="384">
        <f>IFERROR(VLOOKUP(Envoltória!$B16,Aux_Lista!$N$2:$T$7,BB$9,FALSE),"")</f>
        <v>1</v>
      </c>
      <c r="BC11" s="384">
        <f>IFERROR(VLOOKUP(Envoltória!$H16,Aux_Lista!$V$2:$X$3,BC$9,FALSE),"")</f>
        <v>1</v>
      </c>
      <c r="BD11" s="384">
        <f>IFERROR(VLOOKUP(Envoltória!$H16,Aux_Lista!$V$2:$X$3,BD$9,FALSE),"")</f>
        <v>0</v>
      </c>
      <c r="BE11" s="382">
        <f>IF(BF11=0,1,0)</f>
        <v>0</v>
      </c>
      <c r="BF11" s="382">
        <f>IFERROR(VLOOKUP(Envoltória!F16,CB3E_Envoltória!$BQ$18:$BR$19,2,FALSE),"")</f>
        <v>1</v>
      </c>
      <c r="BG11" s="382">
        <f>IFERROR(VLOOKUP(Envoltória!$G16,$BQ$35:$BZ$43,BG$9,FALSE),"")</f>
        <v>0</v>
      </c>
      <c r="BH11" s="382">
        <f>IFERROR(VLOOKUP(Envoltória!$G16,$BQ$35:$BZ$43,BH$9,FALSE),"")</f>
        <v>1</v>
      </c>
      <c r="BI11" s="382">
        <f>IFERROR(VLOOKUP(Envoltória!$G16,$BQ$35:$BZ$43,BI$9,FALSE),"")</f>
        <v>0</v>
      </c>
      <c r="BJ11" s="382">
        <f>IFERROR(VLOOKUP(Envoltória!$G16,$BQ$35:$BZ$43,BJ$9,FALSE),"")</f>
        <v>0</v>
      </c>
      <c r="BK11" s="382">
        <f>IFERROR(VLOOKUP(Envoltória!$G16,$BQ$35:$BZ$43,BK$9,FALSE),"")</f>
        <v>0</v>
      </c>
      <c r="BL11" s="382">
        <f>IFERROR(VLOOKUP(Envoltória!$G16,$BQ$35:$BZ$43,BL$9,FALSE),"")</f>
        <v>0</v>
      </c>
      <c r="BM11" s="382">
        <f>IFERROR(VLOOKUP(Envoltória!$G16,$BQ$35:$BZ$43,BM$9,FALSE),"")</f>
        <v>0</v>
      </c>
      <c r="BN11" s="382">
        <f>IFERROR(VLOOKUP(Envoltória!$G16,$BQ$35:$BZ$43,BN$9,FALSE),"")</f>
        <v>0</v>
      </c>
      <c r="BO11" s="382">
        <f>IFERROR(VLOOKUP(Envoltória!$G16,$BQ$35:$BZ$43,BO$9,FALSE),"")</f>
        <v>0</v>
      </c>
      <c r="BP11" s="363"/>
    </row>
    <row r="12" spans="1:68" s="32" customFormat="1" x14ac:dyDescent="0.25">
      <c r="A12" s="364">
        <v>2</v>
      </c>
      <c r="B12" s="370" t="str">
        <f>Envoltória!I17</f>
        <v>Escritórios</v>
      </c>
      <c r="C12" s="371" t="str">
        <f>Envoltória!B17</f>
        <v>Térreo (único pvto)</v>
      </c>
      <c r="D12" s="371" t="str">
        <f>Envoltória!C17</f>
        <v>Sala 01 ZT2</v>
      </c>
      <c r="E12" s="381">
        <f>Envoltória!D17</f>
        <v>92.25</v>
      </c>
      <c r="F12" s="382">
        <f>Envoltória!E17</f>
        <v>3</v>
      </c>
      <c r="G12" s="382">
        <f t="shared" ref="G12:G75" si="1">IF(BF12=1,(((2/4.5)*E12)+9)/2,SQRT(E12))</f>
        <v>25</v>
      </c>
      <c r="H12" s="383">
        <f>Envoltória!O17/100</f>
        <v>0</v>
      </c>
      <c r="I12" s="383">
        <f>IF(BF12=1,Envoltória!Q17,90)</f>
        <v>0</v>
      </c>
      <c r="J12" s="384">
        <f>IFERROR(VLOOKUP(Envoltória!M17,Componentes!$P:$R,2,FALSE),"")</f>
        <v>3.33</v>
      </c>
      <c r="K12" s="384">
        <f>IFERROR(VLOOKUP(Envoltória!M17,Componentes!$P:$R,3,FALSE),"")</f>
        <v>220</v>
      </c>
      <c r="L12" s="383">
        <f>IF(ISERROR(VLOOKUP(Envoltória!L17,Componentes!K:N,2,FALSE)),0,VLOOKUP(Envoltória!L17,Componentes!K:N,2,FALSE))</f>
        <v>2.06</v>
      </c>
      <c r="M12" s="383">
        <f>IF(ISERROR(VLOOKUP(Envoltória!L17,Componentes!K:N,3,FALSE)),0,VLOOKUP(Envoltória!L17,Componentes!K:N,3,FALSE))</f>
        <v>233</v>
      </c>
      <c r="N12" s="385">
        <f>IFERROR(IF(BB12&lt;&gt;0,VLOOKUP(Envoltória!L17,Componentes!K:N,4,FALSE),0),"")</f>
        <v>0.8</v>
      </c>
      <c r="O12" s="383">
        <f>IF(BF12=1,VLOOKUP(Envoltória!J17,Componentes!B:E,2,FALSE),-6)</f>
        <v>2.39</v>
      </c>
      <c r="P12" s="383">
        <f>IF(BF12=1,VLOOKUP(Envoltória!J17,Componentes!B:E,3,FALSE),-400)</f>
        <v>150</v>
      </c>
      <c r="Q12" s="383">
        <f>IF(BF12=1,VLOOKUP(Envoltória!J17,Componentes!B:E,4,FALSE),0)</f>
        <v>0.5</v>
      </c>
      <c r="R12" s="384">
        <f>IFERROR(VLOOKUP(Envoltória!K17,Componentes!G:I,2,FALSE),"")</f>
        <v>2.39</v>
      </c>
      <c r="S12" s="384">
        <f>IFERROR(VLOOKUP(Envoltória!K17,Componentes!G:I,3,FALSE),"")</f>
        <v>150</v>
      </c>
      <c r="T12" s="383">
        <f>IFERROR(IF(H12&lt;&gt;0,VLOOKUP(Envoltória!N17,Componentes!T:V,3,FALSE),0),"")</f>
        <v>0</v>
      </c>
      <c r="U12" s="383">
        <f>IFERROR(IF(H12&lt;&gt;0,VLOOKUP(Envoltória!N17,Componentes!T:V,2,FALSE),0),"")</f>
        <v>0</v>
      </c>
      <c r="V12" s="384">
        <f>IFERROR(IF(AA12&lt;&gt;0,VLOOKUP(Envoltória!U17,Componentes!X:Z,2,FALSE),0),"")</f>
        <v>0</v>
      </c>
      <c r="W12" s="384">
        <f>IFERROR(IF(AA12&lt;&gt;0,VLOOKUP(Envoltória!U17,Componentes!X:Z,3,FALSE),0),"")</f>
        <v>0</v>
      </c>
      <c r="X12" s="383">
        <f>Envoltória!X17</f>
        <v>0.1</v>
      </c>
      <c r="Y12" s="383">
        <f>Envoltória!V17</f>
        <v>14.1</v>
      </c>
      <c r="Z12" s="383">
        <f>Envoltória!W17</f>
        <v>15</v>
      </c>
      <c r="AA12" s="386">
        <f>Envoltória!T17/100</f>
        <v>0</v>
      </c>
      <c r="AB12" s="387"/>
      <c r="AC12" s="387"/>
      <c r="AD12" s="387"/>
      <c r="AE12" s="387"/>
      <c r="AF12" s="387"/>
      <c r="AG12" s="387"/>
      <c r="AH12" s="387"/>
      <c r="AI12" s="387"/>
      <c r="AJ12" s="387"/>
      <c r="AK12" s="387"/>
      <c r="AL12" s="387"/>
      <c r="AM12" s="387"/>
      <c r="AN12" s="387"/>
      <c r="AO12" s="387"/>
      <c r="AP12" s="383">
        <f>IF(BF12=0,90,Envoltória!S17)</f>
        <v>0</v>
      </c>
      <c r="AQ12" s="383">
        <f>IF(BF12=0,90,Envoltória!R17)</f>
        <v>0</v>
      </c>
      <c r="AR12" s="383">
        <f t="shared" si="0"/>
        <v>1</v>
      </c>
      <c r="AS12" s="383">
        <f t="shared" si="0"/>
        <v>0</v>
      </c>
      <c r="AT12" s="383">
        <f t="shared" si="0"/>
        <v>0</v>
      </c>
      <c r="AU12" s="383">
        <f t="shared" si="0"/>
        <v>0</v>
      </c>
      <c r="AV12" s="383">
        <f t="shared" si="0"/>
        <v>0</v>
      </c>
      <c r="AW12" s="384">
        <f>IFERROR(VLOOKUP(Envoltória!$B17,Aux_Lista!$N$2:$T$7,AW$9,FALSE),"")</f>
        <v>0</v>
      </c>
      <c r="AX12" s="384">
        <f>IFERROR(VLOOKUP(Envoltória!$B17,Aux_Lista!$N$2:$T$7,AX$9,FALSE),"")</f>
        <v>1</v>
      </c>
      <c r="AY12" s="384">
        <f>IFERROR(VLOOKUP(Envoltória!$B17,Aux_Lista!$N$2:$T$7,AY$9,FALSE),"")</f>
        <v>1</v>
      </c>
      <c r="AZ12" s="384">
        <f>IFERROR(VLOOKUP(Envoltória!$B17,Aux_Lista!$N$2:$T$7,AZ$9,FALSE),"")</f>
        <v>0</v>
      </c>
      <c r="BA12" s="384">
        <f>IFERROR(VLOOKUP(Envoltória!$B17,Aux_Lista!$N$2:$T$7,BA$9,FALSE),"")</f>
        <v>0</v>
      </c>
      <c r="BB12" s="384">
        <f>IFERROR(VLOOKUP(Envoltória!$B17,Aux_Lista!$N$2:$T$7,BB$9,FALSE),"")</f>
        <v>1</v>
      </c>
      <c r="BC12" s="384">
        <f>IFERROR(VLOOKUP(Envoltória!$H17,Aux_Lista!$V$2:$X$3,BC$9,FALSE),"")</f>
        <v>1</v>
      </c>
      <c r="BD12" s="384">
        <f>IFERROR(VLOOKUP(Envoltória!$H17,Aux_Lista!$V$2:$X$3,BD$9,FALSE),"")</f>
        <v>0</v>
      </c>
      <c r="BE12" s="382">
        <f t="shared" ref="BE12:BE75" si="2">IF(BF12=0,1,0)</f>
        <v>0</v>
      </c>
      <c r="BF12" s="382">
        <f>IFERROR(VLOOKUP(Envoltória!F17,CB3E_Envoltória!$BQ$18:$BR$19,2,FALSE),"")</f>
        <v>1</v>
      </c>
      <c r="BG12" s="382">
        <f>IFERROR(VLOOKUP(Envoltória!$G17,$BQ$35:$BZ$43,BG$9,FALSE),"")</f>
        <v>0</v>
      </c>
      <c r="BH12" s="382">
        <f>IFERROR(VLOOKUP(Envoltória!$G17,$BQ$35:$BZ$43,BH$9,FALSE),"")</f>
        <v>0</v>
      </c>
      <c r="BI12" s="382">
        <f>IFERROR(VLOOKUP(Envoltória!$G17,$BQ$35:$BZ$43,BI$9,FALSE),"")</f>
        <v>0</v>
      </c>
      <c r="BJ12" s="382">
        <f>IFERROR(VLOOKUP(Envoltória!$G17,$BQ$35:$BZ$43,BJ$9,FALSE),"")</f>
        <v>1</v>
      </c>
      <c r="BK12" s="382">
        <f>IFERROR(VLOOKUP(Envoltória!$G17,$BQ$35:$BZ$43,BK$9,FALSE),"")</f>
        <v>0</v>
      </c>
      <c r="BL12" s="382">
        <f>IFERROR(VLOOKUP(Envoltória!$G17,$BQ$35:$BZ$43,BL$9,FALSE),"")</f>
        <v>0</v>
      </c>
      <c r="BM12" s="382">
        <f>IFERROR(VLOOKUP(Envoltória!$G17,$BQ$35:$BZ$43,BM$9,FALSE),"")</f>
        <v>0</v>
      </c>
      <c r="BN12" s="382">
        <f>IFERROR(VLOOKUP(Envoltória!$G17,$BQ$35:$BZ$43,BN$9,FALSE),"")</f>
        <v>0</v>
      </c>
      <c r="BO12" s="382">
        <f>IFERROR(VLOOKUP(Envoltória!$G17,$BQ$35:$BZ$43,BO$9,FALSE),"")</f>
        <v>0</v>
      </c>
      <c r="BP12" s="363"/>
    </row>
    <row r="13" spans="1:68" s="32" customFormat="1" x14ac:dyDescent="0.25">
      <c r="A13" s="1">
        <v>3</v>
      </c>
      <c r="B13" s="370" t="str">
        <f>Envoltória!I18</f>
        <v>Escritórios</v>
      </c>
      <c r="C13" s="371" t="str">
        <f>Envoltória!B18</f>
        <v>Térreo (único pvto)</v>
      </c>
      <c r="D13" s="371" t="str">
        <f>Envoltória!C18</f>
        <v>Sala 01 ZT3</v>
      </c>
      <c r="E13" s="381">
        <f>Envoltória!D18</f>
        <v>92.25</v>
      </c>
      <c r="F13" s="382">
        <f>Envoltória!E18</f>
        <v>3</v>
      </c>
      <c r="G13" s="382">
        <f t="shared" si="1"/>
        <v>25</v>
      </c>
      <c r="H13" s="383">
        <f>Envoltória!O18/100</f>
        <v>0</v>
      </c>
      <c r="I13" s="383">
        <f>IF(BF13=1,Envoltória!Q18,90)</f>
        <v>0</v>
      </c>
      <c r="J13" s="384">
        <f>IFERROR(VLOOKUP(Envoltória!M18,Componentes!$P:$R,2,FALSE),"")</f>
        <v>3.33</v>
      </c>
      <c r="K13" s="384">
        <f>IFERROR(VLOOKUP(Envoltória!M18,Componentes!$P:$R,3,FALSE),"")</f>
        <v>220</v>
      </c>
      <c r="L13" s="383">
        <f>IF(ISERROR(VLOOKUP(Envoltória!L18,Componentes!K:N,2,FALSE)),0,VLOOKUP(Envoltória!L18,Componentes!K:N,2,FALSE))</f>
        <v>2.06</v>
      </c>
      <c r="M13" s="383">
        <f>IF(ISERROR(VLOOKUP(Envoltória!L18,Componentes!K:N,3,FALSE)),0,VLOOKUP(Envoltória!L18,Componentes!K:N,3,FALSE))</f>
        <v>233</v>
      </c>
      <c r="N13" s="385">
        <f>IFERROR(IF(BB13&lt;&gt;0,VLOOKUP(Envoltória!L18,Componentes!K:N,4,FALSE),0),"")</f>
        <v>0.8</v>
      </c>
      <c r="O13" s="383">
        <f>IF(BF13=1,VLOOKUP(Envoltória!J18,Componentes!B:E,2,FALSE),-6)</f>
        <v>2.39</v>
      </c>
      <c r="P13" s="383">
        <f>IF(BF13=1,VLOOKUP(Envoltória!J18,Componentes!B:E,3,FALSE),-400)</f>
        <v>150</v>
      </c>
      <c r="Q13" s="383">
        <f>IF(BF13=1,VLOOKUP(Envoltória!J18,Componentes!B:E,4,FALSE),0)</f>
        <v>0.5</v>
      </c>
      <c r="R13" s="384">
        <f>IFERROR(VLOOKUP(Envoltória!K18,Componentes!G:I,2,FALSE),"")</f>
        <v>2.39</v>
      </c>
      <c r="S13" s="384">
        <f>IFERROR(VLOOKUP(Envoltória!K18,Componentes!G:I,3,FALSE),"")</f>
        <v>150</v>
      </c>
      <c r="T13" s="383">
        <f>IFERROR(IF(H13&lt;&gt;0,VLOOKUP(Envoltória!N18,Componentes!T:V,3,FALSE),0),"")</f>
        <v>0</v>
      </c>
      <c r="U13" s="383">
        <f>IFERROR(IF(H13&lt;&gt;0,VLOOKUP(Envoltória!N18,Componentes!T:V,2,FALSE),0),"")</f>
        <v>0</v>
      </c>
      <c r="V13" s="384">
        <f>IFERROR(IF(AA13&lt;&gt;0,VLOOKUP(Envoltória!U18,Componentes!X:Z,2,FALSE),0),"")</f>
        <v>0</v>
      </c>
      <c r="W13" s="384">
        <f>IFERROR(IF(AA13&lt;&gt;0,VLOOKUP(Envoltória!U18,Componentes!X:Z,3,FALSE),0),"")</f>
        <v>0</v>
      </c>
      <c r="X13" s="383">
        <f>Envoltória!X18</f>
        <v>0.1</v>
      </c>
      <c r="Y13" s="383">
        <f>Envoltória!V18</f>
        <v>14.1</v>
      </c>
      <c r="Z13" s="383">
        <f>Envoltória!W18</f>
        <v>15</v>
      </c>
      <c r="AA13" s="386">
        <f>Envoltória!T18/100</f>
        <v>0</v>
      </c>
      <c r="AB13" s="387"/>
      <c r="AC13" s="387"/>
      <c r="AD13" s="387"/>
      <c r="AE13" s="387"/>
      <c r="AF13" s="387"/>
      <c r="AG13" s="387"/>
      <c r="AH13" s="387"/>
      <c r="AI13" s="387"/>
      <c r="AJ13" s="387"/>
      <c r="AK13" s="387"/>
      <c r="AL13" s="387"/>
      <c r="AM13" s="387"/>
      <c r="AN13" s="387"/>
      <c r="AO13" s="387"/>
      <c r="AP13" s="383">
        <f>IF(BF13=0,90,Envoltória!S18)</f>
        <v>0</v>
      </c>
      <c r="AQ13" s="383">
        <f>IF(BF13=0,90,Envoltória!R18)</f>
        <v>0</v>
      </c>
      <c r="AR13" s="383">
        <f t="shared" si="0"/>
        <v>1</v>
      </c>
      <c r="AS13" s="383">
        <f t="shared" si="0"/>
        <v>0</v>
      </c>
      <c r="AT13" s="383">
        <f t="shared" si="0"/>
        <v>0</v>
      </c>
      <c r="AU13" s="383">
        <f t="shared" si="0"/>
        <v>0</v>
      </c>
      <c r="AV13" s="383">
        <f t="shared" si="0"/>
        <v>0</v>
      </c>
      <c r="AW13" s="384">
        <f>IFERROR(VLOOKUP(Envoltória!$B18,Aux_Lista!$N$2:$T$7,AW$9,FALSE),"")</f>
        <v>0</v>
      </c>
      <c r="AX13" s="384">
        <f>IFERROR(VLOOKUP(Envoltória!$B18,Aux_Lista!$N$2:$T$7,AX$9,FALSE),"")</f>
        <v>1</v>
      </c>
      <c r="AY13" s="384">
        <f>IFERROR(VLOOKUP(Envoltória!$B18,Aux_Lista!$N$2:$T$7,AY$9,FALSE),"")</f>
        <v>1</v>
      </c>
      <c r="AZ13" s="384">
        <f>IFERROR(VLOOKUP(Envoltória!$B18,Aux_Lista!$N$2:$T$7,AZ$9,FALSE),"")</f>
        <v>0</v>
      </c>
      <c r="BA13" s="384">
        <f>IFERROR(VLOOKUP(Envoltória!$B18,Aux_Lista!$N$2:$T$7,BA$9,FALSE),"")</f>
        <v>0</v>
      </c>
      <c r="BB13" s="384">
        <f>IFERROR(VLOOKUP(Envoltória!$B18,Aux_Lista!$N$2:$T$7,BB$9,FALSE),"")</f>
        <v>1</v>
      </c>
      <c r="BC13" s="384">
        <f>IFERROR(VLOOKUP(Envoltória!$H18,Aux_Lista!$V$2:$X$3,BC$9,FALSE),"")</f>
        <v>1</v>
      </c>
      <c r="BD13" s="384">
        <f>IFERROR(VLOOKUP(Envoltória!$H18,Aux_Lista!$V$2:$X$3,BD$9,FALSE),"")</f>
        <v>0</v>
      </c>
      <c r="BE13" s="382">
        <f t="shared" si="2"/>
        <v>0</v>
      </c>
      <c r="BF13" s="382">
        <f>IFERROR(VLOOKUP(Envoltória!F18,CB3E_Envoltória!$BQ$18:$BR$19,2,FALSE),"")</f>
        <v>1</v>
      </c>
      <c r="BG13" s="382">
        <f>IFERROR(VLOOKUP(Envoltória!$G18,$BQ$35:$BZ$43,BG$9,FALSE),"")</f>
        <v>0</v>
      </c>
      <c r="BH13" s="382">
        <f>IFERROR(VLOOKUP(Envoltória!$G18,$BQ$35:$BZ$43,BH$9,FALSE),"")</f>
        <v>0</v>
      </c>
      <c r="BI13" s="382">
        <f>IFERROR(VLOOKUP(Envoltória!$G18,$BQ$35:$BZ$43,BI$9,FALSE),"")</f>
        <v>0</v>
      </c>
      <c r="BJ13" s="382">
        <f>IFERROR(VLOOKUP(Envoltória!$G18,$BQ$35:$BZ$43,BJ$9,FALSE),"")</f>
        <v>0</v>
      </c>
      <c r="BK13" s="382">
        <f>IFERROR(VLOOKUP(Envoltória!$G18,$BQ$35:$BZ$43,BK$9,FALSE),"")</f>
        <v>0</v>
      </c>
      <c r="BL13" s="382">
        <f>IFERROR(VLOOKUP(Envoltória!$G18,$BQ$35:$BZ$43,BL$9,FALSE),"")</f>
        <v>1</v>
      </c>
      <c r="BM13" s="382">
        <f>IFERROR(VLOOKUP(Envoltória!$G18,$BQ$35:$BZ$43,BM$9,FALSE),"")</f>
        <v>0</v>
      </c>
      <c r="BN13" s="382">
        <f>IFERROR(VLOOKUP(Envoltória!$G18,$BQ$35:$BZ$43,BN$9,FALSE),"")</f>
        <v>0</v>
      </c>
      <c r="BO13" s="382">
        <f>IFERROR(VLOOKUP(Envoltória!$G18,$BQ$35:$BZ$43,BO$9,FALSE),"")</f>
        <v>0</v>
      </c>
      <c r="BP13" s="363"/>
    </row>
    <row r="14" spans="1:68" s="32" customFormat="1" x14ac:dyDescent="0.25">
      <c r="A14" s="1">
        <v>4</v>
      </c>
      <c r="B14" s="370" t="str">
        <f>Envoltória!I19</f>
        <v>Escritórios</v>
      </c>
      <c r="C14" s="371" t="str">
        <f>Envoltória!B19</f>
        <v>Térreo (único pvto)</v>
      </c>
      <c r="D14" s="371" t="str">
        <f>Envoltória!C19</f>
        <v>Sala 01 ZT4</v>
      </c>
      <c r="E14" s="381">
        <f>Envoltória!D19</f>
        <v>92.25</v>
      </c>
      <c r="F14" s="382">
        <f>Envoltória!E19</f>
        <v>3</v>
      </c>
      <c r="G14" s="382">
        <f t="shared" si="1"/>
        <v>25</v>
      </c>
      <c r="H14" s="383">
        <f>Envoltória!O19/100</f>
        <v>0.5</v>
      </c>
      <c r="I14" s="383">
        <f>IF(BF14=1,Envoltória!Q19,90)</f>
        <v>30</v>
      </c>
      <c r="J14" s="384">
        <f>IFERROR(VLOOKUP(Envoltória!M19,Componentes!$P:$R,2,FALSE),"")</f>
        <v>3.33</v>
      </c>
      <c r="K14" s="384">
        <f>IFERROR(VLOOKUP(Envoltória!M19,Componentes!$P:$R,3,FALSE),"")</f>
        <v>220</v>
      </c>
      <c r="L14" s="383">
        <f>IF(ISERROR(VLOOKUP(Envoltória!L19,Componentes!K:N,2,FALSE)),0,VLOOKUP(Envoltória!L19,Componentes!K:N,2,FALSE))</f>
        <v>2.06</v>
      </c>
      <c r="M14" s="383">
        <f>IF(ISERROR(VLOOKUP(Envoltória!L19,Componentes!K:N,3,FALSE)),0,VLOOKUP(Envoltória!L19,Componentes!K:N,3,FALSE))</f>
        <v>233</v>
      </c>
      <c r="N14" s="385">
        <f>IFERROR(IF(BB14&lt;&gt;0,VLOOKUP(Envoltória!L19,Componentes!K:N,4,FALSE),0),"")</f>
        <v>0.8</v>
      </c>
      <c r="O14" s="383">
        <f>IF(BF14=1,VLOOKUP(Envoltória!J19,Componentes!B:E,2,FALSE),-6)</f>
        <v>2.39</v>
      </c>
      <c r="P14" s="383">
        <f>IF(BF14=1,VLOOKUP(Envoltória!J19,Componentes!B:E,3,FALSE),-400)</f>
        <v>150</v>
      </c>
      <c r="Q14" s="383">
        <f>IF(BF14=1,VLOOKUP(Envoltória!J19,Componentes!B:E,4,FALSE),0)</f>
        <v>0.5</v>
      </c>
      <c r="R14" s="384">
        <f>IFERROR(VLOOKUP(Envoltória!K19,Componentes!G:I,2,FALSE),"")</f>
        <v>2.39</v>
      </c>
      <c r="S14" s="384">
        <f>IFERROR(VLOOKUP(Envoltória!K19,Componentes!G:I,3,FALSE),"")</f>
        <v>150</v>
      </c>
      <c r="T14" s="383">
        <f>IFERROR(IF(H14&lt;&gt;0,VLOOKUP(Envoltória!N19,Componentes!T:V,3,FALSE),0),"")</f>
        <v>0.82</v>
      </c>
      <c r="U14" s="383">
        <f>IFERROR(IF(H14&lt;&gt;0,VLOOKUP(Envoltória!N19,Componentes!T:V,2,FALSE),0),"")</f>
        <v>5.7</v>
      </c>
      <c r="V14" s="384">
        <f>IFERROR(IF(AA14&lt;&gt;0,VLOOKUP(Envoltória!U19,Componentes!X:Z,2,FALSE),0),"")</f>
        <v>0</v>
      </c>
      <c r="W14" s="384">
        <f>IFERROR(IF(AA14&lt;&gt;0,VLOOKUP(Envoltória!U19,Componentes!X:Z,3,FALSE),0),"")</f>
        <v>0</v>
      </c>
      <c r="X14" s="383">
        <f>Envoltória!X19</f>
        <v>0.1</v>
      </c>
      <c r="Y14" s="383">
        <f>Envoltória!V19</f>
        <v>14.1</v>
      </c>
      <c r="Z14" s="383">
        <f>Envoltória!W19</f>
        <v>15</v>
      </c>
      <c r="AA14" s="386">
        <f>Envoltória!T19/100</f>
        <v>0</v>
      </c>
      <c r="AB14" s="387"/>
      <c r="AC14" s="387"/>
      <c r="AD14" s="387"/>
      <c r="AE14" s="387"/>
      <c r="AF14" s="387"/>
      <c r="AG14" s="387"/>
      <c r="AH14" s="387"/>
      <c r="AI14" s="387"/>
      <c r="AJ14" s="387"/>
      <c r="AK14" s="387"/>
      <c r="AL14" s="387"/>
      <c r="AM14" s="387"/>
      <c r="AN14" s="387"/>
      <c r="AO14" s="387"/>
      <c r="AP14" s="383">
        <f>IF(BF14=0,90,Envoltória!S19)</f>
        <v>0</v>
      </c>
      <c r="AQ14" s="383">
        <f>IF(BF14=0,90,Envoltória!R19)</f>
        <v>0</v>
      </c>
      <c r="AR14" s="383">
        <f t="shared" si="0"/>
        <v>1</v>
      </c>
      <c r="AS14" s="383">
        <f t="shared" si="0"/>
        <v>0</v>
      </c>
      <c r="AT14" s="383">
        <f t="shared" si="0"/>
        <v>0</v>
      </c>
      <c r="AU14" s="383">
        <f t="shared" si="0"/>
        <v>0</v>
      </c>
      <c r="AV14" s="383">
        <f t="shared" si="0"/>
        <v>0</v>
      </c>
      <c r="AW14" s="384">
        <f>IFERROR(VLOOKUP(Envoltória!$B19,Aux_Lista!$N$2:$T$7,AW$9,FALSE),"")</f>
        <v>0</v>
      </c>
      <c r="AX14" s="384">
        <f>IFERROR(VLOOKUP(Envoltória!$B19,Aux_Lista!$N$2:$T$7,AX$9,FALSE),"")</f>
        <v>1</v>
      </c>
      <c r="AY14" s="384">
        <f>IFERROR(VLOOKUP(Envoltória!$B19,Aux_Lista!$N$2:$T$7,AY$9,FALSE),"")</f>
        <v>1</v>
      </c>
      <c r="AZ14" s="384">
        <f>IFERROR(VLOOKUP(Envoltória!$B19,Aux_Lista!$N$2:$T$7,AZ$9,FALSE),"")</f>
        <v>0</v>
      </c>
      <c r="BA14" s="384">
        <f>IFERROR(VLOOKUP(Envoltória!$B19,Aux_Lista!$N$2:$T$7,BA$9,FALSE),"")</f>
        <v>0</v>
      </c>
      <c r="BB14" s="384">
        <f>IFERROR(VLOOKUP(Envoltória!$B19,Aux_Lista!$N$2:$T$7,BB$9,FALSE),"")</f>
        <v>1</v>
      </c>
      <c r="BC14" s="384">
        <f>IFERROR(VLOOKUP(Envoltória!$H19,Aux_Lista!$V$2:$X$3,BC$9,FALSE),"")</f>
        <v>1</v>
      </c>
      <c r="BD14" s="384">
        <f>IFERROR(VLOOKUP(Envoltória!$H19,Aux_Lista!$V$2:$X$3,BD$9,FALSE),"")</f>
        <v>0</v>
      </c>
      <c r="BE14" s="382">
        <f t="shared" si="2"/>
        <v>0</v>
      </c>
      <c r="BF14" s="382">
        <f>IFERROR(VLOOKUP(Envoltória!F19,CB3E_Envoltória!$BQ$18:$BR$19,2,FALSE),"")</f>
        <v>1</v>
      </c>
      <c r="BG14" s="382">
        <f>IFERROR(VLOOKUP(Envoltória!$G19,$BQ$35:$BZ$43,BG$9,FALSE),"")</f>
        <v>0</v>
      </c>
      <c r="BH14" s="382">
        <f>IFERROR(VLOOKUP(Envoltória!$G19,$BQ$35:$BZ$43,BH$9,FALSE),"")</f>
        <v>0</v>
      </c>
      <c r="BI14" s="382">
        <f>IFERROR(VLOOKUP(Envoltória!$G19,$BQ$35:$BZ$43,BI$9,FALSE),"")</f>
        <v>0</v>
      </c>
      <c r="BJ14" s="382">
        <f>IFERROR(VLOOKUP(Envoltória!$G19,$BQ$35:$BZ$43,BJ$9,FALSE),"")</f>
        <v>0</v>
      </c>
      <c r="BK14" s="382">
        <f>IFERROR(VLOOKUP(Envoltória!$G19,$BQ$35:$BZ$43,BK$9,FALSE),"")</f>
        <v>0</v>
      </c>
      <c r="BL14" s="382">
        <f>IFERROR(VLOOKUP(Envoltória!$G19,$BQ$35:$BZ$43,BL$9,FALSE),"")</f>
        <v>0</v>
      </c>
      <c r="BM14" s="382">
        <f>IFERROR(VLOOKUP(Envoltória!$G19,$BQ$35:$BZ$43,BM$9,FALSE),"")</f>
        <v>0</v>
      </c>
      <c r="BN14" s="382">
        <f>IFERROR(VLOOKUP(Envoltória!$G19,$BQ$35:$BZ$43,BN$9,FALSE),"")</f>
        <v>1</v>
      </c>
      <c r="BO14" s="382">
        <f>IFERROR(VLOOKUP(Envoltória!$G19,$BQ$35:$BZ$43,BO$9,FALSE),"")</f>
        <v>0</v>
      </c>
      <c r="BP14" s="363"/>
    </row>
    <row r="15" spans="1:68" s="32" customFormat="1" x14ac:dyDescent="0.25">
      <c r="A15" s="364">
        <v>5</v>
      </c>
      <c r="B15" s="370" t="str">
        <f>Envoltória!I20</f>
        <v>Escritórios</v>
      </c>
      <c r="C15" s="371" t="str">
        <f>Envoltória!B20</f>
        <v>Térreo (único pvto)</v>
      </c>
      <c r="D15" s="371" t="str">
        <f>Envoltória!C20</f>
        <v>Sala 01 ZT5</v>
      </c>
      <c r="E15" s="381">
        <f>Envoltória!D20</f>
        <v>256</v>
      </c>
      <c r="F15" s="382">
        <f>Envoltória!E20</f>
        <v>3</v>
      </c>
      <c r="G15" s="382">
        <f t="shared" si="1"/>
        <v>16</v>
      </c>
      <c r="H15" s="383">
        <f>Envoltória!O20/100</f>
        <v>0</v>
      </c>
      <c r="I15" s="383">
        <f>IF(BF15=1,Envoltória!Q20,90)</f>
        <v>90</v>
      </c>
      <c r="J15" s="384">
        <f>IFERROR(VLOOKUP(Envoltória!M20,Componentes!$P:$R,2,FALSE),"")</f>
        <v>3.33</v>
      </c>
      <c r="K15" s="384">
        <f>IFERROR(VLOOKUP(Envoltória!M20,Componentes!$P:$R,3,FALSE),"")</f>
        <v>220</v>
      </c>
      <c r="L15" s="383">
        <f>IF(ISERROR(VLOOKUP(Envoltória!L20,Componentes!K:N,2,FALSE)),0,VLOOKUP(Envoltória!L20,Componentes!K:N,2,FALSE))</f>
        <v>2.06</v>
      </c>
      <c r="M15" s="383">
        <f>IF(ISERROR(VLOOKUP(Envoltória!L20,Componentes!K:N,3,FALSE)),0,VLOOKUP(Envoltória!L20,Componentes!K:N,3,FALSE))</f>
        <v>233</v>
      </c>
      <c r="N15" s="385">
        <f>IFERROR(IF(BB15&lt;&gt;0,VLOOKUP(Envoltória!L20,Componentes!K:N,4,FALSE),0),"")</f>
        <v>0.8</v>
      </c>
      <c r="O15" s="383">
        <f>IF(BF15=1,VLOOKUP(Envoltória!J20,Componentes!B:E,2,FALSE),-6)</f>
        <v>-6</v>
      </c>
      <c r="P15" s="383">
        <f>IF(BF15=1,VLOOKUP(Envoltória!J20,Componentes!B:E,3,FALSE),-400)</f>
        <v>-400</v>
      </c>
      <c r="Q15" s="383">
        <f>IF(BF15=1,VLOOKUP(Envoltória!J20,Componentes!B:E,4,FALSE),0)</f>
        <v>0</v>
      </c>
      <c r="R15" s="384">
        <f>IFERROR(VLOOKUP(Envoltória!K20,Componentes!G:I,2,FALSE),"")</f>
        <v>2.39</v>
      </c>
      <c r="S15" s="384">
        <f>IFERROR(VLOOKUP(Envoltória!K20,Componentes!G:I,3,FALSE),"")</f>
        <v>150</v>
      </c>
      <c r="T15" s="383">
        <f>IFERROR(IF(H15&lt;&gt;0,VLOOKUP(Envoltória!N20,Componentes!T:V,3,FALSE),0),"")</f>
        <v>0</v>
      </c>
      <c r="U15" s="383">
        <f>IFERROR(IF(H15&lt;&gt;0,VLOOKUP(Envoltória!N20,Componentes!T:V,2,FALSE),0),"")</f>
        <v>0</v>
      </c>
      <c r="V15" s="384">
        <f>IFERROR(IF(AA15&lt;&gt;0,VLOOKUP(Envoltória!U20,Componentes!X:Z,2,FALSE),0),"")</f>
        <v>0</v>
      </c>
      <c r="W15" s="384">
        <f>IFERROR(IF(AA15&lt;&gt;0,VLOOKUP(Envoltória!U20,Componentes!X:Z,3,FALSE),0),"")</f>
        <v>0</v>
      </c>
      <c r="X15" s="383">
        <f>Envoltória!X20</f>
        <v>0.1</v>
      </c>
      <c r="Y15" s="383">
        <f>Envoltória!V20</f>
        <v>14.1</v>
      </c>
      <c r="Z15" s="383">
        <f>Envoltória!W20</f>
        <v>15</v>
      </c>
      <c r="AA15" s="386">
        <f>Envoltória!T20/100</f>
        <v>0</v>
      </c>
      <c r="AB15" s="387"/>
      <c r="AC15" s="387"/>
      <c r="AD15" s="387"/>
      <c r="AE15" s="387"/>
      <c r="AF15" s="387"/>
      <c r="AG15" s="387"/>
      <c r="AH15" s="387"/>
      <c r="AI15" s="387"/>
      <c r="AJ15" s="387"/>
      <c r="AK15" s="387"/>
      <c r="AL15" s="387"/>
      <c r="AM15" s="387"/>
      <c r="AN15" s="387"/>
      <c r="AO15" s="387"/>
      <c r="AP15" s="383">
        <f>IF(BF15=0,90,Envoltória!S20)</f>
        <v>90</v>
      </c>
      <c r="AQ15" s="383">
        <f>IF(BF15=0,90,Envoltória!R20)</f>
        <v>90</v>
      </c>
      <c r="AR15" s="383">
        <f t="shared" si="0"/>
        <v>1</v>
      </c>
      <c r="AS15" s="383">
        <f t="shared" si="0"/>
        <v>0</v>
      </c>
      <c r="AT15" s="383">
        <f t="shared" si="0"/>
        <v>0</v>
      </c>
      <c r="AU15" s="383">
        <f t="shared" si="0"/>
        <v>0</v>
      </c>
      <c r="AV15" s="383">
        <f t="shared" si="0"/>
        <v>0</v>
      </c>
      <c r="AW15" s="384">
        <f>IFERROR(VLOOKUP(Envoltória!$B20,Aux_Lista!$N$2:$T$7,AW$9,FALSE),"")</f>
        <v>0</v>
      </c>
      <c r="AX15" s="384">
        <f>IFERROR(VLOOKUP(Envoltória!$B20,Aux_Lista!$N$2:$T$7,AX$9,FALSE),"")</f>
        <v>1</v>
      </c>
      <c r="AY15" s="384">
        <f>IFERROR(VLOOKUP(Envoltória!$B20,Aux_Lista!$N$2:$T$7,AY$9,FALSE),"")</f>
        <v>1</v>
      </c>
      <c r="AZ15" s="384">
        <f>IFERROR(VLOOKUP(Envoltória!$B20,Aux_Lista!$N$2:$T$7,AZ$9,FALSE),"")</f>
        <v>0</v>
      </c>
      <c r="BA15" s="384">
        <f>IFERROR(VLOOKUP(Envoltória!$B20,Aux_Lista!$N$2:$T$7,BA$9,FALSE),"")</f>
        <v>0</v>
      </c>
      <c r="BB15" s="384">
        <f>IFERROR(VLOOKUP(Envoltória!$B20,Aux_Lista!$N$2:$T$7,BB$9,FALSE),"")</f>
        <v>1</v>
      </c>
      <c r="BC15" s="384">
        <f>IFERROR(VLOOKUP(Envoltória!$H20,Aux_Lista!$V$2:$X$3,BC$9,FALSE),"")</f>
        <v>1</v>
      </c>
      <c r="BD15" s="384">
        <f>IFERROR(VLOOKUP(Envoltória!$H20,Aux_Lista!$V$2:$X$3,BD$9,FALSE),"")</f>
        <v>0</v>
      </c>
      <c r="BE15" s="382">
        <f t="shared" si="2"/>
        <v>1</v>
      </c>
      <c r="BF15" s="382">
        <f>IFERROR(VLOOKUP(Envoltória!F20,CB3E_Envoltória!$BQ$18:$BR$19,2,FALSE),"")</f>
        <v>0</v>
      </c>
      <c r="BG15" s="382">
        <f>IFERROR(VLOOKUP(Envoltória!$G20,$BQ$35:$BZ$43,BG$9,FALSE),"")</f>
        <v>1</v>
      </c>
      <c r="BH15" s="382">
        <f>IFERROR(VLOOKUP(Envoltória!$G20,$BQ$35:$BZ$43,BH$9,FALSE),"")</f>
        <v>0</v>
      </c>
      <c r="BI15" s="382">
        <f>IFERROR(VLOOKUP(Envoltória!$G20,$BQ$35:$BZ$43,BI$9,FALSE),"")</f>
        <v>0</v>
      </c>
      <c r="BJ15" s="382">
        <f>IFERROR(VLOOKUP(Envoltória!$G20,$BQ$35:$BZ$43,BJ$9,FALSE),"")</f>
        <v>0</v>
      </c>
      <c r="BK15" s="382">
        <f>IFERROR(VLOOKUP(Envoltória!$G20,$BQ$35:$BZ$43,BK$9,FALSE),"")</f>
        <v>0</v>
      </c>
      <c r="BL15" s="382">
        <f>IFERROR(VLOOKUP(Envoltória!$G20,$BQ$35:$BZ$43,BL$9,FALSE),"")</f>
        <v>0</v>
      </c>
      <c r="BM15" s="382">
        <f>IFERROR(VLOOKUP(Envoltória!$G20,$BQ$35:$BZ$43,BM$9,FALSE),"")</f>
        <v>0</v>
      </c>
      <c r="BN15" s="382">
        <f>IFERROR(VLOOKUP(Envoltória!$G20,$BQ$35:$BZ$43,BN$9,FALSE),"")</f>
        <v>0</v>
      </c>
      <c r="BO15" s="382">
        <f>IFERROR(VLOOKUP(Envoltória!$G20,$BQ$35:$BZ$43,BO$9,FALSE),"")</f>
        <v>0</v>
      </c>
      <c r="BP15" s="363"/>
    </row>
    <row r="16" spans="1:68" s="32" customFormat="1" x14ac:dyDescent="0.25">
      <c r="A16" s="1">
        <v>6</v>
      </c>
      <c r="B16" s="370">
        <f>Envoltória!I21</f>
        <v>0</v>
      </c>
      <c r="C16" s="371">
        <f>Envoltória!B21</f>
        <v>0</v>
      </c>
      <c r="D16" s="371">
        <f>Envoltória!C21</f>
        <v>0</v>
      </c>
      <c r="E16" s="381">
        <f>Envoltória!D21</f>
        <v>0</v>
      </c>
      <c r="F16" s="382">
        <f>Envoltória!E21</f>
        <v>0</v>
      </c>
      <c r="G16" s="382">
        <f t="shared" si="1"/>
        <v>0</v>
      </c>
      <c r="H16" s="383">
        <f>Envoltória!O21/100</f>
        <v>0</v>
      </c>
      <c r="I16" s="383">
        <f>IF(BF16=1,Envoltória!Q21,90)</f>
        <v>90</v>
      </c>
      <c r="J16" s="384" t="str">
        <f>IFERROR(VLOOKUP(Envoltória!M21,Componentes!$P:$R,2,FALSE),"")</f>
        <v/>
      </c>
      <c r="K16" s="384" t="str">
        <f>IFERROR(VLOOKUP(Envoltória!M21,Componentes!$P:$R,3,FALSE),"")</f>
        <v/>
      </c>
      <c r="L16" s="383">
        <f>IF(ISERROR(VLOOKUP(Envoltória!L21,Componentes!K:N,2,FALSE)),0,VLOOKUP(Envoltória!L21,Componentes!K:N,2,FALSE))</f>
        <v>0</v>
      </c>
      <c r="M16" s="383">
        <f>IF(ISERROR(VLOOKUP(Envoltória!L21,Componentes!K:N,3,FALSE)),0,VLOOKUP(Envoltória!L21,Componentes!K:N,3,FALSE))</f>
        <v>0</v>
      </c>
      <c r="N16" s="385" t="str">
        <f>IFERROR(IF(BB16&lt;&gt;0,VLOOKUP(Envoltória!L21,Componentes!K:N,4,FALSE),0),"")</f>
        <v/>
      </c>
      <c r="O16" s="383">
        <f>IF(BF16=1,VLOOKUP(Envoltória!J21,Componentes!B:E,2,FALSE),-6)</f>
        <v>-6</v>
      </c>
      <c r="P16" s="383">
        <f>IF(BF16=1,VLOOKUP(Envoltória!J21,Componentes!B:E,3,FALSE),-400)</f>
        <v>-400</v>
      </c>
      <c r="Q16" s="383">
        <f>IF(BF16=1,VLOOKUP(Envoltória!J21,Componentes!B:E,4,FALSE),0)</f>
        <v>0</v>
      </c>
      <c r="R16" s="384" t="str">
        <f>IFERROR(VLOOKUP(Envoltória!K21,Componentes!G:I,2,FALSE),"")</f>
        <v/>
      </c>
      <c r="S16" s="384" t="str">
        <f>IFERROR(VLOOKUP(Envoltória!K21,Componentes!G:I,3,FALSE),"")</f>
        <v/>
      </c>
      <c r="T16" s="383">
        <f>IFERROR(IF(H16&lt;&gt;0,VLOOKUP(Envoltória!N21,Componentes!T:V,3,FALSE),0),"")</f>
        <v>0</v>
      </c>
      <c r="U16" s="383">
        <f>IFERROR(IF(H16&lt;&gt;0,VLOOKUP(Envoltória!N21,Componentes!T:V,2,FALSE),0),"")</f>
        <v>0</v>
      </c>
      <c r="V16" s="384">
        <f>IFERROR(IF(AA16&lt;&gt;0,VLOOKUP(Envoltória!U21,Componentes!X:Z,2,FALSE),0),"")</f>
        <v>0</v>
      </c>
      <c r="W16" s="384">
        <f>IFERROR(IF(AA16&lt;&gt;0,VLOOKUP(Envoltória!U21,Componentes!X:Z,3,FALSE),0),"")</f>
        <v>0</v>
      </c>
      <c r="X16" s="383" t="str">
        <f>Envoltória!X21</f>
        <v/>
      </c>
      <c r="Y16" s="383">
        <f>Envoltória!V21</f>
        <v>0</v>
      </c>
      <c r="Z16" s="383" t="str">
        <f>Envoltória!W21</f>
        <v/>
      </c>
      <c r="AA16" s="386">
        <f>Envoltória!T21/100</f>
        <v>0</v>
      </c>
      <c r="AB16" s="387"/>
      <c r="AC16" s="387"/>
      <c r="AD16" s="387"/>
      <c r="AE16" s="387"/>
      <c r="AF16" s="387"/>
      <c r="AG16" s="387"/>
      <c r="AH16" s="387"/>
      <c r="AI16" s="387"/>
      <c r="AJ16" s="387"/>
      <c r="AK16" s="387"/>
      <c r="AL16" s="387"/>
      <c r="AM16" s="387"/>
      <c r="AN16" s="387"/>
      <c r="AO16" s="387"/>
      <c r="AP16" s="383">
        <f>IF(BF16=0,90,Envoltória!S21)</f>
        <v>0</v>
      </c>
      <c r="AQ16" s="383">
        <f>IF(BF16=0,90,Envoltória!R21)</f>
        <v>0</v>
      </c>
      <c r="AR16" s="383" t="str">
        <f t="shared" si="0"/>
        <v/>
      </c>
      <c r="AS16" s="383" t="str">
        <f t="shared" si="0"/>
        <v/>
      </c>
      <c r="AT16" s="383" t="str">
        <f t="shared" si="0"/>
        <v/>
      </c>
      <c r="AU16" s="383" t="str">
        <f t="shared" si="0"/>
        <v/>
      </c>
      <c r="AV16" s="383" t="str">
        <f t="shared" si="0"/>
        <v/>
      </c>
      <c r="AW16" s="384" t="str">
        <f>IFERROR(VLOOKUP(Envoltória!$B21,Aux_Lista!$N$2:$T$7,AW$9,FALSE),"")</f>
        <v/>
      </c>
      <c r="AX16" s="384" t="str">
        <f>IFERROR(VLOOKUP(Envoltória!$B21,Aux_Lista!$N$2:$T$7,AX$9,FALSE),"")</f>
        <v/>
      </c>
      <c r="AY16" s="384" t="str">
        <f>IFERROR(VLOOKUP(Envoltória!$B21,Aux_Lista!$N$2:$T$7,AY$9,FALSE),"")</f>
        <v/>
      </c>
      <c r="AZ16" s="384" t="str">
        <f>IFERROR(VLOOKUP(Envoltória!$B21,Aux_Lista!$N$2:$T$7,AZ$9,FALSE),"")</f>
        <v/>
      </c>
      <c r="BA16" s="384" t="str">
        <f>IFERROR(VLOOKUP(Envoltória!$B21,Aux_Lista!$N$2:$T$7,BA$9,FALSE),"")</f>
        <v/>
      </c>
      <c r="BB16" s="384" t="str">
        <f>IFERROR(VLOOKUP(Envoltória!$B21,Aux_Lista!$N$2:$T$7,BB$9,FALSE),"")</f>
        <v/>
      </c>
      <c r="BC16" s="384" t="str">
        <f>IFERROR(VLOOKUP(Envoltória!$H21,Aux_Lista!$V$2:$X$3,BC$9,FALSE),"")</f>
        <v/>
      </c>
      <c r="BD16" s="384" t="str">
        <f>IFERROR(VLOOKUP(Envoltória!$H21,Aux_Lista!$V$2:$X$3,BD$9,FALSE),"")</f>
        <v/>
      </c>
      <c r="BE16" s="382">
        <f t="shared" si="2"/>
        <v>0</v>
      </c>
      <c r="BF16" s="382" t="str">
        <f>IFERROR(VLOOKUP(Envoltória!F21,CB3E_Envoltória!$BQ$18:$BR$19,2,FALSE),"")</f>
        <v/>
      </c>
      <c r="BG16" s="382" t="str">
        <f>IFERROR(VLOOKUP(Envoltória!$G21,$BQ$35:$BZ$43,BG$9,FALSE),"")</f>
        <v/>
      </c>
      <c r="BH16" s="382" t="str">
        <f>IFERROR(VLOOKUP(Envoltória!$G21,$BQ$35:$BZ$43,BH$9,FALSE),"")</f>
        <v/>
      </c>
      <c r="BI16" s="382" t="str">
        <f>IFERROR(VLOOKUP(Envoltória!$G21,$BQ$35:$BZ$43,BI$9,FALSE),"")</f>
        <v/>
      </c>
      <c r="BJ16" s="382" t="str">
        <f>IFERROR(VLOOKUP(Envoltória!$G21,$BQ$35:$BZ$43,BJ$9,FALSE),"")</f>
        <v/>
      </c>
      <c r="BK16" s="382" t="str">
        <f>IFERROR(VLOOKUP(Envoltória!$G21,$BQ$35:$BZ$43,BK$9,FALSE),"")</f>
        <v/>
      </c>
      <c r="BL16" s="382" t="str">
        <f>IFERROR(VLOOKUP(Envoltória!$G21,$BQ$35:$BZ$43,BL$9,FALSE),"")</f>
        <v/>
      </c>
      <c r="BM16" s="382" t="str">
        <f>IFERROR(VLOOKUP(Envoltória!$G21,$BQ$35:$BZ$43,BM$9,FALSE),"")</f>
        <v/>
      </c>
      <c r="BN16" s="382" t="str">
        <f>IFERROR(VLOOKUP(Envoltória!$G21,$BQ$35:$BZ$43,BN$9,FALSE),"")</f>
        <v/>
      </c>
      <c r="BO16" s="382" t="str">
        <f>IFERROR(VLOOKUP(Envoltória!$G21,$BQ$35:$BZ$43,BO$9,FALSE),"")</f>
        <v/>
      </c>
      <c r="BP16" s="1"/>
    </row>
    <row r="17" spans="1:75" s="32" customFormat="1" x14ac:dyDescent="0.25">
      <c r="A17" s="1">
        <v>7</v>
      </c>
      <c r="B17" s="370">
        <f>Envoltória!I22</f>
        <v>0</v>
      </c>
      <c r="C17" s="371">
        <f>Envoltória!B22</f>
        <v>0</v>
      </c>
      <c r="D17" s="371">
        <f>Envoltória!C22</f>
        <v>0</v>
      </c>
      <c r="E17" s="381">
        <f>Envoltória!D22</f>
        <v>0</v>
      </c>
      <c r="F17" s="382">
        <f>Envoltória!E22</f>
        <v>0</v>
      </c>
      <c r="G17" s="382">
        <f t="shared" si="1"/>
        <v>0</v>
      </c>
      <c r="H17" s="383">
        <f>Envoltória!O22/100</f>
        <v>0</v>
      </c>
      <c r="I17" s="383">
        <f>IF(BF17=1,Envoltória!Q22,90)</f>
        <v>90</v>
      </c>
      <c r="J17" s="384" t="str">
        <f>IFERROR(VLOOKUP(Envoltória!M22,Componentes!$P:$R,2,FALSE),"")</f>
        <v/>
      </c>
      <c r="K17" s="384" t="str">
        <f>IFERROR(VLOOKUP(Envoltória!M22,Componentes!$P:$R,3,FALSE),"")</f>
        <v/>
      </c>
      <c r="L17" s="383">
        <f>IF(ISERROR(VLOOKUP(Envoltória!L22,Componentes!K:N,2,FALSE)),0,VLOOKUP(Envoltória!L22,Componentes!K:N,2,FALSE))</f>
        <v>0</v>
      </c>
      <c r="M17" s="383">
        <f>IF(ISERROR(VLOOKUP(Envoltória!L22,Componentes!K:N,3,FALSE)),0,VLOOKUP(Envoltória!L22,Componentes!K:N,3,FALSE))</f>
        <v>0</v>
      </c>
      <c r="N17" s="385" t="str">
        <f>IFERROR(IF(BB17&lt;&gt;0,VLOOKUP(Envoltória!L22,Componentes!K:N,4,FALSE),0),"")</f>
        <v/>
      </c>
      <c r="O17" s="383">
        <f>IF(BF17=1,VLOOKUP(Envoltória!J22,Componentes!B:E,2,FALSE),-6)</f>
        <v>-6</v>
      </c>
      <c r="P17" s="383">
        <f>IF(BF17=1,VLOOKUP(Envoltória!J22,Componentes!B:E,3,FALSE),-400)</f>
        <v>-400</v>
      </c>
      <c r="Q17" s="383">
        <f>IF(BF17=1,VLOOKUP(Envoltória!J22,Componentes!B:E,4,FALSE),0)</f>
        <v>0</v>
      </c>
      <c r="R17" s="384" t="str">
        <f>IFERROR(VLOOKUP(Envoltória!K22,Componentes!G:I,2,FALSE),"")</f>
        <v/>
      </c>
      <c r="S17" s="384" t="str">
        <f>IFERROR(VLOOKUP(Envoltória!K22,Componentes!G:I,3,FALSE),"")</f>
        <v/>
      </c>
      <c r="T17" s="383">
        <f>IFERROR(IF(H17&lt;&gt;0,VLOOKUP(Envoltória!N22,Componentes!T:V,3,FALSE),0),"")</f>
        <v>0</v>
      </c>
      <c r="U17" s="383">
        <f>IFERROR(IF(H17&lt;&gt;0,VLOOKUP(Envoltória!N22,Componentes!T:V,2,FALSE),0),"")</f>
        <v>0</v>
      </c>
      <c r="V17" s="384">
        <f>IFERROR(IF(AA17&lt;&gt;0,VLOOKUP(Envoltória!U22,Componentes!X:Z,2,FALSE),0),"")</f>
        <v>0</v>
      </c>
      <c r="W17" s="384">
        <f>IFERROR(IF(AA17&lt;&gt;0,VLOOKUP(Envoltória!U22,Componentes!X:Z,3,FALSE),0),"")</f>
        <v>0</v>
      </c>
      <c r="X17" s="383" t="str">
        <f>Envoltória!X22</f>
        <v/>
      </c>
      <c r="Y17" s="383">
        <f>Envoltória!V22</f>
        <v>0</v>
      </c>
      <c r="Z17" s="383" t="str">
        <f>Envoltória!W22</f>
        <v/>
      </c>
      <c r="AA17" s="386">
        <f>Envoltória!T22/100</f>
        <v>0</v>
      </c>
      <c r="AB17" s="387"/>
      <c r="AC17" s="387"/>
      <c r="AD17" s="387"/>
      <c r="AE17" s="387"/>
      <c r="AF17" s="387"/>
      <c r="AG17" s="387"/>
      <c r="AH17" s="387"/>
      <c r="AI17" s="387"/>
      <c r="AJ17" s="387"/>
      <c r="AK17" s="387"/>
      <c r="AL17" s="387"/>
      <c r="AM17" s="387"/>
      <c r="AN17" s="387"/>
      <c r="AO17" s="387"/>
      <c r="AP17" s="383">
        <f>IF(BF17=0,90,Envoltória!S22)</f>
        <v>0</v>
      </c>
      <c r="AQ17" s="383">
        <f>IF(BF17=0,90,Envoltória!R22)</f>
        <v>0</v>
      </c>
      <c r="AR17" s="383" t="str">
        <f t="shared" si="0"/>
        <v/>
      </c>
      <c r="AS17" s="383" t="str">
        <f t="shared" si="0"/>
        <v/>
      </c>
      <c r="AT17" s="383" t="str">
        <f t="shared" si="0"/>
        <v/>
      </c>
      <c r="AU17" s="383" t="str">
        <f t="shared" si="0"/>
        <v/>
      </c>
      <c r="AV17" s="383" t="str">
        <f t="shared" si="0"/>
        <v/>
      </c>
      <c r="AW17" s="384" t="str">
        <f>IFERROR(VLOOKUP(Envoltória!$B22,Aux_Lista!$N$2:$T$7,AW$9,FALSE),"")</f>
        <v/>
      </c>
      <c r="AX17" s="384" t="str">
        <f>IFERROR(VLOOKUP(Envoltória!$B22,Aux_Lista!$N$2:$T$7,AX$9,FALSE),"")</f>
        <v/>
      </c>
      <c r="AY17" s="384" t="str">
        <f>IFERROR(VLOOKUP(Envoltória!$B22,Aux_Lista!$N$2:$T$7,AY$9,FALSE),"")</f>
        <v/>
      </c>
      <c r="AZ17" s="384" t="str">
        <f>IFERROR(VLOOKUP(Envoltória!$B22,Aux_Lista!$N$2:$T$7,AZ$9,FALSE),"")</f>
        <v/>
      </c>
      <c r="BA17" s="384" t="str">
        <f>IFERROR(VLOOKUP(Envoltória!$B22,Aux_Lista!$N$2:$T$7,BA$9,FALSE),"")</f>
        <v/>
      </c>
      <c r="BB17" s="384" t="str">
        <f>IFERROR(VLOOKUP(Envoltória!$B22,Aux_Lista!$N$2:$T$7,BB$9,FALSE),"")</f>
        <v/>
      </c>
      <c r="BC17" s="384" t="str">
        <f>IFERROR(VLOOKUP(Envoltória!$H22,Aux_Lista!$V$2:$X$3,BC$9,FALSE),"")</f>
        <v/>
      </c>
      <c r="BD17" s="384" t="str">
        <f>IFERROR(VLOOKUP(Envoltória!$H22,Aux_Lista!$V$2:$X$3,BD$9,FALSE),"")</f>
        <v/>
      </c>
      <c r="BE17" s="382">
        <f t="shared" si="2"/>
        <v>0</v>
      </c>
      <c r="BF17" s="382" t="str">
        <f>IFERROR(VLOOKUP(Envoltória!F22,CB3E_Envoltória!$BQ$18:$BR$19,2,FALSE),"")</f>
        <v/>
      </c>
      <c r="BG17" s="382" t="str">
        <f>IFERROR(VLOOKUP(Envoltória!$G22,$BQ$35:$BZ$43,BG$9,FALSE),"")</f>
        <v/>
      </c>
      <c r="BH17" s="382" t="str">
        <f>IFERROR(VLOOKUP(Envoltória!$G22,$BQ$35:$BZ$43,BH$9,FALSE),"")</f>
        <v/>
      </c>
      <c r="BI17" s="382" t="str">
        <f>IFERROR(VLOOKUP(Envoltória!$G22,$BQ$35:$BZ$43,BI$9,FALSE),"")</f>
        <v/>
      </c>
      <c r="BJ17" s="382" t="str">
        <f>IFERROR(VLOOKUP(Envoltória!$G22,$BQ$35:$BZ$43,BJ$9,FALSE),"")</f>
        <v/>
      </c>
      <c r="BK17" s="382" t="str">
        <f>IFERROR(VLOOKUP(Envoltória!$G22,$BQ$35:$BZ$43,BK$9,FALSE),"")</f>
        <v/>
      </c>
      <c r="BL17" s="382" t="str">
        <f>IFERROR(VLOOKUP(Envoltória!$G22,$BQ$35:$BZ$43,BL$9,FALSE),"")</f>
        <v/>
      </c>
      <c r="BM17" s="382" t="str">
        <f>IFERROR(VLOOKUP(Envoltória!$G22,$BQ$35:$BZ$43,BM$9,FALSE),"")</f>
        <v/>
      </c>
      <c r="BN17" s="382" t="str">
        <f>IFERROR(VLOOKUP(Envoltória!$G22,$BQ$35:$BZ$43,BN$9,FALSE),"")</f>
        <v/>
      </c>
      <c r="BO17" s="382" t="str">
        <f>IFERROR(VLOOKUP(Envoltória!$G22,$BQ$35:$BZ$43,BO$9,FALSE),"")</f>
        <v/>
      </c>
      <c r="BP17" s="1"/>
    </row>
    <row r="18" spans="1:75" s="32" customFormat="1" x14ac:dyDescent="0.25">
      <c r="A18" s="1">
        <v>8</v>
      </c>
      <c r="B18" s="370">
        <f>Envoltória!I23</f>
        <v>0</v>
      </c>
      <c r="C18" s="371">
        <f>Envoltória!B23</f>
        <v>0</v>
      </c>
      <c r="D18" s="371">
        <f>Envoltória!C23</f>
        <v>0</v>
      </c>
      <c r="E18" s="381">
        <f>Envoltória!D23</f>
        <v>0</v>
      </c>
      <c r="F18" s="382">
        <f>Envoltória!E23</f>
        <v>0</v>
      </c>
      <c r="G18" s="382">
        <f t="shared" si="1"/>
        <v>0</v>
      </c>
      <c r="H18" s="383">
        <f>Envoltória!O23/100</f>
        <v>0</v>
      </c>
      <c r="I18" s="383">
        <f>IF(BF18=1,Envoltória!Q23,90)</f>
        <v>90</v>
      </c>
      <c r="J18" s="384" t="str">
        <f>IFERROR(VLOOKUP(Envoltória!M23,Componentes!$P:$R,2,FALSE),"")</f>
        <v/>
      </c>
      <c r="K18" s="384" t="str">
        <f>IFERROR(VLOOKUP(Envoltória!M23,Componentes!$P:$R,3,FALSE),"")</f>
        <v/>
      </c>
      <c r="L18" s="383">
        <f>IF(ISERROR(VLOOKUP(Envoltória!L23,Componentes!K:N,2,FALSE)),0,VLOOKUP(Envoltória!L23,Componentes!K:N,2,FALSE))</f>
        <v>0</v>
      </c>
      <c r="M18" s="383">
        <f>IF(ISERROR(VLOOKUP(Envoltória!L23,Componentes!K:N,3,FALSE)),0,VLOOKUP(Envoltória!L23,Componentes!K:N,3,FALSE))</f>
        <v>0</v>
      </c>
      <c r="N18" s="385" t="str">
        <f>IFERROR(IF(BB18&lt;&gt;0,VLOOKUP(Envoltória!L23,Componentes!K:N,4,FALSE),0),"")</f>
        <v/>
      </c>
      <c r="O18" s="383">
        <f>IF(BF18=1,VLOOKUP(Envoltória!J23,Componentes!B:E,2,FALSE),-6)</f>
        <v>-6</v>
      </c>
      <c r="P18" s="383">
        <f>IF(BF18=1,VLOOKUP(Envoltória!J23,Componentes!B:E,3,FALSE),-400)</f>
        <v>-400</v>
      </c>
      <c r="Q18" s="383">
        <f>IF(BF18=1,VLOOKUP(Envoltória!J23,Componentes!B:E,4,FALSE),0)</f>
        <v>0</v>
      </c>
      <c r="R18" s="384" t="str">
        <f>IFERROR(VLOOKUP(Envoltória!K23,Componentes!G:I,2,FALSE),"")</f>
        <v/>
      </c>
      <c r="S18" s="384" t="str">
        <f>IFERROR(VLOOKUP(Envoltória!K23,Componentes!G:I,3,FALSE),"")</f>
        <v/>
      </c>
      <c r="T18" s="383">
        <f>IFERROR(IF(H18&lt;&gt;0,VLOOKUP(Envoltória!N23,Componentes!T:V,3,FALSE),0),"")</f>
        <v>0</v>
      </c>
      <c r="U18" s="383">
        <f>IFERROR(IF(H18&lt;&gt;0,VLOOKUP(Envoltória!N23,Componentes!T:V,2,FALSE),0),"")</f>
        <v>0</v>
      </c>
      <c r="V18" s="384">
        <f>IFERROR(IF(AA18&lt;&gt;0,VLOOKUP(Envoltória!U23,Componentes!X:Z,2,FALSE),0),"")</f>
        <v>0</v>
      </c>
      <c r="W18" s="384">
        <f>IFERROR(IF(AA18&lt;&gt;0,VLOOKUP(Envoltória!U23,Componentes!X:Z,3,FALSE),0),"")</f>
        <v>0</v>
      </c>
      <c r="X18" s="383" t="str">
        <f>Envoltória!X23</f>
        <v/>
      </c>
      <c r="Y18" s="383">
        <f>Envoltória!V23</f>
        <v>0</v>
      </c>
      <c r="Z18" s="383" t="str">
        <f>Envoltória!W23</f>
        <v/>
      </c>
      <c r="AA18" s="386">
        <f>Envoltória!T23/100</f>
        <v>0</v>
      </c>
      <c r="AB18" s="387"/>
      <c r="AC18" s="387"/>
      <c r="AD18" s="387"/>
      <c r="AE18" s="387"/>
      <c r="AF18" s="387"/>
      <c r="AG18" s="387"/>
      <c r="AH18" s="387"/>
      <c r="AI18" s="387"/>
      <c r="AJ18" s="387"/>
      <c r="AK18" s="387"/>
      <c r="AL18" s="387"/>
      <c r="AM18" s="387"/>
      <c r="AN18" s="387"/>
      <c r="AO18" s="387"/>
      <c r="AP18" s="383">
        <f>IF(BF18=0,90,Envoltória!S23)</f>
        <v>0</v>
      </c>
      <c r="AQ18" s="383">
        <f>IF(BF18=0,90,Envoltória!R23)</f>
        <v>0</v>
      </c>
      <c r="AR18" s="383" t="str">
        <f t="shared" si="0"/>
        <v/>
      </c>
      <c r="AS18" s="383" t="str">
        <f t="shared" si="0"/>
        <v/>
      </c>
      <c r="AT18" s="383" t="str">
        <f t="shared" si="0"/>
        <v/>
      </c>
      <c r="AU18" s="383" t="str">
        <f t="shared" si="0"/>
        <v/>
      </c>
      <c r="AV18" s="383" t="str">
        <f t="shared" si="0"/>
        <v/>
      </c>
      <c r="AW18" s="384" t="str">
        <f>IFERROR(VLOOKUP(Envoltória!$B23,Aux_Lista!$N$2:$T$7,AW$9,FALSE),"")</f>
        <v/>
      </c>
      <c r="AX18" s="384" t="str">
        <f>IFERROR(VLOOKUP(Envoltória!$B23,Aux_Lista!$N$2:$T$7,AX$9,FALSE),"")</f>
        <v/>
      </c>
      <c r="AY18" s="384" t="str">
        <f>IFERROR(VLOOKUP(Envoltória!$B23,Aux_Lista!$N$2:$T$7,AY$9,FALSE),"")</f>
        <v/>
      </c>
      <c r="AZ18" s="384" t="str">
        <f>IFERROR(VLOOKUP(Envoltória!$B23,Aux_Lista!$N$2:$T$7,AZ$9,FALSE),"")</f>
        <v/>
      </c>
      <c r="BA18" s="384" t="str">
        <f>IFERROR(VLOOKUP(Envoltória!$B23,Aux_Lista!$N$2:$T$7,BA$9,FALSE),"")</f>
        <v/>
      </c>
      <c r="BB18" s="384" t="str">
        <f>IFERROR(VLOOKUP(Envoltória!$B23,Aux_Lista!$N$2:$T$7,BB$9,FALSE),"")</f>
        <v/>
      </c>
      <c r="BC18" s="384" t="str">
        <f>IFERROR(VLOOKUP(Envoltória!$H23,Aux_Lista!$V$2:$X$3,BC$9,FALSE),"")</f>
        <v/>
      </c>
      <c r="BD18" s="384" t="str">
        <f>IFERROR(VLOOKUP(Envoltória!$H23,Aux_Lista!$V$2:$X$3,BD$9,FALSE),"")</f>
        <v/>
      </c>
      <c r="BE18" s="382">
        <f t="shared" si="2"/>
        <v>0</v>
      </c>
      <c r="BF18" s="382" t="str">
        <f>IFERROR(VLOOKUP(Envoltória!F23,CB3E_Envoltória!$BQ$18:$BR$19,2,FALSE),"")</f>
        <v/>
      </c>
      <c r="BG18" s="382" t="str">
        <f>IFERROR(VLOOKUP(Envoltória!$G23,$BQ$35:$BZ$43,BG$9,FALSE),"")</f>
        <v/>
      </c>
      <c r="BH18" s="382" t="str">
        <f>IFERROR(VLOOKUP(Envoltória!$G23,$BQ$35:$BZ$43,BH$9,FALSE),"")</f>
        <v/>
      </c>
      <c r="BI18" s="382" t="str">
        <f>IFERROR(VLOOKUP(Envoltória!$G23,$BQ$35:$BZ$43,BI$9,FALSE),"")</f>
        <v/>
      </c>
      <c r="BJ18" s="382" t="str">
        <f>IFERROR(VLOOKUP(Envoltória!$G23,$BQ$35:$BZ$43,BJ$9,FALSE),"")</f>
        <v/>
      </c>
      <c r="BK18" s="382" t="str">
        <f>IFERROR(VLOOKUP(Envoltória!$G23,$BQ$35:$BZ$43,BK$9,FALSE),"")</f>
        <v/>
      </c>
      <c r="BL18" s="382" t="str">
        <f>IFERROR(VLOOKUP(Envoltória!$G23,$BQ$35:$BZ$43,BL$9,FALSE),"")</f>
        <v/>
      </c>
      <c r="BM18" s="382" t="str">
        <f>IFERROR(VLOOKUP(Envoltória!$G23,$BQ$35:$BZ$43,BM$9,FALSE),"")</f>
        <v/>
      </c>
      <c r="BN18" s="382" t="str">
        <f>IFERROR(VLOOKUP(Envoltória!$G23,$BQ$35:$BZ$43,BN$9,FALSE),"")</f>
        <v/>
      </c>
      <c r="BO18" s="382" t="str">
        <f>IFERROR(VLOOKUP(Envoltória!$G23,$BQ$35:$BZ$43,BO$9,FALSE),"")</f>
        <v/>
      </c>
      <c r="BP18" s="1"/>
      <c r="BQ18" s="7" t="s">
        <v>49</v>
      </c>
      <c r="BR18" s="7">
        <v>1</v>
      </c>
    </row>
    <row r="19" spans="1:75" s="32" customFormat="1" x14ac:dyDescent="0.25">
      <c r="A19" s="1">
        <v>9</v>
      </c>
      <c r="B19" s="370">
        <f>Envoltória!I24</f>
        <v>0</v>
      </c>
      <c r="C19" s="371">
        <f>Envoltória!B24</f>
        <v>0</v>
      </c>
      <c r="D19" s="371">
        <f>Envoltória!C24</f>
        <v>0</v>
      </c>
      <c r="E19" s="381">
        <f>Envoltória!D24</f>
        <v>0</v>
      </c>
      <c r="F19" s="382">
        <f>Envoltória!E24</f>
        <v>0</v>
      </c>
      <c r="G19" s="382">
        <f t="shared" si="1"/>
        <v>0</v>
      </c>
      <c r="H19" s="383">
        <f>Envoltória!O24/100</f>
        <v>0</v>
      </c>
      <c r="I19" s="383">
        <f>IF(BF19=1,Envoltória!Q24,90)</f>
        <v>90</v>
      </c>
      <c r="J19" s="384" t="str">
        <f>IFERROR(VLOOKUP(Envoltória!M24,Componentes!$P:$R,2,FALSE),"")</f>
        <v/>
      </c>
      <c r="K19" s="384" t="str">
        <f>IFERROR(VLOOKUP(Envoltória!M24,Componentes!$P:$R,3,FALSE),"")</f>
        <v/>
      </c>
      <c r="L19" s="383">
        <f>IF(ISERROR(VLOOKUP(Envoltória!L24,Componentes!K:N,2,FALSE)),0,VLOOKUP(Envoltória!L24,Componentes!K:N,2,FALSE))</f>
        <v>0</v>
      </c>
      <c r="M19" s="383">
        <f>IF(ISERROR(VLOOKUP(Envoltória!L24,Componentes!K:N,3,FALSE)),0,VLOOKUP(Envoltória!L24,Componentes!K:N,3,FALSE))</f>
        <v>0</v>
      </c>
      <c r="N19" s="385" t="str">
        <f>IFERROR(IF(BB19&lt;&gt;0,VLOOKUP(Envoltória!L24,Componentes!K:N,4,FALSE),0),"")</f>
        <v/>
      </c>
      <c r="O19" s="383">
        <f>IF(BF19=1,VLOOKUP(Envoltória!J24,Componentes!B:E,2,FALSE),-6)</f>
        <v>-6</v>
      </c>
      <c r="P19" s="383">
        <f>IF(BF19=1,VLOOKUP(Envoltória!J24,Componentes!B:E,3,FALSE),-400)</f>
        <v>-400</v>
      </c>
      <c r="Q19" s="383">
        <f>IF(BF19=1,VLOOKUP(Envoltória!J24,Componentes!B:E,4,FALSE),0)</f>
        <v>0</v>
      </c>
      <c r="R19" s="384" t="str">
        <f>IFERROR(VLOOKUP(Envoltória!K24,Componentes!G:I,2,FALSE),"")</f>
        <v/>
      </c>
      <c r="S19" s="384" t="str">
        <f>IFERROR(VLOOKUP(Envoltória!K24,Componentes!G:I,3,FALSE),"")</f>
        <v/>
      </c>
      <c r="T19" s="383">
        <f>IFERROR(IF(H19&lt;&gt;0,VLOOKUP(Envoltória!N24,Componentes!T:V,3,FALSE),0),"")</f>
        <v>0</v>
      </c>
      <c r="U19" s="383">
        <f>IFERROR(IF(H19&lt;&gt;0,VLOOKUP(Envoltória!N24,Componentes!T:V,2,FALSE),0),"")</f>
        <v>0</v>
      </c>
      <c r="V19" s="384">
        <f>IFERROR(IF(AA19&lt;&gt;0,VLOOKUP(Envoltória!U24,Componentes!X:Z,2,FALSE),0),"")</f>
        <v>0</v>
      </c>
      <c r="W19" s="384">
        <f>IFERROR(IF(AA19&lt;&gt;0,VLOOKUP(Envoltória!U24,Componentes!X:Z,3,FALSE),0),"")</f>
        <v>0</v>
      </c>
      <c r="X19" s="383" t="str">
        <f>Envoltória!X24</f>
        <v/>
      </c>
      <c r="Y19" s="383">
        <f>Envoltória!V24</f>
        <v>0</v>
      </c>
      <c r="Z19" s="383" t="str">
        <f>Envoltória!W24</f>
        <v/>
      </c>
      <c r="AA19" s="386">
        <f>Envoltória!T24/100</f>
        <v>0</v>
      </c>
      <c r="AB19" s="387"/>
      <c r="AC19" s="387"/>
      <c r="AD19" s="387"/>
      <c r="AE19" s="387"/>
      <c r="AF19" s="387"/>
      <c r="AG19" s="387"/>
      <c r="AH19" s="387"/>
      <c r="AI19" s="387"/>
      <c r="AJ19" s="387"/>
      <c r="AK19" s="387"/>
      <c r="AL19" s="387"/>
      <c r="AM19" s="387"/>
      <c r="AN19" s="387"/>
      <c r="AO19" s="387"/>
      <c r="AP19" s="383">
        <f>IF(BF19=0,90,Envoltória!S24)</f>
        <v>0</v>
      </c>
      <c r="AQ19" s="383">
        <f>IF(BF19=0,90,Envoltória!R24)</f>
        <v>0</v>
      </c>
      <c r="AR19" s="383" t="str">
        <f t="shared" si="0"/>
        <v/>
      </c>
      <c r="AS19" s="383" t="str">
        <f t="shared" si="0"/>
        <v/>
      </c>
      <c r="AT19" s="383" t="str">
        <f t="shared" si="0"/>
        <v/>
      </c>
      <c r="AU19" s="383" t="str">
        <f t="shared" si="0"/>
        <v/>
      </c>
      <c r="AV19" s="383" t="str">
        <f t="shared" si="0"/>
        <v/>
      </c>
      <c r="AW19" s="384" t="str">
        <f>IFERROR(VLOOKUP(Envoltória!$B24,Aux_Lista!$N$2:$T$7,AW$9,FALSE),"")</f>
        <v/>
      </c>
      <c r="AX19" s="384" t="str">
        <f>IFERROR(VLOOKUP(Envoltória!$B24,Aux_Lista!$N$2:$T$7,AX$9,FALSE),"")</f>
        <v/>
      </c>
      <c r="AY19" s="384" t="str">
        <f>IFERROR(VLOOKUP(Envoltória!$B24,Aux_Lista!$N$2:$T$7,AY$9,FALSE),"")</f>
        <v/>
      </c>
      <c r="AZ19" s="384" t="str">
        <f>IFERROR(VLOOKUP(Envoltória!$B24,Aux_Lista!$N$2:$T$7,AZ$9,FALSE),"")</f>
        <v/>
      </c>
      <c r="BA19" s="384" t="str">
        <f>IFERROR(VLOOKUP(Envoltória!$B24,Aux_Lista!$N$2:$T$7,BA$9,FALSE),"")</f>
        <v/>
      </c>
      <c r="BB19" s="384" t="str">
        <f>IFERROR(VLOOKUP(Envoltória!$B24,Aux_Lista!$N$2:$T$7,BB$9,FALSE),"")</f>
        <v/>
      </c>
      <c r="BC19" s="384" t="str">
        <f>IFERROR(VLOOKUP(Envoltória!$H24,Aux_Lista!$V$2:$X$3,BC$9,FALSE),"")</f>
        <v/>
      </c>
      <c r="BD19" s="384" t="str">
        <f>IFERROR(VLOOKUP(Envoltória!$H24,Aux_Lista!$V$2:$X$3,BD$9,FALSE),"")</f>
        <v/>
      </c>
      <c r="BE19" s="382">
        <f t="shared" si="2"/>
        <v>0</v>
      </c>
      <c r="BF19" s="382" t="str">
        <f>IFERROR(VLOOKUP(Envoltória!F24,CB3E_Envoltória!$BQ$18:$BR$19,2,FALSE),"")</f>
        <v/>
      </c>
      <c r="BG19" s="382" t="str">
        <f>IFERROR(VLOOKUP(Envoltória!$G24,$BQ$35:$BZ$43,BG$9,FALSE),"")</f>
        <v/>
      </c>
      <c r="BH19" s="382" t="str">
        <f>IFERROR(VLOOKUP(Envoltória!$G24,$BQ$35:$BZ$43,BH$9,FALSE),"")</f>
        <v/>
      </c>
      <c r="BI19" s="382" t="str">
        <f>IFERROR(VLOOKUP(Envoltória!$G24,$BQ$35:$BZ$43,BI$9,FALSE),"")</f>
        <v/>
      </c>
      <c r="BJ19" s="382" t="str">
        <f>IFERROR(VLOOKUP(Envoltória!$G24,$BQ$35:$BZ$43,BJ$9,FALSE),"")</f>
        <v/>
      </c>
      <c r="BK19" s="382" t="str">
        <f>IFERROR(VLOOKUP(Envoltória!$G24,$BQ$35:$BZ$43,BK$9,FALSE),"")</f>
        <v/>
      </c>
      <c r="BL19" s="382" t="str">
        <f>IFERROR(VLOOKUP(Envoltória!$G24,$BQ$35:$BZ$43,BL$9,FALSE),"")</f>
        <v/>
      </c>
      <c r="BM19" s="382" t="str">
        <f>IFERROR(VLOOKUP(Envoltória!$G24,$BQ$35:$BZ$43,BM$9,FALSE),"")</f>
        <v/>
      </c>
      <c r="BN19" s="382" t="str">
        <f>IFERROR(VLOOKUP(Envoltória!$G24,$BQ$35:$BZ$43,BN$9,FALSE),"")</f>
        <v/>
      </c>
      <c r="BO19" s="382" t="str">
        <f>IFERROR(VLOOKUP(Envoltória!$G24,$BQ$35:$BZ$43,BO$9,FALSE),"")</f>
        <v/>
      </c>
      <c r="BP19" s="1"/>
      <c r="BQ19" s="7" t="s">
        <v>50</v>
      </c>
      <c r="BR19" s="7">
        <v>0</v>
      </c>
    </row>
    <row r="20" spans="1:75" s="32" customFormat="1" x14ac:dyDescent="0.25">
      <c r="A20" s="1">
        <v>10</v>
      </c>
      <c r="B20" s="370">
        <f>Envoltória!I25</f>
        <v>0</v>
      </c>
      <c r="C20" s="371">
        <f>Envoltória!B25</f>
        <v>0</v>
      </c>
      <c r="D20" s="371">
        <f>Envoltória!C25</f>
        <v>0</v>
      </c>
      <c r="E20" s="381">
        <f>Envoltória!D25</f>
        <v>0</v>
      </c>
      <c r="F20" s="382">
        <f>Envoltória!E25</f>
        <v>0</v>
      </c>
      <c r="G20" s="382">
        <f t="shared" si="1"/>
        <v>0</v>
      </c>
      <c r="H20" s="383">
        <f>Envoltória!O25/100</f>
        <v>0</v>
      </c>
      <c r="I20" s="383">
        <f>IF(BF20=1,Envoltória!Q25,90)</f>
        <v>90</v>
      </c>
      <c r="J20" s="384" t="str">
        <f>IFERROR(VLOOKUP(Envoltória!M25,Componentes!$P:$R,2,FALSE),"")</f>
        <v/>
      </c>
      <c r="K20" s="384" t="str">
        <f>IFERROR(VLOOKUP(Envoltória!M25,Componentes!$P:$R,3,FALSE),"")</f>
        <v/>
      </c>
      <c r="L20" s="383">
        <f>IF(ISERROR(VLOOKUP(Envoltória!L25,Componentes!K:N,2,FALSE)),0,VLOOKUP(Envoltória!L25,Componentes!K:N,2,FALSE))</f>
        <v>0</v>
      </c>
      <c r="M20" s="383">
        <f>IF(ISERROR(VLOOKUP(Envoltória!L25,Componentes!K:N,3,FALSE)),0,VLOOKUP(Envoltória!L25,Componentes!K:N,3,FALSE))</f>
        <v>0</v>
      </c>
      <c r="N20" s="385" t="str">
        <f>IFERROR(IF(BB20&lt;&gt;0,VLOOKUP(Envoltória!L25,Componentes!K:N,4,FALSE),0),"")</f>
        <v/>
      </c>
      <c r="O20" s="383">
        <f>IF(BF20=1,VLOOKUP(Envoltória!J25,Componentes!B:E,2,FALSE),-6)</f>
        <v>-6</v>
      </c>
      <c r="P20" s="383">
        <f>IF(BF20=1,VLOOKUP(Envoltória!J25,Componentes!B:E,3,FALSE),-400)</f>
        <v>-400</v>
      </c>
      <c r="Q20" s="383">
        <f>IF(BF20=1,VLOOKUP(Envoltória!J25,Componentes!B:E,4,FALSE),0)</f>
        <v>0</v>
      </c>
      <c r="R20" s="384" t="str">
        <f>IFERROR(VLOOKUP(Envoltória!K25,Componentes!G:I,2,FALSE),"")</f>
        <v/>
      </c>
      <c r="S20" s="384" t="str">
        <f>IFERROR(VLOOKUP(Envoltória!K25,Componentes!G:I,3,FALSE),"")</f>
        <v/>
      </c>
      <c r="T20" s="383">
        <f>IFERROR(IF(H20&lt;&gt;0,VLOOKUP(Envoltória!N25,Componentes!T:V,3,FALSE),0),"")</f>
        <v>0</v>
      </c>
      <c r="U20" s="383">
        <f>IFERROR(IF(H20&lt;&gt;0,VLOOKUP(Envoltória!N25,Componentes!T:V,2,FALSE),0),"")</f>
        <v>0</v>
      </c>
      <c r="V20" s="384">
        <f>IFERROR(IF(AA20&lt;&gt;0,VLOOKUP(Envoltória!U25,Componentes!X:Z,2,FALSE),0),"")</f>
        <v>0</v>
      </c>
      <c r="W20" s="384">
        <f>IFERROR(IF(AA20&lt;&gt;0,VLOOKUP(Envoltória!U25,Componentes!X:Z,3,FALSE),0),"")</f>
        <v>0</v>
      </c>
      <c r="X20" s="383" t="str">
        <f>Envoltória!X25</f>
        <v/>
      </c>
      <c r="Y20" s="383">
        <f>Envoltória!V25</f>
        <v>0</v>
      </c>
      <c r="Z20" s="383" t="str">
        <f>Envoltória!W25</f>
        <v/>
      </c>
      <c r="AA20" s="386">
        <f>Envoltória!T25/100</f>
        <v>0</v>
      </c>
      <c r="AB20" s="387"/>
      <c r="AC20" s="387"/>
      <c r="AD20" s="387"/>
      <c r="AE20" s="387"/>
      <c r="AF20" s="387"/>
      <c r="AG20" s="387"/>
      <c r="AH20" s="387"/>
      <c r="AI20" s="387"/>
      <c r="AJ20" s="387"/>
      <c r="AK20" s="387"/>
      <c r="AL20" s="387"/>
      <c r="AM20" s="387"/>
      <c r="AN20" s="387"/>
      <c r="AO20" s="387"/>
      <c r="AP20" s="383">
        <f>IF(BF20=0,90,Envoltória!S25)</f>
        <v>0</v>
      </c>
      <c r="AQ20" s="383">
        <f>IF(BF20=0,90,Envoltória!R25)</f>
        <v>0</v>
      </c>
      <c r="AR20" s="383" t="str">
        <f t="shared" si="0"/>
        <v/>
      </c>
      <c r="AS20" s="383" t="str">
        <f t="shared" si="0"/>
        <v/>
      </c>
      <c r="AT20" s="383" t="str">
        <f t="shared" si="0"/>
        <v/>
      </c>
      <c r="AU20" s="383" t="str">
        <f t="shared" si="0"/>
        <v/>
      </c>
      <c r="AV20" s="383" t="str">
        <f t="shared" si="0"/>
        <v/>
      </c>
      <c r="AW20" s="384" t="str">
        <f>IFERROR(VLOOKUP(Envoltória!$B25,Aux_Lista!$N$2:$T$7,AW$9,FALSE),"")</f>
        <v/>
      </c>
      <c r="AX20" s="384" t="str">
        <f>IFERROR(VLOOKUP(Envoltória!$B25,Aux_Lista!$N$2:$T$7,AX$9,FALSE),"")</f>
        <v/>
      </c>
      <c r="AY20" s="384" t="str">
        <f>IFERROR(VLOOKUP(Envoltória!$B25,Aux_Lista!$N$2:$T$7,AY$9,FALSE),"")</f>
        <v/>
      </c>
      <c r="AZ20" s="384" t="str">
        <f>IFERROR(VLOOKUP(Envoltória!$B25,Aux_Lista!$N$2:$T$7,AZ$9,FALSE),"")</f>
        <v/>
      </c>
      <c r="BA20" s="384" t="str">
        <f>IFERROR(VLOOKUP(Envoltória!$B25,Aux_Lista!$N$2:$T$7,BA$9,FALSE),"")</f>
        <v/>
      </c>
      <c r="BB20" s="384" t="str">
        <f>IFERROR(VLOOKUP(Envoltória!$B25,Aux_Lista!$N$2:$T$7,BB$9,FALSE),"")</f>
        <v/>
      </c>
      <c r="BC20" s="384" t="str">
        <f>IFERROR(VLOOKUP(Envoltória!$H25,Aux_Lista!$V$2:$X$3,BC$9,FALSE),"")</f>
        <v/>
      </c>
      <c r="BD20" s="384" t="str">
        <f>IFERROR(VLOOKUP(Envoltória!$H25,Aux_Lista!$V$2:$X$3,BD$9,FALSE),"")</f>
        <v/>
      </c>
      <c r="BE20" s="382">
        <f t="shared" si="2"/>
        <v>0</v>
      </c>
      <c r="BF20" s="382" t="str">
        <f>IFERROR(VLOOKUP(Envoltória!F25,CB3E_Envoltória!$BQ$18:$BR$19,2,FALSE),"")</f>
        <v/>
      </c>
      <c r="BG20" s="382" t="str">
        <f>IFERROR(VLOOKUP(Envoltória!$G25,$BQ$35:$BZ$43,BG$9,FALSE),"")</f>
        <v/>
      </c>
      <c r="BH20" s="382" t="str">
        <f>IFERROR(VLOOKUP(Envoltória!$G25,$BQ$35:$BZ$43,BH$9,FALSE),"")</f>
        <v/>
      </c>
      <c r="BI20" s="382" t="str">
        <f>IFERROR(VLOOKUP(Envoltória!$G25,$BQ$35:$BZ$43,BI$9,FALSE),"")</f>
        <v/>
      </c>
      <c r="BJ20" s="382" t="str">
        <f>IFERROR(VLOOKUP(Envoltória!$G25,$BQ$35:$BZ$43,BJ$9,FALSE),"")</f>
        <v/>
      </c>
      <c r="BK20" s="382" t="str">
        <f>IFERROR(VLOOKUP(Envoltória!$G25,$BQ$35:$BZ$43,BK$9,FALSE),"")</f>
        <v/>
      </c>
      <c r="BL20" s="382" t="str">
        <f>IFERROR(VLOOKUP(Envoltória!$G25,$BQ$35:$BZ$43,BL$9,FALSE),"")</f>
        <v/>
      </c>
      <c r="BM20" s="382" t="str">
        <f>IFERROR(VLOOKUP(Envoltória!$G25,$BQ$35:$BZ$43,BM$9,FALSE),"")</f>
        <v/>
      </c>
      <c r="BN20" s="382" t="str">
        <f>IFERROR(VLOOKUP(Envoltória!$G25,$BQ$35:$BZ$43,BN$9,FALSE),"")</f>
        <v/>
      </c>
      <c r="BO20" s="382" t="str">
        <f>IFERROR(VLOOKUP(Envoltória!$G25,$BQ$35:$BZ$43,BO$9,FALSE),"")</f>
        <v/>
      </c>
      <c r="BP20" s="1"/>
    </row>
    <row r="21" spans="1:75" s="32" customFormat="1" x14ac:dyDescent="0.25">
      <c r="A21" s="1">
        <v>11</v>
      </c>
      <c r="B21" s="370">
        <f>Envoltória!I26</f>
        <v>0</v>
      </c>
      <c r="C21" s="371">
        <f>Envoltória!B26</f>
        <v>0</v>
      </c>
      <c r="D21" s="371">
        <f>Envoltória!C26</f>
        <v>0</v>
      </c>
      <c r="E21" s="381">
        <f>Envoltória!D26</f>
        <v>0</v>
      </c>
      <c r="F21" s="382">
        <f>Envoltória!E26</f>
        <v>0</v>
      </c>
      <c r="G21" s="382">
        <f t="shared" si="1"/>
        <v>0</v>
      </c>
      <c r="H21" s="383">
        <f>Envoltória!O26/100</f>
        <v>0</v>
      </c>
      <c r="I21" s="383">
        <f>IF(BF21=1,Envoltória!Q26,90)</f>
        <v>90</v>
      </c>
      <c r="J21" s="384" t="str">
        <f>IFERROR(VLOOKUP(Envoltória!M26,Componentes!$P:$R,2,FALSE),"")</f>
        <v/>
      </c>
      <c r="K21" s="384" t="str">
        <f>IFERROR(VLOOKUP(Envoltória!M26,Componentes!$P:$R,3,FALSE),"")</f>
        <v/>
      </c>
      <c r="L21" s="383">
        <f>IF(ISERROR(VLOOKUP(Envoltória!L26,Componentes!K:N,2,FALSE)),0,VLOOKUP(Envoltória!L26,Componentes!K:N,2,FALSE))</f>
        <v>0</v>
      </c>
      <c r="M21" s="383">
        <f>IF(ISERROR(VLOOKUP(Envoltória!L26,Componentes!K:N,3,FALSE)),0,VLOOKUP(Envoltória!L26,Componentes!K:N,3,FALSE))</f>
        <v>0</v>
      </c>
      <c r="N21" s="385" t="str">
        <f>IFERROR(IF(BB21&lt;&gt;0,VLOOKUP(Envoltória!L26,Componentes!K:N,4,FALSE),0),"")</f>
        <v/>
      </c>
      <c r="O21" s="383">
        <f>IF(BF21=1,VLOOKUP(Envoltória!J26,Componentes!B:E,2,FALSE),-6)</f>
        <v>-6</v>
      </c>
      <c r="P21" s="383">
        <f>IF(BF21=1,VLOOKUP(Envoltória!J26,Componentes!B:E,3,FALSE),-400)</f>
        <v>-400</v>
      </c>
      <c r="Q21" s="383">
        <f>IF(BF21=1,VLOOKUP(Envoltória!J26,Componentes!B:E,4,FALSE),0)</f>
        <v>0</v>
      </c>
      <c r="R21" s="384" t="str">
        <f>IFERROR(VLOOKUP(Envoltória!K26,Componentes!G:I,2,FALSE),"")</f>
        <v/>
      </c>
      <c r="S21" s="384" t="str">
        <f>IFERROR(VLOOKUP(Envoltória!K26,Componentes!G:I,3,FALSE),"")</f>
        <v/>
      </c>
      <c r="T21" s="383">
        <f>IFERROR(IF(H21&lt;&gt;0,VLOOKUP(Envoltória!N26,Componentes!T:V,3,FALSE),0),"")</f>
        <v>0</v>
      </c>
      <c r="U21" s="383">
        <f>IFERROR(IF(H21&lt;&gt;0,VLOOKUP(Envoltória!N26,Componentes!T:V,2,FALSE),0),"")</f>
        <v>0</v>
      </c>
      <c r="V21" s="384">
        <f>IFERROR(IF(AA21&lt;&gt;0,VLOOKUP(Envoltória!U26,Componentes!X:Z,2,FALSE),0),"")</f>
        <v>0</v>
      </c>
      <c r="W21" s="384">
        <f>IFERROR(IF(AA21&lt;&gt;0,VLOOKUP(Envoltória!U26,Componentes!X:Z,3,FALSE),0),"")</f>
        <v>0</v>
      </c>
      <c r="X21" s="383" t="str">
        <f>Envoltória!X26</f>
        <v/>
      </c>
      <c r="Y21" s="383">
        <f>Envoltória!V26</f>
        <v>0</v>
      </c>
      <c r="Z21" s="383" t="str">
        <f>Envoltória!W26</f>
        <v/>
      </c>
      <c r="AA21" s="386">
        <f>Envoltória!T26/100</f>
        <v>0</v>
      </c>
      <c r="AB21" s="387"/>
      <c r="AC21" s="387"/>
      <c r="AD21" s="387"/>
      <c r="AE21" s="387"/>
      <c r="AF21" s="387"/>
      <c r="AG21" s="387"/>
      <c r="AH21" s="387"/>
      <c r="AI21" s="387"/>
      <c r="AJ21" s="387"/>
      <c r="AK21" s="387"/>
      <c r="AL21" s="387"/>
      <c r="AM21" s="387"/>
      <c r="AN21" s="387"/>
      <c r="AO21" s="387"/>
      <c r="AP21" s="383">
        <f>IF(BF21=0,90,Envoltória!S26)</f>
        <v>0</v>
      </c>
      <c r="AQ21" s="383">
        <f>IF(BF21=0,90,Envoltória!R26)</f>
        <v>0</v>
      </c>
      <c r="AR21" s="383" t="str">
        <f t="shared" ref="AR21:AV30" si="3">IFERROR(VLOOKUP($B21,$BQ$21:$BW$31,AR$9,FALSE),"")</f>
        <v/>
      </c>
      <c r="AS21" s="383" t="str">
        <f t="shared" si="3"/>
        <v/>
      </c>
      <c r="AT21" s="383" t="str">
        <f t="shared" si="3"/>
        <v/>
      </c>
      <c r="AU21" s="383" t="str">
        <f t="shared" si="3"/>
        <v/>
      </c>
      <c r="AV21" s="383" t="str">
        <f t="shared" si="3"/>
        <v/>
      </c>
      <c r="AW21" s="384" t="str">
        <f>IFERROR(VLOOKUP(Envoltória!$B26,Aux_Lista!$N$2:$T$7,AW$9,FALSE),"")</f>
        <v/>
      </c>
      <c r="AX21" s="384" t="str">
        <f>IFERROR(VLOOKUP(Envoltória!$B26,Aux_Lista!$N$2:$T$7,AX$9,FALSE),"")</f>
        <v/>
      </c>
      <c r="AY21" s="384" t="str">
        <f>IFERROR(VLOOKUP(Envoltória!$B26,Aux_Lista!$N$2:$T$7,AY$9,FALSE),"")</f>
        <v/>
      </c>
      <c r="AZ21" s="384" t="str">
        <f>IFERROR(VLOOKUP(Envoltória!$B26,Aux_Lista!$N$2:$T$7,AZ$9,FALSE),"")</f>
        <v/>
      </c>
      <c r="BA21" s="384" t="str">
        <f>IFERROR(VLOOKUP(Envoltória!$B26,Aux_Lista!$N$2:$T$7,BA$9,FALSE),"")</f>
        <v/>
      </c>
      <c r="BB21" s="384" t="str">
        <f>IFERROR(VLOOKUP(Envoltória!$B26,Aux_Lista!$N$2:$T$7,BB$9,FALSE),"")</f>
        <v/>
      </c>
      <c r="BC21" s="384" t="str">
        <f>IFERROR(VLOOKUP(Envoltória!$H26,Aux_Lista!$V$2:$X$3,BC$9,FALSE),"")</f>
        <v/>
      </c>
      <c r="BD21" s="384" t="str">
        <f>IFERROR(VLOOKUP(Envoltória!$H26,Aux_Lista!$V$2:$X$3,BD$9,FALSE),"")</f>
        <v/>
      </c>
      <c r="BE21" s="382">
        <f t="shared" si="2"/>
        <v>0</v>
      </c>
      <c r="BF21" s="382" t="str">
        <f>IFERROR(VLOOKUP(Envoltória!F26,CB3E_Envoltória!$BQ$18:$BR$19,2,FALSE),"")</f>
        <v/>
      </c>
      <c r="BG21" s="382" t="str">
        <f>IFERROR(VLOOKUP(Envoltória!$G26,$BQ$35:$BZ$43,BG$9,FALSE),"")</f>
        <v/>
      </c>
      <c r="BH21" s="382" t="str">
        <f>IFERROR(VLOOKUP(Envoltória!$G26,$BQ$35:$BZ$43,BH$9,FALSE),"")</f>
        <v/>
      </c>
      <c r="BI21" s="382" t="str">
        <f>IFERROR(VLOOKUP(Envoltória!$G26,$BQ$35:$BZ$43,BI$9,FALSE),"")</f>
        <v/>
      </c>
      <c r="BJ21" s="382" t="str">
        <f>IFERROR(VLOOKUP(Envoltória!$G26,$BQ$35:$BZ$43,BJ$9,FALSE),"")</f>
        <v/>
      </c>
      <c r="BK21" s="382" t="str">
        <f>IFERROR(VLOOKUP(Envoltória!$G26,$BQ$35:$BZ$43,BK$9,FALSE),"")</f>
        <v/>
      </c>
      <c r="BL21" s="382" t="str">
        <f>IFERROR(VLOOKUP(Envoltória!$G26,$BQ$35:$BZ$43,BL$9,FALSE),"")</f>
        <v/>
      </c>
      <c r="BM21" s="382" t="str">
        <f>IFERROR(VLOOKUP(Envoltória!$G26,$BQ$35:$BZ$43,BM$9,FALSE),"")</f>
        <v/>
      </c>
      <c r="BN21" s="382" t="str">
        <f>IFERROR(VLOOKUP(Envoltória!$G26,$BQ$35:$BZ$43,BN$9,FALSE),"")</f>
        <v/>
      </c>
      <c r="BO21" s="382" t="str">
        <f>IFERROR(VLOOKUP(Envoltória!$G26,$BQ$35:$BZ$43,BO$9,FALSE),"")</f>
        <v/>
      </c>
      <c r="BP21" s="1"/>
      <c r="BS21" s="379" t="s">
        <v>6154</v>
      </c>
      <c r="BT21" s="379" t="s">
        <v>6155</v>
      </c>
      <c r="BU21" s="379" t="s">
        <v>6156</v>
      </c>
      <c r="BV21" s="379" t="s">
        <v>6157</v>
      </c>
      <c r="BW21" s="379" t="s">
        <v>6158</v>
      </c>
    </row>
    <row r="22" spans="1:75" s="32" customFormat="1" x14ac:dyDescent="0.25">
      <c r="A22" s="1">
        <v>12</v>
      </c>
      <c r="B22" s="370">
        <f>Envoltória!I27</f>
        <v>0</v>
      </c>
      <c r="C22" s="371">
        <f>Envoltória!B27</f>
        <v>0</v>
      </c>
      <c r="D22" s="371">
        <f>Envoltória!C27</f>
        <v>0</v>
      </c>
      <c r="E22" s="381">
        <f>Envoltória!D27</f>
        <v>0</v>
      </c>
      <c r="F22" s="382">
        <f>Envoltória!E27</f>
        <v>0</v>
      </c>
      <c r="G22" s="382">
        <f t="shared" si="1"/>
        <v>0</v>
      </c>
      <c r="H22" s="383">
        <f>Envoltória!O27/100</f>
        <v>0</v>
      </c>
      <c r="I22" s="383">
        <f>IF(BF22=1,Envoltória!Q27,90)</f>
        <v>90</v>
      </c>
      <c r="J22" s="384" t="str">
        <f>IFERROR(VLOOKUP(Envoltória!M27,Componentes!$P:$R,2,FALSE),"")</f>
        <v/>
      </c>
      <c r="K22" s="384" t="str">
        <f>IFERROR(VLOOKUP(Envoltória!M27,Componentes!$P:$R,3,FALSE),"")</f>
        <v/>
      </c>
      <c r="L22" s="383">
        <f>IF(ISERROR(VLOOKUP(Envoltória!L27,Componentes!K:N,2,FALSE)),0,VLOOKUP(Envoltória!L27,Componentes!K:N,2,FALSE))</f>
        <v>0</v>
      </c>
      <c r="M22" s="383">
        <f>IF(ISERROR(VLOOKUP(Envoltória!L27,Componentes!K:N,3,FALSE)),0,VLOOKUP(Envoltória!L27,Componentes!K:N,3,FALSE))</f>
        <v>0</v>
      </c>
      <c r="N22" s="385" t="str">
        <f>IFERROR(IF(BB22&lt;&gt;0,VLOOKUP(Envoltória!L27,Componentes!K:N,4,FALSE),0),"")</f>
        <v/>
      </c>
      <c r="O22" s="383">
        <f>IF(BF22=1,VLOOKUP(Envoltória!J27,Componentes!B:E,2,FALSE),-6)</f>
        <v>-6</v>
      </c>
      <c r="P22" s="383">
        <f>IF(BF22=1,VLOOKUP(Envoltória!J27,Componentes!B:E,3,FALSE),-400)</f>
        <v>-400</v>
      </c>
      <c r="Q22" s="383">
        <f>IF(BF22=1,VLOOKUP(Envoltória!J27,Componentes!B:E,4,FALSE),0)</f>
        <v>0</v>
      </c>
      <c r="R22" s="384" t="str">
        <f>IFERROR(VLOOKUP(Envoltória!K27,Componentes!G:I,2,FALSE),"")</f>
        <v/>
      </c>
      <c r="S22" s="384" t="str">
        <f>IFERROR(VLOOKUP(Envoltória!K27,Componentes!G:I,3,FALSE),"")</f>
        <v/>
      </c>
      <c r="T22" s="383">
        <f>IFERROR(IF(H22&lt;&gt;0,VLOOKUP(Envoltória!N27,Componentes!T:V,3,FALSE),0),"")</f>
        <v>0</v>
      </c>
      <c r="U22" s="383">
        <f>IFERROR(IF(H22&lt;&gt;0,VLOOKUP(Envoltória!N27,Componentes!T:V,2,FALSE),0),"")</f>
        <v>0</v>
      </c>
      <c r="V22" s="384">
        <f>IFERROR(IF(AA22&lt;&gt;0,VLOOKUP(Envoltória!U27,Componentes!X:Z,2,FALSE),0),"")</f>
        <v>0</v>
      </c>
      <c r="W22" s="384">
        <f>IFERROR(IF(AA22&lt;&gt;0,VLOOKUP(Envoltória!U27,Componentes!X:Z,3,FALSE),0),"")</f>
        <v>0</v>
      </c>
      <c r="X22" s="383" t="str">
        <f>Envoltória!X27</f>
        <v/>
      </c>
      <c r="Y22" s="383">
        <f>Envoltória!V27</f>
        <v>0</v>
      </c>
      <c r="Z22" s="383" t="str">
        <f>Envoltória!W27</f>
        <v/>
      </c>
      <c r="AA22" s="386">
        <f>Envoltória!T27/100</f>
        <v>0</v>
      </c>
      <c r="AB22" s="387"/>
      <c r="AC22" s="387"/>
      <c r="AD22" s="387"/>
      <c r="AE22" s="387"/>
      <c r="AF22" s="387"/>
      <c r="AG22" s="387"/>
      <c r="AH22" s="387"/>
      <c r="AI22" s="387"/>
      <c r="AJ22" s="387"/>
      <c r="AK22" s="387"/>
      <c r="AL22" s="387"/>
      <c r="AM22" s="387"/>
      <c r="AN22" s="387"/>
      <c r="AO22" s="387"/>
      <c r="AP22" s="383">
        <f>IF(BF22=0,90,Envoltória!S27)</f>
        <v>0</v>
      </c>
      <c r="AQ22" s="383">
        <f>IF(BF22=0,90,Envoltória!R27)</f>
        <v>0</v>
      </c>
      <c r="AR22" s="383" t="str">
        <f t="shared" si="3"/>
        <v/>
      </c>
      <c r="AS22" s="383" t="str">
        <f t="shared" si="3"/>
        <v/>
      </c>
      <c r="AT22" s="383" t="str">
        <f t="shared" si="3"/>
        <v/>
      </c>
      <c r="AU22" s="383" t="str">
        <f t="shared" si="3"/>
        <v/>
      </c>
      <c r="AV22" s="383" t="str">
        <f t="shared" si="3"/>
        <v/>
      </c>
      <c r="AW22" s="384" t="str">
        <f>IFERROR(VLOOKUP(Envoltória!$B27,Aux_Lista!$N$2:$T$7,AW$9,FALSE),"")</f>
        <v/>
      </c>
      <c r="AX22" s="384" t="str">
        <f>IFERROR(VLOOKUP(Envoltória!$B27,Aux_Lista!$N$2:$T$7,AX$9,FALSE),"")</f>
        <v/>
      </c>
      <c r="AY22" s="384" t="str">
        <f>IFERROR(VLOOKUP(Envoltória!$B27,Aux_Lista!$N$2:$T$7,AY$9,FALSE),"")</f>
        <v/>
      </c>
      <c r="AZ22" s="384" t="str">
        <f>IFERROR(VLOOKUP(Envoltória!$B27,Aux_Lista!$N$2:$T$7,AZ$9,FALSE),"")</f>
        <v/>
      </c>
      <c r="BA22" s="384" t="str">
        <f>IFERROR(VLOOKUP(Envoltória!$B27,Aux_Lista!$N$2:$T$7,BA$9,FALSE),"")</f>
        <v/>
      </c>
      <c r="BB22" s="384" t="str">
        <f>IFERROR(VLOOKUP(Envoltória!$B27,Aux_Lista!$N$2:$T$7,BB$9,FALSE),"")</f>
        <v/>
      </c>
      <c r="BC22" s="384" t="str">
        <f>IFERROR(VLOOKUP(Envoltória!$H27,Aux_Lista!$V$2:$X$3,BC$9,FALSE),"")</f>
        <v/>
      </c>
      <c r="BD22" s="384" t="str">
        <f>IFERROR(VLOOKUP(Envoltória!$H27,Aux_Lista!$V$2:$X$3,BD$9,FALSE),"")</f>
        <v/>
      </c>
      <c r="BE22" s="382">
        <f t="shared" si="2"/>
        <v>0</v>
      </c>
      <c r="BF22" s="382" t="str">
        <f>IFERROR(VLOOKUP(Envoltória!F27,CB3E_Envoltória!$BQ$18:$BR$19,2,FALSE),"")</f>
        <v/>
      </c>
      <c r="BG22" s="382" t="str">
        <f>IFERROR(VLOOKUP(Envoltória!$G27,$BQ$35:$BZ$43,BG$9,FALSE),"")</f>
        <v/>
      </c>
      <c r="BH22" s="382" t="str">
        <f>IFERROR(VLOOKUP(Envoltória!$G27,$BQ$35:$BZ$43,BH$9,FALSE),"")</f>
        <v/>
      </c>
      <c r="BI22" s="382" t="str">
        <f>IFERROR(VLOOKUP(Envoltória!$G27,$BQ$35:$BZ$43,BI$9,FALSE),"")</f>
        <v/>
      </c>
      <c r="BJ22" s="382" t="str">
        <f>IFERROR(VLOOKUP(Envoltória!$G27,$BQ$35:$BZ$43,BJ$9,FALSE),"")</f>
        <v/>
      </c>
      <c r="BK22" s="382" t="str">
        <f>IFERROR(VLOOKUP(Envoltória!$G27,$BQ$35:$BZ$43,BK$9,FALSE),"")</f>
        <v/>
      </c>
      <c r="BL22" s="382" t="str">
        <f>IFERROR(VLOOKUP(Envoltória!$G27,$BQ$35:$BZ$43,BL$9,FALSE),"")</f>
        <v/>
      </c>
      <c r="BM22" s="382" t="str">
        <f>IFERROR(VLOOKUP(Envoltória!$G27,$BQ$35:$BZ$43,BM$9,FALSE),"")</f>
        <v/>
      </c>
      <c r="BN22" s="382" t="str">
        <f>IFERROR(VLOOKUP(Envoltória!$G27,$BQ$35:$BZ$43,BN$9,FALSE),"")</f>
        <v/>
      </c>
      <c r="BO22" s="382" t="str">
        <f>IFERROR(VLOOKUP(Envoltória!$G27,$BQ$35:$BZ$43,BO$9,FALSE),"")</f>
        <v/>
      </c>
      <c r="BP22" s="1"/>
      <c r="BQ22" s="378" t="s">
        <v>38</v>
      </c>
      <c r="BR22" s="7">
        <v>10</v>
      </c>
      <c r="BS22" s="7">
        <v>1</v>
      </c>
      <c r="BT22" s="7">
        <v>0</v>
      </c>
      <c r="BU22" s="7">
        <v>0</v>
      </c>
      <c r="BV22" s="7">
        <v>0</v>
      </c>
      <c r="BW22" s="7">
        <v>0</v>
      </c>
    </row>
    <row r="23" spans="1:75" s="32" customFormat="1" x14ac:dyDescent="0.25">
      <c r="A23" s="1">
        <v>13</v>
      </c>
      <c r="B23" s="370">
        <f>Envoltória!I28</f>
        <v>0</v>
      </c>
      <c r="C23" s="371">
        <f>Envoltória!B28</f>
        <v>0</v>
      </c>
      <c r="D23" s="371">
        <f>Envoltória!C28</f>
        <v>0</v>
      </c>
      <c r="E23" s="381">
        <f>Envoltória!D28</f>
        <v>0</v>
      </c>
      <c r="F23" s="382">
        <f>Envoltória!E28</f>
        <v>0</v>
      </c>
      <c r="G23" s="382">
        <f t="shared" si="1"/>
        <v>0</v>
      </c>
      <c r="H23" s="383">
        <f>Envoltória!O28/100</f>
        <v>0</v>
      </c>
      <c r="I23" s="383">
        <f>IF(BF23=1,Envoltória!Q28,90)</f>
        <v>90</v>
      </c>
      <c r="J23" s="384" t="str">
        <f>IFERROR(VLOOKUP(Envoltória!M28,Componentes!$P:$R,2,FALSE),"")</f>
        <v/>
      </c>
      <c r="K23" s="384" t="str">
        <f>IFERROR(VLOOKUP(Envoltória!M28,Componentes!$P:$R,3,FALSE),"")</f>
        <v/>
      </c>
      <c r="L23" s="383">
        <f>IF(ISERROR(VLOOKUP(Envoltória!L28,Componentes!K:N,2,FALSE)),0,VLOOKUP(Envoltória!L28,Componentes!K:N,2,FALSE))</f>
        <v>0</v>
      </c>
      <c r="M23" s="383">
        <f>IF(ISERROR(VLOOKUP(Envoltória!L28,Componentes!K:N,3,FALSE)),0,VLOOKUP(Envoltória!L28,Componentes!K:N,3,FALSE))</f>
        <v>0</v>
      </c>
      <c r="N23" s="385" t="str">
        <f>IFERROR(IF(BB23&lt;&gt;0,VLOOKUP(Envoltória!L28,Componentes!K:N,4,FALSE),0),"")</f>
        <v/>
      </c>
      <c r="O23" s="383">
        <f>IF(BF23=1,VLOOKUP(Envoltória!J28,Componentes!B:E,2,FALSE),-6)</f>
        <v>-6</v>
      </c>
      <c r="P23" s="383">
        <f>IF(BF23=1,VLOOKUP(Envoltória!J28,Componentes!B:E,3,FALSE),-400)</f>
        <v>-400</v>
      </c>
      <c r="Q23" s="383">
        <f>IF(BF23=1,VLOOKUP(Envoltória!J28,Componentes!B:E,4,FALSE),0)</f>
        <v>0</v>
      </c>
      <c r="R23" s="384" t="str">
        <f>IFERROR(VLOOKUP(Envoltória!K28,Componentes!G:I,2,FALSE),"")</f>
        <v/>
      </c>
      <c r="S23" s="384" t="str">
        <f>IFERROR(VLOOKUP(Envoltória!K28,Componentes!G:I,3,FALSE),"")</f>
        <v/>
      </c>
      <c r="T23" s="383">
        <f>IFERROR(IF(H23&lt;&gt;0,VLOOKUP(Envoltória!N28,Componentes!T:V,3,FALSE),0),"")</f>
        <v>0</v>
      </c>
      <c r="U23" s="383">
        <f>IFERROR(IF(H23&lt;&gt;0,VLOOKUP(Envoltória!N28,Componentes!T:V,2,FALSE),0),"")</f>
        <v>0</v>
      </c>
      <c r="V23" s="384">
        <f>IFERROR(IF(AA23&lt;&gt;0,VLOOKUP(Envoltória!U28,Componentes!X:Z,2,FALSE),0),"")</f>
        <v>0</v>
      </c>
      <c r="W23" s="384">
        <f>IFERROR(IF(AA23&lt;&gt;0,VLOOKUP(Envoltória!U28,Componentes!X:Z,3,FALSE),0),"")</f>
        <v>0</v>
      </c>
      <c r="X23" s="383" t="str">
        <f>Envoltória!X28</f>
        <v/>
      </c>
      <c r="Y23" s="383">
        <f>Envoltória!V28</f>
        <v>0</v>
      </c>
      <c r="Z23" s="383" t="str">
        <f>Envoltória!W28</f>
        <v/>
      </c>
      <c r="AA23" s="386">
        <f>Envoltória!T28/100</f>
        <v>0</v>
      </c>
      <c r="AB23" s="387"/>
      <c r="AC23" s="387"/>
      <c r="AD23" s="387"/>
      <c r="AE23" s="387"/>
      <c r="AF23" s="387"/>
      <c r="AG23" s="387"/>
      <c r="AH23" s="387"/>
      <c r="AI23" s="387"/>
      <c r="AJ23" s="387"/>
      <c r="AK23" s="387"/>
      <c r="AL23" s="387"/>
      <c r="AM23" s="387"/>
      <c r="AN23" s="387"/>
      <c r="AO23" s="387"/>
      <c r="AP23" s="383">
        <f>IF(BF23=0,90,Envoltória!S28)</f>
        <v>0</v>
      </c>
      <c r="AQ23" s="383">
        <f>IF(BF23=0,90,Envoltória!R28)</f>
        <v>0</v>
      </c>
      <c r="AR23" s="383" t="str">
        <f t="shared" si="3"/>
        <v/>
      </c>
      <c r="AS23" s="383" t="str">
        <f t="shared" si="3"/>
        <v/>
      </c>
      <c r="AT23" s="383" t="str">
        <f t="shared" si="3"/>
        <v/>
      </c>
      <c r="AU23" s="383" t="str">
        <f t="shared" si="3"/>
        <v/>
      </c>
      <c r="AV23" s="383" t="str">
        <f t="shared" si="3"/>
        <v/>
      </c>
      <c r="AW23" s="384" t="str">
        <f>IFERROR(VLOOKUP(Envoltória!$B28,Aux_Lista!$N$2:$T$7,AW$9,FALSE),"")</f>
        <v/>
      </c>
      <c r="AX23" s="384" t="str">
        <f>IFERROR(VLOOKUP(Envoltória!$B28,Aux_Lista!$N$2:$T$7,AX$9,FALSE),"")</f>
        <v/>
      </c>
      <c r="AY23" s="384" t="str">
        <f>IFERROR(VLOOKUP(Envoltória!$B28,Aux_Lista!$N$2:$T$7,AY$9,FALSE),"")</f>
        <v/>
      </c>
      <c r="AZ23" s="384" t="str">
        <f>IFERROR(VLOOKUP(Envoltória!$B28,Aux_Lista!$N$2:$T$7,AZ$9,FALSE),"")</f>
        <v/>
      </c>
      <c r="BA23" s="384" t="str">
        <f>IFERROR(VLOOKUP(Envoltória!$B28,Aux_Lista!$N$2:$T$7,BA$9,FALSE),"")</f>
        <v/>
      </c>
      <c r="BB23" s="384" t="str">
        <f>IFERROR(VLOOKUP(Envoltória!$B28,Aux_Lista!$N$2:$T$7,BB$9,FALSE),"")</f>
        <v/>
      </c>
      <c r="BC23" s="384" t="str">
        <f>IFERROR(VLOOKUP(Envoltória!$H28,Aux_Lista!$V$2:$X$3,BC$9,FALSE),"")</f>
        <v/>
      </c>
      <c r="BD23" s="384" t="str">
        <f>IFERROR(VLOOKUP(Envoltória!$H28,Aux_Lista!$V$2:$X$3,BD$9,FALSE),"")</f>
        <v/>
      </c>
      <c r="BE23" s="382">
        <f t="shared" si="2"/>
        <v>0</v>
      </c>
      <c r="BF23" s="382" t="str">
        <f>IFERROR(VLOOKUP(Envoltória!F28,CB3E_Envoltória!$BQ$18:$BR$19,2,FALSE),"")</f>
        <v/>
      </c>
      <c r="BG23" s="382" t="str">
        <f>IFERROR(VLOOKUP(Envoltória!$G28,$BQ$35:$BZ$43,BG$9,FALSE),"")</f>
        <v/>
      </c>
      <c r="BH23" s="382" t="str">
        <f>IFERROR(VLOOKUP(Envoltória!$G28,$BQ$35:$BZ$43,BH$9,FALSE),"")</f>
        <v/>
      </c>
      <c r="BI23" s="382" t="str">
        <f>IFERROR(VLOOKUP(Envoltória!$G28,$BQ$35:$BZ$43,BI$9,FALSE),"")</f>
        <v/>
      </c>
      <c r="BJ23" s="382" t="str">
        <f>IFERROR(VLOOKUP(Envoltória!$G28,$BQ$35:$BZ$43,BJ$9,FALSE),"")</f>
        <v/>
      </c>
      <c r="BK23" s="382" t="str">
        <f>IFERROR(VLOOKUP(Envoltória!$G28,$BQ$35:$BZ$43,BK$9,FALSE),"")</f>
        <v/>
      </c>
      <c r="BL23" s="382" t="str">
        <f>IFERROR(VLOOKUP(Envoltória!$G28,$BQ$35:$BZ$43,BL$9,FALSE),"")</f>
        <v/>
      </c>
      <c r="BM23" s="382" t="str">
        <f>IFERROR(VLOOKUP(Envoltória!$G28,$BQ$35:$BZ$43,BM$9,FALSE),"")</f>
        <v/>
      </c>
      <c r="BN23" s="382" t="str">
        <f>IFERROR(VLOOKUP(Envoltória!$G28,$BQ$35:$BZ$43,BN$9,FALSE),"")</f>
        <v/>
      </c>
      <c r="BO23" s="382" t="str">
        <f>IFERROR(VLOOKUP(Envoltória!$G28,$BQ$35:$BZ$43,BO$9,FALSE),"")</f>
        <v/>
      </c>
      <c r="BP23" s="1"/>
      <c r="BQ23" s="378" t="s">
        <v>6129</v>
      </c>
      <c r="BR23" s="7">
        <v>8</v>
      </c>
      <c r="BS23" s="7">
        <v>0</v>
      </c>
      <c r="BT23" s="7">
        <v>0</v>
      </c>
      <c r="BU23" s="7">
        <v>0</v>
      </c>
      <c r="BV23" s="7">
        <v>0</v>
      </c>
      <c r="BW23" s="7">
        <v>1</v>
      </c>
    </row>
    <row r="24" spans="1:75" s="32" customFormat="1" x14ac:dyDescent="0.25">
      <c r="A24" s="1">
        <v>14</v>
      </c>
      <c r="B24" s="370">
        <f>Envoltória!I29</f>
        <v>0</v>
      </c>
      <c r="C24" s="371">
        <f>Envoltória!B29</f>
        <v>0</v>
      </c>
      <c r="D24" s="371">
        <f>Envoltória!C29</f>
        <v>0</v>
      </c>
      <c r="E24" s="381">
        <f>Envoltória!D29</f>
        <v>0</v>
      </c>
      <c r="F24" s="382">
        <f>Envoltória!E29</f>
        <v>0</v>
      </c>
      <c r="G24" s="382">
        <f t="shared" si="1"/>
        <v>0</v>
      </c>
      <c r="H24" s="383">
        <f>Envoltória!O29/100</f>
        <v>0</v>
      </c>
      <c r="I24" s="383">
        <f>IF(BF24=1,Envoltória!Q29,90)</f>
        <v>90</v>
      </c>
      <c r="J24" s="384" t="str">
        <f>IFERROR(VLOOKUP(Envoltória!M29,Componentes!$P:$R,2,FALSE),"")</f>
        <v/>
      </c>
      <c r="K24" s="384" t="str">
        <f>IFERROR(VLOOKUP(Envoltória!M29,Componentes!$P:$R,3,FALSE),"")</f>
        <v/>
      </c>
      <c r="L24" s="383">
        <f>IF(ISERROR(VLOOKUP(Envoltória!L29,Componentes!K:N,2,FALSE)),0,VLOOKUP(Envoltória!L29,Componentes!K:N,2,FALSE))</f>
        <v>0</v>
      </c>
      <c r="M24" s="383">
        <f>IF(ISERROR(VLOOKUP(Envoltória!L29,Componentes!K:N,3,FALSE)),0,VLOOKUP(Envoltória!L29,Componentes!K:N,3,FALSE))</f>
        <v>0</v>
      </c>
      <c r="N24" s="385" t="str">
        <f>IFERROR(IF(BB24&lt;&gt;0,VLOOKUP(Envoltória!L29,Componentes!K:N,4,FALSE),0),"")</f>
        <v/>
      </c>
      <c r="O24" s="383">
        <f>IF(BF24=1,VLOOKUP(Envoltória!J29,Componentes!B:E,2,FALSE),-6)</f>
        <v>-6</v>
      </c>
      <c r="P24" s="383">
        <f>IF(BF24=1,VLOOKUP(Envoltória!J29,Componentes!B:E,3,FALSE),-400)</f>
        <v>-400</v>
      </c>
      <c r="Q24" s="383">
        <f>IF(BF24=1,VLOOKUP(Envoltória!J29,Componentes!B:E,4,FALSE),0)</f>
        <v>0</v>
      </c>
      <c r="R24" s="384" t="str">
        <f>IFERROR(VLOOKUP(Envoltória!K29,Componentes!G:I,2,FALSE),"")</f>
        <v/>
      </c>
      <c r="S24" s="384" t="str">
        <f>IFERROR(VLOOKUP(Envoltória!K29,Componentes!G:I,3,FALSE),"")</f>
        <v/>
      </c>
      <c r="T24" s="383">
        <f>IFERROR(IF(H24&lt;&gt;0,VLOOKUP(Envoltória!N29,Componentes!T:V,3,FALSE),0),"")</f>
        <v>0</v>
      </c>
      <c r="U24" s="383">
        <f>IFERROR(IF(H24&lt;&gt;0,VLOOKUP(Envoltória!N29,Componentes!T:V,2,FALSE),0),"")</f>
        <v>0</v>
      </c>
      <c r="V24" s="384">
        <f>IFERROR(IF(AA24&lt;&gt;0,VLOOKUP(Envoltória!U29,Componentes!X:Z,2,FALSE),0),"")</f>
        <v>0</v>
      </c>
      <c r="W24" s="384">
        <f>IFERROR(IF(AA24&lt;&gt;0,VLOOKUP(Envoltória!U29,Componentes!X:Z,3,FALSE),0),"")</f>
        <v>0</v>
      </c>
      <c r="X24" s="383" t="str">
        <f>Envoltória!X29</f>
        <v/>
      </c>
      <c r="Y24" s="383">
        <f>Envoltória!V29</f>
        <v>0</v>
      </c>
      <c r="Z24" s="383" t="str">
        <f>Envoltória!W29</f>
        <v/>
      </c>
      <c r="AA24" s="386">
        <f>Envoltória!T29/100</f>
        <v>0</v>
      </c>
      <c r="AB24" s="387"/>
      <c r="AC24" s="387"/>
      <c r="AD24" s="387"/>
      <c r="AE24" s="387"/>
      <c r="AF24" s="387"/>
      <c r="AG24" s="387"/>
      <c r="AH24" s="387"/>
      <c r="AI24" s="387"/>
      <c r="AJ24" s="387"/>
      <c r="AK24" s="387"/>
      <c r="AL24" s="387"/>
      <c r="AM24" s="387"/>
      <c r="AN24" s="387"/>
      <c r="AO24" s="387"/>
      <c r="AP24" s="383">
        <f>IF(BF24=0,90,Envoltória!S29)</f>
        <v>0</v>
      </c>
      <c r="AQ24" s="383">
        <f>IF(BF24=0,90,Envoltória!R29)</f>
        <v>0</v>
      </c>
      <c r="AR24" s="383" t="str">
        <f t="shared" si="3"/>
        <v/>
      </c>
      <c r="AS24" s="383" t="str">
        <f t="shared" si="3"/>
        <v/>
      </c>
      <c r="AT24" s="383" t="str">
        <f t="shared" si="3"/>
        <v/>
      </c>
      <c r="AU24" s="383" t="str">
        <f t="shared" si="3"/>
        <v/>
      </c>
      <c r="AV24" s="383" t="str">
        <f t="shared" si="3"/>
        <v/>
      </c>
      <c r="AW24" s="384" t="str">
        <f>IFERROR(VLOOKUP(Envoltória!$B29,Aux_Lista!$N$2:$T$7,AW$9,FALSE),"")</f>
        <v/>
      </c>
      <c r="AX24" s="384" t="str">
        <f>IFERROR(VLOOKUP(Envoltória!$B29,Aux_Lista!$N$2:$T$7,AX$9,FALSE),"")</f>
        <v/>
      </c>
      <c r="AY24" s="384" t="str">
        <f>IFERROR(VLOOKUP(Envoltória!$B29,Aux_Lista!$N$2:$T$7,AY$9,FALSE),"")</f>
        <v/>
      </c>
      <c r="AZ24" s="384" t="str">
        <f>IFERROR(VLOOKUP(Envoltória!$B29,Aux_Lista!$N$2:$T$7,AZ$9,FALSE),"")</f>
        <v/>
      </c>
      <c r="BA24" s="384" t="str">
        <f>IFERROR(VLOOKUP(Envoltória!$B29,Aux_Lista!$N$2:$T$7,BA$9,FALSE),"")</f>
        <v/>
      </c>
      <c r="BB24" s="384" t="str">
        <f>IFERROR(VLOOKUP(Envoltória!$B29,Aux_Lista!$N$2:$T$7,BB$9,FALSE),"")</f>
        <v/>
      </c>
      <c r="BC24" s="384" t="str">
        <f>IFERROR(VLOOKUP(Envoltória!$H29,Aux_Lista!$V$2:$X$3,BC$9,FALSE),"")</f>
        <v/>
      </c>
      <c r="BD24" s="384" t="str">
        <f>IFERROR(VLOOKUP(Envoltória!$H29,Aux_Lista!$V$2:$X$3,BD$9,FALSE),"")</f>
        <v/>
      </c>
      <c r="BE24" s="382">
        <f t="shared" si="2"/>
        <v>0</v>
      </c>
      <c r="BF24" s="382" t="str">
        <f>IFERROR(VLOOKUP(Envoltória!F29,CB3E_Envoltória!$BQ$18:$BR$19,2,FALSE),"")</f>
        <v/>
      </c>
      <c r="BG24" s="382" t="str">
        <f>IFERROR(VLOOKUP(Envoltória!$G29,$BQ$35:$BZ$43,BG$9,FALSE),"")</f>
        <v/>
      </c>
      <c r="BH24" s="382" t="str">
        <f>IFERROR(VLOOKUP(Envoltória!$G29,$BQ$35:$BZ$43,BH$9,FALSE),"")</f>
        <v/>
      </c>
      <c r="BI24" s="382" t="str">
        <f>IFERROR(VLOOKUP(Envoltória!$G29,$BQ$35:$BZ$43,BI$9,FALSE),"")</f>
        <v/>
      </c>
      <c r="BJ24" s="382" t="str">
        <f>IFERROR(VLOOKUP(Envoltória!$G29,$BQ$35:$BZ$43,BJ$9,FALSE),"")</f>
        <v/>
      </c>
      <c r="BK24" s="382" t="str">
        <f>IFERROR(VLOOKUP(Envoltória!$G29,$BQ$35:$BZ$43,BK$9,FALSE),"")</f>
        <v/>
      </c>
      <c r="BL24" s="382" t="str">
        <f>IFERROR(VLOOKUP(Envoltória!$G29,$BQ$35:$BZ$43,BL$9,FALSE),"")</f>
        <v/>
      </c>
      <c r="BM24" s="382" t="str">
        <f>IFERROR(VLOOKUP(Envoltória!$G29,$BQ$35:$BZ$43,BM$9,FALSE),"")</f>
        <v/>
      </c>
      <c r="BN24" s="382" t="str">
        <f>IFERROR(VLOOKUP(Envoltória!$G29,$BQ$35:$BZ$43,BN$9,FALSE),"")</f>
        <v/>
      </c>
      <c r="BO24" s="382" t="str">
        <f>IFERROR(VLOOKUP(Envoltória!$G29,$BQ$35:$BZ$43,BO$9,FALSE),"")</f>
        <v/>
      </c>
      <c r="BP24" s="1"/>
      <c r="BQ24" s="378" t="s">
        <v>6130</v>
      </c>
      <c r="BR24" s="7">
        <v>8</v>
      </c>
      <c r="BS24" s="7">
        <v>0</v>
      </c>
      <c r="BT24" s="7">
        <v>0</v>
      </c>
      <c r="BU24" s="7">
        <v>0</v>
      </c>
      <c r="BV24" s="7">
        <v>0</v>
      </c>
      <c r="BW24" s="7">
        <v>1</v>
      </c>
    </row>
    <row r="25" spans="1:75" s="32" customFormat="1" x14ac:dyDescent="0.25">
      <c r="A25" s="1">
        <v>15</v>
      </c>
      <c r="B25" s="370">
        <f>Envoltória!I30</f>
        <v>0</v>
      </c>
      <c r="C25" s="371">
        <f>Envoltória!B30</f>
        <v>0</v>
      </c>
      <c r="D25" s="371">
        <f>Envoltória!C30</f>
        <v>0</v>
      </c>
      <c r="E25" s="381">
        <f>Envoltória!D30</f>
        <v>0</v>
      </c>
      <c r="F25" s="382">
        <f>Envoltória!E30</f>
        <v>0</v>
      </c>
      <c r="G25" s="382">
        <f t="shared" si="1"/>
        <v>0</v>
      </c>
      <c r="H25" s="383">
        <f>Envoltória!O30/100</f>
        <v>0</v>
      </c>
      <c r="I25" s="383">
        <f>IF(BF25=1,Envoltória!Q30,90)</f>
        <v>90</v>
      </c>
      <c r="J25" s="384" t="str">
        <f>IFERROR(VLOOKUP(Envoltória!M30,Componentes!$P:$R,2,FALSE),"")</f>
        <v/>
      </c>
      <c r="K25" s="384" t="str">
        <f>IFERROR(VLOOKUP(Envoltória!M30,Componentes!$P:$R,3,FALSE),"")</f>
        <v/>
      </c>
      <c r="L25" s="383">
        <f>IF(ISERROR(VLOOKUP(Envoltória!L30,Componentes!K:N,2,FALSE)),0,VLOOKUP(Envoltória!L30,Componentes!K:N,2,FALSE))</f>
        <v>0</v>
      </c>
      <c r="M25" s="383">
        <f>IF(ISERROR(VLOOKUP(Envoltória!L30,Componentes!K:N,3,FALSE)),0,VLOOKUP(Envoltória!L30,Componentes!K:N,3,FALSE))</f>
        <v>0</v>
      </c>
      <c r="N25" s="385" t="str">
        <f>IFERROR(IF(BB25&lt;&gt;0,VLOOKUP(Envoltória!L30,Componentes!K:N,4,FALSE),0),"")</f>
        <v/>
      </c>
      <c r="O25" s="383">
        <f>IF(BF25=1,VLOOKUP(Envoltória!J30,Componentes!B:E,2,FALSE),-6)</f>
        <v>-6</v>
      </c>
      <c r="P25" s="383">
        <f>IF(BF25=1,VLOOKUP(Envoltória!J30,Componentes!B:E,3,FALSE),-400)</f>
        <v>-400</v>
      </c>
      <c r="Q25" s="383">
        <f>IF(BF25=1,VLOOKUP(Envoltória!J30,Componentes!B:E,4,FALSE),0)</f>
        <v>0</v>
      </c>
      <c r="R25" s="384" t="str">
        <f>IFERROR(VLOOKUP(Envoltória!K30,Componentes!G:I,2,FALSE),"")</f>
        <v/>
      </c>
      <c r="S25" s="384" t="str">
        <f>IFERROR(VLOOKUP(Envoltória!K30,Componentes!G:I,3,FALSE),"")</f>
        <v/>
      </c>
      <c r="T25" s="383">
        <f>IFERROR(IF(H25&lt;&gt;0,VLOOKUP(Envoltória!N30,Componentes!T:V,3,FALSE),0),"")</f>
        <v>0</v>
      </c>
      <c r="U25" s="383">
        <f>IFERROR(IF(H25&lt;&gt;0,VLOOKUP(Envoltória!N30,Componentes!T:V,2,FALSE),0),"")</f>
        <v>0</v>
      </c>
      <c r="V25" s="384">
        <f>IFERROR(IF(AA25&lt;&gt;0,VLOOKUP(Envoltória!U30,Componentes!X:Z,2,FALSE),0),"")</f>
        <v>0</v>
      </c>
      <c r="W25" s="384">
        <f>IFERROR(IF(AA25&lt;&gt;0,VLOOKUP(Envoltória!U30,Componentes!X:Z,3,FALSE),0),"")</f>
        <v>0</v>
      </c>
      <c r="X25" s="383" t="str">
        <f>Envoltória!X30</f>
        <v/>
      </c>
      <c r="Y25" s="383">
        <f>Envoltória!V30</f>
        <v>0</v>
      </c>
      <c r="Z25" s="383" t="str">
        <f>Envoltória!W30</f>
        <v/>
      </c>
      <c r="AA25" s="386">
        <f>Envoltória!T30/100</f>
        <v>0</v>
      </c>
      <c r="AB25" s="387"/>
      <c r="AC25" s="387"/>
      <c r="AD25" s="387"/>
      <c r="AE25" s="387"/>
      <c r="AF25" s="387"/>
      <c r="AG25" s="387"/>
      <c r="AH25" s="387"/>
      <c r="AI25" s="387"/>
      <c r="AJ25" s="387"/>
      <c r="AK25" s="387"/>
      <c r="AL25" s="387"/>
      <c r="AM25" s="387"/>
      <c r="AN25" s="387"/>
      <c r="AO25" s="387"/>
      <c r="AP25" s="383">
        <f>IF(BF25=0,90,Envoltória!S30)</f>
        <v>0</v>
      </c>
      <c r="AQ25" s="383">
        <f>IF(BF25=0,90,Envoltória!R30)</f>
        <v>0</v>
      </c>
      <c r="AR25" s="383" t="str">
        <f t="shared" si="3"/>
        <v/>
      </c>
      <c r="AS25" s="383" t="str">
        <f t="shared" si="3"/>
        <v/>
      </c>
      <c r="AT25" s="383" t="str">
        <f t="shared" si="3"/>
        <v/>
      </c>
      <c r="AU25" s="383" t="str">
        <f t="shared" si="3"/>
        <v/>
      </c>
      <c r="AV25" s="383" t="str">
        <f t="shared" si="3"/>
        <v/>
      </c>
      <c r="AW25" s="384" t="str">
        <f>IFERROR(VLOOKUP(Envoltória!$B30,Aux_Lista!$N$2:$T$7,AW$9,FALSE),"")</f>
        <v/>
      </c>
      <c r="AX25" s="384" t="str">
        <f>IFERROR(VLOOKUP(Envoltória!$B30,Aux_Lista!$N$2:$T$7,AX$9,FALSE),"")</f>
        <v/>
      </c>
      <c r="AY25" s="384" t="str">
        <f>IFERROR(VLOOKUP(Envoltória!$B30,Aux_Lista!$N$2:$T$7,AY$9,FALSE),"")</f>
        <v/>
      </c>
      <c r="AZ25" s="384" t="str">
        <f>IFERROR(VLOOKUP(Envoltória!$B30,Aux_Lista!$N$2:$T$7,AZ$9,FALSE),"")</f>
        <v/>
      </c>
      <c r="BA25" s="384" t="str">
        <f>IFERROR(VLOOKUP(Envoltória!$B30,Aux_Lista!$N$2:$T$7,BA$9,FALSE),"")</f>
        <v/>
      </c>
      <c r="BB25" s="384" t="str">
        <f>IFERROR(VLOOKUP(Envoltória!$B30,Aux_Lista!$N$2:$T$7,BB$9,FALSE),"")</f>
        <v/>
      </c>
      <c r="BC25" s="384" t="str">
        <f>IFERROR(VLOOKUP(Envoltória!$H30,Aux_Lista!$V$2:$X$3,BC$9,FALSE),"")</f>
        <v/>
      </c>
      <c r="BD25" s="384" t="str">
        <f>IFERROR(VLOOKUP(Envoltória!$H30,Aux_Lista!$V$2:$X$3,BD$9,FALSE),"")</f>
        <v/>
      </c>
      <c r="BE25" s="382">
        <f t="shared" si="2"/>
        <v>0</v>
      </c>
      <c r="BF25" s="382" t="str">
        <f>IFERROR(VLOOKUP(Envoltória!F30,CB3E_Envoltória!$BQ$18:$BR$19,2,FALSE),"")</f>
        <v/>
      </c>
      <c r="BG25" s="382" t="str">
        <f>IFERROR(VLOOKUP(Envoltória!$G30,$BQ$35:$BZ$43,BG$9,FALSE),"")</f>
        <v/>
      </c>
      <c r="BH25" s="382" t="str">
        <f>IFERROR(VLOOKUP(Envoltória!$G30,$BQ$35:$BZ$43,BH$9,FALSE),"")</f>
        <v/>
      </c>
      <c r="BI25" s="382" t="str">
        <f>IFERROR(VLOOKUP(Envoltória!$G30,$BQ$35:$BZ$43,BI$9,FALSE),"")</f>
        <v/>
      </c>
      <c r="BJ25" s="382" t="str">
        <f>IFERROR(VLOOKUP(Envoltória!$G30,$BQ$35:$BZ$43,BJ$9,FALSE),"")</f>
        <v/>
      </c>
      <c r="BK25" s="382" t="str">
        <f>IFERROR(VLOOKUP(Envoltória!$G30,$BQ$35:$BZ$43,BK$9,FALSE),"")</f>
        <v/>
      </c>
      <c r="BL25" s="382" t="str">
        <f>IFERROR(VLOOKUP(Envoltória!$G30,$BQ$35:$BZ$43,BL$9,FALSE),"")</f>
        <v/>
      </c>
      <c r="BM25" s="382" t="str">
        <f>IFERROR(VLOOKUP(Envoltória!$G30,$BQ$35:$BZ$43,BM$9,FALSE),"")</f>
        <v/>
      </c>
      <c r="BN25" s="382" t="str">
        <f>IFERROR(VLOOKUP(Envoltória!$G30,$BQ$35:$BZ$43,BN$9,FALSE),"")</f>
        <v/>
      </c>
      <c r="BO25" s="382" t="str">
        <f>IFERROR(VLOOKUP(Envoltória!$G30,$BQ$35:$BZ$43,BO$9,FALSE),"")</f>
        <v/>
      </c>
      <c r="BP25" s="1"/>
      <c r="BQ25" s="378" t="s">
        <v>6131</v>
      </c>
      <c r="BR25" s="7">
        <v>8</v>
      </c>
      <c r="BS25" s="7">
        <v>0</v>
      </c>
      <c r="BT25" s="7">
        <v>0</v>
      </c>
      <c r="BU25" s="7">
        <v>0</v>
      </c>
      <c r="BV25" s="7">
        <v>0</v>
      </c>
      <c r="BW25" s="7">
        <v>1</v>
      </c>
    </row>
    <row r="26" spans="1:75" s="32" customFormat="1" x14ac:dyDescent="0.25">
      <c r="A26" s="1">
        <v>16</v>
      </c>
      <c r="B26" s="370">
        <f>Envoltória!I31</f>
        <v>0</v>
      </c>
      <c r="C26" s="371">
        <f>Envoltória!B31</f>
        <v>0</v>
      </c>
      <c r="D26" s="371">
        <f>Envoltória!C31</f>
        <v>0</v>
      </c>
      <c r="E26" s="381">
        <f>Envoltória!D31</f>
        <v>0</v>
      </c>
      <c r="F26" s="382">
        <f>Envoltória!E31</f>
        <v>0</v>
      </c>
      <c r="G26" s="382">
        <f t="shared" si="1"/>
        <v>0</v>
      </c>
      <c r="H26" s="383">
        <f>Envoltória!O31/100</f>
        <v>0</v>
      </c>
      <c r="I26" s="383">
        <f>IF(BF26=1,Envoltória!Q31,90)</f>
        <v>90</v>
      </c>
      <c r="J26" s="384" t="str">
        <f>IFERROR(VLOOKUP(Envoltória!M31,Componentes!$P:$R,2,FALSE),"")</f>
        <v/>
      </c>
      <c r="K26" s="384" t="str">
        <f>IFERROR(VLOOKUP(Envoltória!M31,Componentes!$P:$R,3,FALSE),"")</f>
        <v/>
      </c>
      <c r="L26" s="383">
        <f>IF(ISERROR(VLOOKUP(Envoltória!L31,Componentes!K:N,2,FALSE)),0,VLOOKUP(Envoltória!L31,Componentes!K:N,2,FALSE))</f>
        <v>0</v>
      </c>
      <c r="M26" s="383">
        <f>IF(ISERROR(VLOOKUP(Envoltória!L31,Componentes!K:N,3,FALSE)),0,VLOOKUP(Envoltória!L31,Componentes!K:N,3,FALSE))</f>
        <v>0</v>
      </c>
      <c r="N26" s="385" t="str">
        <f>IFERROR(IF(BB26&lt;&gt;0,VLOOKUP(Envoltória!L31,Componentes!K:N,4,FALSE),0),"")</f>
        <v/>
      </c>
      <c r="O26" s="383">
        <f>IF(BF26=1,VLOOKUP(Envoltória!J31,Componentes!B:E,2,FALSE),-6)</f>
        <v>-6</v>
      </c>
      <c r="P26" s="383">
        <f>IF(BF26=1,VLOOKUP(Envoltória!J31,Componentes!B:E,3,FALSE),-400)</f>
        <v>-400</v>
      </c>
      <c r="Q26" s="383">
        <f>IF(BF26=1,VLOOKUP(Envoltória!J31,Componentes!B:E,4,FALSE),0)</f>
        <v>0</v>
      </c>
      <c r="R26" s="384" t="str">
        <f>IFERROR(VLOOKUP(Envoltória!K31,Componentes!G:I,2,FALSE),"")</f>
        <v/>
      </c>
      <c r="S26" s="384" t="str">
        <f>IFERROR(VLOOKUP(Envoltória!K31,Componentes!G:I,3,FALSE),"")</f>
        <v/>
      </c>
      <c r="T26" s="383">
        <f>IFERROR(IF(H26&lt;&gt;0,VLOOKUP(Envoltória!N31,Componentes!T:V,3,FALSE),0),"")</f>
        <v>0</v>
      </c>
      <c r="U26" s="383">
        <f>IFERROR(IF(H26&lt;&gt;0,VLOOKUP(Envoltória!N31,Componentes!T:V,2,FALSE),0),"")</f>
        <v>0</v>
      </c>
      <c r="V26" s="384">
        <f>IFERROR(IF(AA26&lt;&gt;0,VLOOKUP(Envoltória!U31,Componentes!X:Z,2,FALSE),0),"")</f>
        <v>0</v>
      </c>
      <c r="W26" s="384">
        <f>IFERROR(IF(AA26&lt;&gt;0,VLOOKUP(Envoltória!U31,Componentes!X:Z,3,FALSE),0),"")</f>
        <v>0</v>
      </c>
      <c r="X26" s="383" t="str">
        <f>Envoltória!X31</f>
        <v/>
      </c>
      <c r="Y26" s="383">
        <f>Envoltória!V31</f>
        <v>0</v>
      </c>
      <c r="Z26" s="383" t="str">
        <f>Envoltória!W31</f>
        <v/>
      </c>
      <c r="AA26" s="386">
        <f>Envoltória!T31/100</f>
        <v>0</v>
      </c>
      <c r="AB26" s="387"/>
      <c r="AC26" s="387"/>
      <c r="AD26" s="387"/>
      <c r="AE26" s="387"/>
      <c r="AF26" s="387"/>
      <c r="AG26" s="387"/>
      <c r="AH26" s="387"/>
      <c r="AI26" s="387"/>
      <c r="AJ26" s="387"/>
      <c r="AK26" s="387"/>
      <c r="AL26" s="387"/>
      <c r="AM26" s="387"/>
      <c r="AN26" s="387"/>
      <c r="AO26" s="387"/>
      <c r="AP26" s="383">
        <f>IF(BF26=0,90,Envoltória!S31)</f>
        <v>0</v>
      </c>
      <c r="AQ26" s="383">
        <f>IF(BF26=0,90,Envoltória!R31)</f>
        <v>0</v>
      </c>
      <c r="AR26" s="383" t="str">
        <f t="shared" si="3"/>
        <v/>
      </c>
      <c r="AS26" s="383" t="str">
        <f t="shared" si="3"/>
        <v/>
      </c>
      <c r="AT26" s="383" t="str">
        <f t="shared" si="3"/>
        <v/>
      </c>
      <c r="AU26" s="383" t="str">
        <f t="shared" si="3"/>
        <v/>
      </c>
      <c r="AV26" s="383" t="str">
        <f t="shared" si="3"/>
        <v/>
      </c>
      <c r="AW26" s="384" t="str">
        <f>IFERROR(VLOOKUP(Envoltória!$B31,Aux_Lista!$N$2:$T$7,AW$9,FALSE),"")</f>
        <v/>
      </c>
      <c r="AX26" s="384" t="str">
        <f>IFERROR(VLOOKUP(Envoltória!$B31,Aux_Lista!$N$2:$T$7,AX$9,FALSE),"")</f>
        <v/>
      </c>
      <c r="AY26" s="384" t="str">
        <f>IFERROR(VLOOKUP(Envoltória!$B31,Aux_Lista!$N$2:$T$7,AY$9,FALSE),"")</f>
        <v/>
      </c>
      <c r="AZ26" s="384" t="str">
        <f>IFERROR(VLOOKUP(Envoltória!$B31,Aux_Lista!$N$2:$T$7,AZ$9,FALSE),"")</f>
        <v/>
      </c>
      <c r="BA26" s="384" t="str">
        <f>IFERROR(VLOOKUP(Envoltória!$B31,Aux_Lista!$N$2:$T$7,BA$9,FALSE),"")</f>
        <v/>
      </c>
      <c r="BB26" s="384" t="str">
        <f>IFERROR(VLOOKUP(Envoltória!$B31,Aux_Lista!$N$2:$T$7,BB$9,FALSE),"")</f>
        <v/>
      </c>
      <c r="BC26" s="384" t="str">
        <f>IFERROR(VLOOKUP(Envoltória!$H31,Aux_Lista!$V$2:$X$3,BC$9,FALSE),"")</f>
        <v/>
      </c>
      <c r="BD26" s="384" t="str">
        <f>IFERROR(VLOOKUP(Envoltória!$H31,Aux_Lista!$V$2:$X$3,BD$9,FALSE),"")</f>
        <v/>
      </c>
      <c r="BE26" s="382">
        <f t="shared" si="2"/>
        <v>0</v>
      </c>
      <c r="BF26" s="382" t="str">
        <f>IFERROR(VLOOKUP(Envoltória!F31,CB3E_Envoltória!$BQ$18:$BR$19,2,FALSE),"")</f>
        <v/>
      </c>
      <c r="BG26" s="382" t="str">
        <f>IFERROR(VLOOKUP(Envoltória!$G31,$BQ$35:$BZ$43,BG$9,FALSE),"")</f>
        <v/>
      </c>
      <c r="BH26" s="382" t="str">
        <f>IFERROR(VLOOKUP(Envoltória!$G31,$BQ$35:$BZ$43,BH$9,FALSE),"")</f>
        <v/>
      </c>
      <c r="BI26" s="382" t="str">
        <f>IFERROR(VLOOKUP(Envoltória!$G31,$BQ$35:$BZ$43,BI$9,FALSE),"")</f>
        <v/>
      </c>
      <c r="BJ26" s="382" t="str">
        <f>IFERROR(VLOOKUP(Envoltória!$G31,$BQ$35:$BZ$43,BJ$9,FALSE),"")</f>
        <v/>
      </c>
      <c r="BK26" s="382" t="str">
        <f>IFERROR(VLOOKUP(Envoltória!$G31,$BQ$35:$BZ$43,BK$9,FALSE),"")</f>
        <v/>
      </c>
      <c r="BL26" s="382" t="str">
        <f>IFERROR(VLOOKUP(Envoltória!$G31,$BQ$35:$BZ$43,BL$9,FALSE),"")</f>
        <v/>
      </c>
      <c r="BM26" s="382" t="str">
        <f>IFERROR(VLOOKUP(Envoltória!$G31,$BQ$35:$BZ$43,BM$9,FALSE),"")</f>
        <v/>
      </c>
      <c r="BN26" s="382" t="str">
        <f>IFERROR(VLOOKUP(Envoltória!$G31,$BQ$35:$BZ$43,BN$9,FALSE),"")</f>
        <v/>
      </c>
      <c r="BO26" s="382" t="str">
        <f>IFERROR(VLOOKUP(Envoltória!$G31,$BQ$35:$BZ$43,BO$9,FALSE),"")</f>
        <v/>
      </c>
      <c r="BP26" s="1"/>
      <c r="BQ26" s="378" t="s">
        <v>5825</v>
      </c>
      <c r="BR26" s="7">
        <v>24</v>
      </c>
      <c r="BS26" s="7">
        <v>0</v>
      </c>
      <c r="BT26" s="7">
        <v>0</v>
      </c>
      <c r="BU26" s="7">
        <v>0</v>
      </c>
      <c r="BV26" s="7">
        <v>1</v>
      </c>
      <c r="BW26" s="7">
        <v>0</v>
      </c>
    </row>
    <row r="27" spans="1:75" s="32" customFormat="1" x14ac:dyDescent="0.25">
      <c r="A27" s="1">
        <v>17</v>
      </c>
      <c r="B27" s="370">
        <f>Envoltória!I32</f>
        <v>0</v>
      </c>
      <c r="C27" s="371">
        <f>Envoltória!B32</f>
        <v>0</v>
      </c>
      <c r="D27" s="371">
        <f>Envoltória!C32</f>
        <v>0</v>
      </c>
      <c r="E27" s="381">
        <f>Envoltória!D32</f>
        <v>0</v>
      </c>
      <c r="F27" s="382">
        <f>Envoltória!E32</f>
        <v>0</v>
      </c>
      <c r="G27" s="382">
        <f t="shared" si="1"/>
        <v>0</v>
      </c>
      <c r="H27" s="383">
        <f>Envoltória!O32/100</f>
        <v>0</v>
      </c>
      <c r="I27" s="383">
        <f>IF(BF27=1,Envoltória!Q32,90)</f>
        <v>90</v>
      </c>
      <c r="J27" s="384" t="str">
        <f>IFERROR(VLOOKUP(Envoltória!M32,Componentes!$P:$R,2,FALSE),"")</f>
        <v/>
      </c>
      <c r="K27" s="384" t="str">
        <f>IFERROR(VLOOKUP(Envoltória!M32,Componentes!$P:$R,3,FALSE),"")</f>
        <v/>
      </c>
      <c r="L27" s="383">
        <f>IF(ISERROR(VLOOKUP(Envoltória!L32,Componentes!K:N,2,FALSE)),0,VLOOKUP(Envoltória!L32,Componentes!K:N,2,FALSE))</f>
        <v>0</v>
      </c>
      <c r="M27" s="383">
        <f>IF(ISERROR(VLOOKUP(Envoltória!L32,Componentes!K:N,3,FALSE)),0,VLOOKUP(Envoltória!L32,Componentes!K:N,3,FALSE))</f>
        <v>0</v>
      </c>
      <c r="N27" s="385" t="str">
        <f>IFERROR(IF(BB27&lt;&gt;0,VLOOKUP(Envoltória!L32,Componentes!K:N,4,FALSE),0),"")</f>
        <v/>
      </c>
      <c r="O27" s="383">
        <f>IF(BF27=1,VLOOKUP(Envoltória!J32,Componentes!B:E,2,FALSE),-6)</f>
        <v>-6</v>
      </c>
      <c r="P27" s="383">
        <f>IF(BF27=1,VLOOKUP(Envoltória!J32,Componentes!B:E,3,FALSE),-400)</f>
        <v>-400</v>
      </c>
      <c r="Q27" s="383">
        <f>IF(BF27=1,VLOOKUP(Envoltória!J32,Componentes!B:E,4,FALSE),0)</f>
        <v>0</v>
      </c>
      <c r="R27" s="384" t="str">
        <f>IFERROR(VLOOKUP(Envoltória!K32,Componentes!G:I,2,FALSE),"")</f>
        <v/>
      </c>
      <c r="S27" s="384" t="str">
        <f>IFERROR(VLOOKUP(Envoltória!K32,Componentes!G:I,3,FALSE),"")</f>
        <v/>
      </c>
      <c r="T27" s="383">
        <f>IFERROR(IF(H27&lt;&gt;0,VLOOKUP(Envoltória!N32,Componentes!T:V,3,FALSE),0),"")</f>
        <v>0</v>
      </c>
      <c r="U27" s="383">
        <f>IFERROR(IF(H27&lt;&gt;0,VLOOKUP(Envoltória!N32,Componentes!T:V,2,FALSE),0),"")</f>
        <v>0</v>
      </c>
      <c r="V27" s="384">
        <f>IFERROR(IF(AA27&lt;&gt;0,VLOOKUP(Envoltória!U32,Componentes!X:Z,2,FALSE),0),"")</f>
        <v>0</v>
      </c>
      <c r="W27" s="384">
        <f>IFERROR(IF(AA27&lt;&gt;0,VLOOKUP(Envoltória!U32,Componentes!X:Z,3,FALSE),0),"")</f>
        <v>0</v>
      </c>
      <c r="X27" s="383" t="str">
        <f>Envoltória!X32</f>
        <v/>
      </c>
      <c r="Y27" s="383">
        <f>Envoltória!V32</f>
        <v>0</v>
      </c>
      <c r="Z27" s="383" t="str">
        <f>Envoltória!W32</f>
        <v/>
      </c>
      <c r="AA27" s="386">
        <f>Envoltória!T32/100</f>
        <v>0</v>
      </c>
      <c r="AB27" s="387"/>
      <c r="AC27" s="387"/>
      <c r="AD27" s="387"/>
      <c r="AE27" s="387"/>
      <c r="AF27" s="387"/>
      <c r="AG27" s="387"/>
      <c r="AH27" s="387"/>
      <c r="AI27" s="387"/>
      <c r="AJ27" s="387"/>
      <c r="AK27" s="387"/>
      <c r="AL27" s="387"/>
      <c r="AM27" s="387"/>
      <c r="AN27" s="387"/>
      <c r="AO27" s="387"/>
      <c r="AP27" s="383">
        <f>IF(BF27=0,90,Envoltória!S32)</f>
        <v>0</v>
      </c>
      <c r="AQ27" s="383">
        <f>IF(BF27=0,90,Envoltória!R32)</f>
        <v>0</v>
      </c>
      <c r="AR27" s="383" t="str">
        <f t="shared" si="3"/>
        <v/>
      </c>
      <c r="AS27" s="383" t="str">
        <f t="shared" si="3"/>
        <v/>
      </c>
      <c r="AT27" s="383" t="str">
        <f t="shared" si="3"/>
        <v/>
      </c>
      <c r="AU27" s="383" t="str">
        <f t="shared" si="3"/>
        <v/>
      </c>
      <c r="AV27" s="383" t="str">
        <f t="shared" si="3"/>
        <v/>
      </c>
      <c r="AW27" s="384" t="str">
        <f>IFERROR(VLOOKUP(Envoltória!$B32,Aux_Lista!$N$2:$T$7,AW$9,FALSE),"")</f>
        <v/>
      </c>
      <c r="AX27" s="384" t="str">
        <f>IFERROR(VLOOKUP(Envoltória!$B32,Aux_Lista!$N$2:$T$7,AX$9,FALSE),"")</f>
        <v/>
      </c>
      <c r="AY27" s="384" t="str">
        <f>IFERROR(VLOOKUP(Envoltória!$B32,Aux_Lista!$N$2:$T$7,AY$9,FALSE),"")</f>
        <v/>
      </c>
      <c r="AZ27" s="384" t="str">
        <f>IFERROR(VLOOKUP(Envoltória!$B32,Aux_Lista!$N$2:$T$7,AZ$9,FALSE),"")</f>
        <v/>
      </c>
      <c r="BA27" s="384" t="str">
        <f>IFERROR(VLOOKUP(Envoltória!$B32,Aux_Lista!$N$2:$T$7,BA$9,FALSE),"")</f>
        <v/>
      </c>
      <c r="BB27" s="384" t="str">
        <f>IFERROR(VLOOKUP(Envoltória!$B32,Aux_Lista!$N$2:$T$7,BB$9,FALSE),"")</f>
        <v/>
      </c>
      <c r="BC27" s="384" t="str">
        <f>IFERROR(VLOOKUP(Envoltória!$H32,Aux_Lista!$V$2:$X$3,BC$9,FALSE),"")</f>
        <v/>
      </c>
      <c r="BD27" s="384" t="str">
        <f>IFERROR(VLOOKUP(Envoltória!$H32,Aux_Lista!$V$2:$X$3,BD$9,FALSE),"")</f>
        <v/>
      </c>
      <c r="BE27" s="382">
        <f t="shared" si="2"/>
        <v>0</v>
      </c>
      <c r="BF27" s="382" t="str">
        <f>IFERROR(VLOOKUP(Envoltória!F32,CB3E_Envoltória!$BQ$18:$BR$19,2,FALSE),"")</f>
        <v/>
      </c>
      <c r="BG27" s="382" t="str">
        <f>IFERROR(VLOOKUP(Envoltória!$G32,$BQ$35:$BZ$43,BG$9,FALSE),"")</f>
        <v/>
      </c>
      <c r="BH27" s="382" t="str">
        <f>IFERROR(VLOOKUP(Envoltória!$G32,$BQ$35:$BZ$43,BH$9,FALSE),"")</f>
        <v/>
      </c>
      <c r="BI27" s="382" t="str">
        <f>IFERROR(VLOOKUP(Envoltória!$G32,$BQ$35:$BZ$43,BI$9,FALSE),"")</f>
        <v/>
      </c>
      <c r="BJ27" s="382" t="str">
        <f>IFERROR(VLOOKUP(Envoltória!$G32,$BQ$35:$BZ$43,BJ$9,FALSE),"")</f>
        <v/>
      </c>
      <c r="BK27" s="382" t="str">
        <f>IFERROR(VLOOKUP(Envoltória!$G32,$BQ$35:$BZ$43,BK$9,FALSE),"")</f>
        <v/>
      </c>
      <c r="BL27" s="382" t="str">
        <f>IFERROR(VLOOKUP(Envoltória!$G32,$BQ$35:$BZ$43,BL$9,FALSE),"")</f>
        <v/>
      </c>
      <c r="BM27" s="382" t="str">
        <f>IFERROR(VLOOKUP(Envoltória!$G32,$BQ$35:$BZ$43,BM$9,FALSE),"")</f>
        <v/>
      </c>
      <c r="BN27" s="382" t="str">
        <f>IFERROR(VLOOKUP(Envoltória!$G32,$BQ$35:$BZ$43,BN$9,FALSE),"")</f>
        <v/>
      </c>
      <c r="BO27" s="382" t="str">
        <f>IFERROR(VLOOKUP(Envoltória!$G32,$BQ$35:$BZ$43,BO$9,FALSE),"")</f>
        <v/>
      </c>
      <c r="BP27" s="1"/>
      <c r="BQ27" s="378" t="s">
        <v>42</v>
      </c>
      <c r="BR27" s="7">
        <v>12</v>
      </c>
      <c r="BS27" s="7">
        <v>0</v>
      </c>
      <c r="BT27" s="7">
        <v>1</v>
      </c>
      <c r="BU27" s="7">
        <v>0</v>
      </c>
      <c r="BV27" s="7">
        <v>0</v>
      </c>
      <c r="BW27" s="7">
        <v>0</v>
      </c>
    </row>
    <row r="28" spans="1:75" s="32" customFormat="1" x14ac:dyDescent="0.25">
      <c r="A28" s="1">
        <v>18</v>
      </c>
      <c r="B28" s="370">
        <f>Envoltória!I33</f>
        <v>0</v>
      </c>
      <c r="C28" s="371">
        <f>Envoltória!B33</f>
        <v>0</v>
      </c>
      <c r="D28" s="371">
        <f>Envoltória!C33</f>
        <v>0</v>
      </c>
      <c r="E28" s="381">
        <f>Envoltória!D33</f>
        <v>0</v>
      </c>
      <c r="F28" s="382">
        <f>Envoltória!E33</f>
        <v>0</v>
      </c>
      <c r="G28" s="382">
        <f t="shared" si="1"/>
        <v>0</v>
      </c>
      <c r="H28" s="383">
        <f>Envoltória!O33/100</f>
        <v>0</v>
      </c>
      <c r="I28" s="383">
        <f>IF(BF28=1,Envoltória!Q33,90)</f>
        <v>90</v>
      </c>
      <c r="J28" s="384" t="str">
        <f>IFERROR(VLOOKUP(Envoltória!M33,Componentes!$P:$R,2,FALSE),"")</f>
        <v/>
      </c>
      <c r="K28" s="384" t="str">
        <f>IFERROR(VLOOKUP(Envoltória!M33,Componentes!$P:$R,3,FALSE),"")</f>
        <v/>
      </c>
      <c r="L28" s="383">
        <f>IF(ISERROR(VLOOKUP(Envoltória!L33,Componentes!K:N,2,FALSE)),0,VLOOKUP(Envoltória!L33,Componentes!K:N,2,FALSE))</f>
        <v>0</v>
      </c>
      <c r="M28" s="383">
        <f>IF(ISERROR(VLOOKUP(Envoltória!L33,Componentes!K:N,3,FALSE)),0,VLOOKUP(Envoltória!L33,Componentes!K:N,3,FALSE))</f>
        <v>0</v>
      </c>
      <c r="N28" s="385" t="str">
        <f>IFERROR(IF(BB28&lt;&gt;0,VLOOKUP(Envoltória!L33,Componentes!K:N,4,FALSE),0),"")</f>
        <v/>
      </c>
      <c r="O28" s="383">
        <f>IF(BF28=1,VLOOKUP(Envoltória!J33,Componentes!B:E,2,FALSE),-6)</f>
        <v>-6</v>
      </c>
      <c r="P28" s="383">
        <f>IF(BF28=1,VLOOKUP(Envoltória!J33,Componentes!B:E,3,FALSE),-400)</f>
        <v>-400</v>
      </c>
      <c r="Q28" s="383">
        <f>IF(BF28=1,VLOOKUP(Envoltória!J33,Componentes!B:E,4,FALSE),0)</f>
        <v>0</v>
      </c>
      <c r="R28" s="384" t="str">
        <f>IFERROR(VLOOKUP(Envoltória!K33,Componentes!G:I,2,FALSE),"")</f>
        <v/>
      </c>
      <c r="S28" s="384" t="str">
        <f>IFERROR(VLOOKUP(Envoltória!K33,Componentes!G:I,3,FALSE),"")</f>
        <v/>
      </c>
      <c r="T28" s="383">
        <f>IFERROR(IF(H28&lt;&gt;0,VLOOKUP(Envoltória!N33,Componentes!T:V,3,FALSE),0),"")</f>
        <v>0</v>
      </c>
      <c r="U28" s="383">
        <f>IFERROR(IF(H28&lt;&gt;0,VLOOKUP(Envoltória!N33,Componentes!T:V,2,FALSE),0),"")</f>
        <v>0</v>
      </c>
      <c r="V28" s="384">
        <f>IFERROR(IF(AA28&lt;&gt;0,VLOOKUP(Envoltória!U33,Componentes!X:Z,2,FALSE),0),"")</f>
        <v>0</v>
      </c>
      <c r="W28" s="384">
        <f>IFERROR(IF(AA28&lt;&gt;0,VLOOKUP(Envoltória!U33,Componentes!X:Z,3,FALSE),0),"")</f>
        <v>0</v>
      </c>
      <c r="X28" s="383" t="str">
        <f>Envoltória!X33</f>
        <v/>
      </c>
      <c r="Y28" s="383">
        <f>Envoltória!V33</f>
        <v>0</v>
      </c>
      <c r="Z28" s="383" t="str">
        <f>Envoltória!W33</f>
        <v/>
      </c>
      <c r="AA28" s="386">
        <f>Envoltória!T33/100</f>
        <v>0</v>
      </c>
      <c r="AB28" s="387"/>
      <c r="AC28" s="387"/>
      <c r="AD28" s="387"/>
      <c r="AE28" s="387"/>
      <c r="AF28" s="387"/>
      <c r="AG28" s="387"/>
      <c r="AH28" s="387"/>
      <c r="AI28" s="387"/>
      <c r="AJ28" s="387"/>
      <c r="AK28" s="387"/>
      <c r="AL28" s="387"/>
      <c r="AM28" s="387"/>
      <c r="AN28" s="387"/>
      <c r="AO28" s="387"/>
      <c r="AP28" s="383">
        <f>IF(BF28=0,90,Envoltória!S33)</f>
        <v>0</v>
      </c>
      <c r="AQ28" s="383">
        <f>IF(BF28=0,90,Envoltória!R33)</f>
        <v>0</v>
      </c>
      <c r="AR28" s="383" t="str">
        <f t="shared" si="3"/>
        <v/>
      </c>
      <c r="AS28" s="383" t="str">
        <f t="shared" si="3"/>
        <v/>
      </c>
      <c r="AT28" s="383" t="str">
        <f t="shared" si="3"/>
        <v/>
      </c>
      <c r="AU28" s="383" t="str">
        <f t="shared" si="3"/>
        <v/>
      </c>
      <c r="AV28" s="383" t="str">
        <f t="shared" si="3"/>
        <v/>
      </c>
      <c r="AW28" s="384" t="str">
        <f>IFERROR(VLOOKUP(Envoltória!$B33,Aux_Lista!$N$2:$T$7,AW$9,FALSE),"")</f>
        <v/>
      </c>
      <c r="AX28" s="384" t="str">
        <f>IFERROR(VLOOKUP(Envoltória!$B33,Aux_Lista!$N$2:$T$7,AX$9,FALSE),"")</f>
        <v/>
      </c>
      <c r="AY28" s="384" t="str">
        <f>IFERROR(VLOOKUP(Envoltória!$B33,Aux_Lista!$N$2:$T$7,AY$9,FALSE),"")</f>
        <v/>
      </c>
      <c r="AZ28" s="384" t="str">
        <f>IFERROR(VLOOKUP(Envoltória!$B33,Aux_Lista!$N$2:$T$7,AZ$9,FALSE),"")</f>
        <v/>
      </c>
      <c r="BA28" s="384" t="str">
        <f>IFERROR(VLOOKUP(Envoltória!$B33,Aux_Lista!$N$2:$T$7,BA$9,FALSE),"")</f>
        <v/>
      </c>
      <c r="BB28" s="384" t="str">
        <f>IFERROR(VLOOKUP(Envoltória!$B33,Aux_Lista!$N$2:$T$7,BB$9,FALSE),"")</f>
        <v/>
      </c>
      <c r="BC28" s="384" t="str">
        <f>IFERROR(VLOOKUP(Envoltória!$H33,Aux_Lista!$V$2:$X$3,BC$9,FALSE),"")</f>
        <v/>
      </c>
      <c r="BD28" s="384" t="str">
        <f>IFERROR(VLOOKUP(Envoltória!$H33,Aux_Lista!$V$2:$X$3,BD$9,FALSE),"")</f>
        <v/>
      </c>
      <c r="BE28" s="382">
        <f t="shared" si="2"/>
        <v>0</v>
      </c>
      <c r="BF28" s="382" t="str">
        <f>IFERROR(VLOOKUP(Envoltória!F33,CB3E_Envoltória!$BQ$18:$BR$19,2,FALSE),"")</f>
        <v/>
      </c>
      <c r="BG28" s="382" t="str">
        <f>IFERROR(VLOOKUP(Envoltória!$G33,$BQ$35:$BZ$43,BG$9,FALSE),"")</f>
        <v/>
      </c>
      <c r="BH28" s="382" t="str">
        <f>IFERROR(VLOOKUP(Envoltória!$G33,$BQ$35:$BZ$43,BH$9,FALSE),"")</f>
        <v/>
      </c>
      <c r="BI28" s="382" t="str">
        <f>IFERROR(VLOOKUP(Envoltória!$G33,$BQ$35:$BZ$43,BI$9,FALSE),"")</f>
        <v/>
      </c>
      <c r="BJ28" s="382" t="str">
        <f>IFERROR(VLOOKUP(Envoltória!$G33,$BQ$35:$BZ$43,BJ$9,FALSE),"")</f>
        <v/>
      </c>
      <c r="BK28" s="382" t="str">
        <f>IFERROR(VLOOKUP(Envoltória!$G33,$BQ$35:$BZ$43,BK$9,FALSE),"")</f>
        <v/>
      </c>
      <c r="BL28" s="382" t="str">
        <f>IFERROR(VLOOKUP(Envoltória!$G33,$BQ$35:$BZ$43,BL$9,FALSE),"")</f>
        <v/>
      </c>
      <c r="BM28" s="382" t="str">
        <f>IFERROR(VLOOKUP(Envoltória!$G33,$BQ$35:$BZ$43,BM$9,FALSE),"")</f>
        <v/>
      </c>
      <c r="BN28" s="382" t="str">
        <f>IFERROR(VLOOKUP(Envoltória!$G33,$BQ$35:$BZ$43,BN$9,FALSE),"")</f>
        <v/>
      </c>
      <c r="BO28" s="382" t="str">
        <f>IFERROR(VLOOKUP(Envoltória!$G33,$BQ$35:$BZ$43,BO$9,FALSE),"")</f>
        <v/>
      </c>
      <c r="BP28" s="1"/>
      <c r="BQ28" s="378" t="s">
        <v>5804</v>
      </c>
      <c r="BR28" s="7">
        <v>12</v>
      </c>
      <c r="BS28" s="7">
        <v>0</v>
      </c>
      <c r="BT28" s="7">
        <v>1</v>
      </c>
      <c r="BU28" s="7">
        <v>0</v>
      </c>
      <c r="BV28" s="7">
        <v>0</v>
      </c>
      <c r="BW28" s="7">
        <v>0</v>
      </c>
    </row>
    <row r="29" spans="1:75" s="32" customFormat="1" x14ac:dyDescent="0.25">
      <c r="A29" s="1">
        <v>19</v>
      </c>
      <c r="B29" s="370">
        <f>Envoltória!I34</f>
        <v>0</v>
      </c>
      <c r="C29" s="371">
        <f>Envoltória!B34</f>
        <v>0</v>
      </c>
      <c r="D29" s="371">
        <f>Envoltória!C34</f>
        <v>0</v>
      </c>
      <c r="E29" s="381">
        <f>Envoltória!D34</f>
        <v>0</v>
      </c>
      <c r="F29" s="382">
        <f>Envoltória!E34</f>
        <v>0</v>
      </c>
      <c r="G29" s="382">
        <f t="shared" si="1"/>
        <v>0</v>
      </c>
      <c r="H29" s="383">
        <f>Envoltória!O34/100</f>
        <v>0</v>
      </c>
      <c r="I29" s="383">
        <f>IF(BF29=1,Envoltória!Q34,90)</f>
        <v>90</v>
      </c>
      <c r="J29" s="384" t="str">
        <f>IFERROR(VLOOKUP(Envoltória!M34,Componentes!$P:$R,2,FALSE),"")</f>
        <v/>
      </c>
      <c r="K29" s="384" t="str">
        <f>IFERROR(VLOOKUP(Envoltória!M34,Componentes!$P:$R,3,FALSE),"")</f>
        <v/>
      </c>
      <c r="L29" s="383">
        <f>IF(ISERROR(VLOOKUP(Envoltória!L34,Componentes!K:N,2,FALSE)),0,VLOOKUP(Envoltória!L34,Componentes!K:N,2,FALSE))</f>
        <v>0</v>
      </c>
      <c r="M29" s="383">
        <f>IF(ISERROR(VLOOKUP(Envoltória!L34,Componentes!K:N,3,FALSE)),0,VLOOKUP(Envoltória!L34,Componentes!K:N,3,FALSE))</f>
        <v>0</v>
      </c>
      <c r="N29" s="385" t="str">
        <f>IFERROR(IF(BB29&lt;&gt;0,VLOOKUP(Envoltória!L34,Componentes!K:N,4,FALSE),0),"")</f>
        <v/>
      </c>
      <c r="O29" s="383">
        <f>IF(BF29=1,VLOOKUP(Envoltória!J34,Componentes!B:E,2,FALSE),-6)</f>
        <v>-6</v>
      </c>
      <c r="P29" s="383">
        <f>IF(BF29=1,VLOOKUP(Envoltória!J34,Componentes!B:E,3,FALSE),-400)</f>
        <v>-400</v>
      </c>
      <c r="Q29" s="383">
        <f>IF(BF29=1,VLOOKUP(Envoltória!J34,Componentes!B:E,4,FALSE),0)</f>
        <v>0</v>
      </c>
      <c r="R29" s="384" t="str">
        <f>IFERROR(VLOOKUP(Envoltória!K34,Componentes!G:I,2,FALSE),"")</f>
        <v/>
      </c>
      <c r="S29" s="384" t="str">
        <f>IFERROR(VLOOKUP(Envoltória!K34,Componentes!G:I,3,FALSE),"")</f>
        <v/>
      </c>
      <c r="T29" s="383">
        <f>IFERROR(IF(H29&lt;&gt;0,VLOOKUP(Envoltória!N34,Componentes!T:V,3,FALSE),0),"")</f>
        <v>0</v>
      </c>
      <c r="U29" s="383">
        <f>IFERROR(IF(H29&lt;&gt;0,VLOOKUP(Envoltória!N34,Componentes!T:V,2,FALSE),0),"")</f>
        <v>0</v>
      </c>
      <c r="V29" s="384">
        <f>IFERROR(IF(AA29&lt;&gt;0,VLOOKUP(Envoltória!U34,Componentes!X:Z,2,FALSE),0),"")</f>
        <v>0</v>
      </c>
      <c r="W29" s="384">
        <f>IFERROR(IF(AA29&lt;&gt;0,VLOOKUP(Envoltória!U34,Componentes!X:Z,3,FALSE),0),"")</f>
        <v>0</v>
      </c>
      <c r="X29" s="383" t="str">
        <f>Envoltória!X34</f>
        <v/>
      </c>
      <c r="Y29" s="383">
        <f>Envoltória!V34</f>
        <v>0</v>
      </c>
      <c r="Z29" s="383" t="str">
        <f>Envoltória!W34</f>
        <v/>
      </c>
      <c r="AA29" s="386">
        <f>Envoltória!T34/100</f>
        <v>0</v>
      </c>
      <c r="AB29" s="387"/>
      <c r="AC29" s="387"/>
      <c r="AD29" s="387"/>
      <c r="AE29" s="387"/>
      <c r="AF29" s="387"/>
      <c r="AG29" s="387"/>
      <c r="AH29" s="387"/>
      <c r="AI29" s="387"/>
      <c r="AJ29" s="387"/>
      <c r="AK29" s="387"/>
      <c r="AL29" s="387"/>
      <c r="AM29" s="387"/>
      <c r="AN29" s="387"/>
      <c r="AO29" s="387"/>
      <c r="AP29" s="383">
        <f>IF(BF29=0,90,Envoltória!S34)</f>
        <v>0</v>
      </c>
      <c r="AQ29" s="383">
        <f>IF(BF29=0,90,Envoltória!R34)</f>
        <v>0</v>
      </c>
      <c r="AR29" s="383" t="str">
        <f t="shared" si="3"/>
        <v/>
      </c>
      <c r="AS29" s="383" t="str">
        <f t="shared" si="3"/>
        <v/>
      </c>
      <c r="AT29" s="383" t="str">
        <f t="shared" si="3"/>
        <v/>
      </c>
      <c r="AU29" s="383" t="str">
        <f t="shared" si="3"/>
        <v/>
      </c>
      <c r="AV29" s="383" t="str">
        <f t="shared" si="3"/>
        <v/>
      </c>
      <c r="AW29" s="384" t="str">
        <f>IFERROR(VLOOKUP(Envoltória!$B34,Aux_Lista!$N$2:$T$7,AW$9,FALSE),"")</f>
        <v/>
      </c>
      <c r="AX29" s="384" t="str">
        <f>IFERROR(VLOOKUP(Envoltória!$B34,Aux_Lista!$N$2:$T$7,AX$9,FALSE),"")</f>
        <v/>
      </c>
      <c r="AY29" s="384" t="str">
        <f>IFERROR(VLOOKUP(Envoltória!$B34,Aux_Lista!$N$2:$T$7,AY$9,FALSE),"")</f>
        <v/>
      </c>
      <c r="AZ29" s="384" t="str">
        <f>IFERROR(VLOOKUP(Envoltória!$B34,Aux_Lista!$N$2:$T$7,AZ$9,FALSE),"")</f>
        <v/>
      </c>
      <c r="BA29" s="384" t="str">
        <f>IFERROR(VLOOKUP(Envoltória!$B34,Aux_Lista!$N$2:$T$7,BA$9,FALSE),"")</f>
        <v/>
      </c>
      <c r="BB29" s="384" t="str">
        <f>IFERROR(VLOOKUP(Envoltória!$B34,Aux_Lista!$N$2:$T$7,BB$9,FALSE),"")</f>
        <v/>
      </c>
      <c r="BC29" s="384" t="str">
        <f>IFERROR(VLOOKUP(Envoltória!$H34,Aux_Lista!$V$2:$X$3,BC$9,FALSE),"")</f>
        <v/>
      </c>
      <c r="BD29" s="384" t="str">
        <f>IFERROR(VLOOKUP(Envoltória!$H34,Aux_Lista!$V$2:$X$3,BD$9,FALSE),"")</f>
        <v/>
      </c>
      <c r="BE29" s="382">
        <f t="shared" si="2"/>
        <v>0</v>
      </c>
      <c r="BF29" s="382" t="str">
        <f>IFERROR(VLOOKUP(Envoltória!F34,CB3E_Envoltória!$BQ$18:$BR$19,2,FALSE),"")</f>
        <v/>
      </c>
      <c r="BG29" s="382" t="str">
        <f>IFERROR(VLOOKUP(Envoltória!$G34,$BQ$35:$BZ$43,BG$9,FALSE),"")</f>
        <v/>
      </c>
      <c r="BH29" s="382" t="str">
        <f>IFERROR(VLOOKUP(Envoltória!$G34,$BQ$35:$BZ$43,BH$9,FALSE),"")</f>
        <v/>
      </c>
      <c r="BI29" s="382" t="str">
        <f>IFERROR(VLOOKUP(Envoltória!$G34,$BQ$35:$BZ$43,BI$9,FALSE),"")</f>
        <v/>
      </c>
      <c r="BJ29" s="382" t="str">
        <f>IFERROR(VLOOKUP(Envoltória!$G34,$BQ$35:$BZ$43,BJ$9,FALSE),"")</f>
        <v/>
      </c>
      <c r="BK29" s="382" t="str">
        <f>IFERROR(VLOOKUP(Envoltória!$G34,$BQ$35:$BZ$43,BK$9,FALSE),"")</f>
        <v/>
      </c>
      <c r="BL29" s="382" t="str">
        <f>IFERROR(VLOOKUP(Envoltória!$G34,$BQ$35:$BZ$43,BL$9,FALSE),"")</f>
        <v/>
      </c>
      <c r="BM29" s="382" t="str">
        <f>IFERROR(VLOOKUP(Envoltória!$G34,$BQ$35:$BZ$43,BM$9,FALSE),"")</f>
        <v/>
      </c>
      <c r="BN29" s="382" t="str">
        <f>IFERROR(VLOOKUP(Envoltória!$G34,$BQ$35:$BZ$43,BN$9,FALSE),"")</f>
        <v/>
      </c>
      <c r="BO29" s="382" t="str">
        <f>IFERROR(VLOOKUP(Envoltória!$G34,$BQ$35:$BZ$43,BO$9,FALSE),"")</f>
        <v/>
      </c>
      <c r="BP29" s="1"/>
      <c r="BQ29" s="378" t="s">
        <v>43</v>
      </c>
      <c r="BR29" s="7">
        <v>12</v>
      </c>
      <c r="BS29" s="7">
        <v>0</v>
      </c>
      <c r="BT29" s="7">
        <v>1</v>
      </c>
      <c r="BU29" s="7">
        <v>0</v>
      </c>
      <c r="BV29" s="7">
        <v>0</v>
      </c>
      <c r="BW29" s="7">
        <v>0</v>
      </c>
    </row>
    <row r="30" spans="1:75" s="32" customFormat="1" x14ac:dyDescent="0.25">
      <c r="A30" s="1">
        <v>20</v>
      </c>
      <c r="B30" s="370">
        <f>Envoltória!I35</f>
        <v>0</v>
      </c>
      <c r="C30" s="371">
        <f>Envoltória!B35</f>
        <v>0</v>
      </c>
      <c r="D30" s="371">
        <f>Envoltória!C35</f>
        <v>0</v>
      </c>
      <c r="E30" s="381">
        <f>Envoltória!D35</f>
        <v>0</v>
      </c>
      <c r="F30" s="382">
        <f>Envoltória!E35</f>
        <v>0</v>
      </c>
      <c r="G30" s="382">
        <f t="shared" si="1"/>
        <v>0</v>
      </c>
      <c r="H30" s="383">
        <f>Envoltória!O35/100</f>
        <v>0</v>
      </c>
      <c r="I30" s="383">
        <f>IF(BF30=1,Envoltória!Q35,90)</f>
        <v>90</v>
      </c>
      <c r="J30" s="384" t="str">
        <f>IFERROR(VLOOKUP(Envoltória!M35,Componentes!$P:$R,2,FALSE),"")</f>
        <v/>
      </c>
      <c r="K30" s="384" t="str">
        <f>IFERROR(VLOOKUP(Envoltória!M35,Componentes!$P:$R,3,FALSE),"")</f>
        <v/>
      </c>
      <c r="L30" s="383">
        <f>IF(ISERROR(VLOOKUP(Envoltória!L35,Componentes!K:N,2,FALSE)),0,VLOOKUP(Envoltória!L35,Componentes!K:N,2,FALSE))</f>
        <v>0</v>
      </c>
      <c r="M30" s="383">
        <f>IF(ISERROR(VLOOKUP(Envoltória!L35,Componentes!K:N,3,FALSE)),0,VLOOKUP(Envoltória!L35,Componentes!K:N,3,FALSE))</f>
        <v>0</v>
      </c>
      <c r="N30" s="385" t="str">
        <f>IFERROR(IF(BB30&lt;&gt;0,VLOOKUP(Envoltória!L35,Componentes!K:N,4,FALSE),0),"")</f>
        <v/>
      </c>
      <c r="O30" s="383">
        <f>IF(BF30=1,VLOOKUP(Envoltória!J35,Componentes!B:E,2,FALSE),-6)</f>
        <v>-6</v>
      </c>
      <c r="P30" s="383">
        <f>IF(BF30=1,VLOOKUP(Envoltória!J35,Componentes!B:E,3,FALSE),-400)</f>
        <v>-400</v>
      </c>
      <c r="Q30" s="383">
        <f>IF(BF30=1,VLOOKUP(Envoltória!J35,Componentes!B:E,4,FALSE),0)</f>
        <v>0</v>
      </c>
      <c r="R30" s="384" t="str">
        <f>IFERROR(VLOOKUP(Envoltória!K35,Componentes!G:I,2,FALSE),"")</f>
        <v/>
      </c>
      <c r="S30" s="384" t="str">
        <f>IFERROR(VLOOKUP(Envoltória!K35,Componentes!G:I,3,FALSE),"")</f>
        <v/>
      </c>
      <c r="T30" s="383">
        <f>IFERROR(IF(H30&lt;&gt;0,VLOOKUP(Envoltória!N35,Componentes!T:V,3,FALSE),0),"")</f>
        <v>0</v>
      </c>
      <c r="U30" s="383">
        <f>IFERROR(IF(H30&lt;&gt;0,VLOOKUP(Envoltória!N35,Componentes!T:V,2,FALSE),0),"")</f>
        <v>0</v>
      </c>
      <c r="V30" s="384">
        <f>IFERROR(IF(AA30&lt;&gt;0,VLOOKUP(Envoltória!U35,Componentes!X:Z,2,FALSE),0),"")</f>
        <v>0</v>
      </c>
      <c r="W30" s="384">
        <f>IFERROR(IF(AA30&lt;&gt;0,VLOOKUP(Envoltória!U35,Componentes!X:Z,3,FALSE),0),"")</f>
        <v>0</v>
      </c>
      <c r="X30" s="383" t="str">
        <f>Envoltória!X35</f>
        <v/>
      </c>
      <c r="Y30" s="383">
        <f>Envoltória!V35</f>
        <v>0</v>
      </c>
      <c r="Z30" s="383" t="str">
        <f>Envoltória!W35</f>
        <v/>
      </c>
      <c r="AA30" s="386">
        <f>Envoltória!T35/100</f>
        <v>0</v>
      </c>
      <c r="AB30" s="387"/>
      <c r="AC30" s="387"/>
      <c r="AD30" s="387"/>
      <c r="AE30" s="387"/>
      <c r="AF30" s="387"/>
      <c r="AG30" s="387"/>
      <c r="AH30" s="387"/>
      <c r="AI30" s="387"/>
      <c r="AJ30" s="387"/>
      <c r="AK30" s="387"/>
      <c r="AL30" s="387"/>
      <c r="AM30" s="387"/>
      <c r="AN30" s="387"/>
      <c r="AO30" s="387"/>
      <c r="AP30" s="383">
        <f>IF(BF30=0,90,Envoltória!S35)</f>
        <v>0</v>
      </c>
      <c r="AQ30" s="383">
        <f>IF(BF30=0,90,Envoltória!R35)</f>
        <v>0</v>
      </c>
      <c r="AR30" s="383" t="str">
        <f t="shared" si="3"/>
        <v/>
      </c>
      <c r="AS30" s="383" t="str">
        <f t="shared" si="3"/>
        <v/>
      </c>
      <c r="AT30" s="383" t="str">
        <f t="shared" si="3"/>
        <v/>
      </c>
      <c r="AU30" s="383" t="str">
        <f t="shared" si="3"/>
        <v/>
      </c>
      <c r="AV30" s="383" t="str">
        <f t="shared" si="3"/>
        <v/>
      </c>
      <c r="AW30" s="384" t="str">
        <f>IFERROR(VLOOKUP(Envoltória!$B35,Aux_Lista!$N$2:$T$7,AW$9,FALSE),"")</f>
        <v/>
      </c>
      <c r="AX30" s="384" t="str">
        <f>IFERROR(VLOOKUP(Envoltória!$B35,Aux_Lista!$N$2:$T$7,AX$9,FALSE),"")</f>
        <v/>
      </c>
      <c r="AY30" s="384" t="str">
        <f>IFERROR(VLOOKUP(Envoltória!$B35,Aux_Lista!$N$2:$T$7,AY$9,FALSE),"")</f>
        <v/>
      </c>
      <c r="AZ30" s="384" t="str">
        <f>IFERROR(VLOOKUP(Envoltória!$B35,Aux_Lista!$N$2:$T$7,AZ$9,FALSE),"")</f>
        <v/>
      </c>
      <c r="BA30" s="384" t="str">
        <f>IFERROR(VLOOKUP(Envoltória!$B35,Aux_Lista!$N$2:$T$7,BA$9,FALSE),"")</f>
        <v/>
      </c>
      <c r="BB30" s="384" t="str">
        <f>IFERROR(VLOOKUP(Envoltória!$B35,Aux_Lista!$N$2:$T$7,BB$9,FALSE),"")</f>
        <v/>
      </c>
      <c r="BC30" s="384" t="str">
        <f>IFERROR(VLOOKUP(Envoltória!$H35,Aux_Lista!$V$2:$X$3,BC$9,FALSE),"")</f>
        <v/>
      </c>
      <c r="BD30" s="384" t="str">
        <f>IFERROR(VLOOKUP(Envoltória!$H35,Aux_Lista!$V$2:$X$3,BD$9,FALSE),"")</f>
        <v/>
      </c>
      <c r="BE30" s="382">
        <f t="shared" si="2"/>
        <v>0</v>
      </c>
      <c r="BF30" s="382" t="str">
        <f>IFERROR(VLOOKUP(Envoltória!F35,CB3E_Envoltória!$BQ$18:$BR$19,2,FALSE),"")</f>
        <v/>
      </c>
      <c r="BG30" s="382" t="str">
        <f>IFERROR(VLOOKUP(Envoltória!$G35,$BQ$35:$BZ$43,BG$9,FALSE),"")</f>
        <v/>
      </c>
      <c r="BH30" s="382" t="str">
        <f>IFERROR(VLOOKUP(Envoltória!$G35,$BQ$35:$BZ$43,BH$9,FALSE),"")</f>
        <v/>
      </c>
      <c r="BI30" s="382" t="str">
        <f>IFERROR(VLOOKUP(Envoltória!$G35,$BQ$35:$BZ$43,BI$9,FALSE),"")</f>
        <v/>
      </c>
      <c r="BJ30" s="382" t="str">
        <f>IFERROR(VLOOKUP(Envoltória!$G35,$BQ$35:$BZ$43,BJ$9,FALSE),"")</f>
        <v/>
      </c>
      <c r="BK30" s="382" t="str">
        <f>IFERROR(VLOOKUP(Envoltória!$G35,$BQ$35:$BZ$43,BK$9,FALSE),"")</f>
        <v/>
      </c>
      <c r="BL30" s="382" t="str">
        <f>IFERROR(VLOOKUP(Envoltória!$G35,$BQ$35:$BZ$43,BL$9,FALSE),"")</f>
        <v/>
      </c>
      <c r="BM30" s="382" t="str">
        <f>IFERROR(VLOOKUP(Envoltória!$G35,$BQ$35:$BZ$43,BM$9,FALSE),"")</f>
        <v/>
      </c>
      <c r="BN30" s="382" t="str">
        <f>IFERROR(VLOOKUP(Envoltória!$G35,$BQ$35:$BZ$43,BN$9,FALSE),"")</f>
        <v/>
      </c>
      <c r="BO30" s="382" t="str">
        <f>IFERROR(VLOOKUP(Envoltória!$G35,$BQ$35:$BZ$43,BO$9,FALSE),"")</f>
        <v/>
      </c>
      <c r="BP30" s="1"/>
      <c r="BQ30" s="378" t="s">
        <v>44</v>
      </c>
      <c r="BR30" s="7">
        <v>8</v>
      </c>
      <c r="BS30" s="7">
        <v>0</v>
      </c>
      <c r="BT30" s="7">
        <v>0</v>
      </c>
      <c r="BU30" s="7">
        <v>0</v>
      </c>
      <c r="BV30" s="7">
        <v>0</v>
      </c>
      <c r="BW30" s="7">
        <v>1</v>
      </c>
    </row>
    <row r="31" spans="1:75" s="32" customFormat="1" x14ac:dyDescent="0.25">
      <c r="A31" s="1">
        <v>21</v>
      </c>
      <c r="B31" s="370">
        <f>Envoltória!I36</f>
        <v>0</v>
      </c>
      <c r="C31" s="371">
        <f>Envoltória!B36</f>
        <v>0</v>
      </c>
      <c r="D31" s="371">
        <f>Envoltória!C36</f>
        <v>0</v>
      </c>
      <c r="E31" s="381">
        <f>Envoltória!D36</f>
        <v>0</v>
      </c>
      <c r="F31" s="382">
        <f>Envoltória!E36</f>
        <v>0</v>
      </c>
      <c r="G31" s="382">
        <f t="shared" si="1"/>
        <v>0</v>
      </c>
      <c r="H31" s="383">
        <f>Envoltória!O36/100</f>
        <v>0</v>
      </c>
      <c r="I31" s="383">
        <f>IF(BF31=1,Envoltória!Q36,90)</f>
        <v>90</v>
      </c>
      <c r="J31" s="384" t="str">
        <f>IFERROR(VLOOKUP(Envoltória!M36,Componentes!$P:$R,2,FALSE),"")</f>
        <v/>
      </c>
      <c r="K31" s="384" t="str">
        <f>IFERROR(VLOOKUP(Envoltória!M36,Componentes!$P:$R,3,FALSE),"")</f>
        <v/>
      </c>
      <c r="L31" s="383">
        <f>IF(ISERROR(VLOOKUP(Envoltória!L36,Componentes!K:N,2,FALSE)),0,VLOOKUP(Envoltória!L36,Componentes!K:N,2,FALSE))</f>
        <v>0</v>
      </c>
      <c r="M31" s="383">
        <f>IF(ISERROR(VLOOKUP(Envoltória!L36,Componentes!K:N,3,FALSE)),0,VLOOKUP(Envoltória!L36,Componentes!K:N,3,FALSE))</f>
        <v>0</v>
      </c>
      <c r="N31" s="385" t="str">
        <f>IFERROR(IF(BB31&lt;&gt;0,VLOOKUP(Envoltória!L36,Componentes!K:N,4,FALSE),0),"")</f>
        <v/>
      </c>
      <c r="O31" s="383">
        <f>IF(BF31=1,VLOOKUP(Envoltória!J36,Componentes!B:E,2,FALSE),-6)</f>
        <v>-6</v>
      </c>
      <c r="P31" s="383">
        <f>IF(BF31=1,VLOOKUP(Envoltória!J36,Componentes!B:E,3,FALSE),-400)</f>
        <v>-400</v>
      </c>
      <c r="Q31" s="383">
        <f>IF(BF31=1,VLOOKUP(Envoltória!J36,Componentes!B:E,4,FALSE),0)</f>
        <v>0</v>
      </c>
      <c r="R31" s="384" t="str">
        <f>IFERROR(VLOOKUP(Envoltória!K36,Componentes!G:I,2,FALSE),"")</f>
        <v/>
      </c>
      <c r="S31" s="384" t="str">
        <f>IFERROR(VLOOKUP(Envoltória!K36,Componentes!G:I,3,FALSE),"")</f>
        <v/>
      </c>
      <c r="T31" s="383">
        <f>IFERROR(IF(H31&lt;&gt;0,VLOOKUP(Envoltória!N36,Componentes!T:V,3,FALSE),0),"")</f>
        <v>0</v>
      </c>
      <c r="U31" s="383">
        <f>IFERROR(IF(H31&lt;&gt;0,VLOOKUP(Envoltória!N36,Componentes!T:V,2,FALSE),0),"")</f>
        <v>0</v>
      </c>
      <c r="V31" s="384">
        <f>IFERROR(IF(AA31&lt;&gt;0,VLOOKUP(Envoltória!U36,Componentes!X:Z,2,FALSE),0),"")</f>
        <v>0</v>
      </c>
      <c r="W31" s="384">
        <f>IFERROR(IF(AA31&lt;&gt;0,VLOOKUP(Envoltória!U36,Componentes!X:Z,3,FALSE),0),"")</f>
        <v>0</v>
      </c>
      <c r="X31" s="383" t="str">
        <f>Envoltória!X36</f>
        <v/>
      </c>
      <c r="Y31" s="383">
        <f>Envoltória!V36</f>
        <v>0</v>
      </c>
      <c r="Z31" s="383" t="str">
        <f>Envoltória!W36</f>
        <v/>
      </c>
      <c r="AA31" s="386">
        <f>Envoltória!T36/100</f>
        <v>0</v>
      </c>
      <c r="AB31" s="387"/>
      <c r="AC31" s="387"/>
      <c r="AD31" s="387"/>
      <c r="AE31" s="387"/>
      <c r="AF31" s="387"/>
      <c r="AG31" s="387"/>
      <c r="AH31" s="387"/>
      <c r="AI31" s="387"/>
      <c r="AJ31" s="387"/>
      <c r="AK31" s="387"/>
      <c r="AL31" s="387"/>
      <c r="AM31" s="387"/>
      <c r="AN31" s="387"/>
      <c r="AO31" s="387"/>
      <c r="AP31" s="383">
        <f>IF(BF31=0,90,Envoltória!S36)</f>
        <v>0</v>
      </c>
      <c r="AQ31" s="383">
        <f>IF(BF31=0,90,Envoltória!R36)</f>
        <v>0</v>
      </c>
      <c r="AR31" s="383" t="str">
        <f t="shared" ref="AR31:AV40" si="4">IFERROR(VLOOKUP($B31,$BQ$21:$BW$31,AR$9,FALSE),"")</f>
        <v/>
      </c>
      <c r="AS31" s="383" t="str">
        <f t="shared" si="4"/>
        <v/>
      </c>
      <c r="AT31" s="383" t="str">
        <f t="shared" si="4"/>
        <v/>
      </c>
      <c r="AU31" s="383" t="str">
        <f t="shared" si="4"/>
        <v/>
      </c>
      <c r="AV31" s="383" t="str">
        <f t="shared" si="4"/>
        <v/>
      </c>
      <c r="AW31" s="384" t="str">
        <f>IFERROR(VLOOKUP(Envoltória!$B36,Aux_Lista!$N$2:$T$7,AW$9,FALSE),"")</f>
        <v/>
      </c>
      <c r="AX31" s="384" t="str">
        <f>IFERROR(VLOOKUP(Envoltória!$B36,Aux_Lista!$N$2:$T$7,AX$9,FALSE),"")</f>
        <v/>
      </c>
      <c r="AY31" s="384" t="str">
        <f>IFERROR(VLOOKUP(Envoltória!$B36,Aux_Lista!$N$2:$T$7,AY$9,FALSE),"")</f>
        <v/>
      </c>
      <c r="AZ31" s="384" t="str">
        <f>IFERROR(VLOOKUP(Envoltória!$B36,Aux_Lista!$N$2:$T$7,AZ$9,FALSE),"")</f>
        <v/>
      </c>
      <c r="BA31" s="384" t="str">
        <f>IFERROR(VLOOKUP(Envoltória!$B36,Aux_Lista!$N$2:$T$7,BA$9,FALSE),"")</f>
        <v/>
      </c>
      <c r="BB31" s="384" t="str">
        <f>IFERROR(VLOOKUP(Envoltória!$B36,Aux_Lista!$N$2:$T$7,BB$9,FALSE),"")</f>
        <v/>
      </c>
      <c r="BC31" s="384" t="str">
        <f>IFERROR(VLOOKUP(Envoltória!$H36,Aux_Lista!$V$2:$X$3,BC$9,FALSE),"")</f>
        <v/>
      </c>
      <c r="BD31" s="384" t="str">
        <f>IFERROR(VLOOKUP(Envoltória!$H36,Aux_Lista!$V$2:$X$3,BD$9,FALSE),"")</f>
        <v/>
      </c>
      <c r="BE31" s="382">
        <f t="shared" si="2"/>
        <v>0</v>
      </c>
      <c r="BF31" s="382" t="str">
        <f>IFERROR(VLOOKUP(Envoltória!F36,CB3E_Envoltória!$BQ$18:$BR$19,2,FALSE),"")</f>
        <v/>
      </c>
      <c r="BG31" s="382" t="str">
        <f>IFERROR(VLOOKUP(Envoltória!$G36,$BQ$35:$BZ$43,BG$9,FALSE),"")</f>
        <v/>
      </c>
      <c r="BH31" s="382" t="str">
        <f>IFERROR(VLOOKUP(Envoltória!$G36,$BQ$35:$BZ$43,BH$9,FALSE),"")</f>
        <v/>
      </c>
      <c r="BI31" s="382" t="str">
        <f>IFERROR(VLOOKUP(Envoltória!$G36,$BQ$35:$BZ$43,BI$9,FALSE),"")</f>
        <v/>
      </c>
      <c r="BJ31" s="382" t="str">
        <f>IFERROR(VLOOKUP(Envoltória!$G36,$BQ$35:$BZ$43,BJ$9,FALSE),"")</f>
        <v/>
      </c>
      <c r="BK31" s="382" t="str">
        <f>IFERROR(VLOOKUP(Envoltória!$G36,$BQ$35:$BZ$43,BK$9,FALSE),"")</f>
        <v/>
      </c>
      <c r="BL31" s="382" t="str">
        <f>IFERROR(VLOOKUP(Envoltória!$G36,$BQ$35:$BZ$43,BL$9,FALSE),"")</f>
        <v/>
      </c>
      <c r="BM31" s="382" t="str">
        <f>IFERROR(VLOOKUP(Envoltória!$G36,$BQ$35:$BZ$43,BM$9,FALSE),"")</f>
        <v/>
      </c>
      <c r="BN31" s="382" t="str">
        <f>IFERROR(VLOOKUP(Envoltória!$G36,$BQ$35:$BZ$43,BN$9,FALSE),"")</f>
        <v/>
      </c>
      <c r="BO31" s="382" t="str">
        <f>IFERROR(VLOOKUP(Envoltória!$G36,$BQ$35:$BZ$43,BO$9,FALSE),"")</f>
        <v/>
      </c>
      <c r="BP31" s="1"/>
      <c r="BQ31" s="378" t="s">
        <v>45</v>
      </c>
      <c r="BR31" s="7">
        <v>12</v>
      </c>
      <c r="BS31" s="7">
        <v>0</v>
      </c>
      <c r="BT31" s="7">
        <v>1</v>
      </c>
      <c r="BU31" s="7">
        <v>0</v>
      </c>
      <c r="BV31" s="7">
        <v>0</v>
      </c>
      <c r="BW31" s="7">
        <v>0</v>
      </c>
    </row>
    <row r="32" spans="1:75" s="32" customFormat="1" x14ac:dyDescent="0.25">
      <c r="A32" s="1">
        <v>22</v>
      </c>
      <c r="B32" s="370">
        <f>Envoltória!I37</f>
        <v>0</v>
      </c>
      <c r="C32" s="371">
        <f>Envoltória!B37</f>
        <v>0</v>
      </c>
      <c r="D32" s="371">
        <f>Envoltória!C37</f>
        <v>0</v>
      </c>
      <c r="E32" s="381">
        <f>Envoltória!D37</f>
        <v>0</v>
      </c>
      <c r="F32" s="382">
        <f>Envoltória!E37</f>
        <v>0</v>
      </c>
      <c r="G32" s="382">
        <f t="shared" si="1"/>
        <v>0</v>
      </c>
      <c r="H32" s="383">
        <f>Envoltória!O37/100</f>
        <v>0</v>
      </c>
      <c r="I32" s="383">
        <f>IF(BF32=1,Envoltória!Q37,90)</f>
        <v>90</v>
      </c>
      <c r="J32" s="384" t="str">
        <f>IFERROR(VLOOKUP(Envoltória!M37,Componentes!$P:$R,2,FALSE),"")</f>
        <v/>
      </c>
      <c r="K32" s="384" t="str">
        <f>IFERROR(VLOOKUP(Envoltória!M37,Componentes!$P:$R,3,FALSE),"")</f>
        <v/>
      </c>
      <c r="L32" s="383">
        <f>IF(ISERROR(VLOOKUP(Envoltória!L37,Componentes!K:N,2,FALSE)),0,VLOOKUP(Envoltória!L37,Componentes!K:N,2,FALSE))</f>
        <v>0</v>
      </c>
      <c r="M32" s="383">
        <f>IF(ISERROR(VLOOKUP(Envoltória!L37,Componentes!K:N,3,FALSE)),0,VLOOKUP(Envoltória!L37,Componentes!K:N,3,FALSE))</f>
        <v>0</v>
      </c>
      <c r="N32" s="385" t="str">
        <f>IFERROR(IF(BB32&lt;&gt;0,VLOOKUP(Envoltória!L37,Componentes!K:N,4,FALSE),0),"")</f>
        <v/>
      </c>
      <c r="O32" s="383">
        <f>IF(BF32=1,VLOOKUP(Envoltória!J37,Componentes!B:E,2,FALSE),-6)</f>
        <v>-6</v>
      </c>
      <c r="P32" s="383">
        <f>IF(BF32=1,VLOOKUP(Envoltória!J37,Componentes!B:E,3,FALSE),-400)</f>
        <v>-400</v>
      </c>
      <c r="Q32" s="383">
        <f>IF(BF32=1,VLOOKUP(Envoltória!J37,Componentes!B:E,4,FALSE),0)</f>
        <v>0</v>
      </c>
      <c r="R32" s="384" t="str">
        <f>IFERROR(VLOOKUP(Envoltória!K37,Componentes!G:I,2,FALSE),"")</f>
        <v/>
      </c>
      <c r="S32" s="384" t="str">
        <f>IFERROR(VLOOKUP(Envoltória!K37,Componentes!G:I,3,FALSE),"")</f>
        <v/>
      </c>
      <c r="T32" s="383">
        <f>IFERROR(IF(H32&lt;&gt;0,VLOOKUP(Envoltória!N37,Componentes!T:V,3,FALSE),0),"")</f>
        <v>0</v>
      </c>
      <c r="U32" s="383">
        <f>IFERROR(IF(H32&lt;&gt;0,VLOOKUP(Envoltória!N37,Componentes!T:V,2,FALSE),0),"")</f>
        <v>0</v>
      </c>
      <c r="V32" s="384">
        <f>IFERROR(IF(AA32&lt;&gt;0,VLOOKUP(Envoltória!U37,Componentes!X:Z,2,FALSE),0),"")</f>
        <v>0</v>
      </c>
      <c r="W32" s="384">
        <f>IFERROR(IF(AA32&lt;&gt;0,VLOOKUP(Envoltória!U37,Componentes!X:Z,3,FALSE),0),"")</f>
        <v>0</v>
      </c>
      <c r="X32" s="383" t="str">
        <f>Envoltória!X37</f>
        <v/>
      </c>
      <c r="Y32" s="383">
        <f>Envoltória!V37</f>
        <v>0</v>
      </c>
      <c r="Z32" s="383" t="str">
        <f>Envoltória!W37</f>
        <v/>
      </c>
      <c r="AA32" s="386">
        <f>Envoltória!T37/100</f>
        <v>0</v>
      </c>
      <c r="AB32" s="387"/>
      <c r="AC32" s="387"/>
      <c r="AD32" s="387"/>
      <c r="AE32" s="387"/>
      <c r="AF32" s="387"/>
      <c r="AG32" s="387"/>
      <c r="AH32" s="387"/>
      <c r="AI32" s="387"/>
      <c r="AJ32" s="387"/>
      <c r="AK32" s="387"/>
      <c r="AL32" s="387"/>
      <c r="AM32" s="387"/>
      <c r="AN32" s="387"/>
      <c r="AO32" s="387"/>
      <c r="AP32" s="383">
        <f>IF(BF32=0,90,Envoltória!S37)</f>
        <v>0</v>
      </c>
      <c r="AQ32" s="383">
        <f>IF(BF32=0,90,Envoltória!R37)</f>
        <v>0</v>
      </c>
      <c r="AR32" s="383" t="str">
        <f t="shared" si="4"/>
        <v/>
      </c>
      <c r="AS32" s="383" t="str">
        <f t="shared" si="4"/>
        <v/>
      </c>
      <c r="AT32" s="383" t="str">
        <f t="shared" si="4"/>
        <v/>
      </c>
      <c r="AU32" s="383" t="str">
        <f t="shared" si="4"/>
        <v/>
      </c>
      <c r="AV32" s="383" t="str">
        <f t="shared" si="4"/>
        <v/>
      </c>
      <c r="AW32" s="384" t="str">
        <f>IFERROR(VLOOKUP(Envoltória!$B37,Aux_Lista!$N$2:$T$7,AW$9,FALSE),"")</f>
        <v/>
      </c>
      <c r="AX32" s="384" t="str">
        <f>IFERROR(VLOOKUP(Envoltória!$B37,Aux_Lista!$N$2:$T$7,AX$9,FALSE),"")</f>
        <v/>
      </c>
      <c r="AY32" s="384" t="str">
        <f>IFERROR(VLOOKUP(Envoltória!$B37,Aux_Lista!$N$2:$T$7,AY$9,FALSE),"")</f>
        <v/>
      </c>
      <c r="AZ32" s="384" t="str">
        <f>IFERROR(VLOOKUP(Envoltória!$B37,Aux_Lista!$N$2:$T$7,AZ$9,FALSE),"")</f>
        <v/>
      </c>
      <c r="BA32" s="384" t="str">
        <f>IFERROR(VLOOKUP(Envoltória!$B37,Aux_Lista!$N$2:$T$7,BA$9,FALSE),"")</f>
        <v/>
      </c>
      <c r="BB32" s="384" t="str">
        <f>IFERROR(VLOOKUP(Envoltória!$B37,Aux_Lista!$N$2:$T$7,BB$9,FALSE),"")</f>
        <v/>
      </c>
      <c r="BC32" s="384" t="str">
        <f>IFERROR(VLOOKUP(Envoltória!$H37,Aux_Lista!$V$2:$X$3,BC$9,FALSE),"")</f>
        <v/>
      </c>
      <c r="BD32" s="384" t="str">
        <f>IFERROR(VLOOKUP(Envoltória!$H37,Aux_Lista!$V$2:$X$3,BD$9,FALSE),"")</f>
        <v/>
      </c>
      <c r="BE32" s="382">
        <f t="shared" si="2"/>
        <v>0</v>
      </c>
      <c r="BF32" s="382" t="str">
        <f>IFERROR(VLOOKUP(Envoltória!F37,CB3E_Envoltória!$BQ$18:$BR$19,2,FALSE),"")</f>
        <v/>
      </c>
      <c r="BG32" s="382" t="str">
        <f>IFERROR(VLOOKUP(Envoltória!$G37,$BQ$35:$BZ$43,BG$9,FALSE),"")</f>
        <v/>
      </c>
      <c r="BH32" s="382" t="str">
        <f>IFERROR(VLOOKUP(Envoltória!$G37,$BQ$35:$BZ$43,BH$9,FALSE),"")</f>
        <v/>
      </c>
      <c r="BI32" s="382" t="str">
        <f>IFERROR(VLOOKUP(Envoltória!$G37,$BQ$35:$BZ$43,BI$9,FALSE),"")</f>
        <v/>
      </c>
      <c r="BJ32" s="382" t="str">
        <f>IFERROR(VLOOKUP(Envoltória!$G37,$BQ$35:$BZ$43,BJ$9,FALSE),"")</f>
        <v/>
      </c>
      <c r="BK32" s="382" t="str">
        <f>IFERROR(VLOOKUP(Envoltória!$G37,$BQ$35:$BZ$43,BK$9,FALSE),"")</f>
        <v/>
      </c>
      <c r="BL32" s="382" t="str">
        <f>IFERROR(VLOOKUP(Envoltória!$G37,$BQ$35:$BZ$43,BL$9,FALSE),"")</f>
        <v/>
      </c>
      <c r="BM32" s="382" t="str">
        <f>IFERROR(VLOOKUP(Envoltória!$G37,$BQ$35:$BZ$43,BM$9,FALSE),"")</f>
        <v/>
      </c>
      <c r="BN32" s="382" t="str">
        <f>IFERROR(VLOOKUP(Envoltória!$G37,$BQ$35:$BZ$43,BN$9,FALSE),"")</f>
        <v/>
      </c>
      <c r="BO32" s="382" t="str">
        <f>IFERROR(VLOOKUP(Envoltória!$G37,$BQ$35:$BZ$43,BO$9,FALSE),"")</f>
        <v/>
      </c>
      <c r="BP32" s="1"/>
    </row>
    <row r="33" spans="1:79" s="32" customFormat="1" x14ac:dyDescent="0.25">
      <c r="A33" s="1">
        <v>23</v>
      </c>
      <c r="B33" s="370">
        <f>Envoltória!I38</f>
        <v>0</v>
      </c>
      <c r="C33" s="371">
        <f>Envoltória!B38</f>
        <v>0</v>
      </c>
      <c r="D33" s="371">
        <f>Envoltória!C38</f>
        <v>0</v>
      </c>
      <c r="E33" s="381">
        <f>Envoltória!D38</f>
        <v>0</v>
      </c>
      <c r="F33" s="382">
        <f>Envoltória!E38</f>
        <v>0</v>
      </c>
      <c r="G33" s="382">
        <f t="shared" si="1"/>
        <v>0</v>
      </c>
      <c r="H33" s="383">
        <f>Envoltória!O38/100</f>
        <v>0</v>
      </c>
      <c r="I33" s="383">
        <f>IF(BF33=1,Envoltória!Q38,90)</f>
        <v>90</v>
      </c>
      <c r="J33" s="384" t="str">
        <f>IFERROR(VLOOKUP(Envoltória!M38,Componentes!$P:$R,2,FALSE),"")</f>
        <v/>
      </c>
      <c r="K33" s="384" t="str">
        <f>IFERROR(VLOOKUP(Envoltória!M38,Componentes!$P:$R,3,FALSE),"")</f>
        <v/>
      </c>
      <c r="L33" s="383">
        <f>IF(ISERROR(VLOOKUP(Envoltória!L38,Componentes!K:N,2,FALSE)),0,VLOOKUP(Envoltória!L38,Componentes!K:N,2,FALSE))</f>
        <v>0</v>
      </c>
      <c r="M33" s="383">
        <f>IF(ISERROR(VLOOKUP(Envoltória!L38,Componentes!K:N,3,FALSE)),0,VLOOKUP(Envoltória!L38,Componentes!K:N,3,FALSE))</f>
        <v>0</v>
      </c>
      <c r="N33" s="385" t="str">
        <f>IFERROR(IF(BB33&lt;&gt;0,VLOOKUP(Envoltória!L38,Componentes!K:N,4,FALSE),0),"")</f>
        <v/>
      </c>
      <c r="O33" s="383">
        <f>IF(BF33=1,VLOOKUP(Envoltória!J38,Componentes!B:E,2,FALSE),-6)</f>
        <v>-6</v>
      </c>
      <c r="P33" s="383">
        <f>IF(BF33=1,VLOOKUP(Envoltória!J38,Componentes!B:E,3,FALSE),-400)</f>
        <v>-400</v>
      </c>
      <c r="Q33" s="383">
        <f>IF(BF33=1,VLOOKUP(Envoltória!J38,Componentes!B:E,4,FALSE),0)</f>
        <v>0</v>
      </c>
      <c r="R33" s="384" t="str">
        <f>IFERROR(VLOOKUP(Envoltória!K38,Componentes!G:I,2,FALSE),"")</f>
        <v/>
      </c>
      <c r="S33" s="384" t="str">
        <f>IFERROR(VLOOKUP(Envoltória!K38,Componentes!G:I,3,FALSE),"")</f>
        <v/>
      </c>
      <c r="T33" s="383">
        <f>IFERROR(IF(H33&lt;&gt;0,VLOOKUP(Envoltória!N38,Componentes!T:V,3,FALSE),0),"")</f>
        <v>0</v>
      </c>
      <c r="U33" s="383">
        <f>IFERROR(IF(H33&lt;&gt;0,VLOOKUP(Envoltória!N38,Componentes!T:V,2,FALSE),0),"")</f>
        <v>0</v>
      </c>
      <c r="V33" s="384">
        <f>IFERROR(IF(AA33&lt;&gt;0,VLOOKUP(Envoltória!U38,Componentes!X:Z,2,FALSE),0),"")</f>
        <v>0</v>
      </c>
      <c r="W33" s="384">
        <f>IFERROR(IF(AA33&lt;&gt;0,VLOOKUP(Envoltória!U38,Componentes!X:Z,3,FALSE),0),"")</f>
        <v>0</v>
      </c>
      <c r="X33" s="383" t="str">
        <f>Envoltória!X38</f>
        <v/>
      </c>
      <c r="Y33" s="383">
        <f>Envoltória!V38</f>
        <v>0</v>
      </c>
      <c r="Z33" s="383" t="str">
        <f>Envoltória!W38</f>
        <v/>
      </c>
      <c r="AA33" s="386">
        <f>Envoltória!T38/100</f>
        <v>0</v>
      </c>
      <c r="AB33" s="387"/>
      <c r="AC33" s="387"/>
      <c r="AD33" s="387"/>
      <c r="AE33" s="387"/>
      <c r="AF33" s="387"/>
      <c r="AG33" s="387"/>
      <c r="AH33" s="387"/>
      <c r="AI33" s="387"/>
      <c r="AJ33" s="387"/>
      <c r="AK33" s="387"/>
      <c r="AL33" s="387"/>
      <c r="AM33" s="387"/>
      <c r="AN33" s="387"/>
      <c r="AO33" s="387"/>
      <c r="AP33" s="383">
        <f>IF(BF33=0,90,Envoltória!S38)</f>
        <v>0</v>
      </c>
      <c r="AQ33" s="383">
        <f>IF(BF33=0,90,Envoltória!R38)</f>
        <v>0</v>
      </c>
      <c r="AR33" s="383" t="str">
        <f t="shared" si="4"/>
        <v/>
      </c>
      <c r="AS33" s="383" t="str">
        <f t="shared" si="4"/>
        <v/>
      </c>
      <c r="AT33" s="383" t="str">
        <f t="shared" si="4"/>
        <v/>
      </c>
      <c r="AU33" s="383" t="str">
        <f t="shared" si="4"/>
        <v/>
      </c>
      <c r="AV33" s="383" t="str">
        <f t="shared" si="4"/>
        <v/>
      </c>
      <c r="AW33" s="384" t="str">
        <f>IFERROR(VLOOKUP(Envoltória!$B38,Aux_Lista!$N$2:$T$7,AW$9,FALSE),"")</f>
        <v/>
      </c>
      <c r="AX33" s="384" t="str">
        <f>IFERROR(VLOOKUP(Envoltória!$B38,Aux_Lista!$N$2:$T$7,AX$9,FALSE),"")</f>
        <v/>
      </c>
      <c r="AY33" s="384" t="str">
        <f>IFERROR(VLOOKUP(Envoltória!$B38,Aux_Lista!$N$2:$T$7,AY$9,FALSE),"")</f>
        <v/>
      </c>
      <c r="AZ33" s="384" t="str">
        <f>IFERROR(VLOOKUP(Envoltória!$B38,Aux_Lista!$N$2:$T$7,AZ$9,FALSE),"")</f>
        <v/>
      </c>
      <c r="BA33" s="384" t="str">
        <f>IFERROR(VLOOKUP(Envoltória!$B38,Aux_Lista!$N$2:$T$7,BA$9,FALSE),"")</f>
        <v/>
      </c>
      <c r="BB33" s="384" t="str">
        <f>IFERROR(VLOOKUP(Envoltória!$B38,Aux_Lista!$N$2:$T$7,BB$9,FALSE),"")</f>
        <v/>
      </c>
      <c r="BC33" s="384" t="str">
        <f>IFERROR(VLOOKUP(Envoltória!$H38,Aux_Lista!$V$2:$X$3,BC$9,FALSE),"")</f>
        <v/>
      </c>
      <c r="BD33" s="384" t="str">
        <f>IFERROR(VLOOKUP(Envoltória!$H38,Aux_Lista!$V$2:$X$3,BD$9,FALSE),"")</f>
        <v/>
      </c>
      <c r="BE33" s="382">
        <f t="shared" si="2"/>
        <v>0</v>
      </c>
      <c r="BF33" s="382" t="str">
        <f>IFERROR(VLOOKUP(Envoltória!F38,CB3E_Envoltória!$BQ$18:$BR$19,2,FALSE),"")</f>
        <v/>
      </c>
      <c r="BG33" s="382" t="str">
        <f>IFERROR(VLOOKUP(Envoltória!$G38,$BQ$35:$BZ$43,BG$9,FALSE),"")</f>
        <v/>
      </c>
      <c r="BH33" s="382" t="str">
        <f>IFERROR(VLOOKUP(Envoltória!$G38,$BQ$35:$BZ$43,BH$9,FALSE),"")</f>
        <v/>
      </c>
      <c r="BI33" s="382" t="str">
        <f>IFERROR(VLOOKUP(Envoltória!$G38,$BQ$35:$BZ$43,BI$9,FALSE),"")</f>
        <v/>
      </c>
      <c r="BJ33" s="382" t="str">
        <f>IFERROR(VLOOKUP(Envoltória!$G38,$BQ$35:$BZ$43,BJ$9,FALSE),"")</f>
        <v/>
      </c>
      <c r="BK33" s="382" t="str">
        <f>IFERROR(VLOOKUP(Envoltória!$G38,$BQ$35:$BZ$43,BK$9,FALSE),"")</f>
        <v/>
      </c>
      <c r="BL33" s="382" t="str">
        <f>IFERROR(VLOOKUP(Envoltória!$G38,$BQ$35:$BZ$43,BL$9,FALSE),"")</f>
        <v/>
      </c>
      <c r="BM33" s="382" t="str">
        <f>IFERROR(VLOOKUP(Envoltória!$G38,$BQ$35:$BZ$43,BM$9,FALSE),"")</f>
        <v/>
      </c>
      <c r="BN33" s="382" t="str">
        <f>IFERROR(VLOOKUP(Envoltória!$G38,$BQ$35:$BZ$43,BN$9,FALSE),"")</f>
        <v/>
      </c>
      <c r="BO33" s="382" t="str">
        <f>IFERROR(VLOOKUP(Envoltória!$G38,$BQ$35:$BZ$43,BO$9,FALSE),"")</f>
        <v/>
      </c>
      <c r="BP33" s="1"/>
    </row>
    <row r="34" spans="1:79" s="32" customFormat="1" ht="30" x14ac:dyDescent="0.25">
      <c r="A34" s="1">
        <v>24</v>
      </c>
      <c r="B34" s="370">
        <f>Envoltória!I39</f>
        <v>0</v>
      </c>
      <c r="C34" s="371">
        <f>Envoltória!B39</f>
        <v>0</v>
      </c>
      <c r="D34" s="371">
        <f>Envoltória!C39</f>
        <v>0</v>
      </c>
      <c r="E34" s="381">
        <f>Envoltória!D39</f>
        <v>0</v>
      </c>
      <c r="F34" s="382">
        <f>Envoltória!E39</f>
        <v>0</v>
      </c>
      <c r="G34" s="382">
        <f t="shared" si="1"/>
        <v>0</v>
      </c>
      <c r="H34" s="383">
        <f>Envoltória!O39/100</f>
        <v>0</v>
      </c>
      <c r="I34" s="383">
        <f>IF(BF34=1,Envoltória!Q39,90)</f>
        <v>90</v>
      </c>
      <c r="J34" s="384" t="str">
        <f>IFERROR(VLOOKUP(Envoltória!M39,Componentes!$P:$R,2,FALSE),"")</f>
        <v/>
      </c>
      <c r="K34" s="384" t="str">
        <f>IFERROR(VLOOKUP(Envoltória!M39,Componentes!$P:$R,3,FALSE),"")</f>
        <v/>
      </c>
      <c r="L34" s="383">
        <f>IF(ISERROR(VLOOKUP(Envoltória!L39,Componentes!K:N,2,FALSE)),0,VLOOKUP(Envoltória!L39,Componentes!K:N,2,FALSE))</f>
        <v>0</v>
      </c>
      <c r="M34" s="383">
        <f>IF(ISERROR(VLOOKUP(Envoltória!L39,Componentes!K:N,3,FALSE)),0,VLOOKUP(Envoltória!L39,Componentes!K:N,3,FALSE))</f>
        <v>0</v>
      </c>
      <c r="N34" s="385" t="str">
        <f>IFERROR(IF(BB34&lt;&gt;0,VLOOKUP(Envoltória!L39,Componentes!K:N,4,FALSE),0),"")</f>
        <v/>
      </c>
      <c r="O34" s="383">
        <f>IF(BF34=1,VLOOKUP(Envoltória!J39,Componentes!B:E,2,FALSE),-6)</f>
        <v>-6</v>
      </c>
      <c r="P34" s="383">
        <f>IF(BF34=1,VLOOKUP(Envoltória!J39,Componentes!B:E,3,FALSE),-400)</f>
        <v>-400</v>
      </c>
      <c r="Q34" s="383">
        <f>IF(BF34=1,VLOOKUP(Envoltória!J39,Componentes!B:E,4,FALSE),0)</f>
        <v>0</v>
      </c>
      <c r="R34" s="384" t="str">
        <f>IFERROR(VLOOKUP(Envoltória!K39,Componentes!G:I,2,FALSE),"")</f>
        <v/>
      </c>
      <c r="S34" s="384" t="str">
        <f>IFERROR(VLOOKUP(Envoltória!K39,Componentes!G:I,3,FALSE),"")</f>
        <v/>
      </c>
      <c r="T34" s="383">
        <f>IFERROR(IF(H34&lt;&gt;0,VLOOKUP(Envoltória!N39,Componentes!T:V,3,FALSE),0),"")</f>
        <v>0</v>
      </c>
      <c r="U34" s="383">
        <f>IFERROR(IF(H34&lt;&gt;0,VLOOKUP(Envoltória!N39,Componentes!T:V,2,FALSE),0),"")</f>
        <v>0</v>
      </c>
      <c r="V34" s="384">
        <f>IFERROR(IF(AA34&lt;&gt;0,VLOOKUP(Envoltória!U39,Componentes!X:Z,2,FALSE),0),"")</f>
        <v>0</v>
      </c>
      <c r="W34" s="384">
        <f>IFERROR(IF(AA34&lt;&gt;0,VLOOKUP(Envoltória!U39,Componentes!X:Z,3,FALSE),0),"")</f>
        <v>0</v>
      </c>
      <c r="X34" s="383" t="str">
        <f>Envoltória!X39</f>
        <v/>
      </c>
      <c r="Y34" s="383">
        <f>Envoltória!V39</f>
        <v>0</v>
      </c>
      <c r="Z34" s="383" t="str">
        <f>Envoltória!W39</f>
        <v/>
      </c>
      <c r="AA34" s="386">
        <f>Envoltória!T39/100</f>
        <v>0</v>
      </c>
      <c r="AB34" s="387"/>
      <c r="AC34" s="387"/>
      <c r="AD34" s="387"/>
      <c r="AE34" s="387"/>
      <c r="AF34" s="387"/>
      <c r="AG34" s="387"/>
      <c r="AH34" s="387"/>
      <c r="AI34" s="387"/>
      <c r="AJ34" s="387"/>
      <c r="AK34" s="387"/>
      <c r="AL34" s="387"/>
      <c r="AM34" s="387"/>
      <c r="AN34" s="387"/>
      <c r="AO34" s="387"/>
      <c r="AP34" s="383">
        <f>IF(BF34=0,90,Envoltória!S39)</f>
        <v>0</v>
      </c>
      <c r="AQ34" s="383">
        <f>IF(BF34=0,90,Envoltória!R39)</f>
        <v>0</v>
      </c>
      <c r="AR34" s="383" t="str">
        <f t="shared" si="4"/>
        <v/>
      </c>
      <c r="AS34" s="383" t="str">
        <f t="shared" si="4"/>
        <v/>
      </c>
      <c r="AT34" s="383" t="str">
        <f t="shared" si="4"/>
        <v/>
      </c>
      <c r="AU34" s="383" t="str">
        <f t="shared" si="4"/>
        <v/>
      </c>
      <c r="AV34" s="383" t="str">
        <f t="shared" si="4"/>
        <v/>
      </c>
      <c r="AW34" s="384" t="str">
        <f>IFERROR(VLOOKUP(Envoltória!$B39,Aux_Lista!$N$2:$T$7,AW$9,FALSE),"")</f>
        <v/>
      </c>
      <c r="AX34" s="384" t="str">
        <f>IFERROR(VLOOKUP(Envoltória!$B39,Aux_Lista!$N$2:$T$7,AX$9,FALSE),"")</f>
        <v/>
      </c>
      <c r="AY34" s="384" t="str">
        <f>IFERROR(VLOOKUP(Envoltória!$B39,Aux_Lista!$N$2:$T$7,AY$9,FALSE),"")</f>
        <v/>
      </c>
      <c r="AZ34" s="384" t="str">
        <f>IFERROR(VLOOKUP(Envoltória!$B39,Aux_Lista!$N$2:$T$7,AZ$9,FALSE),"")</f>
        <v/>
      </c>
      <c r="BA34" s="384" t="str">
        <f>IFERROR(VLOOKUP(Envoltória!$B39,Aux_Lista!$N$2:$T$7,BA$9,FALSE),"")</f>
        <v/>
      </c>
      <c r="BB34" s="384" t="str">
        <f>IFERROR(VLOOKUP(Envoltória!$B39,Aux_Lista!$N$2:$T$7,BB$9,FALSE),"")</f>
        <v/>
      </c>
      <c r="BC34" s="384" t="str">
        <f>IFERROR(VLOOKUP(Envoltória!$H39,Aux_Lista!$V$2:$X$3,BC$9,FALSE),"")</f>
        <v/>
      </c>
      <c r="BD34" s="384" t="str">
        <f>IFERROR(VLOOKUP(Envoltória!$H39,Aux_Lista!$V$2:$X$3,BD$9,FALSE),"")</f>
        <v/>
      </c>
      <c r="BE34" s="382">
        <f t="shared" si="2"/>
        <v>0</v>
      </c>
      <c r="BF34" s="382" t="str">
        <f>IFERROR(VLOOKUP(Envoltória!F39,CB3E_Envoltória!$BQ$18:$BR$19,2,FALSE),"")</f>
        <v/>
      </c>
      <c r="BG34" s="382" t="str">
        <f>IFERROR(VLOOKUP(Envoltória!$G39,$BQ$35:$BZ$43,BG$9,FALSE),"")</f>
        <v/>
      </c>
      <c r="BH34" s="382" t="str">
        <f>IFERROR(VLOOKUP(Envoltória!$G39,$BQ$35:$BZ$43,BH$9,FALSE),"")</f>
        <v/>
      </c>
      <c r="BI34" s="382" t="str">
        <f>IFERROR(VLOOKUP(Envoltória!$G39,$BQ$35:$BZ$43,BI$9,FALSE),"")</f>
        <v/>
      </c>
      <c r="BJ34" s="382" t="str">
        <f>IFERROR(VLOOKUP(Envoltória!$G39,$BQ$35:$BZ$43,BJ$9,FALSE),"")</f>
        <v/>
      </c>
      <c r="BK34" s="382" t="str">
        <f>IFERROR(VLOOKUP(Envoltória!$G39,$BQ$35:$BZ$43,BK$9,FALSE),"")</f>
        <v/>
      </c>
      <c r="BL34" s="382" t="str">
        <f>IFERROR(VLOOKUP(Envoltória!$G39,$BQ$35:$BZ$43,BL$9,FALSE),"")</f>
        <v/>
      </c>
      <c r="BM34" s="382" t="str">
        <f>IFERROR(VLOOKUP(Envoltória!$G39,$BQ$35:$BZ$43,BM$9,FALSE),"")</f>
        <v/>
      </c>
      <c r="BN34" s="382" t="str">
        <f>IFERROR(VLOOKUP(Envoltória!$G39,$BQ$35:$BZ$43,BN$9,FALSE),"")</f>
        <v/>
      </c>
      <c r="BO34" s="382" t="str">
        <f>IFERROR(VLOOKUP(Envoltória!$G39,$BQ$35:$BZ$43,BO$9,FALSE),"")</f>
        <v/>
      </c>
      <c r="BP34" s="1"/>
      <c r="BQ34" s="28"/>
      <c r="BR34" s="368" t="s">
        <v>6170</v>
      </c>
      <c r="BS34" s="368" t="s">
        <v>6171</v>
      </c>
      <c r="BT34" s="368" t="s">
        <v>6172</v>
      </c>
      <c r="BU34" s="368" t="s">
        <v>6173</v>
      </c>
      <c r="BV34" s="368" t="s">
        <v>6174</v>
      </c>
      <c r="BW34" s="368" t="s">
        <v>6175</v>
      </c>
      <c r="BX34" s="368" t="s">
        <v>6176</v>
      </c>
      <c r="BY34" s="368" t="s">
        <v>6177</v>
      </c>
      <c r="BZ34" s="368" t="s">
        <v>6169</v>
      </c>
      <c r="CA34" s="28"/>
    </row>
    <row r="35" spans="1:79" s="32" customFormat="1" x14ac:dyDescent="0.25">
      <c r="A35" s="1">
        <v>25</v>
      </c>
      <c r="B35" s="370">
        <f>Envoltória!I40</f>
        <v>0</v>
      </c>
      <c r="C35" s="371">
        <f>Envoltória!B40</f>
        <v>0</v>
      </c>
      <c r="D35" s="371">
        <f>Envoltória!C40</f>
        <v>0</v>
      </c>
      <c r="E35" s="381">
        <f>Envoltória!D40</f>
        <v>0</v>
      </c>
      <c r="F35" s="382">
        <f>Envoltória!E40</f>
        <v>0</v>
      </c>
      <c r="G35" s="382">
        <f t="shared" si="1"/>
        <v>0</v>
      </c>
      <c r="H35" s="383">
        <f>Envoltória!O40/100</f>
        <v>0</v>
      </c>
      <c r="I35" s="383">
        <f>IF(BF35=1,Envoltória!Q40,90)</f>
        <v>90</v>
      </c>
      <c r="J35" s="384" t="str">
        <f>IFERROR(VLOOKUP(Envoltória!M40,Componentes!$P:$R,2,FALSE),"")</f>
        <v/>
      </c>
      <c r="K35" s="384" t="str">
        <f>IFERROR(VLOOKUP(Envoltória!M40,Componentes!$P:$R,3,FALSE),"")</f>
        <v/>
      </c>
      <c r="L35" s="383">
        <f>IF(ISERROR(VLOOKUP(Envoltória!L40,Componentes!K:N,2,FALSE)),0,VLOOKUP(Envoltória!L40,Componentes!K:N,2,FALSE))</f>
        <v>0</v>
      </c>
      <c r="M35" s="383">
        <f>IF(ISERROR(VLOOKUP(Envoltória!L40,Componentes!K:N,3,FALSE)),0,VLOOKUP(Envoltória!L40,Componentes!K:N,3,FALSE))</f>
        <v>0</v>
      </c>
      <c r="N35" s="385" t="str">
        <f>IFERROR(IF(BB35&lt;&gt;0,VLOOKUP(Envoltória!L40,Componentes!K:N,4,FALSE),0),"")</f>
        <v/>
      </c>
      <c r="O35" s="383">
        <f>IF(BF35=1,VLOOKUP(Envoltória!J40,Componentes!B:E,2,FALSE),-6)</f>
        <v>-6</v>
      </c>
      <c r="P35" s="383">
        <f>IF(BF35=1,VLOOKUP(Envoltória!J40,Componentes!B:E,3,FALSE),-400)</f>
        <v>-400</v>
      </c>
      <c r="Q35" s="383">
        <f>IF(BF35=1,VLOOKUP(Envoltória!J40,Componentes!B:E,4,FALSE),0)</f>
        <v>0</v>
      </c>
      <c r="R35" s="384" t="str">
        <f>IFERROR(VLOOKUP(Envoltória!K40,Componentes!G:I,2,FALSE),"")</f>
        <v/>
      </c>
      <c r="S35" s="384" t="str">
        <f>IFERROR(VLOOKUP(Envoltória!K40,Componentes!G:I,3,FALSE),"")</f>
        <v/>
      </c>
      <c r="T35" s="383">
        <f>IFERROR(IF(H35&lt;&gt;0,VLOOKUP(Envoltória!N40,Componentes!T:V,3,FALSE),0),"")</f>
        <v>0</v>
      </c>
      <c r="U35" s="383">
        <f>IFERROR(IF(H35&lt;&gt;0,VLOOKUP(Envoltória!N40,Componentes!T:V,2,FALSE),0),"")</f>
        <v>0</v>
      </c>
      <c r="V35" s="384">
        <f>IFERROR(IF(AA35&lt;&gt;0,VLOOKUP(Envoltória!U40,Componentes!X:Z,2,FALSE),0),"")</f>
        <v>0</v>
      </c>
      <c r="W35" s="384">
        <f>IFERROR(IF(AA35&lt;&gt;0,VLOOKUP(Envoltória!U40,Componentes!X:Z,3,FALSE),0),"")</f>
        <v>0</v>
      </c>
      <c r="X35" s="383" t="str">
        <f>Envoltória!X40</f>
        <v/>
      </c>
      <c r="Y35" s="383">
        <f>Envoltória!V40</f>
        <v>0</v>
      </c>
      <c r="Z35" s="383" t="str">
        <f>Envoltória!W40</f>
        <v/>
      </c>
      <c r="AA35" s="386">
        <f>Envoltória!T40/100</f>
        <v>0</v>
      </c>
      <c r="AB35" s="387"/>
      <c r="AC35" s="387"/>
      <c r="AD35" s="387"/>
      <c r="AE35" s="387"/>
      <c r="AF35" s="387"/>
      <c r="AG35" s="387"/>
      <c r="AH35" s="387"/>
      <c r="AI35" s="387"/>
      <c r="AJ35" s="387"/>
      <c r="AK35" s="387"/>
      <c r="AL35" s="387"/>
      <c r="AM35" s="387"/>
      <c r="AN35" s="387"/>
      <c r="AO35" s="387"/>
      <c r="AP35" s="383">
        <f>IF(BF35=0,90,Envoltória!S40)</f>
        <v>0</v>
      </c>
      <c r="AQ35" s="383">
        <f>IF(BF35=0,90,Envoltória!R40)</f>
        <v>0</v>
      </c>
      <c r="AR35" s="383" t="str">
        <f t="shared" si="4"/>
        <v/>
      </c>
      <c r="AS35" s="383" t="str">
        <f t="shared" si="4"/>
        <v/>
      </c>
      <c r="AT35" s="383" t="str">
        <f t="shared" si="4"/>
        <v/>
      </c>
      <c r="AU35" s="383" t="str">
        <f t="shared" si="4"/>
        <v/>
      </c>
      <c r="AV35" s="383" t="str">
        <f t="shared" si="4"/>
        <v/>
      </c>
      <c r="AW35" s="384" t="str">
        <f>IFERROR(VLOOKUP(Envoltória!$B40,Aux_Lista!$N$2:$T$7,AW$9,FALSE),"")</f>
        <v/>
      </c>
      <c r="AX35" s="384" t="str">
        <f>IFERROR(VLOOKUP(Envoltória!$B40,Aux_Lista!$N$2:$T$7,AX$9,FALSE),"")</f>
        <v/>
      </c>
      <c r="AY35" s="384" t="str">
        <f>IFERROR(VLOOKUP(Envoltória!$B40,Aux_Lista!$N$2:$T$7,AY$9,FALSE),"")</f>
        <v/>
      </c>
      <c r="AZ35" s="384" t="str">
        <f>IFERROR(VLOOKUP(Envoltória!$B40,Aux_Lista!$N$2:$T$7,AZ$9,FALSE),"")</f>
        <v/>
      </c>
      <c r="BA35" s="384" t="str">
        <f>IFERROR(VLOOKUP(Envoltória!$B40,Aux_Lista!$N$2:$T$7,BA$9,FALSE),"")</f>
        <v/>
      </c>
      <c r="BB35" s="384" t="str">
        <f>IFERROR(VLOOKUP(Envoltória!$B40,Aux_Lista!$N$2:$T$7,BB$9,FALSE),"")</f>
        <v/>
      </c>
      <c r="BC35" s="384" t="str">
        <f>IFERROR(VLOOKUP(Envoltória!$H40,Aux_Lista!$V$2:$X$3,BC$9,FALSE),"")</f>
        <v/>
      </c>
      <c r="BD35" s="384" t="str">
        <f>IFERROR(VLOOKUP(Envoltória!$H40,Aux_Lista!$V$2:$X$3,BD$9,FALSE),"")</f>
        <v/>
      </c>
      <c r="BE35" s="382">
        <f t="shared" si="2"/>
        <v>0</v>
      </c>
      <c r="BF35" s="382" t="str">
        <f>IFERROR(VLOOKUP(Envoltória!F40,CB3E_Envoltória!$BQ$18:$BR$19,2,FALSE),"")</f>
        <v/>
      </c>
      <c r="BG35" s="382" t="str">
        <f>IFERROR(VLOOKUP(Envoltória!$G40,$BQ$35:$BZ$43,BG$9,FALSE),"")</f>
        <v/>
      </c>
      <c r="BH35" s="382" t="str">
        <f>IFERROR(VLOOKUP(Envoltória!$G40,$BQ$35:$BZ$43,BH$9,FALSE),"")</f>
        <v/>
      </c>
      <c r="BI35" s="382" t="str">
        <f>IFERROR(VLOOKUP(Envoltória!$G40,$BQ$35:$BZ$43,BI$9,FALSE),"")</f>
        <v/>
      </c>
      <c r="BJ35" s="382" t="str">
        <f>IFERROR(VLOOKUP(Envoltória!$G40,$BQ$35:$BZ$43,BJ$9,FALSE),"")</f>
        <v/>
      </c>
      <c r="BK35" s="382" t="str">
        <f>IFERROR(VLOOKUP(Envoltória!$G40,$BQ$35:$BZ$43,BK$9,FALSE),"")</f>
        <v/>
      </c>
      <c r="BL35" s="382" t="str">
        <f>IFERROR(VLOOKUP(Envoltória!$G40,$BQ$35:$BZ$43,BL$9,FALSE),"")</f>
        <v/>
      </c>
      <c r="BM35" s="382" t="str">
        <f>IFERROR(VLOOKUP(Envoltória!$G40,$BQ$35:$BZ$43,BM$9,FALSE),"")</f>
        <v/>
      </c>
      <c r="BN35" s="382" t="str">
        <f>IFERROR(VLOOKUP(Envoltória!$G40,$BQ$35:$BZ$43,BN$9,FALSE),"")</f>
        <v/>
      </c>
      <c r="BO35" s="382" t="str">
        <f>IFERROR(VLOOKUP(Envoltória!$G40,$BQ$35:$BZ$43,BO$9,FALSE),"")</f>
        <v/>
      </c>
      <c r="BP35" s="1"/>
      <c r="BQ35" s="378" t="s">
        <v>51</v>
      </c>
      <c r="BR35" s="7">
        <v>1</v>
      </c>
      <c r="BS35" s="7">
        <v>0</v>
      </c>
      <c r="BT35" s="7">
        <v>0</v>
      </c>
      <c r="BU35" s="7">
        <v>0</v>
      </c>
      <c r="BV35" s="7">
        <v>0</v>
      </c>
      <c r="BW35" s="7">
        <v>0</v>
      </c>
      <c r="BX35" s="7">
        <v>0</v>
      </c>
      <c r="BY35" s="7">
        <v>0</v>
      </c>
      <c r="BZ35" s="7">
        <v>0</v>
      </c>
      <c r="CA35" s="28">
        <f t="shared" ref="CA35:CA43" si="5">SUM(BR35:BZ35)</f>
        <v>1</v>
      </c>
    </row>
    <row r="36" spans="1:79" s="32" customFormat="1" x14ac:dyDescent="0.25">
      <c r="A36" s="1">
        <v>26</v>
      </c>
      <c r="B36" s="370">
        <f>Envoltória!I41</f>
        <v>0</v>
      </c>
      <c r="C36" s="371">
        <f>Envoltória!B41</f>
        <v>0</v>
      </c>
      <c r="D36" s="371">
        <f>Envoltória!C41</f>
        <v>0</v>
      </c>
      <c r="E36" s="381">
        <f>Envoltória!D41</f>
        <v>0</v>
      </c>
      <c r="F36" s="382">
        <f>Envoltória!E41</f>
        <v>0</v>
      </c>
      <c r="G36" s="382">
        <f t="shared" si="1"/>
        <v>0</v>
      </c>
      <c r="H36" s="383">
        <f>Envoltória!O41/100</f>
        <v>0</v>
      </c>
      <c r="I36" s="383">
        <f>IF(BF36=1,Envoltória!Q41,90)</f>
        <v>90</v>
      </c>
      <c r="J36" s="384" t="str">
        <f>IFERROR(VLOOKUP(Envoltória!M41,Componentes!$P:$R,2,FALSE),"")</f>
        <v/>
      </c>
      <c r="K36" s="384" t="str">
        <f>IFERROR(VLOOKUP(Envoltória!M41,Componentes!$P:$R,3,FALSE),"")</f>
        <v/>
      </c>
      <c r="L36" s="383">
        <f>IF(ISERROR(VLOOKUP(Envoltória!L41,Componentes!K:N,2,FALSE)),0,VLOOKUP(Envoltória!L41,Componentes!K:N,2,FALSE))</f>
        <v>0</v>
      </c>
      <c r="M36" s="383">
        <f>IF(ISERROR(VLOOKUP(Envoltória!L41,Componentes!K:N,3,FALSE)),0,VLOOKUP(Envoltória!L41,Componentes!K:N,3,FALSE))</f>
        <v>0</v>
      </c>
      <c r="N36" s="385" t="str">
        <f>IFERROR(IF(BB36&lt;&gt;0,VLOOKUP(Envoltória!L41,Componentes!K:N,4,FALSE),0),"")</f>
        <v/>
      </c>
      <c r="O36" s="383">
        <f>IF(BF36=1,VLOOKUP(Envoltória!J41,Componentes!B:E,2,FALSE),-6)</f>
        <v>-6</v>
      </c>
      <c r="P36" s="383">
        <f>IF(BF36=1,VLOOKUP(Envoltória!J41,Componentes!B:E,3,FALSE),-400)</f>
        <v>-400</v>
      </c>
      <c r="Q36" s="383">
        <f>IF(BF36=1,VLOOKUP(Envoltória!J41,Componentes!B:E,4,FALSE),0)</f>
        <v>0</v>
      </c>
      <c r="R36" s="384" t="str">
        <f>IFERROR(VLOOKUP(Envoltória!K41,Componentes!G:I,2,FALSE),"")</f>
        <v/>
      </c>
      <c r="S36" s="384" t="str">
        <f>IFERROR(VLOOKUP(Envoltória!K41,Componentes!G:I,3,FALSE),"")</f>
        <v/>
      </c>
      <c r="T36" s="383">
        <f>IFERROR(IF(H36&lt;&gt;0,VLOOKUP(Envoltória!N41,Componentes!T:V,3,FALSE),0),"")</f>
        <v>0</v>
      </c>
      <c r="U36" s="383">
        <f>IFERROR(IF(H36&lt;&gt;0,VLOOKUP(Envoltória!N41,Componentes!T:V,2,FALSE),0),"")</f>
        <v>0</v>
      </c>
      <c r="V36" s="384">
        <f>IFERROR(IF(AA36&lt;&gt;0,VLOOKUP(Envoltória!U41,Componentes!X:Z,2,FALSE),0),"")</f>
        <v>0</v>
      </c>
      <c r="W36" s="384">
        <f>IFERROR(IF(AA36&lt;&gt;0,VLOOKUP(Envoltória!U41,Componentes!X:Z,3,FALSE),0),"")</f>
        <v>0</v>
      </c>
      <c r="X36" s="383" t="str">
        <f>Envoltória!X41</f>
        <v/>
      </c>
      <c r="Y36" s="383">
        <f>Envoltória!V41</f>
        <v>0</v>
      </c>
      <c r="Z36" s="383" t="str">
        <f>Envoltória!W41</f>
        <v/>
      </c>
      <c r="AA36" s="386">
        <f>Envoltória!T41/100</f>
        <v>0</v>
      </c>
      <c r="AB36" s="387"/>
      <c r="AC36" s="387"/>
      <c r="AD36" s="387"/>
      <c r="AE36" s="387"/>
      <c r="AF36" s="387"/>
      <c r="AG36" s="387"/>
      <c r="AH36" s="387"/>
      <c r="AI36" s="387"/>
      <c r="AJ36" s="387"/>
      <c r="AK36" s="387"/>
      <c r="AL36" s="387"/>
      <c r="AM36" s="387"/>
      <c r="AN36" s="387"/>
      <c r="AO36" s="387"/>
      <c r="AP36" s="383">
        <f>IF(BF36=0,90,Envoltória!S41)</f>
        <v>0</v>
      </c>
      <c r="AQ36" s="383">
        <f>IF(BF36=0,90,Envoltória!R41)</f>
        <v>0</v>
      </c>
      <c r="AR36" s="383" t="str">
        <f t="shared" si="4"/>
        <v/>
      </c>
      <c r="AS36" s="383" t="str">
        <f t="shared" si="4"/>
        <v/>
      </c>
      <c r="AT36" s="383" t="str">
        <f t="shared" si="4"/>
        <v/>
      </c>
      <c r="AU36" s="383" t="str">
        <f t="shared" si="4"/>
        <v/>
      </c>
      <c r="AV36" s="383" t="str">
        <f t="shared" si="4"/>
        <v/>
      </c>
      <c r="AW36" s="384" t="str">
        <f>IFERROR(VLOOKUP(Envoltória!$B41,Aux_Lista!$N$2:$T$7,AW$9,FALSE),"")</f>
        <v/>
      </c>
      <c r="AX36" s="384" t="str">
        <f>IFERROR(VLOOKUP(Envoltória!$B41,Aux_Lista!$N$2:$T$7,AX$9,FALSE),"")</f>
        <v/>
      </c>
      <c r="AY36" s="384" t="str">
        <f>IFERROR(VLOOKUP(Envoltória!$B41,Aux_Lista!$N$2:$T$7,AY$9,FALSE),"")</f>
        <v/>
      </c>
      <c r="AZ36" s="384" t="str">
        <f>IFERROR(VLOOKUP(Envoltória!$B41,Aux_Lista!$N$2:$T$7,AZ$9,FALSE),"")</f>
        <v/>
      </c>
      <c r="BA36" s="384" t="str">
        <f>IFERROR(VLOOKUP(Envoltória!$B41,Aux_Lista!$N$2:$T$7,BA$9,FALSE),"")</f>
        <v/>
      </c>
      <c r="BB36" s="384" t="str">
        <f>IFERROR(VLOOKUP(Envoltória!$B41,Aux_Lista!$N$2:$T$7,BB$9,FALSE),"")</f>
        <v/>
      </c>
      <c r="BC36" s="384" t="str">
        <f>IFERROR(VLOOKUP(Envoltória!$H41,Aux_Lista!$V$2:$X$3,BC$9,FALSE),"")</f>
        <v/>
      </c>
      <c r="BD36" s="384" t="str">
        <f>IFERROR(VLOOKUP(Envoltória!$H41,Aux_Lista!$V$2:$X$3,BD$9,FALSE),"")</f>
        <v/>
      </c>
      <c r="BE36" s="382">
        <f t="shared" si="2"/>
        <v>0</v>
      </c>
      <c r="BF36" s="382" t="str">
        <f>IFERROR(VLOOKUP(Envoltória!F41,CB3E_Envoltória!$BQ$18:$BR$19,2,FALSE),"")</f>
        <v/>
      </c>
      <c r="BG36" s="382" t="str">
        <f>IFERROR(VLOOKUP(Envoltória!$G41,$BQ$35:$BZ$43,BG$9,FALSE),"")</f>
        <v/>
      </c>
      <c r="BH36" s="382" t="str">
        <f>IFERROR(VLOOKUP(Envoltória!$G41,$BQ$35:$BZ$43,BH$9,FALSE),"")</f>
        <v/>
      </c>
      <c r="BI36" s="382" t="str">
        <f>IFERROR(VLOOKUP(Envoltória!$G41,$BQ$35:$BZ$43,BI$9,FALSE),"")</f>
        <v/>
      </c>
      <c r="BJ36" s="382" t="str">
        <f>IFERROR(VLOOKUP(Envoltória!$G41,$BQ$35:$BZ$43,BJ$9,FALSE),"")</f>
        <v/>
      </c>
      <c r="BK36" s="382" t="str">
        <f>IFERROR(VLOOKUP(Envoltória!$G41,$BQ$35:$BZ$43,BK$9,FALSE),"")</f>
        <v/>
      </c>
      <c r="BL36" s="382" t="str">
        <f>IFERROR(VLOOKUP(Envoltória!$G41,$BQ$35:$BZ$43,BL$9,FALSE),"")</f>
        <v/>
      </c>
      <c r="BM36" s="382" t="str">
        <f>IFERROR(VLOOKUP(Envoltória!$G41,$BQ$35:$BZ$43,BM$9,FALSE),"")</f>
        <v/>
      </c>
      <c r="BN36" s="382" t="str">
        <f>IFERROR(VLOOKUP(Envoltória!$G41,$BQ$35:$BZ$43,BN$9,FALSE),"")</f>
        <v/>
      </c>
      <c r="BO36" s="382" t="str">
        <f>IFERROR(VLOOKUP(Envoltória!$G41,$BQ$35:$BZ$43,BO$9,FALSE),"")</f>
        <v/>
      </c>
      <c r="BP36" s="1"/>
      <c r="BQ36" s="378" t="s">
        <v>52</v>
      </c>
      <c r="BR36" s="7">
        <v>0</v>
      </c>
      <c r="BS36" s="7">
        <v>1</v>
      </c>
      <c r="BT36" s="7">
        <v>0</v>
      </c>
      <c r="BU36" s="7">
        <v>0</v>
      </c>
      <c r="BV36" s="7">
        <v>0</v>
      </c>
      <c r="BW36" s="7">
        <v>0</v>
      </c>
      <c r="BX36" s="7">
        <v>0</v>
      </c>
      <c r="BY36" s="7">
        <v>0</v>
      </c>
      <c r="BZ36" s="7">
        <v>0</v>
      </c>
      <c r="CA36" s="28">
        <f t="shared" si="5"/>
        <v>1</v>
      </c>
    </row>
    <row r="37" spans="1:79" s="32" customFormat="1" x14ac:dyDescent="0.25">
      <c r="A37" s="1">
        <v>27</v>
      </c>
      <c r="B37" s="370">
        <f>Envoltória!I42</f>
        <v>0</v>
      </c>
      <c r="C37" s="371">
        <f>Envoltória!B42</f>
        <v>0</v>
      </c>
      <c r="D37" s="371">
        <f>Envoltória!C42</f>
        <v>0</v>
      </c>
      <c r="E37" s="381">
        <f>Envoltória!D42</f>
        <v>0</v>
      </c>
      <c r="F37" s="382">
        <f>Envoltória!E42</f>
        <v>0</v>
      </c>
      <c r="G37" s="382">
        <f t="shared" si="1"/>
        <v>0</v>
      </c>
      <c r="H37" s="383">
        <f>Envoltória!O42/100</f>
        <v>0</v>
      </c>
      <c r="I37" s="383">
        <f>IF(BF37=1,Envoltória!Q42,90)</f>
        <v>90</v>
      </c>
      <c r="J37" s="384" t="str">
        <f>IFERROR(VLOOKUP(Envoltória!M42,Componentes!$P:$R,2,FALSE),"")</f>
        <v/>
      </c>
      <c r="K37" s="384" t="str">
        <f>IFERROR(VLOOKUP(Envoltória!M42,Componentes!$P:$R,3,FALSE),"")</f>
        <v/>
      </c>
      <c r="L37" s="383">
        <f>IF(ISERROR(VLOOKUP(Envoltória!L42,Componentes!K:N,2,FALSE)),0,VLOOKUP(Envoltória!L42,Componentes!K:N,2,FALSE))</f>
        <v>0</v>
      </c>
      <c r="M37" s="383">
        <f>IF(ISERROR(VLOOKUP(Envoltória!L42,Componentes!K:N,3,FALSE)),0,VLOOKUP(Envoltória!L42,Componentes!K:N,3,FALSE))</f>
        <v>0</v>
      </c>
      <c r="N37" s="385" t="str">
        <f>IFERROR(IF(BB37&lt;&gt;0,VLOOKUP(Envoltória!L42,Componentes!K:N,4,FALSE),0),"")</f>
        <v/>
      </c>
      <c r="O37" s="383">
        <f>IF(BF37=1,VLOOKUP(Envoltória!J42,Componentes!B:E,2,FALSE),-6)</f>
        <v>-6</v>
      </c>
      <c r="P37" s="383">
        <f>IF(BF37=1,VLOOKUP(Envoltória!J42,Componentes!B:E,3,FALSE),-400)</f>
        <v>-400</v>
      </c>
      <c r="Q37" s="383">
        <f>IF(BF37=1,VLOOKUP(Envoltória!J42,Componentes!B:E,4,FALSE),0)</f>
        <v>0</v>
      </c>
      <c r="R37" s="384" t="str">
        <f>IFERROR(VLOOKUP(Envoltória!K42,Componentes!G:I,2,FALSE),"")</f>
        <v/>
      </c>
      <c r="S37" s="384" t="str">
        <f>IFERROR(VLOOKUP(Envoltória!K42,Componentes!G:I,3,FALSE),"")</f>
        <v/>
      </c>
      <c r="T37" s="383">
        <f>IFERROR(IF(H37&lt;&gt;0,VLOOKUP(Envoltória!N42,Componentes!T:V,3,FALSE),0),"")</f>
        <v>0</v>
      </c>
      <c r="U37" s="383">
        <f>IFERROR(IF(H37&lt;&gt;0,VLOOKUP(Envoltória!N42,Componentes!T:V,2,FALSE),0),"")</f>
        <v>0</v>
      </c>
      <c r="V37" s="384">
        <f>IFERROR(IF(AA37&lt;&gt;0,VLOOKUP(Envoltória!U42,Componentes!X:Z,2,FALSE),0),"")</f>
        <v>0</v>
      </c>
      <c r="W37" s="384">
        <f>IFERROR(IF(AA37&lt;&gt;0,VLOOKUP(Envoltória!U42,Componentes!X:Z,3,FALSE),0),"")</f>
        <v>0</v>
      </c>
      <c r="X37" s="383" t="str">
        <f>Envoltória!X42</f>
        <v/>
      </c>
      <c r="Y37" s="383">
        <f>Envoltória!V42</f>
        <v>0</v>
      </c>
      <c r="Z37" s="383" t="str">
        <f>Envoltória!W42</f>
        <v/>
      </c>
      <c r="AA37" s="386">
        <f>Envoltória!T42/100</f>
        <v>0</v>
      </c>
      <c r="AB37" s="387"/>
      <c r="AC37" s="387"/>
      <c r="AD37" s="387"/>
      <c r="AE37" s="387"/>
      <c r="AF37" s="387"/>
      <c r="AG37" s="387"/>
      <c r="AH37" s="387"/>
      <c r="AI37" s="387"/>
      <c r="AJ37" s="387"/>
      <c r="AK37" s="387"/>
      <c r="AL37" s="387"/>
      <c r="AM37" s="387"/>
      <c r="AN37" s="387"/>
      <c r="AO37" s="387"/>
      <c r="AP37" s="383">
        <f>IF(BF37=0,90,Envoltória!S42)</f>
        <v>0</v>
      </c>
      <c r="AQ37" s="383">
        <f>IF(BF37=0,90,Envoltória!R42)</f>
        <v>0</v>
      </c>
      <c r="AR37" s="383" t="str">
        <f t="shared" si="4"/>
        <v/>
      </c>
      <c r="AS37" s="383" t="str">
        <f t="shared" si="4"/>
        <v/>
      </c>
      <c r="AT37" s="383" t="str">
        <f t="shared" si="4"/>
        <v/>
      </c>
      <c r="AU37" s="383" t="str">
        <f t="shared" si="4"/>
        <v/>
      </c>
      <c r="AV37" s="383" t="str">
        <f t="shared" si="4"/>
        <v/>
      </c>
      <c r="AW37" s="384" t="str">
        <f>IFERROR(VLOOKUP(Envoltória!$B42,Aux_Lista!$N$2:$T$7,AW$9,FALSE),"")</f>
        <v/>
      </c>
      <c r="AX37" s="384" t="str">
        <f>IFERROR(VLOOKUP(Envoltória!$B42,Aux_Lista!$N$2:$T$7,AX$9,FALSE),"")</f>
        <v/>
      </c>
      <c r="AY37" s="384" t="str">
        <f>IFERROR(VLOOKUP(Envoltória!$B42,Aux_Lista!$N$2:$T$7,AY$9,FALSE),"")</f>
        <v/>
      </c>
      <c r="AZ37" s="384" t="str">
        <f>IFERROR(VLOOKUP(Envoltória!$B42,Aux_Lista!$N$2:$T$7,AZ$9,FALSE),"")</f>
        <v/>
      </c>
      <c r="BA37" s="384" t="str">
        <f>IFERROR(VLOOKUP(Envoltória!$B42,Aux_Lista!$N$2:$T$7,BA$9,FALSE),"")</f>
        <v/>
      </c>
      <c r="BB37" s="384" t="str">
        <f>IFERROR(VLOOKUP(Envoltória!$B42,Aux_Lista!$N$2:$T$7,BB$9,FALSE),"")</f>
        <v/>
      </c>
      <c r="BC37" s="384" t="str">
        <f>IFERROR(VLOOKUP(Envoltória!$H42,Aux_Lista!$V$2:$X$3,BC$9,FALSE),"")</f>
        <v/>
      </c>
      <c r="BD37" s="384" t="str">
        <f>IFERROR(VLOOKUP(Envoltória!$H42,Aux_Lista!$V$2:$X$3,BD$9,FALSE),"")</f>
        <v/>
      </c>
      <c r="BE37" s="382">
        <f t="shared" si="2"/>
        <v>0</v>
      </c>
      <c r="BF37" s="382" t="str">
        <f>IFERROR(VLOOKUP(Envoltória!F42,CB3E_Envoltória!$BQ$18:$BR$19,2,FALSE),"")</f>
        <v/>
      </c>
      <c r="BG37" s="382" t="str">
        <f>IFERROR(VLOOKUP(Envoltória!$G42,$BQ$35:$BZ$43,BG$9,FALSE),"")</f>
        <v/>
      </c>
      <c r="BH37" s="382" t="str">
        <f>IFERROR(VLOOKUP(Envoltória!$G42,$BQ$35:$BZ$43,BH$9,FALSE),"")</f>
        <v/>
      </c>
      <c r="BI37" s="382" t="str">
        <f>IFERROR(VLOOKUP(Envoltória!$G42,$BQ$35:$BZ$43,BI$9,FALSE),"")</f>
        <v/>
      </c>
      <c r="BJ37" s="382" t="str">
        <f>IFERROR(VLOOKUP(Envoltória!$G42,$BQ$35:$BZ$43,BJ$9,FALSE),"")</f>
        <v/>
      </c>
      <c r="BK37" s="382" t="str">
        <f>IFERROR(VLOOKUP(Envoltória!$G42,$BQ$35:$BZ$43,BK$9,FALSE),"")</f>
        <v/>
      </c>
      <c r="BL37" s="382" t="str">
        <f>IFERROR(VLOOKUP(Envoltória!$G42,$BQ$35:$BZ$43,BL$9,FALSE),"")</f>
        <v/>
      </c>
      <c r="BM37" s="382" t="str">
        <f>IFERROR(VLOOKUP(Envoltória!$G42,$BQ$35:$BZ$43,BM$9,FALSE),"")</f>
        <v/>
      </c>
      <c r="BN37" s="382" t="str">
        <f>IFERROR(VLOOKUP(Envoltória!$G42,$BQ$35:$BZ$43,BN$9,FALSE),"")</f>
        <v/>
      </c>
      <c r="BO37" s="382" t="str">
        <f>IFERROR(VLOOKUP(Envoltória!$G42,$BQ$35:$BZ$43,BO$9,FALSE),"")</f>
        <v/>
      </c>
      <c r="BP37" s="1"/>
      <c r="BQ37" s="378" t="s">
        <v>53</v>
      </c>
      <c r="BR37" s="7">
        <v>0</v>
      </c>
      <c r="BS37" s="7">
        <v>0</v>
      </c>
      <c r="BT37" s="7">
        <v>0</v>
      </c>
      <c r="BU37" s="7">
        <v>0</v>
      </c>
      <c r="BV37" s="7">
        <v>0</v>
      </c>
      <c r="BW37" s="7">
        <v>0</v>
      </c>
      <c r="BX37" s="7">
        <v>0</v>
      </c>
      <c r="BY37" s="7">
        <v>1</v>
      </c>
      <c r="BZ37" s="7">
        <v>0</v>
      </c>
      <c r="CA37" s="28">
        <f t="shared" si="5"/>
        <v>1</v>
      </c>
    </row>
    <row r="38" spans="1:79" s="32" customFormat="1" x14ac:dyDescent="0.25">
      <c r="A38" s="1">
        <v>28</v>
      </c>
      <c r="B38" s="370">
        <f>Envoltória!I43</f>
        <v>0</v>
      </c>
      <c r="C38" s="371">
        <f>Envoltória!B43</f>
        <v>0</v>
      </c>
      <c r="D38" s="371">
        <f>Envoltória!C43</f>
        <v>0</v>
      </c>
      <c r="E38" s="381">
        <f>Envoltória!D43</f>
        <v>0</v>
      </c>
      <c r="F38" s="382">
        <f>Envoltória!E43</f>
        <v>0</v>
      </c>
      <c r="G38" s="382">
        <f t="shared" si="1"/>
        <v>0</v>
      </c>
      <c r="H38" s="383">
        <f>Envoltória!O43/100</f>
        <v>0</v>
      </c>
      <c r="I38" s="383">
        <f>IF(BF38=1,Envoltória!Q43,90)</f>
        <v>90</v>
      </c>
      <c r="J38" s="384" t="str">
        <f>IFERROR(VLOOKUP(Envoltória!M43,Componentes!$P:$R,2,FALSE),"")</f>
        <v/>
      </c>
      <c r="K38" s="384" t="str">
        <f>IFERROR(VLOOKUP(Envoltória!M43,Componentes!$P:$R,3,FALSE),"")</f>
        <v/>
      </c>
      <c r="L38" s="383">
        <f>IF(ISERROR(VLOOKUP(Envoltória!L43,Componentes!K:N,2,FALSE)),0,VLOOKUP(Envoltória!L43,Componentes!K:N,2,FALSE))</f>
        <v>0</v>
      </c>
      <c r="M38" s="383">
        <f>IF(ISERROR(VLOOKUP(Envoltória!L43,Componentes!K:N,3,FALSE)),0,VLOOKUP(Envoltória!L43,Componentes!K:N,3,FALSE))</f>
        <v>0</v>
      </c>
      <c r="N38" s="385" t="str">
        <f>IFERROR(IF(BB38&lt;&gt;0,VLOOKUP(Envoltória!L43,Componentes!K:N,4,FALSE),0),"")</f>
        <v/>
      </c>
      <c r="O38" s="383">
        <f>IF(BF38=1,VLOOKUP(Envoltória!J43,Componentes!B:E,2,FALSE),-6)</f>
        <v>-6</v>
      </c>
      <c r="P38" s="383">
        <f>IF(BF38=1,VLOOKUP(Envoltória!J43,Componentes!B:E,3,FALSE),-400)</f>
        <v>-400</v>
      </c>
      <c r="Q38" s="383">
        <f>IF(BF38=1,VLOOKUP(Envoltória!J43,Componentes!B:E,4,FALSE),0)</f>
        <v>0</v>
      </c>
      <c r="R38" s="384" t="str">
        <f>IFERROR(VLOOKUP(Envoltória!K43,Componentes!G:I,2,FALSE),"")</f>
        <v/>
      </c>
      <c r="S38" s="384" t="str">
        <f>IFERROR(VLOOKUP(Envoltória!K43,Componentes!G:I,3,FALSE),"")</f>
        <v/>
      </c>
      <c r="T38" s="383">
        <f>IFERROR(IF(H38&lt;&gt;0,VLOOKUP(Envoltória!N43,Componentes!T:V,3,FALSE),0),"")</f>
        <v>0</v>
      </c>
      <c r="U38" s="383">
        <f>IFERROR(IF(H38&lt;&gt;0,VLOOKUP(Envoltória!N43,Componentes!T:V,2,FALSE),0),"")</f>
        <v>0</v>
      </c>
      <c r="V38" s="384">
        <f>IFERROR(IF(AA38&lt;&gt;0,VLOOKUP(Envoltória!U43,Componentes!X:Z,2,FALSE),0),"")</f>
        <v>0</v>
      </c>
      <c r="W38" s="384">
        <f>IFERROR(IF(AA38&lt;&gt;0,VLOOKUP(Envoltória!U43,Componentes!X:Z,3,FALSE),0),"")</f>
        <v>0</v>
      </c>
      <c r="X38" s="383" t="str">
        <f>Envoltória!X43</f>
        <v/>
      </c>
      <c r="Y38" s="383">
        <f>Envoltória!V43</f>
        <v>0</v>
      </c>
      <c r="Z38" s="383" t="str">
        <f>Envoltória!W43</f>
        <v/>
      </c>
      <c r="AA38" s="386">
        <f>Envoltória!T43/100</f>
        <v>0</v>
      </c>
      <c r="AB38" s="387"/>
      <c r="AC38" s="387"/>
      <c r="AD38" s="387"/>
      <c r="AE38" s="387"/>
      <c r="AF38" s="387"/>
      <c r="AG38" s="387"/>
      <c r="AH38" s="387"/>
      <c r="AI38" s="387"/>
      <c r="AJ38" s="387"/>
      <c r="AK38" s="387"/>
      <c r="AL38" s="387"/>
      <c r="AM38" s="387"/>
      <c r="AN38" s="387"/>
      <c r="AO38" s="387"/>
      <c r="AP38" s="383">
        <f>IF(BF38=0,90,Envoltória!S43)</f>
        <v>0</v>
      </c>
      <c r="AQ38" s="383">
        <f>IF(BF38=0,90,Envoltória!R43)</f>
        <v>0</v>
      </c>
      <c r="AR38" s="383" t="str">
        <f t="shared" si="4"/>
        <v/>
      </c>
      <c r="AS38" s="383" t="str">
        <f t="shared" si="4"/>
        <v/>
      </c>
      <c r="AT38" s="383" t="str">
        <f t="shared" si="4"/>
        <v/>
      </c>
      <c r="AU38" s="383" t="str">
        <f t="shared" si="4"/>
        <v/>
      </c>
      <c r="AV38" s="383" t="str">
        <f t="shared" si="4"/>
        <v/>
      </c>
      <c r="AW38" s="384" t="str">
        <f>IFERROR(VLOOKUP(Envoltória!$B43,Aux_Lista!$N$2:$T$7,AW$9,FALSE),"")</f>
        <v/>
      </c>
      <c r="AX38" s="384" t="str">
        <f>IFERROR(VLOOKUP(Envoltória!$B43,Aux_Lista!$N$2:$T$7,AX$9,FALSE),"")</f>
        <v/>
      </c>
      <c r="AY38" s="384" t="str">
        <f>IFERROR(VLOOKUP(Envoltória!$B43,Aux_Lista!$N$2:$T$7,AY$9,FALSE),"")</f>
        <v/>
      </c>
      <c r="AZ38" s="384" t="str">
        <f>IFERROR(VLOOKUP(Envoltória!$B43,Aux_Lista!$N$2:$T$7,AZ$9,FALSE),"")</f>
        <v/>
      </c>
      <c r="BA38" s="384" t="str">
        <f>IFERROR(VLOOKUP(Envoltória!$B43,Aux_Lista!$N$2:$T$7,BA$9,FALSE),"")</f>
        <v/>
      </c>
      <c r="BB38" s="384" t="str">
        <f>IFERROR(VLOOKUP(Envoltória!$B43,Aux_Lista!$N$2:$T$7,BB$9,FALSE),"")</f>
        <v/>
      </c>
      <c r="BC38" s="384" t="str">
        <f>IFERROR(VLOOKUP(Envoltória!$H43,Aux_Lista!$V$2:$X$3,BC$9,FALSE),"")</f>
        <v/>
      </c>
      <c r="BD38" s="384" t="str">
        <f>IFERROR(VLOOKUP(Envoltória!$H43,Aux_Lista!$V$2:$X$3,BD$9,FALSE),"")</f>
        <v/>
      </c>
      <c r="BE38" s="382">
        <f t="shared" si="2"/>
        <v>0</v>
      </c>
      <c r="BF38" s="382" t="str">
        <f>IFERROR(VLOOKUP(Envoltória!F43,CB3E_Envoltória!$BQ$18:$BR$19,2,FALSE),"")</f>
        <v/>
      </c>
      <c r="BG38" s="382" t="str">
        <f>IFERROR(VLOOKUP(Envoltória!$G43,$BQ$35:$BZ$43,BG$9,FALSE),"")</f>
        <v/>
      </c>
      <c r="BH38" s="382" t="str">
        <f>IFERROR(VLOOKUP(Envoltória!$G43,$BQ$35:$BZ$43,BH$9,FALSE),"")</f>
        <v/>
      </c>
      <c r="BI38" s="382" t="str">
        <f>IFERROR(VLOOKUP(Envoltória!$G43,$BQ$35:$BZ$43,BI$9,FALSE),"")</f>
        <v/>
      </c>
      <c r="BJ38" s="382" t="str">
        <f>IFERROR(VLOOKUP(Envoltória!$G43,$BQ$35:$BZ$43,BJ$9,FALSE),"")</f>
        <v/>
      </c>
      <c r="BK38" s="382" t="str">
        <f>IFERROR(VLOOKUP(Envoltória!$G43,$BQ$35:$BZ$43,BK$9,FALSE),"")</f>
        <v/>
      </c>
      <c r="BL38" s="382" t="str">
        <f>IFERROR(VLOOKUP(Envoltória!$G43,$BQ$35:$BZ$43,BL$9,FALSE),"")</f>
        <v/>
      </c>
      <c r="BM38" s="382" t="str">
        <f>IFERROR(VLOOKUP(Envoltória!$G43,$BQ$35:$BZ$43,BM$9,FALSE),"")</f>
        <v/>
      </c>
      <c r="BN38" s="382" t="str">
        <f>IFERROR(VLOOKUP(Envoltória!$G43,$BQ$35:$BZ$43,BN$9,FALSE),"")</f>
        <v/>
      </c>
      <c r="BO38" s="382" t="str">
        <f>IFERROR(VLOOKUP(Envoltória!$G43,$BQ$35:$BZ$43,BO$9,FALSE),"")</f>
        <v/>
      </c>
      <c r="BP38" s="1"/>
      <c r="BQ38" s="378" t="s">
        <v>54</v>
      </c>
      <c r="BR38" s="7">
        <v>0</v>
      </c>
      <c r="BS38" s="7">
        <v>0</v>
      </c>
      <c r="BT38" s="7">
        <v>1</v>
      </c>
      <c r="BU38" s="7">
        <v>0</v>
      </c>
      <c r="BV38" s="7">
        <v>0</v>
      </c>
      <c r="BW38" s="7">
        <v>0</v>
      </c>
      <c r="BX38" s="7">
        <v>0</v>
      </c>
      <c r="BY38" s="7">
        <v>0</v>
      </c>
      <c r="BZ38" s="7">
        <v>0</v>
      </c>
      <c r="CA38" s="28">
        <f t="shared" si="5"/>
        <v>1</v>
      </c>
    </row>
    <row r="39" spans="1:79" s="32" customFormat="1" x14ac:dyDescent="0.25">
      <c r="A39" s="1">
        <v>29</v>
      </c>
      <c r="B39" s="370">
        <f>Envoltória!I44</f>
        <v>0</v>
      </c>
      <c r="C39" s="371">
        <f>Envoltória!B44</f>
        <v>0</v>
      </c>
      <c r="D39" s="371">
        <f>Envoltória!C44</f>
        <v>0</v>
      </c>
      <c r="E39" s="381">
        <f>Envoltória!D44</f>
        <v>0</v>
      </c>
      <c r="F39" s="382">
        <f>Envoltória!E44</f>
        <v>0</v>
      </c>
      <c r="G39" s="382">
        <f t="shared" si="1"/>
        <v>0</v>
      </c>
      <c r="H39" s="383">
        <f>Envoltória!O44/100</f>
        <v>0</v>
      </c>
      <c r="I39" s="383">
        <f>IF(BF39=1,Envoltória!Q44,90)</f>
        <v>90</v>
      </c>
      <c r="J39" s="384" t="str">
        <f>IFERROR(VLOOKUP(Envoltória!M44,Componentes!$P:$R,2,FALSE),"")</f>
        <v/>
      </c>
      <c r="K39" s="384" t="str">
        <f>IFERROR(VLOOKUP(Envoltória!M44,Componentes!$P:$R,3,FALSE),"")</f>
        <v/>
      </c>
      <c r="L39" s="383">
        <f>IF(ISERROR(VLOOKUP(Envoltória!L44,Componentes!K:N,2,FALSE)),0,VLOOKUP(Envoltória!L44,Componentes!K:N,2,FALSE))</f>
        <v>0</v>
      </c>
      <c r="M39" s="383">
        <f>IF(ISERROR(VLOOKUP(Envoltória!L44,Componentes!K:N,3,FALSE)),0,VLOOKUP(Envoltória!L44,Componentes!K:N,3,FALSE))</f>
        <v>0</v>
      </c>
      <c r="N39" s="385" t="str">
        <f>IFERROR(IF(BB39&lt;&gt;0,VLOOKUP(Envoltória!L44,Componentes!K:N,4,FALSE),0),"")</f>
        <v/>
      </c>
      <c r="O39" s="383">
        <f>IF(BF39=1,VLOOKUP(Envoltória!J44,Componentes!B:E,2,FALSE),-6)</f>
        <v>-6</v>
      </c>
      <c r="P39" s="383">
        <f>IF(BF39=1,VLOOKUP(Envoltória!J44,Componentes!B:E,3,FALSE),-400)</f>
        <v>-400</v>
      </c>
      <c r="Q39" s="383">
        <f>IF(BF39=1,VLOOKUP(Envoltória!J44,Componentes!B:E,4,FALSE),0)</f>
        <v>0</v>
      </c>
      <c r="R39" s="384" t="str">
        <f>IFERROR(VLOOKUP(Envoltória!K44,Componentes!G:I,2,FALSE),"")</f>
        <v/>
      </c>
      <c r="S39" s="384" t="str">
        <f>IFERROR(VLOOKUP(Envoltória!K44,Componentes!G:I,3,FALSE),"")</f>
        <v/>
      </c>
      <c r="T39" s="383">
        <f>IFERROR(IF(H39&lt;&gt;0,VLOOKUP(Envoltória!N44,Componentes!T:V,3,FALSE),0),"")</f>
        <v>0</v>
      </c>
      <c r="U39" s="383">
        <f>IFERROR(IF(H39&lt;&gt;0,VLOOKUP(Envoltória!N44,Componentes!T:V,2,FALSE),0),"")</f>
        <v>0</v>
      </c>
      <c r="V39" s="384">
        <f>IFERROR(IF(AA39&lt;&gt;0,VLOOKUP(Envoltória!U44,Componentes!X:Z,2,FALSE),0),"")</f>
        <v>0</v>
      </c>
      <c r="W39" s="384">
        <f>IFERROR(IF(AA39&lt;&gt;0,VLOOKUP(Envoltória!U44,Componentes!X:Z,3,FALSE),0),"")</f>
        <v>0</v>
      </c>
      <c r="X39" s="383" t="str">
        <f>Envoltória!X44</f>
        <v/>
      </c>
      <c r="Y39" s="383">
        <f>Envoltória!V44</f>
        <v>0</v>
      </c>
      <c r="Z39" s="383" t="str">
        <f>Envoltória!W44</f>
        <v/>
      </c>
      <c r="AA39" s="386">
        <f>Envoltória!T44/100</f>
        <v>0</v>
      </c>
      <c r="AB39" s="387"/>
      <c r="AC39" s="387"/>
      <c r="AD39" s="387"/>
      <c r="AE39" s="387"/>
      <c r="AF39" s="387"/>
      <c r="AG39" s="387"/>
      <c r="AH39" s="387"/>
      <c r="AI39" s="387"/>
      <c r="AJ39" s="387"/>
      <c r="AK39" s="387"/>
      <c r="AL39" s="387"/>
      <c r="AM39" s="387"/>
      <c r="AN39" s="387"/>
      <c r="AO39" s="387"/>
      <c r="AP39" s="383">
        <f>IF(BF39=0,90,Envoltória!S44)</f>
        <v>0</v>
      </c>
      <c r="AQ39" s="383">
        <f>IF(BF39=0,90,Envoltória!R44)</f>
        <v>0</v>
      </c>
      <c r="AR39" s="383" t="str">
        <f t="shared" si="4"/>
        <v/>
      </c>
      <c r="AS39" s="383" t="str">
        <f t="shared" si="4"/>
        <v/>
      </c>
      <c r="AT39" s="383" t="str">
        <f t="shared" si="4"/>
        <v/>
      </c>
      <c r="AU39" s="383" t="str">
        <f t="shared" si="4"/>
        <v/>
      </c>
      <c r="AV39" s="383" t="str">
        <f t="shared" si="4"/>
        <v/>
      </c>
      <c r="AW39" s="384" t="str">
        <f>IFERROR(VLOOKUP(Envoltória!$B44,Aux_Lista!$N$2:$T$7,AW$9,FALSE),"")</f>
        <v/>
      </c>
      <c r="AX39" s="384" t="str">
        <f>IFERROR(VLOOKUP(Envoltória!$B44,Aux_Lista!$N$2:$T$7,AX$9,FALSE),"")</f>
        <v/>
      </c>
      <c r="AY39" s="384" t="str">
        <f>IFERROR(VLOOKUP(Envoltória!$B44,Aux_Lista!$N$2:$T$7,AY$9,FALSE),"")</f>
        <v/>
      </c>
      <c r="AZ39" s="384" t="str">
        <f>IFERROR(VLOOKUP(Envoltória!$B44,Aux_Lista!$N$2:$T$7,AZ$9,FALSE),"")</f>
        <v/>
      </c>
      <c r="BA39" s="384" t="str">
        <f>IFERROR(VLOOKUP(Envoltória!$B44,Aux_Lista!$N$2:$T$7,BA$9,FALSE),"")</f>
        <v/>
      </c>
      <c r="BB39" s="384" t="str">
        <f>IFERROR(VLOOKUP(Envoltória!$B44,Aux_Lista!$N$2:$T$7,BB$9,FALSE),"")</f>
        <v/>
      </c>
      <c r="BC39" s="384" t="str">
        <f>IFERROR(VLOOKUP(Envoltória!$H44,Aux_Lista!$V$2:$X$3,BC$9,FALSE),"")</f>
        <v/>
      </c>
      <c r="BD39" s="384" t="str">
        <f>IFERROR(VLOOKUP(Envoltória!$H44,Aux_Lista!$V$2:$X$3,BD$9,FALSE),"")</f>
        <v/>
      </c>
      <c r="BE39" s="382">
        <f t="shared" si="2"/>
        <v>0</v>
      </c>
      <c r="BF39" s="382" t="str">
        <f>IFERROR(VLOOKUP(Envoltória!F44,CB3E_Envoltória!$BQ$18:$BR$19,2,FALSE),"")</f>
        <v/>
      </c>
      <c r="BG39" s="382" t="str">
        <f>IFERROR(VLOOKUP(Envoltória!$G44,$BQ$35:$BZ$43,BG$9,FALSE),"")</f>
        <v/>
      </c>
      <c r="BH39" s="382" t="str">
        <f>IFERROR(VLOOKUP(Envoltória!$G44,$BQ$35:$BZ$43,BH$9,FALSE),"")</f>
        <v/>
      </c>
      <c r="BI39" s="382" t="str">
        <f>IFERROR(VLOOKUP(Envoltória!$G44,$BQ$35:$BZ$43,BI$9,FALSE),"")</f>
        <v/>
      </c>
      <c r="BJ39" s="382" t="str">
        <f>IFERROR(VLOOKUP(Envoltória!$G44,$BQ$35:$BZ$43,BJ$9,FALSE),"")</f>
        <v/>
      </c>
      <c r="BK39" s="382" t="str">
        <f>IFERROR(VLOOKUP(Envoltória!$G44,$BQ$35:$BZ$43,BK$9,FALSE),"")</f>
        <v/>
      </c>
      <c r="BL39" s="382" t="str">
        <f>IFERROR(VLOOKUP(Envoltória!$G44,$BQ$35:$BZ$43,BL$9,FALSE),"")</f>
        <v/>
      </c>
      <c r="BM39" s="382" t="str">
        <f>IFERROR(VLOOKUP(Envoltória!$G44,$BQ$35:$BZ$43,BM$9,FALSE),"")</f>
        <v/>
      </c>
      <c r="BN39" s="382" t="str">
        <f>IFERROR(VLOOKUP(Envoltória!$G44,$BQ$35:$BZ$43,BN$9,FALSE),"")</f>
        <v/>
      </c>
      <c r="BO39" s="382" t="str">
        <f>IFERROR(VLOOKUP(Envoltória!$G44,$BQ$35:$BZ$43,BO$9,FALSE),"")</f>
        <v/>
      </c>
      <c r="BP39" s="1"/>
      <c r="BQ39" s="378" t="s">
        <v>55</v>
      </c>
      <c r="BR39" s="7">
        <v>0</v>
      </c>
      <c r="BS39" s="7">
        <v>0</v>
      </c>
      <c r="BT39" s="7">
        <v>0</v>
      </c>
      <c r="BU39" s="7">
        <v>0</v>
      </c>
      <c r="BV39" s="7">
        <v>1</v>
      </c>
      <c r="BW39" s="7">
        <v>0</v>
      </c>
      <c r="BX39" s="7">
        <v>0</v>
      </c>
      <c r="BY39" s="7">
        <v>0</v>
      </c>
      <c r="BZ39" s="7">
        <v>0</v>
      </c>
      <c r="CA39" s="28">
        <f t="shared" si="5"/>
        <v>1</v>
      </c>
    </row>
    <row r="40" spans="1:79" s="32" customFormat="1" x14ac:dyDescent="0.25">
      <c r="A40" s="1">
        <v>30</v>
      </c>
      <c r="B40" s="370">
        <f>Envoltória!I45</f>
        <v>0</v>
      </c>
      <c r="C40" s="371">
        <f>Envoltória!B45</f>
        <v>0</v>
      </c>
      <c r="D40" s="371">
        <f>Envoltória!C45</f>
        <v>0</v>
      </c>
      <c r="E40" s="381">
        <f>Envoltória!D45</f>
        <v>0</v>
      </c>
      <c r="F40" s="382">
        <f>Envoltória!E45</f>
        <v>0</v>
      </c>
      <c r="G40" s="382">
        <f t="shared" si="1"/>
        <v>0</v>
      </c>
      <c r="H40" s="383">
        <f>Envoltória!O45/100</f>
        <v>0</v>
      </c>
      <c r="I40" s="383">
        <f>IF(BF40=1,Envoltória!Q45,90)</f>
        <v>90</v>
      </c>
      <c r="J40" s="384" t="str">
        <f>IFERROR(VLOOKUP(Envoltória!M45,Componentes!$P:$R,2,FALSE),"")</f>
        <v/>
      </c>
      <c r="K40" s="384" t="str">
        <f>IFERROR(VLOOKUP(Envoltória!M45,Componentes!$P:$R,3,FALSE),"")</f>
        <v/>
      </c>
      <c r="L40" s="383">
        <f>IF(ISERROR(VLOOKUP(Envoltória!L45,Componentes!K:N,2,FALSE)),0,VLOOKUP(Envoltória!L45,Componentes!K:N,2,FALSE))</f>
        <v>0</v>
      </c>
      <c r="M40" s="383">
        <f>IF(ISERROR(VLOOKUP(Envoltória!L45,Componentes!K:N,3,FALSE)),0,VLOOKUP(Envoltória!L45,Componentes!K:N,3,FALSE))</f>
        <v>0</v>
      </c>
      <c r="N40" s="385" t="str">
        <f>IFERROR(IF(BB40&lt;&gt;0,VLOOKUP(Envoltória!L45,Componentes!K:N,4,FALSE),0),"")</f>
        <v/>
      </c>
      <c r="O40" s="383">
        <f>IF(BF40=1,VLOOKUP(Envoltória!J45,Componentes!B:E,2,FALSE),-6)</f>
        <v>-6</v>
      </c>
      <c r="P40" s="383">
        <f>IF(BF40=1,VLOOKUP(Envoltória!J45,Componentes!B:E,3,FALSE),-400)</f>
        <v>-400</v>
      </c>
      <c r="Q40" s="383">
        <f>IF(BF40=1,VLOOKUP(Envoltória!J45,Componentes!B:E,4,FALSE),0)</f>
        <v>0</v>
      </c>
      <c r="R40" s="384" t="str">
        <f>IFERROR(VLOOKUP(Envoltória!K45,Componentes!G:I,2,FALSE),"")</f>
        <v/>
      </c>
      <c r="S40" s="384" t="str">
        <f>IFERROR(VLOOKUP(Envoltória!K45,Componentes!G:I,3,FALSE),"")</f>
        <v/>
      </c>
      <c r="T40" s="383">
        <f>IFERROR(IF(H40&lt;&gt;0,VLOOKUP(Envoltória!N45,Componentes!T:V,3,FALSE),0),"")</f>
        <v>0</v>
      </c>
      <c r="U40" s="383">
        <f>IFERROR(IF(H40&lt;&gt;0,VLOOKUP(Envoltória!N45,Componentes!T:V,2,FALSE),0),"")</f>
        <v>0</v>
      </c>
      <c r="V40" s="384">
        <f>IFERROR(IF(AA40&lt;&gt;0,VLOOKUP(Envoltória!U45,Componentes!X:Z,2,FALSE),0),"")</f>
        <v>0</v>
      </c>
      <c r="W40" s="384">
        <f>IFERROR(IF(AA40&lt;&gt;0,VLOOKUP(Envoltória!U45,Componentes!X:Z,3,FALSE),0),"")</f>
        <v>0</v>
      </c>
      <c r="X40" s="383" t="str">
        <f>Envoltória!X45</f>
        <v/>
      </c>
      <c r="Y40" s="383">
        <f>Envoltória!V45</f>
        <v>0</v>
      </c>
      <c r="Z40" s="383" t="str">
        <f>Envoltória!W45</f>
        <v/>
      </c>
      <c r="AA40" s="386">
        <f>Envoltória!T45/100</f>
        <v>0</v>
      </c>
      <c r="AB40" s="387"/>
      <c r="AC40" s="387"/>
      <c r="AD40" s="387"/>
      <c r="AE40" s="387"/>
      <c r="AF40" s="387"/>
      <c r="AG40" s="387"/>
      <c r="AH40" s="387"/>
      <c r="AI40" s="387"/>
      <c r="AJ40" s="387"/>
      <c r="AK40" s="387"/>
      <c r="AL40" s="387"/>
      <c r="AM40" s="387"/>
      <c r="AN40" s="387"/>
      <c r="AO40" s="387"/>
      <c r="AP40" s="383">
        <f>IF(BF40=0,90,Envoltória!S45)</f>
        <v>0</v>
      </c>
      <c r="AQ40" s="383">
        <f>IF(BF40=0,90,Envoltória!R45)</f>
        <v>0</v>
      </c>
      <c r="AR40" s="383" t="str">
        <f t="shared" si="4"/>
        <v/>
      </c>
      <c r="AS40" s="383" t="str">
        <f t="shared" si="4"/>
        <v/>
      </c>
      <c r="AT40" s="383" t="str">
        <f t="shared" si="4"/>
        <v/>
      </c>
      <c r="AU40" s="383" t="str">
        <f t="shared" si="4"/>
        <v/>
      </c>
      <c r="AV40" s="383" t="str">
        <f t="shared" si="4"/>
        <v/>
      </c>
      <c r="AW40" s="384" t="str">
        <f>IFERROR(VLOOKUP(Envoltória!$B45,Aux_Lista!$N$2:$T$7,AW$9,FALSE),"")</f>
        <v/>
      </c>
      <c r="AX40" s="384" t="str">
        <f>IFERROR(VLOOKUP(Envoltória!$B45,Aux_Lista!$N$2:$T$7,AX$9,FALSE),"")</f>
        <v/>
      </c>
      <c r="AY40" s="384" t="str">
        <f>IFERROR(VLOOKUP(Envoltória!$B45,Aux_Lista!$N$2:$T$7,AY$9,FALSE),"")</f>
        <v/>
      </c>
      <c r="AZ40" s="384" t="str">
        <f>IFERROR(VLOOKUP(Envoltória!$B45,Aux_Lista!$N$2:$T$7,AZ$9,FALSE),"")</f>
        <v/>
      </c>
      <c r="BA40" s="384" t="str">
        <f>IFERROR(VLOOKUP(Envoltória!$B45,Aux_Lista!$N$2:$T$7,BA$9,FALSE),"")</f>
        <v/>
      </c>
      <c r="BB40" s="384" t="str">
        <f>IFERROR(VLOOKUP(Envoltória!$B45,Aux_Lista!$N$2:$T$7,BB$9,FALSE),"")</f>
        <v/>
      </c>
      <c r="BC40" s="384" t="str">
        <f>IFERROR(VLOOKUP(Envoltória!$H45,Aux_Lista!$V$2:$X$3,BC$9,FALSE),"")</f>
        <v/>
      </c>
      <c r="BD40" s="384" t="str">
        <f>IFERROR(VLOOKUP(Envoltória!$H45,Aux_Lista!$V$2:$X$3,BD$9,FALSE),"")</f>
        <v/>
      </c>
      <c r="BE40" s="382">
        <f t="shared" si="2"/>
        <v>0</v>
      </c>
      <c r="BF40" s="382" t="str">
        <f>IFERROR(VLOOKUP(Envoltória!F45,CB3E_Envoltória!$BQ$18:$BR$19,2,FALSE),"")</f>
        <v/>
      </c>
      <c r="BG40" s="382" t="str">
        <f>IFERROR(VLOOKUP(Envoltória!$G45,$BQ$35:$BZ$43,BG$9,FALSE),"")</f>
        <v/>
      </c>
      <c r="BH40" s="382" t="str">
        <f>IFERROR(VLOOKUP(Envoltória!$G45,$BQ$35:$BZ$43,BH$9,FALSE),"")</f>
        <v/>
      </c>
      <c r="BI40" s="382" t="str">
        <f>IFERROR(VLOOKUP(Envoltória!$G45,$BQ$35:$BZ$43,BI$9,FALSE),"")</f>
        <v/>
      </c>
      <c r="BJ40" s="382" t="str">
        <f>IFERROR(VLOOKUP(Envoltória!$G45,$BQ$35:$BZ$43,BJ$9,FALSE),"")</f>
        <v/>
      </c>
      <c r="BK40" s="382" t="str">
        <f>IFERROR(VLOOKUP(Envoltória!$G45,$BQ$35:$BZ$43,BK$9,FALSE),"")</f>
        <v/>
      </c>
      <c r="BL40" s="382" t="str">
        <f>IFERROR(VLOOKUP(Envoltória!$G45,$BQ$35:$BZ$43,BL$9,FALSE),"")</f>
        <v/>
      </c>
      <c r="BM40" s="382" t="str">
        <f>IFERROR(VLOOKUP(Envoltória!$G45,$BQ$35:$BZ$43,BM$9,FALSE),"")</f>
        <v/>
      </c>
      <c r="BN40" s="382" t="str">
        <f>IFERROR(VLOOKUP(Envoltória!$G45,$BQ$35:$BZ$43,BN$9,FALSE),"")</f>
        <v/>
      </c>
      <c r="BO40" s="382" t="str">
        <f>IFERROR(VLOOKUP(Envoltória!$G45,$BQ$35:$BZ$43,BO$9,FALSE),"")</f>
        <v/>
      </c>
      <c r="BP40" s="1"/>
      <c r="BQ40" s="378" t="s">
        <v>56</v>
      </c>
      <c r="BR40" s="7">
        <v>0</v>
      </c>
      <c r="BS40" s="7">
        <v>0</v>
      </c>
      <c r="BT40" s="7">
        <v>0</v>
      </c>
      <c r="BU40" s="7">
        <v>1</v>
      </c>
      <c r="BV40" s="7">
        <v>0</v>
      </c>
      <c r="BW40" s="7">
        <v>0</v>
      </c>
      <c r="BX40" s="7">
        <v>0</v>
      </c>
      <c r="BY40" s="7">
        <v>0</v>
      </c>
      <c r="BZ40" s="7">
        <v>0</v>
      </c>
      <c r="CA40" s="28">
        <f t="shared" si="5"/>
        <v>1</v>
      </c>
    </row>
    <row r="41" spans="1:79" s="32" customFormat="1" x14ac:dyDescent="0.25">
      <c r="A41" s="1">
        <v>31</v>
      </c>
      <c r="B41" s="370">
        <f>Envoltória!I46</f>
        <v>0</v>
      </c>
      <c r="C41" s="371">
        <f>Envoltória!B46</f>
        <v>0</v>
      </c>
      <c r="D41" s="371">
        <f>Envoltória!C46</f>
        <v>0</v>
      </c>
      <c r="E41" s="381">
        <f>Envoltória!D46</f>
        <v>0</v>
      </c>
      <c r="F41" s="382">
        <f>Envoltória!E46</f>
        <v>0</v>
      </c>
      <c r="G41" s="382">
        <f t="shared" si="1"/>
        <v>0</v>
      </c>
      <c r="H41" s="383">
        <f>Envoltória!O46/100</f>
        <v>0</v>
      </c>
      <c r="I41" s="383">
        <f>IF(BF41=1,Envoltória!Q46,90)</f>
        <v>90</v>
      </c>
      <c r="J41" s="384" t="str">
        <f>IFERROR(VLOOKUP(Envoltória!M46,Componentes!$P:$R,2,FALSE),"")</f>
        <v/>
      </c>
      <c r="K41" s="384" t="str">
        <f>IFERROR(VLOOKUP(Envoltória!M46,Componentes!$P:$R,3,FALSE),"")</f>
        <v/>
      </c>
      <c r="L41" s="383">
        <f>IF(ISERROR(VLOOKUP(Envoltória!L46,Componentes!K:N,2,FALSE)),0,VLOOKUP(Envoltória!L46,Componentes!K:N,2,FALSE))</f>
        <v>0</v>
      </c>
      <c r="M41" s="383">
        <f>IF(ISERROR(VLOOKUP(Envoltória!L46,Componentes!K:N,3,FALSE)),0,VLOOKUP(Envoltória!L46,Componentes!K:N,3,FALSE))</f>
        <v>0</v>
      </c>
      <c r="N41" s="385" t="str">
        <f>IFERROR(IF(BB41&lt;&gt;0,VLOOKUP(Envoltória!L46,Componentes!K:N,4,FALSE),0),"")</f>
        <v/>
      </c>
      <c r="O41" s="383">
        <f>IF(BF41=1,VLOOKUP(Envoltória!J46,Componentes!B:E,2,FALSE),-6)</f>
        <v>-6</v>
      </c>
      <c r="P41" s="383">
        <f>IF(BF41=1,VLOOKUP(Envoltória!J46,Componentes!B:E,3,FALSE),-400)</f>
        <v>-400</v>
      </c>
      <c r="Q41" s="383">
        <f>IF(BF41=1,VLOOKUP(Envoltória!J46,Componentes!B:E,4,FALSE),0)</f>
        <v>0</v>
      </c>
      <c r="R41" s="384" t="str">
        <f>IFERROR(VLOOKUP(Envoltória!K46,Componentes!G:I,2,FALSE),"")</f>
        <v/>
      </c>
      <c r="S41" s="384" t="str">
        <f>IFERROR(VLOOKUP(Envoltória!K46,Componentes!G:I,3,FALSE),"")</f>
        <v/>
      </c>
      <c r="T41" s="383">
        <f>IFERROR(IF(H41&lt;&gt;0,VLOOKUP(Envoltória!N46,Componentes!T:V,3,FALSE),0),"")</f>
        <v>0</v>
      </c>
      <c r="U41" s="383">
        <f>IFERROR(IF(H41&lt;&gt;0,VLOOKUP(Envoltória!N46,Componentes!T:V,2,FALSE),0),"")</f>
        <v>0</v>
      </c>
      <c r="V41" s="384">
        <f>IFERROR(IF(AA41&lt;&gt;0,VLOOKUP(Envoltória!U46,Componentes!X:Z,2,FALSE),0),"")</f>
        <v>0</v>
      </c>
      <c r="W41" s="384">
        <f>IFERROR(IF(AA41&lt;&gt;0,VLOOKUP(Envoltória!U46,Componentes!X:Z,3,FALSE),0),"")</f>
        <v>0</v>
      </c>
      <c r="X41" s="383" t="str">
        <f>Envoltória!X46</f>
        <v/>
      </c>
      <c r="Y41" s="383">
        <f>Envoltória!V46</f>
        <v>0</v>
      </c>
      <c r="Z41" s="383" t="str">
        <f>Envoltória!W46</f>
        <v/>
      </c>
      <c r="AA41" s="386">
        <f>Envoltória!T46/100</f>
        <v>0</v>
      </c>
      <c r="AB41" s="387"/>
      <c r="AC41" s="387"/>
      <c r="AD41" s="387"/>
      <c r="AE41" s="387"/>
      <c r="AF41" s="387"/>
      <c r="AG41" s="387"/>
      <c r="AH41" s="387"/>
      <c r="AI41" s="387"/>
      <c r="AJ41" s="387"/>
      <c r="AK41" s="387"/>
      <c r="AL41" s="387"/>
      <c r="AM41" s="387"/>
      <c r="AN41" s="387"/>
      <c r="AO41" s="387"/>
      <c r="AP41" s="383">
        <f>IF(BF41=0,90,Envoltória!S46)</f>
        <v>0</v>
      </c>
      <c r="AQ41" s="383">
        <f>IF(BF41=0,90,Envoltória!R46)</f>
        <v>0</v>
      </c>
      <c r="AR41" s="383" t="str">
        <f t="shared" ref="AR41:AV50" si="6">IFERROR(VLOOKUP($B41,$BQ$21:$BW$31,AR$9,FALSE),"")</f>
        <v/>
      </c>
      <c r="AS41" s="383" t="str">
        <f t="shared" si="6"/>
        <v/>
      </c>
      <c r="AT41" s="383" t="str">
        <f t="shared" si="6"/>
        <v/>
      </c>
      <c r="AU41" s="383" t="str">
        <f t="shared" si="6"/>
        <v/>
      </c>
      <c r="AV41" s="383" t="str">
        <f t="shared" si="6"/>
        <v/>
      </c>
      <c r="AW41" s="384" t="str">
        <f>IFERROR(VLOOKUP(Envoltória!$B46,Aux_Lista!$N$2:$T$7,AW$9,FALSE),"")</f>
        <v/>
      </c>
      <c r="AX41" s="384" t="str">
        <f>IFERROR(VLOOKUP(Envoltória!$B46,Aux_Lista!$N$2:$T$7,AX$9,FALSE),"")</f>
        <v/>
      </c>
      <c r="AY41" s="384" t="str">
        <f>IFERROR(VLOOKUP(Envoltória!$B46,Aux_Lista!$N$2:$T$7,AY$9,FALSE),"")</f>
        <v/>
      </c>
      <c r="AZ41" s="384" t="str">
        <f>IFERROR(VLOOKUP(Envoltória!$B46,Aux_Lista!$N$2:$T$7,AZ$9,FALSE),"")</f>
        <v/>
      </c>
      <c r="BA41" s="384" t="str">
        <f>IFERROR(VLOOKUP(Envoltória!$B46,Aux_Lista!$N$2:$T$7,BA$9,FALSE),"")</f>
        <v/>
      </c>
      <c r="BB41" s="384" t="str">
        <f>IFERROR(VLOOKUP(Envoltória!$B46,Aux_Lista!$N$2:$T$7,BB$9,FALSE),"")</f>
        <v/>
      </c>
      <c r="BC41" s="384" t="str">
        <f>IFERROR(VLOOKUP(Envoltória!$H46,Aux_Lista!$V$2:$X$3,BC$9,FALSE),"")</f>
        <v/>
      </c>
      <c r="BD41" s="384" t="str">
        <f>IFERROR(VLOOKUP(Envoltória!$H46,Aux_Lista!$V$2:$X$3,BD$9,FALSE),"")</f>
        <v/>
      </c>
      <c r="BE41" s="382">
        <f t="shared" si="2"/>
        <v>0</v>
      </c>
      <c r="BF41" s="382" t="str">
        <f>IFERROR(VLOOKUP(Envoltória!F46,CB3E_Envoltória!$BQ$18:$BR$19,2,FALSE),"")</f>
        <v/>
      </c>
      <c r="BG41" s="382" t="str">
        <f>IFERROR(VLOOKUP(Envoltória!$G46,$BQ$35:$BZ$43,BG$9,FALSE),"")</f>
        <v/>
      </c>
      <c r="BH41" s="382" t="str">
        <f>IFERROR(VLOOKUP(Envoltória!$G46,$BQ$35:$BZ$43,BH$9,FALSE),"")</f>
        <v/>
      </c>
      <c r="BI41" s="382" t="str">
        <f>IFERROR(VLOOKUP(Envoltória!$G46,$BQ$35:$BZ$43,BI$9,FALSE),"")</f>
        <v/>
      </c>
      <c r="BJ41" s="382" t="str">
        <f>IFERROR(VLOOKUP(Envoltória!$G46,$BQ$35:$BZ$43,BJ$9,FALSE),"")</f>
        <v/>
      </c>
      <c r="BK41" s="382" t="str">
        <f>IFERROR(VLOOKUP(Envoltória!$G46,$BQ$35:$BZ$43,BK$9,FALSE),"")</f>
        <v/>
      </c>
      <c r="BL41" s="382" t="str">
        <f>IFERROR(VLOOKUP(Envoltória!$G46,$BQ$35:$BZ$43,BL$9,FALSE),"")</f>
        <v/>
      </c>
      <c r="BM41" s="382" t="str">
        <f>IFERROR(VLOOKUP(Envoltória!$G46,$BQ$35:$BZ$43,BM$9,FALSE),"")</f>
        <v/>
      </c>
      <c r="BN41" s="382" t="str">
        <f>IFERROR(VLOOKUP(Envoltória!$G46,$BQ$35:$BZ$43,BN$9,FALSE),"")</f>
        <v/>
      </c>
      <c r="BO41" s="382" t="str">
        <f>IFERROR(VLOOKUP(Envoltória!$G46,$BQ$35:$BZ$43,BO$9,FALSE),"")</f>
        <v/>
      </c>
      <c r="BP41" s="1"/>
      <c r="BQ41" s="378" t="s">
        <v>57</v>
      </c>
      <c r="BR41" s="7">
        <v>0</v>
      </c>
      <c r="BS41" s="7">
        <v>0</v>
      </c>
      <c r="BT41" s="7">
        <v>0</v>
      </c>
      <c r="BU41" s="7">
        <v>0</v>
      </c>
      <c r="BV41" s="7">
        <v>0</v>
      </c>
      <c r="BW41" s="7">
        <v>1</v>
      </c>
      <c r="BX41" s="7">
        <v>0</v>
      </c>
      <c r="BY41" s="7">
        <v>0</v>
      </c>
      <c r="BZ41" s="7">
        <v>0</v>
      </c>
      <c r="CA41" s="28">
        <f t="shared" si="5"/>
        <v>1</v>
      </c>
    </row>
    <row r="42" spans="1:79" s="32" customFormat="1" x14ac:dyDescent="0.25">
      <c r="A42" s="1">
        <v>32</v>
      </c>
      <c r="B42" s="370">
        <f>Envoltória!I47</f>
        <v>0</v>
      </c>
      <c r="C42" s="371">
        <f>Envoltória!B47</f>
        <v>0</v>
      </c>
      <c r="D42" s="371">
        <f>Envoltória!C47</f>
        <v>0</v>
      </c>
      <c r="E42" s="381">
        <f>Envoltória!D47</f>
        <v>0</v>
      </c>
      <c r="F42" s="382">
        <f>Envoltória!E47</f>
        <v>0</v>
      </c>
      <c r="G42" s="382">
        <f t="shared" si="1"/>
        <v>0</v>
      </c>
      <c r="H42" s="383">
        <f>Envoltória!O47/100</f>
        <v>0</v>
      </c>
      <c r="I42" s="383">
        <f>IF(BF42=1,Envoltória!Q47,90)</f>
        <v>90</v>
      </c>
      <c r="J42" s="384" t="str">
        <f>IFERROR(VLOOKUP(Envoltória!M47,Componentes!$P:$R,2,FALSE),"")</f>
        <v/>
      </c>
      <c r="K42" s="384" t="str">
        <f>IFERROR(VLOOKUP(Envoltória!M47,Componentes!$P:$R,3,FALSE),"")</f>
        <v/>
      </c>
      <c r="L42" s="383">
        <f>IF(ISERROR(VLOOKUP(Envoltória!L47,Componentes!K:N,2,FALSE)),0,VLOOKUP(Envoltória!L47,Componentes!K:N,2,FALSE))</f>
        <v>0</v>
      </c>
      <c r="M42" s="383">
        <f>IF(ISERROR(VLOOKUP(Envoltória!L47,Componentes!K:N,3,FALSE)),0,VLOOKUP(Envoltória!L47,Componentes!K:N,3,FALSE))</f>
        <v>0</v>
      </c>
      <c r="N42" s="385" t="str">
        <f>IFERROR(IF(BB42&lt;&gt;0,VLOOKUP(Envoltória!L47,Componentes!K:N,4,FALSE),0),"")</f>
        <v/>
      </c>
      <c r="O42" s="383">
        <f>IF(BF42=1,VLOOKUP(Envoltória!J47,Componentes!B:E,2,FALSE),-6)</f>
        <v>-6</v>
      </c>
      <c r="P42" s="383">
        <f>IF(BF42=1,VLOOKUP(Envoltória!J47,Componentes!B:E,3,FALSE),-400)</f>
        <v>-400</v>
      </c>
      <c r="Q42" s="383">
        <f>IF(BF42=1,VLOOKUP(Envoltória!J47,Componentes!B:E,4,FALSE),0)</f>
        <v>0</v>
      </c>
      <c r="R42" s="384" t="str">
        <f>IFERROR(VLOOKUP(Envoltória!K47,Componentes!G:I,2,FALSE),"")</f>
        <v/>
      </c>
      <c r="S42" s="384" t="str">
        <f>IFERROR(VLOOKUP(Envoltória!K47,Componentes!G:I,3,FALSE),"")</f>
        <v/>
      </c>
      <c r="T42" s="383">
        <f>IFERROR(IF(H42&lt;&gt;0,VLOOKUP(Envoltória!N47,Componentes!T:V,3,FALSE),0),"")</f>
        <v>0</v>
      </c>
      <c r="U42" s="383">
        <f>IFERROR(IF(H42&lt;&gt;0,VLOOKUP(Envoltória!N47,Componentes!T:V,2,FALSE),0),"")</f>
        <v>0</v>
      </c>
      <c r="V42" s="384">
        <f>IFERROR(IF(AA42&lt;&gt;0,VLOOKUP(Envoltória!U47,Componentes!X:Z,2,FALSE),0),"")</f>
        <v>0</v>
      </c>
      <c r="W42" s="384">
        <f>IFERROR(IF(AA42&lt;&gt;0,VLOOKUP(Envoltória!U47,Componentes!X:Z,3,FALSE),0),"")</f>
        <v>0</v>
      </c>
      <c r="X42" s="383" t="str">
        <f>Envoltória!X47</f>
        <v/>
      </c>
      <c r="Y42" s="383">
        <f>Envoltória!V47</f>
        <v>0</v>
      </c>
      <c r="Z42" s="383" t="str">
        <f>Envoltória!W47</f>
        <v/>
      </c>
      <c r="AA42" s="386">
        <f>Envoltória!T47/100</f>
        <v>0</v>
      </c>
      <c r="AB42" s="387"/>
      <c r="AC42" s="387"/>
      <c r="AD42" s="387"/>
      <c r="AE42" s="387"/>
      <c r="AF42" s="387"/>
      <c r="AG42" s="387"/>
      <c r="AH42" s="387"/>
      <c r="AI42" s="387"/>
      <c r="AJ42" s="387"/>
      <c r="AK42" s="387"/>
      <c r="AL42" s="387"/>
      <c r="AM42" s="387"/>
      <c r="AN42" s="387"/>
      <c r="AO42" s="387"/>
      <c r="AP42" s="383">
        <f>IF(BF42=0,90,Envoltória!S47)</f>
        <v>0</v>
      </c>
      <c r="AQ42" s="383">
        <f>IF(BF42=0,90,Envoltória!R47)</f>
        <v>0</v>
      </c>
      <c r="AR42" s="383" t="str">
        <f t="shared" si="6"/>
        <v/>
      </c>
      <c r="AS42" s="383" t="str">
        <f t="shared" si="6"/>
        <v/>
      </c>
      <c r="AT42" s="383" t="str">
        <f t="shared" si="6"/>
        <v/>
      </c>
      <c r="AU42" s="383" t="str">
        <f t="shared" si="6"/>
        <v/>
      </c>
      <c r="AV42" s="383" t="str">
        <f t="shared" si="6"/>
        <v/>
      </c>
      <c r="AW42" s="384" t="str">
        <f>IFERROR(VLOOKUP(Envoltória!$B47,Aux_Lista!$N$2:$T$7,AW$9,FALSE),"")</f>
        <v/>
      </c>
      <c r="AX42" s="384" t="str">
        <f>IFERROR(VLOOKUP(Envoltória!$B47,Aux_Lista!$N$2:$T$7,AX$9,FALSE),"")</f>
        <v/>
      </c>
      <c r="AY42" s="384" t="str">
        <f>IFERROR(VLOOKUP(Envoltória!$B47,Aux_Lista!$N$2:$T$7,AY$9,FALSE),"")</f>
        <v/>
      </c>
      <c r="AZ42" s="384" t="str">
        <f>IFERROR(VLOOKUP(Envoltória!$B47,Aux_Lista!$N$2:$T$7,AZ$9,FALSE),"")</f>
        <v/>
      </c>
      <c r="BA42" s="384" t="str">
        <f>IFERROR(VLOOKUP(Envoltória!$B47,Aux_Lista!$N$2:$T$7,BA$9,FALSE),"")</f>
        <v/>
      </c>
      <c r="BB42" s="384" t="str">
        <f>IFERROR(VLOOKUP(Envoltória!$B47,Aux_Lista!$N$2:$T$7,BB$9,FALSE),"")</f>
        <v/>
      </c>
      <c r="BC42" s="384" t="str">
        <f>IFERROR(VLOOKUP(Envoltória!$H47,Aux_Lista!$V$2:$X$3,BC$9,FALSE),"")</f>
        <v/>
      </c>
      <c r="BD42" s="384" t="str">
        <f>IFERROR(VLOOKUP(Envoltória!$H47,Aux_Lista!$V$2:$X$3,BD$9,FALSE),"")</f>
        <v/>
      </c>
      <c r="BE42" s="382">
        <f t="shared" si="2"/>
        <v>0</v>
      </c>
      <c r="BF42" s="382" t="str">
        <f>IFERROR(VLOOKUP(Envoltória!F47,CB3E_Envoltória!$BQ$18:$BR$19,2,FALSE),"")</f>
        <v/>
      </c>
      <c r="BG42" s="382" t="str">
        <f>IFERROR(VLOOKUP(Envoltória!$G47,$BQ$35:$BZ$43,BG$9,FALSE),"")</f>
        <v/>
      </c>
      <c r="BH42" s="382" t="str">
        <f>IFERROR(VLOOKUP(Envoltória!$G47,$BQ$35:$BZ$43,BH$9,FALSE),"")</f>
        <v/>
      </c>
      <c r="BI42" s="382" t="str">
        <f>IFERROR(VLOOKUP(Envoltória!$G47,$BQ$35:$BZ$43,BI$9,FALSE),"")</f>
        <v/>
      </c>
      <c r="BJ42" s="382" t="str">
        <f>IFERROR(VLOOKUP(Envoltória!$G47,$BQ$35:$BZ$43,BJ$9,FALSE),"")</f>
        <v/>
      </c>
      <c r="BK42" s="382" t="str">
        <f>IFERROR(VLOOKUP(Envoltória!$G47,$BQ$35:$BZ$43,BK$9,FALSE),"")</f>
        <v/>
      </c>
      <c r="BL42" s="382" t="str">
        <f>IFERROR(VLOOKUP(Envoltória!$G47,$BQ$35:$BZ$43,BL$9,FALSE),"")</f>
        <v/>
      </c>
      <c r="BM42" s="382" t="str">
        <f>IFERROR(VLOOKUP(Envoltória!$G47,$BQ$35:$BZ$43,BM$9,FALSE),"")</f>
        <v/>
      </c>
      <c r="BN42" s="382" t="str">
        <f>IFERROR(VLOOKUP(Envoltória!$G47,$BQ$35:$BZ$43,BN$9,FALSE),"")</f>
        <v/>
      </c>
      <c r="BO42" s="382" t="str">
        <f>IFERROR(VLOOKUP(Envoltória!$G47,$BQ$35:$BZ$43,BO$9,FALSE),"")</f>
        <v/>
      </c>
      <c r="BP42" s="1"/>
      <c r="BQ42" s="378" t="s">
        <v>58</v>
      </c>
      <c r="BR42" s="7">
        <v>0</v>
      </c>
      <c r="BS42" s="7">
        <v>0</v>
      </c>
      <c r="BT42" s="7">
        <v>0</v>
      </c>
      <c r="BU42" s="7">
        <v>0</v>
      </c>
      <c r="BV42" s="7">
        <v>0</v>
      </c>
      <c r="BW42" s="7">
        <v>0</v>
      </c>
      <c r="BX42" s="7">
        <v>1</v>
      </c>
      <c r="BY42" s="7">
        <v>0</v>
      </c>
      <c r="BZ42" s="7">
        <v>0</v>
      </c>
      <c r="CA42" s="28">
        <f t="shared" si="5"/>
        <v>1</v>
      </c>
    </row>
    <row r="43" spans="1:79" s="32" customFormat="1" x14ac:dyDescent="0.25">
      <c r="A43" s="1">
        <v>33</v>
      </c>
      <c r="B43" s="370">
        <f>Envoltória!I48</f>
        <v>0</v>
      </c>
      <c r="C43" s="371">
        <f>Envoltória!B48</f>
        <v>0</v>
      </c>
      <c r="D43" s="371">
        <f>Envoltória!C48</f>
        <v>0</v>
      </c>
      <c r="E43" s="381">
        <f>Envoltória!D48</f>
        <v>0</v>
      </c>
      <c r="F43" s="382">
        <f>Envoltória!E48</f>
        <v>0</v>
      </c>
      <c r="G43" s="382">
        <f t="shared" si="1"/>
        <v>0</v>
      </c>
      <c r="H43" s="383">
        <f>Envoltória!O48/100</f>
        <v>0</v>
      </c>
      <c r="I43" s="383">
        <f>IF(BF43=1,Envoltória!Q48,90)</f>
        <v>90</v>
      </c>
      <c r="J43" s="384" t="str">
        <f>IFERROR(VLOOKUP(Envoltória!M48,Componentes!$P:$R,2,FALSE),"")</f>
        <v/>
      </c>
      <c r="K43" s="384" t="str">
        <f>IFERROR(VLOOKUP(Envoltória!M48,Componentes!$P:$R,3,FALSE),"")</f>
        <v/>
      </c>
      <c r="L43" s="383">
        <f>IF(ISERROR(VLOOKUP(Envoltória!L48,Componentes!K:N,2,FALSE)),0,VLOOKUP(Envoltória!L48,Componentes!K:N,2,FALSE))</f>
        <v>0</v>
      </c>
      <c r="M43" s="383">
        <f>IF(ISERROR(VLOOKUP(Envoltória!L48,Componentes!K:N,3,FALSE)),0,VLOOKUP(Envoltória!L48,Componentes!K:N,3,FALSE))</f>
        <v>0</v>
      </c>
      <c r="N43" s="385" t="str">
        <f>IFERROR(IF(BB43&lt;&gt;0,VLOOKUP(Envoltória!L48,Componentes!K:N,4,FALSE),0),"")</f>
        <v/>
      </c>
      <c r="O43" s="383">
        <f>IF(BF43=1,VLOOKUP(Envoltória!J48,Componentes!B:E,2,FALSE),-6)</f>
        <v>-6</v>
      </c>
      <c r="P43" s="383">
        <f>IF(BF43=1,VLOOKUP(Envoltória!J48,Componentes!B:E,3,FALSE),-400)</f>
        <v>-400</v>
      </c>
      <c r="Q43" s="383">
        <f>IF(BF43=1,VLOOKUP(Envoltória!J48,Componentes!B:E,4,FALSE),0)</f>
        <v>0</v>
      </c>
      <c r="R43" s="384" t="str">
        <f>IFERROR(VLOOKUP(Envoltória!K48,Componentes!G:I,2,FALSE),"")</f>
        <v/>
      </c>
      <c r="S43" s="384" t="str">
        <f>IFERROR(VLOOKUP(Envoltória!K48,Componentes!G:I,3,FALSE),"")</f>
        <v/>
      </c>
      <c r="T43" s="383">
        <f>IFERROR(IF(H43&lt;&gt;0,VLOOKUP(Envoltória!N48,Componentes!T:V,3,FALSE),0),"")</f>
        <v>0</v>
      </c>
      <c r="U43" s="383">
        <f>IFERROR(IF(H43&lt;&gt;0,VLOOKUP(Envoltória!N48,Componentes!T:V,2,FALSE),0),"")</f>
        <v>0</v>
      </c>
      <c r="V43" s="384">
        <f>IFERROR(IF(AA43&lt;&gt;0,VLOOKUP(Envoltória!U48,Componentes!X:Z,2,FALSE),0),"")</f>
        <v>0</v>
      </c>
      <c r="W43" s="384">
        <f>IFERROR(IF(AA43&lt;&gt;0,VLOOKUP(Envoltória!U48,Componentes!X:Z,3,FALSE),0),"")</f>
        <v>0</v>
      </c>
      <c r="X43" s="383" t="str">
        <f>Envoltória!X48</f>
        <v/>
      </c>
      <c r="Y43" s="383">
        <f>Envoltória!V48</f>
        <v>0</v>
      </c>
      <c r="Z43" s="383" t="str">
        <f>Envoltória!W48</f>
        <v/>
      </c>
      <c r="AA43" s="386">
        <f>Envoltória!T48/100</f>
        <v>0</v>
      </c>
      <c r="AB43" s="387"/>
      <c r="AC43" s="387"/>
      <c r="AD43" s="387"/>
      <c r="AE43" s="387"/>
      <c r="AF43" s="387"/>
      <c r="AG43" s="387"/>
      <c r="AH43" s="387"/>
      <c r="AI43" s="387"/>
      <c r="AJ43" s="387"/>
      <c r="AK43" s="387"/>
      <c r="AL43" s="387"/>
      <c r="AM43" s="387"/>
      <c r="AN43" s="387"/>
      <c r="AO43" s="387"/>
      <c r="AP43" s="383">
        <f>IF(BF43=0,90,Envoltória!S48)</f>
        <v>0</v>
      </c>
      <c r="AQ43" s="383">
        <f>IF(BF43=0,90,Envoltória!R48)</f>
        <v>0</v>
      </c>
      <c r="AR43" s="383" t="str">
        <f t="shared" si="6"/>
        <v/>
      </c>
      <c r="AS43" s="383" t="str">
        <f t="shared" si="6"/>
        <v/>
      </c>
      <c r="AT43" s="383" t="str">
        <f t="shared" si="6"/>
        <v/>
      </c>
      <c r="AU43" s="383" t="str">
        <f t="shared" si="6"/>
        <v/>
      </c>
      <c r="AV43" s="383" t="str">
        <f t="shared" si="6"/>
        <v/>
      </c>
      <c r="AW43" s="384" t="str">
        <f>IFERROR(VLOOKUP(Envoltória!$B48,Aux_Lista!$N$2:$T$7,AW$9,FALSE),"")</f>
        <v/>
      </c>
      <c r="AX43" s="384" t="str">
        <f>IFERROR(VLOOKUP(Envoltória!$B48,Aux_Lista!$N$2:$T$7,AX$9,FALSE),"")</f>
        <v/>
      </c>
      <c r="AY43" s="384" t="str">
        <f>IFERROR(VLOOKUP(Envoltória!$B48,Aux_Lista!$N$2:$T$7,AY$9,FALSE),"")</f>
        <v/>
      </c>
      <c r="AZ43" s="384" t="str">
        <f>IFERROR(VLOOKUP(Envoltória!$B48,Aux_Lista!$N$2:$T$7,AZ$9,FALSE),"")</f>
        <v/>
      </c>
      <c r="BA43" s="384" t="str">
        <f>IFERROR(VLOOKUP(Envoltória!$B48,Aux_Lista!$N$2:$T$7,BA$9,FALSE),"")</f>
        <v/>
      </c>
      <c r="BB43" s="384" t="str">
        <f>IFERROR(VLOOKUP(Envoltória!$B48,Aux_Lista!$N$2:$T$7,BB$9,FALSE),"")</f>
        <v/>
      </c>
      <c r="BC43" s="384" t="str">
        <f>IFERROR(VLOOKUP(Envoltória!$H48,Aux_Lista!$V$2:$X$3,BC$9,FALSE),"")</f>
        <v/>
      </c>
      <c r="BD43" s="384" t="str">
        <f>IFERROR(VLOOKUP(Envoltória!$H48,Aux_Lista!$V$2:$X$3,BD$9,FALSE),"")</f>
        <v/>
      </c>
      <c r="BE43" s="382">
        <f t="shared" si="2"/>
        <v>0</v>
      </c>
      <c r="BF43" s="382" t="str">
        <f>IFERROR(VLOOKUP(Envoltória!F48,CB3E_Envoltória!$BQ$18:$BR$19,2,FALSE),"")</f>
        <v/>
      </c>
      <c r="BG43" s="382" t="str">
        <f>IFERROR(VLOOKUP(Envoltória!$G48,$BQ$35:$BZ$43,BG$9,FALSE),"")</f>
        <v/>
      </c>
      <c r="BH43" s="382" t="str">
        <f>IFERROR(VLOOKUP(Envoltória!$G48,$BQ$35:$BZ$43,BH$9,FALSE),"")</f>
        <v/>
      </c>
      <c r="BI43" s="382" t="str">
        <f>IFERROR(VLOOKUP(Envoltória!$G48,$BQ$35:$BZ$43,BI$9,FALSE),"")</f>
        <v/>
      </c>
      <c r="BJ43" s="382" t="str">
        <f>IFERROR(VLOOKUP(Envoltória!$G48,$BQ$35:$BZ$43,BJ$9,FALSE),"")</f>
        <v/>
      </c>
      <c r="BK43" s="382" t="str">
        <f>IFERROR(VLOOKUP(Envoltória!$G48,$BQ$35:$BZ$43,BK$9,FALSE),"")</f>
        <v/>
      </c>
      <c r="BL43" s="382" t="str">
        <f>IFERROR(VLOOKUP(Envoltória!$G48,$BQ$35:$BZ$43,BL$9,FALSE),"")</f>
        <v/>
      </c>
      <c r="BM43" s="382" t="str">
        <f>IFERROR(VLOOKUP(Envoltória!$G48,$BQ$35:$BZ$43,BM$9,FALSE),"")</f>
        <v/>
      </c>
      <c r="BN43" s="382" t="str">
        <f>IFERROR(VLOOKUP(Envoltória!$G48,$BQ$35:$BZ$43,BN$9,FALSE),"")</f>
        <v/>
      </c>
      <c r="BO43" s="382" t="str">
        <f>IFERROR(VLOOKUP(Envoltória!$G48,$BQ$35:$BZ$43,BO$9,FALSE),"")</f>
        <v/>
      </c>
      <c r="BP43" s="1"/>
      <c r="BQ43" s="378" t="s">
        <v>50</v>
      </c>
      <c r="BR43" s="7">
        <v>0</v>
      </c>
      <c r="BS43" s="7">
        <v>0</v>
      </c>
      <c r="BT43" s="7">
        <v>0</v>
      </c>
      <c r="BU43" s="7">
        <v>0</v>
      </c>
      <c r="BV43" s="7">
        <v>0</v>
      </c>
      <c r="BW43" s="7">
        <v>0</v>
      </c>
      <c r="BX43" s="7">
        <v>0</v>
      </c>
      <c r="BY43" s="7">
        <v>0</v>
      </c>
      <c r="BZ43" s="7">
        <v>1</v>
      </c>
      <c r="CA43" s="28">
        <f t="shared" si="5"/>
        <v>1</v>
      </c>
    </row>
    <row r="44" spans="1:79" s="32" customFormat="1" x14ac:dyDescent="0.25">
      <c r="A44" s="1">
        <v>34</v>
      </c>
      <c r="B44" s="370">
        <f>Envoltória!I49</f>
        <v>0</v>
      </c>
      <c r="C44" s="371">
        <f>Envoltória!B49</f>
        <v>0</v>
      </c>
      <c r="D44" s="371">
        <f>Envoltória!C49</f>
        <v>0</v>
      </c>
      <c r="E44" s="381">
        <f>Envoltória!D49</f>
        <v>0</v>
      </c>
      <c r="F44" s="382">
        <f>Envoltória!E49</f>
        <v>0</v>
      </c>
      <c r="G44" s="382">
        <f t="shared" si="1"/>
        <v>0</v>
      </c>
      <c r="H44" s="383">
        <f>Envoltória!O49/100</f>
        <v>0</v>
      </c>
      <c r="I44" s="383">
        <f>IF(BF44=1,Envoltória!Q49,90)</f>
        <v>90</v>
      </c>
      <c r="J44" s="384" t="str">
        <f>IFERROR(VLOOKUP(Envoltória!M49,Componentes!$P:$R,2,FALSE),"")</f>
        <v/>
      </c>
      <c r="K44" s="384" t="str">
        <f>IFERROR(VLOOKUP(Envoltória!M49,Componentes!$P:$R,3,FALSE),"")</f>
        <v/>
      </c>
      <c r="L44" s="383">
        <f>IF(ISERROR(VLOOKUP(Envoltória!L49,Componentes!K:N,2,FALSE)),0,VLOOKUP(Envoltória!L49,Componentes!K:N,2,FALSE))</f>
        <v>0</v>
      </c>
      <c r="M44" s="383">
        <f>IF(ISERROR(VLOOKUP(Envoltória!L49,Componentes!K:N,3,FALSE)),0,VLOOKUP(Envoltória!L49,Componentes!K:N,3,FALSE))</f>
        <v>0</v>
      </c>
      <c r="N44" s="385" t="str">
        <f>IFERROR(IF(BB44&lt;&gt;0,VLOOKUP(Envoltória!L49,Componentes!K:N,4,FALSE),0),"")</f>
        <v/>
      </c>
      <c r="O44" s="383">
        <f>IF(BF44=1,VLOOKUP(Envoltória!J49,Componentes!B:E,2,FALSE),-6)</f>
        <v>-6</v>
      </c>
      <c r="P44" s="383">
        <f>IF(BF44=1,VLOOKUP(Envoltória!J49,Componentes!B:E,3,FALSE),-400)</f>
        <v>-400</v>
      </c>
      <c r="Q44" s="383">
        <f>IF(BF44=1,VLOOKUP(Envoltória!J49,Componentes!B:E,4,FALSE),0)</f>
        <v>0</v>
      </c>
      <c r="R44" s="384" t="str">
        <f>IFERROR(VLOOKUP(Envoltória!K49,Componentes!G:I,2,FALSE),"")</f>
        <v/>
      </c>
      <c r="S44" s="384" t="str">
        <f>IFERROR(VLOOKUP(Envoltória!K49,Componentes!G:I,3,FALSE),"")</f>
        <v/>
      </c>
      <c r="T44" s="383">
        <f>IFERROR(IF(H44&lt;&gt;0,VLOOKUP(Envoltória!N49,Componentes!T:V,3,FALSE),0),"")</f>
        <v>0</v>
      </c>
      <c r="U44" s="383">
        <f>IFERROR(IF(H44&lt;&gt;0,VLOOKUP(Envoltória!N49,Componentes!T:V,2,FALSE),0),"")</f>
        <v>0</v>
      </c>
      <c r="V44" s="384">
        <f>IFERROR(IF(AA44&lt;&gt;0,VLOOKUP(Envoltória!U49,Componentes!X:Z,2,FALSE),0),"")</f>
        <v>0</v>
      </c>
      <c r="W44" s="384">
        <f>IFERROR(IF(AA44&lt;&gt;0,VLOOKUP(Envoltória!U49,Componentes!X:Z,3,FALSE),0),"")</f>
        <v>0</v>
      </c>
      <c r="X44" s="383" t="str">
        <f>Envoltória!X49</f>
        <v/>
      </c>
      <c r="Y44" s="383">
        <f>Envoltória!V49</f>
        <v>0</v>
      </c>
      <c r="Z44" s="383" t="str">
        <f>Envoltória!W49</f>
        <v/>
      </c>
      <c r="AA44" s="386">
        <f>Envoltória!T49/100</f>
        <v>0</v>
      </c>
      <c r="AB44" s="387"/>
      <c r="AC44" s="387"/>
      <c r="AD44" s="387"/>
      <c r="AE44" s="387"/>
      <c r="AF44" s="387"/>
      <c r="AG44" s="387"/>
      <c r="AH44" s="387"/>
      <c r="AI44" s="387"/>
      <c r="AJ44" s="387"/>
      <c r="AK44" s="387"/>
      <c r="AL44" s="387"/>
      <c r="AM44" s="387"/>
      <c r="AN44" s="387"/>
      <c r="AO44" s="387"/>
      <c r="AP44" s="383">
        <f>IF(BF44=0,90,Envoltória!S49)</f>
        <v>0</v>
      </c>
      <c r="AQ44" s="383">
        <f>IF(BF44=0,90,Envoltória!R49)</f>
        <v>0</v>
      </c>
      <c r="AR44" s="383" t="str">
        <f t="shared" si="6"/>
        <v/>
      </c>
      <c r="AS44" s="383" t="str">
        <f t="shared" si="6"/>
        <v/>
      </c>
      <c r="AT44" s="383" t="str">
        <f t="shared" si="6"/>
        <v/>
      </c>
      <c r="AU44" s="383" t="str">
        <f t="shared" si="6"/>
        <v/>
      </c>
      <c r="AV44" s="383" t="str">
        <f t="shared" si="6"/>
        <v/>
      </c>
      <c r="AW44" s="384" t="str">
        <f>IFERROR(VLOOKUP(Envoltória!$B49,Aux_Lista!$N$2:$T$7,AW$9,FALSE),"")</f>
        <v/>
      </c>
      <c r="AX44" s="384" t="str">
        <f>IFERROR(VLOOKUP(Envoltória!$B49,Aux_Lista!$N$2:$T$7,AX$9,FALSE),"")</f>
        <v/>
      </c>
      <c r="AY44" s="384" t="str">
        <f>IFERROR(VLOOKUP(Envoltória!$B49,Aux_Lista!$N$2:$T$7,AY$9,FALSE),"")</f>
        <v/>
      </c>
      <c r="AZ44" s="384" t="str">
        <f>IFERROR(VLOOKUP(Envoltória!$B49,Aux_Lista!$N$2:$T$7,AZ$9,FALSE),"")</f>
        <v/>
      </c>
      <c r="BA44" s="384" t="str">
        <f>IFERROR(VLOOKUP(Envoltória!$B49,Aux_Lista!$N$2:$T$7,BA$9,FALSE),"")</f>
        <v/>
      </c>
      <c r="BB44" s="384" t="str">
        <f>IFERROR(VLOOKUP(Envoltória!$B49,Aux_Lista!$N$2:$T$7,BB$9,FALSE),"")</f>
        <v/>
      </c>
      <c r="BC44" s="384" t="str">
        <f>IFERROR(VLOOKUP(Envoltória!$H49,Aux_Lista!$V$2:$X$3,BC$9,FALSE),"")</f>
        <v/>
      </c>
      <c r="BD44" s="384" t="str">
        <f>IFERROR(VLOOKUP(Envoltória!$H49,Aux_Lista!$V$2:$X$3,BD$9,FALSE),"")</f>
        <v/>
      </c>
      <c r="BE44" s="382">
        <f t="shared" si="2"/>
        <v>0</v>
      </c>
      <c r="BF44" s="382" t="str">
        <f>IFERROR(VLOOKUP(Envoltória!F49,CB3E_Envoltória!$BQ$18:$BR$19,2,FALSE),"")</f>
        <v/>
      </c>
      <c r="BG44" s="382" t="str">
        <f>IFERROR(VLOOKUP(Envoltória!$G49,$BQ$35:$BZ$43,BG$9,FALSE),"")</f>
        <v/>
      </c>
      <c r="BH44" s="382" t="str">
        <f>IFERROR(VLOOKUP(Envoltória!$G49,$BQ$35:$BZ$43,BH$9,FALSE),"")</f>
        <v/>
      </c>
      <c r="BI44" s="382" t="str">
        <f>IFERROR(VLOOKUP(Envoltória!$G49,$BQ$35:$BZ$43,BI$9,FALSE),"")</f>
        <v/>
      </c>
      <c r="BJ44" s="382" t="str">
        <f>IFERROR(VLOOKUP(Envoltória!$G49,$BQ$35:$BZ$43,BJ$9,FALSE),"")</f>
        <v/>
      </c>
      <c r="BK44" s="382" t="str">
        <f>IFERROR(VLOOKUP(Envoltória!$G49,$BQ$35:$BZ$43,BK$9,FALSE),"")</f>
        <v/>
      </c>
      <c r="BL44" s="382" t="str">
        <f>IFERROR(VLOOKUP(Envoltória!$G49,$BQ$35:$BZ$43,BL$9,FALSE),"")</f>
        <v/>
      </c>
      <c r="BM44" s="382" t="str">
        <f>IFERROR(VLOOKUP(Envoltória!$G49,$BQ$35:$BZ$43,BM$9,FALSE),"")</f>
        <v/>
      </c>
      <c r="BN44" s="382" t="str">
        <f>IFERROR(VLOOKUP(Envoltória!$G49,$BQ$35:$BZ$43,BN$9,FALSE),"")</f>
        <v/>
      </c>
      <c r="BO44" s="382" t="str">
        <f>IFERROR(VLOOKUP(Envoltória!$G49,$BQ$35:$BZ$43,BO$9,FALSE),"")</f>
        <v/>
      </c>
      <c r="BP44" s="1"/>
    </row>
    <row r="45" spans="1:79" s="32" customFormat="1" x14ac:dyDescent="0.25">
      <c r="A45" s="1">
        <v>35</v>
      </c>
      <c r="B45" s="370">
        <f>Envoltória!I50</f>
        <v>0</v>
      </c>
      <c r="C45" s="371">
        <f>Envoltória!B50</f>
        <v>0</v>
      </c>
      <c r="D45" s="371">
        <f>Envoltória!C50</f>
        <v>0</v>
      </c>
      <c r="E45" s="381">
        <f>Envoltória!D50</f>
        <v>0</v>
      </c>
      <c r="F45" s="382">
        <f>Envoltória!E50</f>
        <v>0</v>
      </c>
      <c r="G45" s="382">
        <f t="shared" si="1"/>
        <v>0</v>
      </c>
      <c r="H45" s="383">
        <f>Envoltória!O50/100</f>
        <v>0</v>
      </c>
      <c r="I45" s="383">
        <f>IF(BF45=1,Envoltória!Q50,90)</f>
        <v>90</v>
      </c>
      <c r="J45" s="384" t="str">
        <f>IFERROR(VLOOKUP(Envoltória!M50,Componentes!$P:$R,2,FALSE),"")</f>
        <v/>
      </c>
      <c r="K45" s="384" t="str">
        <f>IFERROR(VLOOKUP(Envoltória!M50,Componentes!$P:$R,3,FALSE),"")</f>
        <v/>
      </c>
      <c r="L45" s="383">
        <f>IF(ISERROR(VLOOKUP(Envoltória!L50,Componentes!K:N,2,FALSE)),0,VLOOKUP(Envoltória!L50,Componentes!K:N,2,FALSE))</f>
        <v>0</v>
      </c>
      <c r="M45" s="383">
        <f>IF(ISERROR(VLOOKUP(Envoltória!L50,Componentes!K:N,3,FALSE)),0,VLOOKUP(Envoltória!L50,Componentes!K:N,3,FALSE))</f>
        <v>0</v>
      </c>
      <c r="N45" s="385" t="str">
        <f>IFERROR(IF(BB45&lt;&gt;0,VLOOKUP(Envoltória!L50,Componentes!K:N,4,FALSE),0),"")</f>
        <v/>
      </c>
      <c r="O45" s="383">
        <f>IF(BF45=1,VLOOKUP(Envoltória!J50,Componentes!B:E,2,FALSE),-6)</f>
        <v>-6</v>
      </c>
      <c r="P45" s="383">
        <f>IF(BF45=1,VLOOKUP(Envoltória!J50,Componentes!B:E,3,FALSE),-400)</f>
        <v>-400</v>
      </c>
      <c r="Q45" s="383">
        <f>IF(BF45=1,VLOOKUP(Envoltória!J50,Componentes!B:E,4,FALSE),0)</f>
        <v>0</v>
      </c>
      <c r="R45" s="384" t="str">
        <f>IFERROR(VLOOKUP(Envoltória!K50,Componentes!G:I,2,FALSE),"")</f>
        <v/>
      </c>
      <c r="S45" s="384" t="str">
        <f>IFERROR(VLOOKUP(Envoltória!K50,Componentes!G:I,3,FALSE),"")</f>
        <v/>
      </c>
      <c r="T45" s="383">
        <f>IFERROR(IF(H45&lt;&gt;0,VLOOKUP(Envoltória!N50,Componentes!T:V,3,FALSE),0),"")</f>
        <v>0</v>
      </c>
      <c r="U45" s="383">
        <f>IFERROR(IF(H45&lt;&gt;0,VLOOKUP(Envoltória!N50,Componentes!T:V,2,FALSE),0),"")</f>
        <v>0</v>
      </c>
      <c r="V45" s="384">
        <f>IFERROR(IF(AA45&lt;&gt;0,VLOOKUP(Envoltória!U50,Componentes!X:Z,2,FALSE),0),"")</f>
        <v>0</v>
      </c>
      <c r="W45" s="384">
        <f>IFERROR(IF(AA45&lt;&gt;0,VLOOKUP(Envoltória!U50,Componentes!X:Z,3,FALSE),0),"")</f>
        <v>0</v>
      </c>
      <c r="X45" s="383" t="str">
        <f>Envoltória!X50</f>
        <v/>
      </c>
      <c r="Y45" s="383">
        <f>Envoltória!V50</f>
        <v>0</v>
      </c>
      <c r="Z45" s="383" t="str">
        <f>Envoltória!W50</f>
        <v/>
      </c>
      <c r="AA45" s="386">
        <f>Envoltória!T50/100</f>
        <v>0</v>
      </c>
      <c r="AB45" s="387"/>
      <c r="AC45" s="387"/>
      <c r="AD45" s="387"/>
      <c r="AE45" s="387"/>
      <c r="AF45" s="387"/>
      <c r="AG45" s="387"/>
      <c r="AH45" s="387"/>
      <c r="AI45" s="387"/>
      <c r="AJ45" s="387"/>
      <c r="AK45" s="387"/>
      <c r="AL45" s="387"/>
      <c r="AM45" s="387"/>
      <c r="AN45" s="387"/>
      <c r="AO45" s="387"/>
      <c r="AP45" s="383">
        <f>IF(BF45=0,90,Envoltória!S50)</f>
        <v>0</v>
      </c>
      <c r="AQ45" s="383">
        <f>IF(BF45=0,90,Envoltória!R50)</f>
        <v>0</v>
      </c>
      <c r="AR45" s="383" t="str">
        <f t="shared" si="6"/>
        <v/>
      </c>
      <c r="AS45" s="383" t="str">
        <f t="shared" si="6"/>
        <v/>
      </c>
      <c r="AT45" s="383" t="str">
        <f t="shared" si="6"/>
        <v/>
      </c>
      <c r="AU45" s="383" t="str">
        <f t="shared" si="6"/>
        <v/>
      </c>
      <c r="AV45" s="383" t="str">
        <f t="shared" si="6"/>
        <v/>
      </c>
      <c r="AW45" s="384" t="str">
        <f>IFERROR(VLOOKUP(Envoltória!$B50,Aux_Lista!$N$2:$T$7,AW$9,FALSE),"")</f>
        <v/>
      </c>
      <c r="AX45" s="384" t="str">
        <f>IFERROR(VLOOKUP(Envoltória!$B50,Aux_Lista!$N$2:$T$7,AX$9,FALSE),"")</f>
        <v/>
      </c>
      <c r="AY45" s="384" t="str">
        <f>IFERROR(VLOOKUP(Envoltória!$B50,Aux_Lista!$N$2:$T$7,AY$9,FALSE),"")</f>
        <v/>
      </c>
      <c r="AZ45" s="384" t="str">
        <f>IFERROR(VLOOKUP(Envoltória!$B50,Aux_Lista!$N$2:$T$7,AZ$9,FALSE),"")</f>
        <v/>
      </c>
      <c r="BA45" s="384" t="str">
        <f>IFERROR(VLOOKUP(Envoltória!$B50,Aux_Lista!$N$2:$T$7,BA$9,FALSE),"")</f>
        <v/>
      </c>
      <c r="BB45" s="384" t="str">
        <f>IFERROR(VLOOKUP(Envoltória!$B50,Aux_Lista!$N$2:$T$7,BB$9,FALSE),"")</f>
        <v/>
      </c>
      <c r="BC45" s="384" t="str">
        <f>IFERROR(VLOOKUP(Envoltória!$H50,Aux_Lista!$V$2:$X$3,BC$9,FALSE),"")</f>
        <v/>
      </c>
      <c r="BD45" s="384" t="str">
        <f>IFERROR(VLOOKUP(Envoltória!$H50,Aux_Lista!$V$2:$X$3,BD$9,FALSE),"")</f>
        <v/>
      </c>
      <c r="BE45" s="382">
        <f t="shared" si="2"/>
        <v>0</v>
      </c>
      <c r="BF45" s="382" t="str">
        <f>IFERROR(VLOOKUP(Envoltória!F50,CB3E_Envoltória!$BQ$18:$BR$19,2,FALSE),"")</f>
        <v/>
      </c>
      <c r="BG45" s="382" t="str">
        <f>IFERROR(VLOOKUP(Envoltória!$G50,$BQ$35:$BZ$43,BG$9,FALSE),"")</f>
        <v/>
      </c>
      <c r="BH45" s="382" t="str">
        <f>IFERROR(VLOOKUP(Envoltória!$G50,$BQ$35:$BZ$43,BH$9,FALSE),"")</f>
        <v/>
      </c>
      <c r="BI45" s="382" t="str">
        <f>IFERROR(VLOOKUP(Envoltória!$G50,$BQ$35:$BZ$43,BI$9,FALSE),"")</f>
        <v/>
      </c>
      <c r="BJ45" s="382" t="str">
        <f>IFERROR(VLOOKUP(Envoltória!$G50,$BQ$35:$BZ$43,BJ$9,FALSE),"")</f>
        <v/>
      </c>
      <c r="BK45" s="382" t="str">
        <f>IFERROR(VLOOKUP(Envoltória!$G50,$BQ$35:$BZ$43,BK$9,FALSE),"")</f>
        <v/>
      </c>
      <c r="BL45" s="382" t="str">
        <f>IFERROR(VLOOKUP(Envoltória!$G50,$BQ$35:$BZ$43,BL$9,FALSE),"")</f>
        <v/>
      </c>
      <c r="BM45" s="382" t="str">
        <f>IFERROR(VLOOKUP(Envoltória!$G50,$BQ$35:$BZ$43,BM$9,FALSE),"")</f>
        <v/>
      </c>
      <c r="BN45" s="382" t="str">
        <f>IFERROR(VLOOKUP(Envoltória!$G50,$BQ$35:$BZ$43,BN$9,FALSE),"")</f>
        <v/>
      </c>
      <c r="BO45" s="382" t="str">
        <f>IFERROR(VLOOKUP(Envoltória!$G50,$BQ$35:$BZ$43,BO$9,FALSE),"")</f>
        <v/>
      </c>
      <c r="BP45" s="1"/>
    </row>
    <row r="46" spans="1:79" s="32" customFormat="1" x14ac:dyDescent="0.25">
      <c r="A46" s="1">
        <v>36</v>
      </c>
      <c r="B46" s="370">
        <f>Envoltória!I51</f>
        <v>0</v>
      </c>
      <c r="C46" s="371">
        <f>Envoltória!B51</f>
        <v>0</v>
      </c>
      <c r="D46" s="371">
        <f>Envoltória!C51</f>
        <v>0</v>
      </c>
      <c r="E46" s="381">
        <f>Envoltória!D51</f>
        <v>0</v>
      </c>
      <c r="F46" s="382">
        <f>Envoltória!E51</f>
        <v>0</v>
      </c>
      <c r="G46" s="382">
        <f t="shared" si="1"/>
        <v>0</v>
      </c>
      <c r="H46" s="383">
        <f>Envoltória!O51/100</f>
        <v>0</v>
      </c>
      <c r="I46" s="383">
        <f>IF(BF46=1,Envoltória!Q51,90)</f>
        <v>90</v>
      </c>
      <c r="J46" s="384" t="str">
        <f>IFERROR(VLOOKUP(Envoltória!M51,Componentes!$P:$R,2,FALSE),"")</f>
        <v/>
      </c>
      <c r="K46" s="384" t="str">
        <f>IFERROR(VLOOKUP(Envoltória!M51,Componentes!$P:$R,3,FALSE),"")</f>
        <v/>
      </c>
      <c r="L46" s="383">
        <f>IF(ISERROR(VLOOKUP(Envoltória!L51,Componentes!K:N,2,FALSE)),0,VLOOKUP(Envoltória!L51,Componentes!K:N,2,FALSE))</f>
        <v>0</v>
      </c>
      <c r="M46" s="383">
        <f>IF(ISERROR(VLOOKUP(Envoltória!L51,Componentes!K:N,3,FALSE)),0,VLOOKUP(Envoltória!L51,Componentes!K:N,3,FALSE))</f>
        <v>0</v>
      </c>
      <c r="N46" s="385" t="str">
        <f>IFERROR(IF(BB46&lt;&gt;0,VLOOKUP(Envoltória!L51,Componentes!K:N,4,FALSE),0),"")</f>
        <v/>
      </c>
      <c r="O46" s="383">
        <f>IF(BF46=1,VLOOKUP(Envoltória!J51,Componentes!B:E,2,FALSE),-6)</f>
        <v>-6</v>
      </c>
      <c r="P46" s="383">
        <f>IF(BF46=1,VLOOKUP(Envoltória!J51,Componentes!B:E,3,FALSE),-400)</f>
        <v>-400</v>
      </c>
      <c r="Q46" s="383">
        <f>IF(BF46=1,VLOOKUP(Envoltória!J51,Componentes!B:E,4,FALSE),0)</f>
        <v>0</v>
      </c>
      <c r="R46" s="384" t="str">
        <f>IFERROR(VLOOKUP(Envoltória!K51,Componentes!G:I,2,FALSE),"")</f>
        <v/>
      </c>
      <c r="S46" s="384" t="str">
        <f>IFERROR(VLOOKUP(Envoltória!K51,Componentes!G:I,3,FALSE),"")</f>
        <v/>
      </c>
      <c r="T46" s="383">
        <f>IFERROR(IF(H46&lt;&gt;0,VLOOKUP(Envoltória!N51,Componentes!T:V,3,FALSE),0),"")</f>
        <v>0</v>
      </c>
      <c r="U46" s="383">
        <f>IFERROR(IF(H46&lt;&gt;0,VLOOKUP(Envoltória!N51,Componentes!T:V,2,FALSE),0),"")</f>
        <v>0</v>
      </c>
      <c r="V46" s="384">
        <f>IFERROR(IF(AA46&lt;&gt;0,VLOOKUP(Envoltória!U51,Componentes!X:Z,2,FALSE),0),"")</f>
        <v>0</v>
      </c>
      <c r="W46" s="384">
        <f>IFERROR(IF(AA46&lt;&gt;0,VLOOKUP(Envoltória!U51,Componentes!X:Z,3,FALSE),0),"")</f>
        <v>0</v>
      </c>
      <c r="X46" s="383" t="str">
        <f>Envoltória!X51</f>
        <v/>
      </c>
      <c r="Y46" s="383">
        <f>Envoltória!V51</f>
        <v>0</v>
      </c>
      <c r="Z46" s="383" t="str">
        <f>Envoltória!W51</f>
        <v/>
      </c>
      <c r="AA46" s="386">
        <f>Envoltória!T51/100</f>
        <v>0</v>
      </c>
      <c r="AB46" s="387"/>
      <c r="AC46" s="387"/>
      <c r="AD46" s="387"/>
      <c r="AE46" s="387"/>
      <c r="AF46" s="387"/>
      <c r="AG46" s="387"/>
      <c r="AH46" s="387"/>
      <c r="AI46" s="387"/>
      <c r="AJ46" s="387"/>
      <c r="AK46" s="387"/>
      <c r="AL46" s="387"/>
      <c r="AM46" s="387"/>
      <c r="AN46" s="387"/>
      <c r="AO46" s="387"/>
      <c r="AP46" s="383">
        <f>IF(BF46=0,90,Envoltória!S51)</f>
        <v>0</v>
      </c>
      <c r="AQ46" s="383">
        <f>IF(BF46=0,90,Envoltória!R51)</f>
        <v>0</v>
      </c>
      <c r="AR46" s="383" t="str">
        <f t="shared" si="6"/>
        <v/>
      </c>
      <c r="AS46" s="383" t="str">
        <f t="shared" si="6"/>
        <v/>
      </c>
      <c r="AT46" s="383" t="str">
        <f t="shared" si="6"/>
        <v/>
      </c>
      <c r="AU46" s="383" t="str">
        <f t="shared" si="6"/>
        <v/>
      </c>
      <c r="AV46" s="383" t="str">
        <f t="shared" si="6"/>
        <v/>
      </c>
      <c r="AW46" s="384" t="str">
        <f>IFERROR(VLOOKUP(Envoltória!$B51,Aux_Lista!$N$2:$T$7,AW$9,FALSE),"")</f>
        <v/>
      </c>
      <c r="AX46" s="384" t="str">
        <f>IFERROR(VLOOKUP(Envoltória!$B51,Aux_Lista!$N$2:$T$7,AX$9,FALSE),"")</f>
        <v/>
      </c>
      <c r="AY46" s="384" t="str">
        <f>IFERROR(VLOOKUP(Envoltória!$B51,Aux_Lista!$N$2:$T$7,AY$9,FALSE),"")</f>
        <v/>
      </c>
      <c r="AZ46" s="384" t="str">
        <f>IFERROR(VLOOKUP(Envoltória!$B51,Aux_Lista!$N$2:$T$7,AZ$9,FALSE),"")</f>
        <v/>
      </c>
      <c r="BA46" s="384" t="str">
        <f>IFERROR(VLOOKUP(Envoltória!$B51,Aux_Lista!$N$2:$T$7,BA$9,FALSE),"")</f>
        <v/>
      </c>
      <c r="BB46" s="384" t="str">
        <f>IFERROR(VLOOKUP(Envoltória!$B51,Aux_Lista!$N$2:$T$7,BB$9,FALSE),"")</f>
        <v/>
      </c>
      <c r="BC46" s="384" t="str">
        <f>IFERROR(VLOOKUP(Envoltória!$H51,Aux_Lista!$V$2:$X$3,BC$9,FALSE),"")</f>
        <v/>
      </c>
      <c r="BD46" s="384" t="str">
        <f>IFERROR(VLOOKUP(Envoltória!$H51,Aux_Lista!$V$2:$X$3,BD$9,FALSE),"")</f>
        <v/>
      </c>
      <c r="BE46" s="382">
        <f t="shared" si="2"/>
        <v>0</v>
      </c>
      <c r="BF46" s="382" t="str">
        <f>IFERROR(VLOOKUP(Envoltória!F51,CB3E_Envoltória!$BQ$18:$BR$19,2,FALSE),"")</f>
        <v/>
      </c>
      <c r="BG46" s="382" t="str">
        <f>IFERROR(VLOOKUP(Envoltória!$G51,$BQ$35:$BZ$43,BG$9,FALSE),"")</f>
        <v/>
      </c>
      <c r="BH46" s="382" t="str">
        <f>IFERROR(VLOOKUP(Envoltória!$G51,$BQ$35:$BZ$43,BH$9,FALSE),"")</f>
        <v/>
      </c>
      <c r="BI46" s="382" t="str">
        <f>IFERROR(VLOOKUP(Envoltória!$G51,$BQ$35:$BZ$43,BI$9,FALSE),"")</f>
        <v/>
      </c>
      <c r="BJ46" s="382" t="str">
        <f>IFERROR(VLOOKUP(Envoltória!$G51,$BQ$35:$BZ$43,BJ$9,FALSE),"")</f>
        <v/>
      </c>
      <c r="BK46" s="382" t="str">
        <f>IFERROR(VLOOKUP(Envoltória!$G51,$BQ$35:$BZ$43,BK$9,FALSE),"")</f>
        <v/>
      </c>
      <c r="BL46" s="382" t="str">
        <f>IFERROR(VLOOKUP(Envoltória!$G51,$BQ$35:$BZ$43,BL$9,FALSE),"")</f>
        <v/>
      </c>
      <c r="BM46" s="382" t="str">
        <f>IFERROR(VLOOKUP(Envoltória!$G51,$BQ$35:$BZ$43,BM$9,FALSE),"")</f>
        <v/>
      </c>
      <c r="BN46" s="382" t="str">
        <f>IFERROR(VLOOKUP(Envoltória!$G51,$BQ$35:$BZ$43,BN$9,FALSE),"")</f>
        <v/>
      </c>
      <c r="BO46" s="382" t="str">
        <f>IFERROR(VLOOKUP(Envoltória!$G51,$BQ$35:$BZ$43,BO$9,FALSE),"")</f>
        <v/>
      </c>
      <c r="BP46" s="1"/>
    </row>
    <row r="47" spans="1:79" s="32" customFormat="1" x14ac:dyDescent="0.25">
      <c r="A47" s="1">
        <v>37</v>
      </c>
      <c r="B47" s="370">
        <f>Envoltória!I52</f>
        <v>0</v>
      </c>
      <c r="C47" s="371">
        <f>Envoltória!B52</f>
        <v>0</v>
      </c>
      <c r="D47" s="371">
        <f>Envoltória!C52</f>
        <v>0</v>
      </c>
      <c r="E47" s="381">
        <f>Envoltória!D52</f>
        <v>0</v>
      </c>
      <c r="F47" s="382">
        <f>Envoltória!E52</f>
        <v>0</v>
      </c>
      <c r="G47" s="382">
        <f t="shared" si="1"/>
        <v>0</v>
      </c>
      <c r="H47" s="383">
        <f>Envoltória!O52/100</f>
        <v>0</v>
      </c>
      <c r="I47" s="383">
        <f>IF(BF47=1,Envoltória!Q52,90)</f>
        <v>90</v>
      </c>
      <c r="J47" s="384" t="str">
        <f>IFERROR(VLOOKUP(Envoltória!M52,Componentes!$P:$R,2,FALSE),"")</f>
        <v/>
      </c>
      <c r="K47" s="384" t="str">
        <f>IFERROR(VLOOKUP(Envoltória!M52,Componentes!$P:$R,3,FALSE),"")</f>
        <v/>
      </c>
      <c r="L47" s="383">
        <f>IF(ISERROR(VLOOKUP(Envoltória!L52,Componentes!K:N,2,FALSE)),0,VLOOKUP(Envoltória!L52,Componentes!K:N,2,FALSE))</f>
        <v>0</v>
      </c>
      <c r="M47" s="383">
        <f>IF(ISERROR(VLOOKUP(Envoltória!L52,Componentes!K:N,3,FALSE)),0,VLOOKUP(Envoltória!L52,Componentes!K:N,3,FALSE))</f>
        <v>0</v>
      </c>
      <c r="N47" s="385" t="str">
        <f>IFERROR(IF(BB47&lt;&gt;0,VLOOKUP(Envoltória!L52,Componentes!K:N,4,FALSE),0),"")</f>
        <v/>
      </c>
      <c r="O47" s="383">
        <f>IF(BF47=1,VLOOKUP(Envoltória!J52,Componentes!B:E,2,FALSE),-6)</f>
        <v>-6</v>
      </c>
      <c r="P47" s="383">
        <f>IF(BF47=1,VLOOKUP(Envoltória!J52,Componentes!B:E,3,FALSE),-400)</f>
        <v>-400</v>
      </c>
      <c r="Q47" s="383">
        <f>IF(BF47=1,VLOOKUP(Envoltória!J52,Componentes!B:E,4,FALSE),0)</f>
        <v>0</v>
      </c>
      <c r="R47" s="384" t="str">
        <f>IFERROR(VLOOKUP(Envoltória!K52,Componentes!G:I,2,FALSE),"")</f>
        <v/>
      </c>
      <c r="S47" s="384" t="str">
        <f>IFERROR(VLOOKUP(Envoltória!K52,Componentes!G:I,3,FALSE),"")</f>
        <v/>
      </c>
      <c r="T47" s="383">
        <f>IFERROR(IF(H47&lt;&gt;0,VLOOKUP(Envoltória!N52,Componentes!T:V,3,FALSE),0),"")</f>
        <v>0</v>
      </c>
      <c r="U47" s="383">
        <f>IFERROR(IF(H47&lt;&gt;0,VLOOKUP(Envoltória!N52,Componentes!T:V,2,FALSE),0),"")</f>
        <v>0</v>
      </c>
      <c r="V47" s="384">
        <f>IFERROR(IF(AA47&lt;&gt;0,VLOOKUP(Envoltória!U52,Componentes!X:Z,2,FALSE),0),"")</f>
        <v>0</v>
      </c>
      <c r="W47" s="384">
        <f>IFERROR(IF(AA47&lt;&gt;0,VLOOKUP(Envoltória!U52,Componentes!X:Z,3,FALSE),0),"")</f>
        <v>0</v>
      </c>
      <c r="X47" s="383" t="str">
        <f>Envoltória!X52</f>
        <v/>
      </c>
      <c r="Y47" s="383">
        <f>Envoltória!V52</f>
        <v>0</v>
      </c>
      <c r="Z47" s="383" t="str">
        <f>Envoltória!W52</f>
        <v/>
      </c>
      <c r="AA47" s="386">
        <f>Envoltória!T52/100</f>
        <v>0</v>
      </c>
      <c r="AB47" s="387"/>
      <c r="AC47" s="387"/>
      <c r="AD47" s="387"/>
      <c r="AE47" s="387"/>
      <c r="AF47" s="387"/>
      <c r="AG47" s="387"/>
      <c r="AH47" s="387"/>
      <c r="AI47" s="387"/>
      <c r="AJ47" s="387"/>
      <c r="AK47" s="387"/>
      <c r="AL47" s="387"/>
      <c r="AM47" s="387"/>
      <c r="AN47" s="387"/>
      <c r="AO47" s="387"/>
      <c r="AP47" s="383">
        <f>IF(BF47=0,90,Envoltória!S52)</f>
        <v>0</v>
      </c>
      <c r="AQ47" s="383">
        <f>IF(BF47=0,90,Envoltória!R52)</f>
        <v>0</v>
      </c>
      <c r="AR47" s="383" t="str">
        <f t="shared" si="6"/>
        <v/>
      </c>
      <c r="AS47" s="383" t="str">
        <f t="shared" si="6"/>
        <v/>
      </c>
      <c r="AT47" s="383" t="str">
        <f t="shared" si="6"/>
        <v/>
      </c>
      <c r="AU47" s="383" t="str">
        <f t="shared" si="6"/>
        <v/>
      </c>
      <c r="AV47" s="383" t="str">
        <f t="shared" si="6"/>
        <v/>
      </c>
      <c r="AW47" s="384" t="str">
        <f>IFERROR(VLOOKUP(Envoltória!$B52,Aux_Lista!$N$2:$T$7,AW$9,FALSE),"")</f>
        <v/>
      </c>
      <c r="AX47" s="384" t="str">
        <f>IFERROR(VLOOKUP(Envoltória!$B52,Aux_Lista!$N$2:$T$7,AX$9,FALSE),"")</f>
        <v/>
      </c>
      <c r="AY47" s="384" t="str">
        <f>IFERROR(VLOOKUP(Envoltória!$B52,Aux_Lista!$N$2:$T$7,AY$9,FALSE),"")</f>
        <v/>
      </c>
      <c r="AZ47" s="384" t="str">
        <f>IFERROR(VLOOKUP(Envoltória!$B52,Aux_Lista!$N$2:$T$7,AZ$9,FALSE),"")</f>
        <v/>
      </c>
      <c r="BA47" s="384" t="str">
        <f>IFERROR(VLOOKUP(Envoltória!$B52,Aux_Lista!$N$2:$T$7,BA$9,FALSE),"")</f>
        <v/>
      </c>
      <c r="BB47" s="384" t="str">
        <f>IFERROR(VLOOKUP(Envoltória!$B52,Aux_Lista!$N$2:$T$7,BB$9,FALSE),"")</f>
        <v/>
      </c>
      <c r="BC47" s="384" t="str">
        <f>IFERROR(VLOOKUP(Envoltória!$H52,Aux_Lista!$V$2:$X$3,BC$9,FALSE),"")</f>
        <v/>
      </c>
      <c r="BD47" s="384" t="str">
        <f>IFERROR(VLOOKUP(Envoltória!$H52,Aux_Lista!$V$2:$X$3,BD$9,FALSE),"")</f>
        <v/>
      </c>
      <c r="BE47" s="382">
        <f t="shared" si="2"/>
        <v>0</v>
      </c>
      <c r="BF47" s="382" t="str">
        <f>IFERROR(VLOOKUP(Envoltória!F52,CB3E_Envoltória!$BQ$18:$BR$19,2,FALSE),"")</f>
        <v/>
      </c>
      <c r="BG47" s="382" t="str">
        <f>IFERROR(VLOOKUP(Envoltória!$G52,$BQ$35:$BZ$43,BG$9,FALSE),"")</f>
        <v/>
      </c>
      <c r="BH47" s="382" t="str">
        <f>IFERROR(VLOOKUP(Envoltória!$G52,$BQ$35:$BZ$43,BH$9,FALSE),"")</f>
        <v/>
      </c>
      <c r="BI47" s="382" t="str">
        <f>IFERROR(VLOOKUP(Envoltória!$G52,$BQ$35:$BZ$43,BI$9,FALSE),"")</f>
        <v/>
      </c>
      <c r="BJ47" s="382" t="str">
        <f>IFERROR(VLOOKUP(Envoltória!$G52,$BQ$35:$BZ$43,BJ$9,FALSE),"")</f>
        <v/>
      </c>
      <c r="BK47" s="382" t="str">
        <f>IFERROR(VLOOKUP(Envoltória!$G52,$BQ$35:$BZ$43,BK$9,FALSE),"")</f>
        <v/>
      </c>
      <c r="BL47" s="382" t="str">
        <f>IFERROR(VLOOKUP(Envoltória!$G52,$BQ$35:$BZ$43,BL$9,FALSE),"")</f>
        <v/>
      </c>
      <c r="BM47" s="382" t="str">
        <f>IFERROR(VLOOKUP(Envoltória!$G52,$BQ$35:$BZ$43,BM$9,FALSE),"")</f>
        <v/>
      </c>
      <c r="BN47" s="382" t="str">
        <f>IFERROR(VLOOKUP(Envoltória!$G52,$BQ$35:$BZ$43,BN$9,FALSE),"")</f>
        <v/>
      </c>
      <c r="BO47" s="382" t="str">
        <f>IFERROR(VLOOKUP(Envoltória!$G52,$BQ$35:$BZ$43,BO$9,FALSE),"")</f>
        <v/>
      </c>
      <c r="BP47" s="1"/>
    </row>
    <row r="48" spans="1:79" s="32" customFormat="1" x14ac:dyDescent="0.25">
      <c r="A48" s="1">
        <v>38</v>
      </c>
      <c r="B48" s="370">
        <f>Envoltória!I53</f>
        <v>0</v>
      </c>
      <c r="C48" s="371">
        <f>Envoltória!B53</f>
        <v>0</v>
      </c>
      <c r="D48" s="371">
        <f>Envoltória!C53</f>
        <v>0</v>
      </c>
      <c r="E48" s="381">
        <f>Envoltória!D53</f>
        <v>0</v>
      </c>
      <c r="F48" s="382">
        <f>Envoltória!E53</f>
        <v>0</v>
      </c>
      <c r="G48" s="382">
        <f t="shared" si="1"/>
        <v>0</v>
      </c>
      <c r="H48" s="383">
        <f>Envoltória!O53/100</f>
        <v>0</v>
      </c>
      <c r="I48" s="383">
        <f>IF(BF48=1,Envoltória!Q53,90)</f>
        <v>90</v>
      </c>
      <c r="J48" s="384" t="str">
        <f>IFERROR(VLOOKUP(Envoltória!M53,Componentes!$P:$R,2,FALSE),"")</f>
        <v/>
      </c>
      <c r="K48" s="384" t="str">
        <f>IFERROR(VLOOKUP(Envoltória!M53,Componentes!$P:$R,3,FALSE),"")</f>
        <v/>
      </c>
      <c r="L48" s="383">
        <f>IF(ISERROR(VLOOKUP(Envoltória!L53,Componentes!K:N,2,FALSE)),0,VLOOKUP(Envoltória!L53,Componentes!K:N,2,FALSE))</f>
        <v>0</v>
      </c>
      <c r="M48" s="383">
        <f>IF(ISERROR(VLOOKUP(Envoltória!L53,Componentes!K:N,3,FALSE)),0,VLOOKUP(Envoltória!L53,Componentes!K:N,3,FALSE))</f>
        <v>0</v>
      </c>
      <c r="N48" s="385" t="str">
        <f>IFERROR(IF(BB48&lt;&gt;0,VLOOKUP(Envoltória!L53,Componentes!K:N,4,FALSE),0),"")</f>
        <v/>
      </c>
      <c r="O48" s="383">
        <f>IF(BF48=1,VLOOKUP(Envoltória!J53,Componentes!B:E,2,FALSE),-6)</f>
        <v>-6</v>
      </c>
      <c r="P48" s="383">
        <f>IF(BF48=1,VLOOKUP(Envoltória!J53,Componentes!B:E,3,FALSE),-400)</f>
        <v>-400</v>
      </c>
      <c r="Q48" s="383">
        <f>IF(BF48=1,VLOOKUP(Envoltória!J53,Componentes!B:E,4,FALSE),0)</f>
        <v>0</v>
      </c>
      <c r="R48" s="384" t="str">
        <f>IFERROR(VLOOKUP(Envoltória!K53,Componentes!G:I,2,FALSE),"")</f>
        <v/>
      </c>
      <c r="S48" s="384" t="str">
        <f>IFERROR(VLOOKUP(Envoltória!K53,Componentes!G:I,3,FALSE),"")</f>
        <v/>
      </c>
      <c r="T48" s="383">
        <f>IFERROR(IF(H48&lt;&gt;0,VLOOKUP(Envoltória!N53,Componentes!T:V,3,FALSE),0),"")</f>
        <v>0</v>
      </c>
      <c r="U48" s="383">
        <f>IFERROR(IF(H48&lt;&gt;0,VLOOKUP(Envoltória!N53,Componentes!T:V,2,FALSE),0),"")</f>
        <v>0</v>
      </c>
      <c r="V48" s="384">
        <f>IFERROR(IF(AA48&lt;&gt;0,VLOOKUP(Envoltória!U53,Componentes!X:Z,2,FALSE),0),"")</f>
        <v>0</v>
      </c>
      <c r="W48" s="384">
        <f>IFERROR(IF(AA48&lt;&gt;0,VLOOKUP(Envoltória!U53,Componentes!X:Z,3,FALSE),0),"")</f>
        <v>0</v>
      </c>
      <c r="X48" s="383" t="str">
        <f>Envoltória!X53</f>
        <v/>
      </c>
      <c r="Y48" s="383">
        <f>Envoltória!V53</f>
        <v>0</v>
      </c>
      <c r="Z48" s="383" t="str">
        <f>Envoltória!W53</f>
        <v/>
      </c>
      <c r="AA48" s="386">
        <f>Envoltória!T53/100</f>
        <v>0</v>
      </c>
      <c r="AB48" s="387"/>
      <c r="AC48" s="387"/>
      <c r="AD48" s="387"/>
      <c r="AE48" s="387"/>
      <c r="AF48" s="387"/>
      <c r="AG48" s="387"/>
      <c r="AH48" s="387"/>
      <c r="AI48" s="387"/>
      <c r="AJ48" s="387"/>
      <c r="AK48" s="387"/>
      <c r="AL48" s="387"/>
      <c r="AM48" s="387"/>
      <c r="AN48" s="387"/>
      <c r="AO48" s="387"/>
      <c r="AP48" s="383">
        <f>IF(BF48=0,90,Envoltória!S53)</f>
        <v>0</v>
      </c>
      <c r="AQ48" s="383">
        <f>IF(BF48=0,90,Envoltória!R53)</f>
        <v>0</v>
      </c>
      <c r="AR48" s="383" t="str">
        <f t="shared" si="6"/>
        <v/>
      </c>
      <c r="AS48" s="383" t="str">
        <f t="shared" si="6"/>
        <v/>
      </c>
      <c r="AT48" s="383" t="str">
        <f t="shared" si="6"/>
        <v/>
      </c>
      <c r="AU48" s="383" t="str">
        <f t="shared" si="6"/>
        <v/>
      </c>
      <c r="AV48" s="383" t="str">
        <f t="shared" si="6"/>
        <v/>
      </c>
      <c r="AW48" s="384" t="str">
        <f>IFERROR(VLOOKUP(Envoltória!$B53,Aux_Lista!$N$2:$T$7,AW$9,FALSE),"")</f>
        <v/>
      </c>
      <c r="AX48" s="384" t="str">
        <f>IFERROR(VLOOKUP(Envoltória!$B53,Aux_Lista!$N$2:$T$7,AX$9,FALSE),"")</f>
        <v/>
      </c>
      <c r="AY48" s="384" t="str">
        <f>IFERROR(VLOOKUP(Envoltória!$B53,Aux_Lista!$N$2:$T$7,AY$9,FALSE),"")</f>
        <v/>
      </c>
      <c r="AZ48" s="384" t="str">
        <f>IFERROR(VLOOKUP(Envoltória!$B53,Aux_Lista!$N$2:$T$7,AZ$9,FALSE),"")</f>
        <v/>
      </c>
      <c r="BA48" s="384" t="str">
        <f>IFERROR(VLOOKUP(Envoltória!$B53,Aux_Lista!$N$2:$T$7,BA$9,FALSE),"")</f>
        <v/>
      </c>
      <c r="BB48" s="384" t="str">
        <f>IFERROR(VLOOKUP(Envoltória!$B53,Aux_Lista!$N$2:$T$7,BB$9,FALSE),"")</f>
        <v/>
      </c>
      <c r="BC48" s="384" t="str">
        <f>IFERROR(VLOOKUP(Envoltória!$H53,Aux_Lista!$V$2:$X$3,BC$9,FALSE),"")</f>
        <v/>
      </c>
      <c r="BD48" s="384" t="str">
        <f>IFERROR(VLOOKUP(Envoltória!$H53,Aux_Lista!$V$2:$X$3,BD$9,FALSE),"")</f>
        <v/>
      </c>
      <c r="BE48" s="382">
        <f t="shared" si="2"/>
        <v>0</v>
      </c>
      <c r="BF48" s="382" t="str">
        <f>IFERROR(VLOOKUP(Envoltória!F53,CB3E_Envoltória!$BQ$18:$BR$19,2,FALSE),"")</f>
        <v/>
      </c>
      <c r="BG48" s="382" t="str">
        <f>IFERROR(VLOOKUP(Envoltória!$G53,$BQ$35:$BZ$43,BG$9,FALSE),"")</f>
        <v/>
      </c>
      <c r="BH48" s="382" t="str">
        <f>IFERROR(VLOOKUP(Envoltória!$G53,$BQ$35:$BZ$43,BH$9,FALSE),"")</f>
        <v/>
      </c>
      <c r="BI48" s="382" t="str">
        <f>IFERROR(VLOOKUP(Envoltória!$G53,$BQ$35:$BZ$43,BI$9,FALSE),"")</f>
        <v/>
      </c>
      <c r="BJ48" s="382" t="str">
        <f>IFERROR(VLOOKUP(Envoltória!$G53,$BQ$35:$BZ$43,BJ$9,FALSE),"")</f>
        <v/>
      </c>
      <c r="BK48" s="382" t="str">
        <f>IFERROR(VLOOKUP(Envoltória!$G53,$BQ$35:$BZ$43,BK$9,FALSE),"")</f>
        <v/>
      </c>
      <c r="BL48" s="382" t="str">
        <f>IFERROR(VLOOKUP(Envoltória!$G53,$BQ$35:$BZ$43,BL$9,FALSE),"")</f>
        <v/>
      </c>
      <c r="BM48" s="382" t="str">
        <f>IFERROR(VLOOKUP(Envoltória!$G53,$BQ$35:$BZ$43,BM$9,FALSE),"")</f>
        <v/>
      </c>
      <c r="BN48" s="382" t="str">
        <f>IFERROR(VLOOKUP(Envoltória!$G53,$BQ$35:$BZ$43,BN$9,FALSE),"")</f>
        <v/>
      </c>
      <c r="BO48" s="382" t="str">
        <f>IFERROR(VLOOKUP(Envoltória!$G53,$BQ$35:$BZ$43,BO$9,FALSE),"")</f>
        <v/>
      </c>
      <c r="BP48" s="1"/>
    </row>
    <row r="49" spans="1:68" s="32" customFormat="1" x14ac:dyDescent="0.25">
      <c r="A49" s="1">
        <v>39</v>
      </c>
      <c r="B49" s="370">
        <f>Envoltória!I54</f>
        <v>0</v>
      </c>
      <c r="C49" s="371">
        <f>Envoltória!B54</f>
        <v>0</v>
      </c>
      <c r="D49" s="371">
        <f>Envoltória!C54</f>
        <v>0</v>
      </c>
      <c r="E49" s="381">
        <f>Envoltória!D54</f>
        <v>0</v>
      </c>
      <c r="F49" s="382">
        <f>Envoltória!E54</f>
        <v>0</v>
      </c>
      <c r="G49" s="382">
        <f t="shared" si="1"/>
        <v>0</v>
      </c>
      <c r="H49" s="383">
        <f>Envoltória!O54/100</f>
        <v>0</v>
      </c>
      <c r="I49" s="383">
        <f>IF(BF49=1,Envoltória!Q54,90)</f>
        <v>90</v>
      </c>
      <c r="J49" s="384" t="str">
        <f>IFERROR(VLOOKUP(Envoltória!M54,Componentes!$P:$R,2,FALSE),"")</f>
        <v/>
      </c>
      <c r="K49" s="384" t="str">
        <f>IFERROR(VLOOKUP(Envoltória!M54,Componentes!$P:$R,3,FALSE),"")</f>
        <v/>
      </c>
      <c r="L49" s="383">
        <f>IF(ISERROR(VLOOKUP(Envoltória!L54,Componentes!K:N,2,FALSE)),0,VLOOKUP(Envoltória!L54,Componentes!K:N,2,FALSE))</f>
        <v>0</v>
      </c>
      <c r="M49" s="383">
        <f>IF(ISERROR(VLOOKUP(Envoltória!L54,Componentes!K:N,3,FALSE)),0,VLOOKUP(Envoltória!L54,Componentes!K:N,3,FALSE))</f>
        <v>0</v>
      </c>
      <c r="N49" s="385" t="str">
        <f>IFERROR(IF(BB49&lt;&gt;0,VLOOKUP(Envoltória!L54,Componentes!K:N,4,FALSE),0),"")</f>
        <v/>
      </c>
      <c r="O49" s="383">
        <f>IF(BF49=1,VLOOKUP(Envoltória!J54,Componentes!B:E,2,FALSE),-6)</f>
        <v>-6</v>
      </c>
      <c r="P49" s="383">
        <f>IF(BF49=1,VLOOKUP(Envoltória!J54,Componentes!B:E,3,FALSE),-400)</f>
        <v>-400</v>
      </c>
      <c r="Q49" s="383">
        <f>IF(BF49=1,VLOOKUP(Envoltória!J54,Componentes!B:E,4,FALSE),0)</f>
        <v>0</v>
      </c>
      <c r="R49" s="384" t="str">
        <f>IFERROR(VLOOKUP(Envoltória!K54,Componentes!G:I,2,FALSE),"")</f>
        <v/>
      </c>
      <c r="S49" s="384" t="str">
        <f>IFERROR(VLOOKUP(Envoltória!K54,Componentes!G:I,3,FALSE),"")</f>
        <v/>
      </c>
      <c r="T49" s="383">
        <f>IFERROR(IF(H49&lt;&gt;0,VLOOKUP(Envoltória!N54,Componentes!T:V,3,FALSE),0),"")</f>
        <v>0</v>
      </c>
      <c r="U49" s="383">
        <f>IFERROR(IF(H49&lt;&gt;0,VLOOKUP(Envoltória!N54,Componentes!T:V,2,FALSE),0),"")</f>
        <v>0</v>
      </c>
      <c r="V49" s="384">
        <f>IFERROR(IF(AA49&lt;&gt;0,VLOOKUP(Envoltória!U54,Componentes!X:Z,2,FALSE),0),"")</f>
        <v>0</v>
      </c>
      <c r="W49" s="384">
        <f>IFERROR(IF(AA49&lt;&gt;0,VLOOKUP(Envoltória!U54,Componentes!X:Z,3,FALSE),0),"")</f>
        <v>0</v>
      </c>
      <c r="X49" s="383" t="str">
        <f>Envoltória!X54</f>
        <v/>
      </c>
      <c r="Y49" s="383">
        <f>Envoltória!V54</f>
        <v>0</v>
      </c>
      <c r="Z49" s="383" t="str">
        <f>Envoltória!W54</f>
        <v/>
      </c>
      <c r="AA49" s="386">
        <f>Envoltória!T54/100</f>
        <v>0</v>
      </c>
      <c r="AB49" s="387"/>
      <c r="AC49" s="387"/>
      <c r="AD49" s="387"/>
      <c r="AE49" s="387"/>
      <c r="AF49" s="387"/>
      <c r="AG49" s="387"/>
      <c r="AH49" s="387"/>
      <c r="AI49" s="387"/>
      <c r="AJ49" s="387"/>
      <c r="AK49" s="387"/>
      <c r="AL49" s="387"/>
      <c r="AM49" s="387"/>
      <c r="AN49" s="387"/>
      <c r="AO49" s="387"/>
      <c r="AP49" s="383">
        <f>IF(BF49=0,90,Envoltória!S54)</f>
        <v>0</v>
      </c>
      <c r="AQ49" s="383">
        <f>IF(BF49=0,90,Envoltória!R54)</f>
        <v>0</v>
      </c>
      <c r="AR49" s="383" t="str">
        <f t="shared" si="6"/>
        <v/>
      </c>
      <c r="AS49" s="383" t="str">
        <f t="shared" si="6"/>
        <v/>
      </c>
      <c r="AT49" s="383" t="str">
        <f t="shared" si="6"/>
        <v/>
      </c>
      <c r="AU49" s="383" t="str">
        <f t="shared" si="6"/>
        <v/>
      </c>
      <c r="AV49" s="383" t="str">
        <f t="shared" si="6"/>
        <v/>
      </c>
      <c r="AW49" s="384" t="str">
        <f>IFERROR(VLOOKUP(Envoltória!$B54,Aux_Lista!$N$2:$T$7,AW$9,FALSE),"")</f>
        <v/>
      </c>
      <c r="AX49" s="384" t="str">
        <f>IFERROR(VLOOKUP(Envoltória!$B54,Aux_Lista!$N$2:$T$7,AX$9,FALSE),"")</f>
        <v/>
      </c>
      <c r="AY49" s="384" t="str">
        <f>IFERROR(VLOOKUP(Envoltória!$B54,Aux_Lista!$N$2:$T$7,AY$9,FALSE),"")</f>
        <v/>
      </c>
      <c r="AZ49" s="384" t="str">
        <f>IFERROR(VLOOKUP(Envoltória!$B54,Aux_Lista!$N$2:$T$7,AZ$9,FALSE),"")</f>
        <v/>
      </c>
      <c r="BA49" s="384" t="str">
        <f>IFERROR(VLOOKUP(Envoltória!$B54,Aux_Lista!$N$2:$T$7,BA$9,FALSE),"")</f>
        <v/>
      </c>
      <c r="BB49" s="384" t="str">
        <f>IFERROR(VLOOKUP(Envoltória!$B54,Aux_Lista!$N$2:$T$7,BB$9,FALSE),"")</f>
        <v/>
      </c>
      <c r="BC49" s="384" t="str">
        <f>IFERROR(VLOOKUP(Envoltória!$H54,Aux_Lista!$V$2:$X$3,BC$9,FALSE),"")</f>
        <v/>
      </c>
      <c r="BD49" s="384" t="str">
        <f>IFERROR(VLOOKUP(Envoltória!$H54,Aux_Lista!$V$2:$X$3,BD$9,FALSE),"")</f>
        <v/>
      </c>
      <c r="BE49" s="382">
        <f t="shared" si="2"/>
        <v>0</v>
      </c>
      <c r="BF49" s="382" t="str">
        <f>IFERROR(VLOOKUP(Envoltória!F54,CB3E_Envoltória!$BQ$18:$BR$19,2,FALSE),"")</f>
        <v/>
      </c>
      <c r="BG49" s="382" t="str">
        <f>IFERROR(VLOOKUP(Envoltória!$G54,$BQ$35:$BZ$43,BG$9,FALSE),"")</f>
        <v/>
      </c>
      <c r="BH49" s="382" t="str">
        <f>IFERROR(VLOOKUP(Envoltória!$G54,$BQ$35:$BZ$43,BH$9,FALSE),"")</f>
        <v/>
      </c>
      <c r="BI49" s="382" t="str">
        <f>IFERROR(VLOOKUP(Envoltória!$G54,$BQ$35:$BZ$43,BI$9,FALSE),"")</f>
        <v/>
      </c>
      <c r="BJ49" s="382" t="str">
        <f>IFERROR(VLOOKUP(Envoltória!$G54,$BQ$35:$BZ$43,BJ$9,FALSE),"")</f>
        <v/>
      </c>
      <c r="BK49" s="382" t="str">
        <f>IFERROR(VLOOKUP(Envoltória!$G54,$BQ$35:$BZ$43,BK$9,FALSE),"")</f>
        <v/>
      </c>
      <c r="BL49" s="382" t="str">
        <f>IFERROR(VLOOKUP(Envoltória!$G54,$BQ$35:$BZ$43,BL$9,FALSE),"")</f>
        <v/>
      </c>
      <c r="BM49" s="382" t="str">
        <f>IFERROR(VLOOKUP(Envoltória!$G54,$BQ$35:$BZ$43,BM$9,FALSE),"")</f>
        <v/>
      </c>
      <c r="BN49" s="382" t="str">
        <f>IFERROR(VLOOKUP(Envoltória!$G54,$BQ$35:$BZ$43,BN$9,FALSE),"")</f>
        <v/>
      </c>
      <c r="BO49" s="382" t="str">
        <f>IFERROR(VLOOKUP(Envoltória!$G54,$BQ$35:$BZ$43,BO$9,FALSE),"")</f>
        <v/>
      </c>
      <c r="BP49" s="1"/>
    </row>
    <row r="50" spans="1:68" x14ac:dyDescent="0.25">
      <c r="A50" s="1">
        <v>40</v>
      </c>
      <c r="B50" s="370">
        <f>Envoltória!I55</f>
        <v>0</v>
      </c>
      <c r="C50" s="371">
        <f>Envoltória!B55</f>
        <v>0</v>
      </c>
      <c r="D50" s="371">
        <f>Envoltória!C55</f>
        <v>0</v>
      </c>
      <c r="E50" s="381">
        <f>Envoltória!D55</f>
        <v>0</v>
      </c>
      <c r="F50" s="382">
        <f>Envoltória!E55</f>
        <v>0</v>
      </c>
      <c r="G50" s="382">
        <f t="shared" si="1"/>
        <v>0</v>
      </c>
      <c r="H50" s="383">
        <f>Envoltória!O55/100</f>
        <v>0</v>
      </c>
      <c r="I50" s="383">
        <f>IF(BF50=1,Envoltória!Q55,90)</f>
        <v>90</v>
      </c>
      <c r="J50" s="384" t="str">
        <f>IFERROR(VLOOKUP(Envoltória!M55,Componentes!$P:$R,2,FALSE),"")</f>
        <v/>
      </c>
      <c r="K50" s="384" t="str">
        <f>IFERROR(VLOOKUP(Envoltória!M55,Componentes!$P:$R,3,FALSE),"")</f>
        <v/>
      </c>
      <c r="L50" s="383">
        <f>IF(ISERROR(VLOOKUP(Envoltória!L55,Componentes!K:N,2,FALSE)),0,VLOOKUP(Envoltória!L55,Componentes!K:N,2,FALSE))</f>
        <v>0</v>
      </c>
      <c r="M50" s="383">
        <f>IF(ISERROR(VLOOKUP(Envoltória!L55,Componentes!K:N,3,FALSE)),0,VLOOKUP(Envoltória!L55,Componentes!K:N,3,FALSE))</f>
        <v>0</v>
      </c>
      <c r="N50" s="385" t="str">
        <f>IFERROR(IF(BB50&lt;&gt;0,VLOOKUP(Envoltória!L55,Componentes!K:N,4,FALSE),0),"")</f>
        <v/>
      </c>
      <c r="O50" s="383">
        <f>IF(BF50=1,VLOOKUP(Envoltória!J55,Componentes!B:E,2,FALSE),-6)</f>
        <v>-6</v>
      </c>
      <c r="P50" s="383">
        <f>IF(BF50=1,VLOOKUP(Envoltória!J55,Componentes!B:E,3,FALSE),-400)</f>
        <v>-400</v>
      </c>
      <c r="Q50" s="383">
        <f>IF(BF50=1,VLOOKUP(Envoltória!J55,Componentes!B:E,4,FALSE),0)</f>
        <v>0</v>
      </c>
      <c r="R50" s="384" t="str">
        <f>IFERROR(VLOOKUP(Envoltória!K55,Componentes!G:I,2,FALSE),"")</f>
        <v/>
      </c>
      <c r="S50" s="384" t="str">
        <f>IFERROR(VLOOKUP(Envoltória!K55,Componentes!G:I,3,FALSE),"")</f>
        <v/>
      </c>
      <c r="T50" s="383">
        <f>IFERROR(IF(H50&lt;&gt;0,VLOOKUP(Envoltória!N55,Componentes!T:V,3,FALSE),0),"")</f>
        <v>0</v>
      </c>
      <c r="U50" s="383">
        <f>IFERROR(IF(H50&lt;&gt;0,VLOOKUP(Envoltória!N55,Componentes!T:V,2,FALSE),0),"")</f>
        <v>0</v>
      </c>
      <c r="V50" s="384">
        <f>IFERROR(IF(AA50&lt;&gt;0,VLOOKUP(Envoltória!U55,Componentes!X:Z,2,FALSE),0),"")</f>
        <v>0</v>
      </c>
      <c r="W50" s="384">
        <f>IFERROR(IF(AA50&lt;&gt;0,VLOOKUP(Envoltória!U55,Componentes!X:Z,3,FALSE),0),"")</f>
        <v>0</v>
      </c>
      <c r="X50" s="383" t="str">
        <f>Envoltória!X55</f>
        <v/>
      </c>
      <c r="Y50" s="383">
        <f>Envoltória!V55</f>
        <v>0</v>
      </c>
      <c r="Z50" s="383" t="str">
        <f>Envoltória!W55</f>
        <v/>
      </c>
      <c r="AA50" s="386">
        <f>Envoltória!T55/100</f>
        <v>0</v>
      </c>
      <c r="AB50" s="387"/>
      <c r="AC50" s="387"/>
      <c r="AD50" s="387"/>
      <c r="AE50" s="387"/>
      <c r="AF50" s="387"/>
      <c r="AG50" s="387"/>
      <c r="AH50" s="387"/>
      <c r="AI50" s="387"/>
      <c r="AJ50" s="387"/>
      <c r="AK50" s="387"/>
      <c r="AL50" s="387"/>
      <c r="AM50" s="387"/>
      <c r="AN50" s="387"/>
      <c r="AO50" s="387"/>
      <c r="AP50" s="383">
        <f>IF(BF50=0,90,Envoltória!S55)</f>
        <v>0</v>
      </c>
      <c r="AQ50" s="383">
        <f>IF(BF50=0,90,Envoltória!R55)</f>
        <v>0</v>
      </c>
      <c r="AR50" s="383" t="str">
        <f t="shared" si="6"/>
        <v/>
      </c>
      <c r="AS50" s="383" t="str">
        <f t="shared" si="6"/>
        <v/>
      </c>
      <c r="AT50" s="383" t="str">
        <f t="shared" si="6"/>
        <v/>
      </c>
      <c r="AU50" s="383" t="str">
        <f t="shared" si="6"/>
        <v/>
      </c>
      <c r="AV50" s="383" t="str">
        <f t="shared" si="6"/>
        <v/>
      </c>
      <c r="AW50" s="384" t="str">
        <f>IFERROR(VLOOKUP(Envoltória!$B55,Aux_Lista!$N$2:$T$7,AW$9,FALSE),"")</f>
        <v/>
      </c>
      <c r="AX50" s="384" t="str">
        <f>IFERROR(VLOOKUP(Envoltória!$B55,Aux_Lista!$N$2:$T$7,AX$9,FALSE),"")</f>
        <v/>
      </c>
      <c r="AY50" s="384" t="str">
        <f>IFERROR(VLOOKUP(Envoltória!$B55,Aux_Lista!$N$2:$T$7,AY$9,FALSE),"")</f>
        <v/>
      </c>
      <c r="AZ50" s="384" t="str">
        <f>IFERROR(VLOOKUP(Envoltória!$B55,Aux_Lista!$N$2:$T$7,AZ$9,FALSE),"")</f>
        <v/>
      </c>
      <c r="BA50" s="384" t="str">
        <f>IFERROR(VLOOKUP(Envoltória!$B55,Aux_Lista!$N$2:$T$7,BA$9,FALSE),"")</f>
        <v/>
      </c>
      <c r="BB50" s="384" t="str">
        <f>IFERROR(VLOOKUP(Envoltória!$B55,Aux_Lista!$N$2:$T$7,BB$9,FALSE),"")</f>
        <v/>
      </c>
      <c r="BC50" s="384" t="str">
        <f>IFERROR(VLOOKUP(Envoltória!$H55,Aux_Lista!$V$2:$X$3,BC$9,FALSE),"")</f>
        <v/>
      </c>
      <c r="BD50" s="384" t="str">
        <f>IFERROR(VLOOKUP(Envoltória!$H55,Aux_Lista!$V$2:$X$3,BD$9,FALSE),"")</f>
        <v/>
      </c>
      <c r="BE50" s="382">
        <f t="shared" si="2"/>
        <v>0</v>
      </c>
      <c r="BF50" s="382" t="str">
        <f>IFERROR(VLOOKUP(Envoltória!F55,CB3E_Envoltória!$BQ$18:$BR$19,2,FALSE),"")</f>
        <v/>
      </c>
      <c r="BG50" s="382" t="str">
        <f>IFERROR(VLOOKUP(Envoltória!$G55,$BQ$35:$BZ$43,BG$9,FALSE),"")</f>
        <v/>
      </c>
      <c r="BH50" s="382" t="str">
        <f>IFERROR(VLOOKUP(Envoltória!$G55,$BQ$35:$BZ$43,BH$9,FALSE),"")</f>
        <v/>
      </c>
      <c r="BI50" s="382" t="str">
        <f>IFERROR(VLOOKUP(Envoltória!$G55,$BQ$35:$BZ$43,BI$9,FALSE),"")</f>
        <v/>
      </c>
      <c r="BJ50" s="382" t="str">
        <f>IFERROR(VLOOKUP(Envoltória!$G55,$BQ$35:$BZ$43,BJ$9,FALSE),"")</f>
        <v/>
      </c>
      <c r="BK50" s="382" t="str">
        <f>IFERROR(VLOOKUP(Envoltória!$G55,$BQ$35:$BZ$43,BK$9,FALSE),"")</f>
        <v/>
      </c>
      <c r="BL50" s="382" t="str">
        <f>IFERROR(VLOOKUP(Envoltória!$G55,$BQ$35:$BZ$43,BL$9,FALSE),"")</f>
        <v/>
      </c>
      <c r="BM50" s="382" t="str">
        <f>IFERROR(VLOOKUP(Envoltória!$G55,$BQ$35:$BZ$43,BM$9,FALSE),"")</f>
        <v/>
      </c>
      <c r="BN50" s="382" t="str">
        <f>IFERROR(VLOOKUP(Envoltória!$G55,$BQ$35:$BZ$43,BN$9,FALSE),"")</f>
        <v/>
      </c>
      <c r="BO50" s="382" t="str">
        <f>IFERROR(VLOOKUP(Envoltória!$G55,$BQ$35:$BZ$43,BO$9,FALSE),"")</f>
        <v/>
      </c>
    </row>
    <row r="51" spans="1:68" x14ac:dyDescent="0.25">
      <c r="A51" s="1">
        <v>41</v>
      </c>
      <c r="B51" s="370">
        <f>Envoltória!I56</f>
        <v>0</v>
      </c>
      <c r="C51" s="371">
        <f>Envoltória!B56</f>
        <v>0</v>
      </c>
      <c r="D51" s="371">
        <f>Envoltória!C56</f>
        <v>0</v>
      </c>
      <c r="E51" s="381">
        <f>Envoltória!D56</f>
        <v>0</v>
      </c>
      <c r="F51" s="382">
        <f>Envoltória!E56</f>
        <v>0</v>
      </c>
      <c r="G51" s="382">
        <f t="shared" si="1"/>
        <v>0</v>
      </c>
      <c r="H51" s="383">
        <f>Envoltória!O56/100</f>
        <v>0</v>
      </c>
      <c r="I51" s="383">
        <f>IF(BF51=1,Envoltória!Q56,90)</f>
        <v>90</v>
      </c>
      <c r="J51" s="384" t="str">
        <f>IFERROR(VLOOKUP(Envoltória!M56,Componentes!$P:$R,2,FALSE),"")</f>
        <v/>
      </c>
      <c r="K51" s="384" t="str">
        <f>IFERROR(VLOOKUP(Envoltória!M56,Componentes!$P:$R,3,FALSE),"")</f>
        <v/>
      </c>
      <c r="L51" s="383">
        <f>IF(ISERROR(VLOOKUP(Envoltória!L56,Componentes!K:N,2,FALSE)),0,VLOOKUP(Envoltória!L56,Componentes!K:N,2,FALSE))</f>
        <v>0</v>
      </c>
      <c r="M51" s="383">
        <f>IF(ISERROR(VLOOKUP(Envoltória!L56,Componentes!K:N,3,FALSE)),0,VLOOKUP(Envoltória!L56,Componentes!K:N,3,FALSE))</f>
        <v>0</v>
      </c>
      <c r="N51" s="385" t="str">
        <f>IFERROR(IF(BB51&lt;&gt;0,VLOOKUP(Envoltória!L56,Componentes!K:N,4,FALSE),0),"")</f>
        <v/>
      </c>
      <c r="O51" s="383">
        <f>IF(BF51=1,VLOOKUP(Envoltória!J56,Componentes!B:E,2,FALSE),-6)</f>
        <v>-6</v>
      </c>
      <c r="P51" s="383">
        <f>IF(BF51=1,VLOOKUP(Envoltória!J56,Componentes!B:E,3,FALSE),-400)</f>
        <v>-400</v>
      </c>
      <c r="Q51" s="383">
        <f>IF(BF51=1,VLOOKUP(Envoltória!J56,Componentes!B:E,4,FALSE),0)</f>
        <v>0</v>
      </c>
      <c r="R51" s="384" t="str">
        <f>IFERROR(VLOOKUP(Envoltória!K56,Componentes!G:I,2,FALSE),"")</f>
        <v/>
      </c>
      <c r="S51" s="384" t="str">
        <f>IFERROR(VLOOKUP(Envoltória!K56,Componentes!G:I,3,FALSE),"")</f>
        <v/>
      </c>
      <c r="T51" s="383">
        <f>IFERROR(IF(H51&lt;&gt;0,VLOOKUP(Envoltória!N56,Componentes!T:V,3,FALSE),0),"")</f>
        <v>0</v>
      </c>
      <c r="U51" s="383">
        <f>IFERROR(IF(H51&lt;&gt;0,VLOOKUP(Envoltória!N56,Componentes!T:V,2,FALSE),0),"")</f>
        <v>0</v>
      </c>
      <c r="V51" s="384">
        <f>IFERROR(IF(AA51&lt;&gt;0,VLOOKUP(Envoltória!U56,Componentes!X:Z,2,FALSE),0),"")</f>
        <v>0</v>
      </c>
      <c r="W51" s="384">
        <f>IFERROR(IF(AA51&lt;&gt;0,VLOOKUP(Envoltória!U56,Componentes!X:Z,3,FALSE),0),"")</f>
        <v>0</v>
      </c>
      <c r="X51" s="383" t="str">
        <f>Envoltória!X56</f>
        <v/>
      </c>
      <c r="Y51" s="383">
        <f>Envoltória!V56</f>
        <v>0</v>
      </c>
      <c r="Z51" s="383" t="str">
        <f>Envoltória!W56</f>
        <v/>
      </c>
      <c r="AA51" s="386">
        <f>Envoltória!T56/100</f>
        <v>0</v>
      </c>
      <c r="AB51" s="387"/>
      <c r="AC51" s="387"/>
      <c r="AD51" s="387"/>
      <c r="AE51" s="387"/>
      <c r="AF51" s="387"/>
      <c r="AG51" s="387"/>
      <c r="AH51" s="387"/>
      <c r="AI51" s="387"/>
      <c r="AJ51" s="387"/>
      <c r="AK51" s="387"/>
      <c r="AL51" s="387"/>
      <c r="AM51" s="387"/>
      <c r="AN51" s="387"/>
      <c r="AO51" s="387"/>
      <c r="AP51" s="383">
        <f>IF(BF51=0,90,Envoltória!S56)</f>
        <v>0</v>
      </c>
      <c r="AQ51" s="383">
        <f>IF(BF51=0,90,Envoltória!R56)</f>
        <v>0</v>
      </c>
      <c r="AR51" s="383" t="str">
        <f t="shared" ref="AR51:AV60" si="7">IFERROR(VLOOKUP($B51,$BQ$21:$BW$31,AR$9,FALSE),"")</f>
        <v/>
      </c>
      <c r="AS51" s="383" t="str">
        <f t="shared" si="7"/>
        <v/>
      </c>
      <c r="AT51" s="383" t="str">
        <f t="shared" si="7"/>
        <v/>
      </c>
      <c r="AU51" s="383" t="str">
        <f t="shared" si="7"/>
        <v/>
      </c>
      <c r="AV51" s="383" t="str">
        <f t="shared" si="7"/>
        <v/>
      </c>
      <c r="AW51" s="384" t="str">
        <f>IFERROR(VLOOKUP(Envoltória!$B56,Aux_Lista!$N$2:$T$7,AW$9,FALSE),"")</f>
        <v/>
      </c>
      <c r="AX51" s="384" t="str">
        <f>IFERROR(VLOOKUP(Envoltória!$B56,Aux_Lista!$N$2:$T$7,AX$9,FALSE),"")</f>
        <v/>
      </c>
      <c r="AY51" s="384" t="str">
        <f>IFERROR(VLOOKUP(Envoltória!$B56,Aux_Lista!$N$2:$T$7,AY$9,FALSE),"")</f>
        <v/>
      </c>
      <c r="AZ51" s="384" t="str">
        <f>IFERROR(VLOOKUP(Envoltória!$B56,Aux_Lista!$N$2:$T$7,AZ$9,FALSE),"")</f>
        <v/>
      </c>
      <c r="BA51" s="384" t="str">
        <f>IFERROR(VLOOKUP(Envoltória!$B56,Aux_Lista!$N$2:$T$7,BA$9,FALSE),"")</f>
        <v/>
      </c>
      <c r="BB51" s="384" t="str">
        <f>IFERROR(VLOOKUP(Envoltória!$B56,Aux_Lista!$N$2:$T$7,BB$9,FALSE),"")</f>
        <v/>
      </c>
      <c r="BC51" s="384" t="str">
        <f>IFERROR(VLOOKUP(Envoltória!$H56,Aux_Lista!$V$2:$X$3,BC$9,FALSE),"")</f>
        <v/>
      </c>
      <c r="BD51" s="384" t="str">
        <f>IFERROR(VLOOKUP(Envoltória!$H56,Aux_Lista!$V$2:$X$3,BD$9,FALSE),"")</f>
        <v/>
      </c>
      <c r="BE51" s="382">
        <f t="shared" si="2"/>
        <v>0</v>
      </c>
      <c r="BF51" s="382" t="str">
        <f>IFERROR(VLOOKUP(Envoltória!F56,CB3E_Envoltória!$BQ$18:$BR$19,2,FALSE),"")</f>
        <v/>
      </c>
      <c r="BG51" s="382" t="str">
        <f>IFERROR(VLOOKUP(Envoltória!$G56,$BQ$35:$BZ$43,BG$9,FALSE),"")</f>
        <v/>
      </c>
      <c r="BH51" s="382" t="str">
        <f>IFERROR(VLOOKUP(Envoltória!$G56,$BQ$35:$BZ$43,BH$9,FALSE),"")</f>
        <v/>
      </c>
      <c r="BI51" s="382" t="str">
        <f>IFERROR(VLOOKUP(Envoltória!$G56,$BQ$35:$BZ$43,BI$9,FALSE),"")</f>
        <v/>
      </c>
      <c r="BJ51" s="382" t="str">
        <f>IFERROR(VLOOKUP(Envoltória!$G56,$BQ$35:$BZ$43,BJ$9,FALSE),"")</f>
        <v/>
      </c>
      <c r="BK51" s="382" t="str">
        <f>IFERROR(VLOOKUP(Envoltória!$G56,$BQ$35:$BZ$43,BK$9,FALSE),"")</f>
        <v/>
      </c>
      <c r="BL51" s="382" t="str">
        <f>IFERROR(VLOOKUP(Envoltória!$G56,$BQ$35:$BZ$43,BL$9,FALSE),"")</f>
        <v/>
      </c>
      <c r="BM51" s="382" t="str">
        <f>IFERROR(VLOOKUP(Envoltória!$G56,$BQ$35:$BZ$43,BM$9,FALSE),"")</f>
        <v/>
      </c>
      <c r="BN51" s="382" t="str">
        <f>IFERROR(VLOOKUP(Envoltória!$G56,$BQ$35:$BZ$43,BN$9,FALSE),"")</f>
        <v/>
      </c>
      <c r="BO51" s="382" t="str">
        <f>IFERROR(VLOOKUP(Envoltória!$G56,$BQ$35:$BZ$43,BO$9,FALSE),"")</f>
        <v/>
      </c>
    </row>
    <row r="52" spans="1:68" x14ac:dyDescent="0.25">
      <c r="A52" s="1">
        <v>42</v>
      </c>
      <c r="B52" s="370">
        <f>Envoltória!I57</f>
        <v>0</v>
      </c>
      <c r="C52" s="371">
        <f>Envoltória!B57</f>
        <v>0</v>
      </c>
      <c r="D52" s="371">
        <f>Envoltória!C57</f>
        <v>0</v>
      </c>
      <c r="E52" s="381">
        <f>Envoltória!D57</f>
        <v>0</v>
      </c>
      <c r="F52" s="382">
        <f>Envoltória!E57</f>
        <v>0</v>
      </c>
      <c r="G52" s="382">
        <f t="shared" si="1"/>
        <v>0</v>
      </c>
      <c r="H52" s="383">
        <f>Envoltória!O57/100</f>
        <v>0</v>
      </c>
      <c r="I52" s="383">
        <f>IF(BF52=1,Envoltória!Q57,90)</f>
        <v>90</v>
      </c>
      <c r="J52" s="384" t="str">
        <f>IFERROR(VLOOKUP(Envoltória!M57,Componentes!$P:$R,2,FALSE),"")</f>
        <v/>
      </c>
      <c r="K52" s="384" t="str">
        <f>IFERROR(VLOOKUP(Envoltória!M57,Componentes!$P:$R,3,FALSE),"")</f>
        <v/>
      </c>
      <c r="L52" s="383">
        <f>IF(ISERROR(VLOOKUP(Envoltória!L57,Componentes!K:N,2,FALSE)),0,VLOOKUP(Envoltória!L57,Componentes!K:N,2,FALSE))</f>
        <v>0</v>
      </c>
      <c r="M52" s="383">
        <f>IF(ISERROR(VLOOKUP(Envoltória!L57,Componentes!K:N,3,FALSE)),0,VLOOKUP(Envoltória!L57,Componentes!K:N,3,FALSE))</f>
        <v>0</v>
      </c>
      <c r="N52" s="385" t="str">
        <f>IFERROR(IF(BB52&lt;&gt;0,VLOOKUP(Envoltória!L57,Componentes!K:N,4,FALSE),0),"")</f>
        <v/>
      </c>
      <c r="O52" s="383">
        <f>IF(BF52=1,VLOOKUP(Envoltória!J57,Componentes!B:E,2,FALSE),-6)</f>
        <v>-6</v>
      </c>
      <c r="P52" s="383">
        <f>IF(BF52=1,VLOOKUP(Envoltória!J57,Componentes!B:E,3,FALSE),-400)</f>
        <v>-400</v>
      </c>
      <c r="Q52" s="383">
        <f>IF(BF52=1,VLOOKUP(Envoltória!J57,Componentes!B:E,4,FALSE),0)</f>
        <v>0</v>
      </c>
      <c r="R52" s="384" t="str">
        <f>IFERROR(VLOOKUP(Envoltória!K57,Componentes!G:I,2,FALSE),"")</f>
        <v/>
      </c>
      <c r="S52" s="384" t="str">
        <f>IFERROR(VLOOKUP(Envoltória!K57,Componentes!G:I,3,FALSE),"")</f>
        <v/>
      </c>
      <c r="T52" s="383">
        <f>IFERROR(IF(H52&lt;&gt;0,VLOOKUP(Envoltória!N57,Componentes!T:V,3,FALSE),0),"")</f>
        <v>0</v>
      </c>
      <c r="U52" s="383">
        <f>IFERROR(IF(H52&lt;&gt;0,VLOOKUP(Envoltória!N57,Componentes!T:V,2,FALSE),0),"")</f>
        <v>0</v>
      </c>
      <c r="V52" s="384">
        <f>IFERROR(IF(AA52&lt;&gt;0,VLOOKUP(Envoltória!U57,Componentes!X:Z,2,FALSE),0),"")</f>
        <v>0</v>
      </c>
      <c r="W52" s="384">
        <f>IFERROR(IF(AA52&lt;&gt;0,VLOOKUP(Envoltória!U57,Componentes!X:Z,3,FALSE),0),"")</f>
        <v>0</v>
      </c>
      <c r="X52" s="383" t="str">
        <f>Envoltória!X57</f>
        <v/>
      </c>
      <c r="Y52" s="383">
        <f>Envoltória!V57</f>
        <v>0</v>
      </c>
      <c r="Z52" s="383" t="str">
        <f>Envoltória!W57</f>
        <v/>
      </c>
      <c r="AA52" s="386">
        <f>Envoltória!T57/100</f>
        <v>0</v>
      </c>
      <c r="AB52" s="387"/>
      <c r="AC52" s="387"/>
      <c r="AD52" s="387"/>
      <c r="AE52" s="387"/>
      <c r="AF52" s="387"/>
      <c r="AG52" s="387"/>
      <c r="AH52" s="387"/>
      <c r="AI52" s="387"/>
      <c r="AJ52" s="387"/>
      <c r="AK52" s="387"/>
      <c r="AL52" s="387"/>
      <c r="AM52" s="387"/>
      <c r="AN52" s="387"/>
      <c r="AO52" s="387"/>
      <c r="AP52" s="383">
        <f>IF(BF52=0,90,Envoltória!S57)</f>
        <v>0</v>
      </c>
      <c r="AQ52" s="383">
        <f>IF(BF52=0,90,Envoltória!R57)</f>
        <v>0</v>
      </c>
      <c r="AR52" s="383" t="str">
        <f t="shared" si="7"/>
        <v/>
      </c>
      <c r="AS52" s="383" t="str">
        <f t="shared" si="7"/>
        <v/>
      </c>
      <c r="AT52" s="383" t="str">
        <f t="shared" si="7"/>
        <v/>
      </c>
      <c r="AU52" s="383" t="str">
        <f t="shared" si="7"/>
        <v/>
      </c>
      <c r="AV52" s="383" t="str">
        <f t="shared" si="7"/>
        <v/>
      </c>
      <c r="AW52" s="384" t="str">
        <f>IFERROR(VLOOKUP(Envoltória!$B57,Aux_Lista!$N$2:$T$7,AW$9,FALSE),"")</f>
        <v/>
      </c>
      <c r="AX52" s="384" t="str">
        <f>IFERROR(VLOOKUP(Envoltória!$B57,Aux_Lista!$N$2:$T$7,AX$9,FALSE),"")</f>
        <v/>
      </c>
      <c r="AY52" s="384" t="str">
        <f>IFERROR(VLOOKUP(Envoltória!$B57,Aux_Lista!$N$2:$T$7,AY$9,FALSE),"")</f>
        <v/>
      </c>
      <c r="AZ52" s="384" t="str">
        <f>IFERROR(VLOOKUP(Envoltória!$B57,Aux_Lista!$N$2:$T$7,AZ$9,FALSE),"")</f>
        <v/>
      </c>
      <c r="BA52" s="384" t="str">
        <f>IFERROR(VLOOKUP(Envoltória!$B57,Aux_Lista!$N$2:$T$7,BA$9,FALSE),"")</f>
        <v/>
      </c>
      <c r="BB52" s="384" t="str">
        <f>IFERROR(VLOOKUP(Envoltória!$B57,Aux_Lista!$N$2:$T$7,BB$9,FALSE),"")</f>
        <v/>
      </c>
      <c r="BC52" s="384" t="str">
        <f>IFERROR(VLOOKUP(Envoltória!$H57,Aux_Lista!$V$2:$X$3,BC$9,FALSE),"")</f>
        <v/>
      </c>
      <c r="BD52" s="384" t="str">
        <f>IFERROR(VLOOKUP(Envoltória!$H57,Aux_Lista!$V$2:$X$3,BD$9,FALSE),"")</f>
        <v/>
      </c>
      <c r="BE52" s="382">
        <f t="shared" si="2"/>
        <v>0</v>
      </c>
      <c r="BF52" s="382" t="str">
        <f>IFERROR(VLOOKUP(Envoltória!F57,CB3E_Envoltória!$BQ$18:$BR$19,2,FALSE),"")</f>
        <v/>
      </c>
      <c r="BG52" s="382" t="str">
        <f>IFERROR(VLOOKUP(Envoltória!$G57,$BQ$35:$BZ$43,BG$9,FALSE),"")</f>
        <v/>
      </c>
      <c r="BH52" s="382" t="str">
        <f>IFERROR(VLOOKUP(Envoltória!$G57,$BQ$35:$BZ$43,BH$9,FALSE),"")</f>
        <v/>
      </c>
      <c r="BI52" s="382" t="str">
        <f>IFERROR(VLOOKUP(Envoltória!$G57,$BQ$35:$BZ$43,BI$9,FALSE),"")</f>
        <v/>
      </c>
      <c r="BJ52" s="382" t="str">
        <f>IFERROR(VLOOKUP(Envoltória!$G57,$BQ$35:$BZ$43,BJ$9,FALSE),"")</f>
        <v/>
      </c>
      <c r="BK52" s="382" t="str">
        <f>IFERROR(VLOOKUP(Envoltória!$G57,$BQ$35:$BZ$43,BK$9,FALSE),"")</f>
        <v/>
      </c>
      <c r="BL52" s="382" t="str">
        <f>IFERROR(VLOOKUP(Envoltória!$G57,$BQ$35:$BZ$43,BL$9,FALSE),"")</f>
        <v/>
      </c>
      <c r="BM52" s="382" t="str">
        <f>IFERROR(VLOOKUP(Envoltória!$G57,$BQ$35:$BZ$43,BM$9,FALSE),"")</f>
        <v/>
      </c>
      <c r="BN52" s="382" t="str">
        <f>IFERROR(VLOOKUP(Envoltória!$G57,$BQ$35:$BZ$43,BN$9,FALSE),"")</f>
        <v/>
      </c>
      <c r="BO52" s="382" t="str">
        <f>IFERROR(VLOOKUP(Envoltória!$G57,$BQ$35:$BZ$43,BO$9,FALSE),"")</f>
        <v/>
      </c>
    </row>
    <row r="53" spans="1:68" x14ac:dyDescent="0.25">
      <c r="A53" s="1">
        <v>43</v>
      </c>
      <c r="B53" s="370">
        <f>Envoltória!I58</f>
        <v>0</v>
      </c>
      <c r="C53" s="371">
        <f>Envoltória!B58</f>
        <v>0</v>
      </c>
      <c r="D53" s="371">
        <f>Envoltória!C58</f>
        <v>0</v>
      </c>
      <c r="E53" s="381">
        <f>Envoltória!D58</f>
        <v>0</v>
      </c>
      <c r="F53" s="382">
        <f>Envoltória!E58</f>
        <v>0</v>
      </c>
      <c r="G53" s="382">
        <f t="shared" si="1"/>
        <v>0</v>
      </c>
      <c r="H53" s="383">
        <f>Envoltória!O58/100</f>
        <v>0</v>
      </c>
      <c r="I53" s="383">
        <f>IF(BF53=1,Envoltória!Q58,90)</f>
        <v>90</v>
      </c>
      <c r="J53" s="384" t="str">
        <f>IFERROR(VLOOKUP(Envoltória!M58,Componentes!$P:$R,2,FALSE),"")</f>
        <v/>
      </c>
      <c r="K53" s="384" t="str">
        <f>IFERROR(VLOOKUP(Envoltória!M58,Componentes!$P:$R,3,FALSE),"")</f>
        <v/>
      </c>
      <c r="L53" s="383">
        <f>IF(ISERROR(VLOOKUP(Envoltória!L58,Componentes!K:N,2,FALSE)),0,VLOOKUP(Envoltória!L58,Componentes!K:N,2,FALSE))</f>
        <v>0</v>
      </c>
      <c r="M53" s="383">
        <f>IF(ISERROR(VLOOKUP(Envoltória!L58,Componentes!K:N,3,FALSE)),0,VLOOKUP(Envoltória!L58,Componentes!K:N,3,FALSE))</f>
        <v>0</v>
      </c>
      <c r="N53" s="385" t="str">
        <f>IFERROR(IF(BB53&lt;&gt;0,VLOOKUP(Envoltória!L58,Componentes!K:N,4,FALSE),0),"")</f>
        <v/>
      </c>
      <c r="O53" s="383">
        <f>IF(BF53=1,VLOOKUP(Envoltória!J58,Componentes!B:E,2,FALSE),-6)</f>
        <v>-6</v>
      </c>
      <c r="P53" s="383">
        <f>IF(BF53=1,VLOOKUP(Envoltória!J58,Componentes!B:E,3,FALSE),-400)</f>
        <v>-400</v>
      </c>
      <c r="Q53" s="383">
        <f>IF(BF53=1,VLOOKUP(Envoltória!J58,Componentes!B:E,4,FALSE),0)</f>
        <v>0</v>
      </c>
      <c r="R53" s="384" t="str">
        <f>IFERROR(VLOOKUP(Envoltória!K58,Componentes!G:I,2,FALSE),"")</f>
        <v/>
      </c>
      <c r="S53" s="384" t="str">
        <f>IFERROR(VLOOKUP(Envoltória!K58,Componentes!G:I,3,FALSE),"")</f>
        <v/>
      </c>
      <c r="T53" s="383">
        <f>IFERROR(IF(H53&lt;&gt;0,VLOOKUP(Envoltória!N58,Componentes!T:V,3,FALSE),0),"")</f>
        <v>0</v>
      </c>
      <c r="U53" s="383">
        <f>IFERROR(IF(H53&lt;&gt;0,VLOOKUP(Envoltória!N58,Componentes!T:V,2,FALSE),0),"")</f>
        <v>0</v>
      </c>
      <c r="V53" s="384">
        <f>IFERROR(IF(AA53&lt;&gt;0,VLOOKUP(Envoltória!U58,Componentes!X:Z,2,FALSE),0),"")</f>
        <v>0</v>
      </c>
      <c r="W53" s="384">
        <f>IFERROR(IF(AA53&lt;&gt;0,VLOOKUP(Envoltória!U58,Componentes!X:Z,3,FALSE),0),"")</f>
        <v>0</v>
      </c>
      <c r="X53" s="383" t="str">
        <f>Envoltória!X58</f>
        <v/>
      </c>
      <c r="Y53" s="383">
        <f>Envoltória!V58</f>
        <v>0</v>
      </c>
      <c r="Z53" s="383" t="str">
        <f>Envoltória!W58</f>
        <v/>
      </c>
      <c r="AA53" s="386">
        <f>Envoltória!T58/100</f>
        <v>0</v>
      </c>
      <c r="AB53" s="387"/>
      <c r="AC53" s="387"/>
      <c r="AD53" s="387"/>
      <c r="AE53" s="387"/>
      <c r="AF53" s="387"/>
      <c r="AG53" s="387"/>
      <c r="AH53" s="387"/>
      <c r="AI53" s="387"/>
      <c r="AJ53" s="387"/>
      <c r="AK53" s="387"/>
      <c r="AL53" s="387"/>
      <c r="AM53" s="387"/>
      <c r="AN53" s="387"/>
      <c r="AO53" s="387"/>
      <c r="AP53" s="383">
        <f>IF(BF53=0,90,Envoltória!S58)</f>
        <v>0</v>
      </c>
      <c r="AQ53" s="383">
        <f>IF(BF53=0,90,Envoltória!R58)</f>
        <v>0</v>
      </c>
      <c r="AR53" s="383" t="str">
        <f t="shared" si="7"/>
        <v/>
      </c>
      <c r="AS53" s="383" t="str">
        <f t="shared" si="7"/>
        <v/>
      </c>
      <c r="AT53" s="383" t="str">
        <f t="shared" si="7"/>
        <v/>
      </c>
      <c r="AU53" s="383" t="str">
        <f t="shared" si="7"/>
        <v/>
      </c>
      <c r="AV53" s="383" t="str">
        <f t="shared" si="7"/>
        <v/>
      </c>
      <c r="AW53" s="384" t="str">
        <f>IFERROR(VLOOKUP(Envoltória!$B58,Aux_Lista!$N$2:$T$7,AW$9,FALSE),"")</f>
        <v/>
      </c>
      <c r="AX53" s="384" t="str">
        <f>IFERROR(VLOOKUP(Envoltória!$B58,Aux_Lista!$N$2:$T$7,AX$9,FALSE),"")</f>
        <v/>
      </c>
      <c r="AY53" s="384" t="str">
        <f>IFERROR(VLOOKUP(Envoltória!$B58,Aux_Lista!$N$2:$T$7,AY$9,FALSE),"")</f>
        <v/>
      </c>
      <c r="AZ53" s="384" t="str">
        <f>IFERROR(VLOOKUP(Envoltória!$B58,Aux_Lista!$N$2:$T$7,AZ$9,FALSE),"")</f>
        <v/>
      </c>
      <c r="BA53" s="384" t="str">
        <f>IFERROR(VLOOKUP(Envoltória!$B58,Aux_Lista!$N$2:$T$7,BA$9,FALSE),"")</f>
        <v/>
      </c>
      <c r="BB53" s="384" t="str">
        <f>IFERROR(VLOOKUP(Envoltória!$B58,Aux_Lista!$N$2:$T$7,BB$9,FALSE),"")</f>
        <v/>
      </c>
      <c r="BC53" s="384" t="str">
        <f>IFERROR(VLOOKUP(Envoltória!$H58,Aux_Lista!$V$2:$X$3,BC$9,FALSE),"")</f>
        <v/>
      </c>
      <c r="BD53" s="384" t="str">
        <f>IFERROR(VLOOKUP(Envoltória!$H58,Aux_Lista!$V$2:$X$3,BD$9,FALSE),"")</f>
        <v/>
      </c>
      <c r="BE53" s="382">
        <f t="shared" si="2"/>
        <v>0</v>
      </c>
      <c r="BF53" s="382" t="str">
        <f>IFERROR(VLOOKUP(Envoltória!F58,CB3E_Envoltória!$BQ$18:$BR$19,2,FALSE),"")</f>
        <v/>
      </c>
      <c r="BG53" s="382" t="str">
        <f>IFERROR(VLOOKUP(Envoltória!$G58,$BQ$35:$BZ$43,BG$9,FALSE),"")</f>
        <v/>
      </c>
      <c r="BH53" s="382" t="str">
        <f>IFERROR(VLOOKUP(Envoltória!$G58,$BQ$35:$BZ$43,BH$9,FALSE),"")</f>
        <v/>
      </c>
      <c r="BI53" s="382" t="str">
        <f>IFERROR(VLOOKUP(Envoltória!$G58,$BQ$35:$BZ$43,BI$9,FALSE),"")</f>
        <v/>
      </c>
      <c r="BJ53" s="382" t="str">
        <f>IFERROR(VLOOKUP(Envoltória!$G58,$BQ$35:$BZ$43,BJ$9,FALSE),"")</f>
        <v/>
      </c>
      <c r="BK53" s="382" t="str">
        <f>IFERROR(VLOOKUP(Envoltória!$G58,$BQ$35:$BZ$43,BK$9,FALSE),"")</f>
        <v/>
      </c>
      <c r="BL53" s="382" t="str">
        <f>IFERROR(VLOOKUP(Envoltória!$G58,$BQ$35:$BZ$43,BL$9,FALSE),"")</f>
        <v/>
      </c>
      <c r="BM53" s="382" t="str">
        <f>IFERROR(VLOOKUP(Envoltória!$G58,$BQ$35:$BZ$43,BM$9,FALSE),"")</f>
        <v/>
      </c>
      <c r="BN53" s="382" t="str">
        <f>IFERROR(VLOOKUP(Envoltória!$G58,$BQ$35:$BZ$43,BN$9,FALSE),"")</f>
        <v/>
      </c>
      <c r="BO53" s="382" t="str">
        <f>IFERROR(VLOOKUP(Envoltória!$G58,$BQ$35:$BZ$43,BO$9,FALSE),"")</f>
        <v/>
      </c>
    </row>
    <row r="54" spans="1:68" x14ac:dyDescent="0.25">
      <c r="A54" s="1">
        <v>44</v>
      </c>
      <c r="B54" s="370">
        <f>Envoltória!I59</f>
        <v>0</v>
      </c>
      <c r="C54" s="371">
        <f>Envoltória!B59</f>
        <v>0</v>
      </c>
      <c r="D54" s="371">
        <f>Envoltória!C59</f>
        <v>0</v>
      </c>
      <c r="E54" s="381">
        <f>Envoltória!D59</f>
        <v>0</v>
      </c>
      <c r="F54" s="382">
        <f>Envoltória!E59</f>
        <v>0</v>
      </c>
      <c r="G54" s="382">
        <f t="shared" si="1"/>
        <v>0</v>
      </c>
      <c r="H54" s="383">
        <f>Envoltória!O59/100</f>
        <v>0</v>
      </c>
      <c r="I54" s="383">
        <f>IF(BF54=1,Envoltória!Q59,90)</f>
        <v>90</v>
      </c>
      <c r="J54" s="384" t="str">
        <f>IFERROR(VLOOKUP(Envoltória!M59,Componentes!$P:$R,2,FALSE),"")</f>
        <v/>
      </c>
      <c r="K54" s="384" t="str">
        <f>IFERROR(VLOOKUP(Envoltória!M59,Componentes!$P:$R,3,FALSE),"")</f>
        <v/>
      </c>
      <c r="L54" s="383">
        <f>IF(ISERROR(VLOOKUP(Envoltória!L59,Componentes!K:N,2,FALSE)),0,VLOOKUP(Envoltória!L59,Componentes!K:N,2,FALSE))</f>
        <v>0</v>
      </c>
      <c r="M54" s="383">
        <f>IF(ISERROR(VLOOKUP(Envoltória!L59,Componentes!K:N,3,FALSE)),0,VLOOKUP(Envoltória!L59,Componentes!K:N,3,FALSE))</f>
        <v>0</v>
      </c>
      <c r="N54" s="385" t="str">
        <f>IFERROR(IF(BB54&lt;&gt;0,VLOOKUP(Envoltória!L59,Componentes!K:N,4,FALSE),0),"")</f>
        <v/>
      </c>
      <c r="O54" s="383">
        <f>IF(BF54=1,VLOOKUP(Envoltória!J59,Componentes!B:E,2,FALSE),-6)</f>
        <v>-6</v>
      </c>
      <c r="P54" s="383">
        <f>IF(BF54=1,VLOOKUP(Envoltória!J59,Componentes!B:E,3,FALSE),-400)</f>
        <v>-400</v>
      </c>
      <c r="Q54" s="383">
        <f>IF(BF54=1,VLOOKUP(Envoltória!J59,Componentes!B:E,4,FALSE),0)</f>
        <v>0</v>
      </c>
      <c r="R54" s="384" t="str">
        <f>IFERROR(VLOOKUP(Envoltória!K59,Componentes!G:I,2,FALSE),"")</f>
        <v/>
      </c>
      <c r="S54" s="384" t="str">
        <f>IFERROR(VLOOKUP(Envoltória!K59,Componentes!G:I,3,FALSE),"")</f>
        <v/>
      </c>
      <c r="T54" s="383">
        <f>IFERROR(IF(H54&lt;&gt;0,VLOOKUP(Envoltória!N59,Componentes!T:V,3,FALSE),0),"")</f>
        <v>0</v>
      </c>
      <c r="U54" s="383">
        <f>IFERROR(IF(H54&lt;&gt;0,VLOOKUP(Envoltória!N59,Componentes!T:V,2,FALSE),0),"")</f>
        <v>0</v>
      </c>
      <c r="V54" s="384">
        <f>IFERROR(IF(AA54&lt;&gt;0,VLOOKUP(Envoltória!U59,Componentes!X:Z,2,FALSE),0),"")</f>
        <v>0</v>
      </c>
      <c r="W54" s="384">
        <f>IFERROR(IF(AA54&lt;&gt;0,VLOOKUP(Envoltória!U59,Componentes!X:Z,3,FALSE),0),"")</f>
        <v>0</v>
      </c>
      <c r="X54" s="383" t="str">
        <f>Envoltória!X59</f>
        <v/>
      </c>
      <c r="Y54" s="383">
        <f>Envoltória!V59</f>
        <v>0</v>
      </c>
      <c r="Z54" s="383" t="str">
        <f>Envoltória!W59</f>
        <v/>
      </c>
      <c r="AA54" s="386">
        <f>Envoltória!T59/100</f>
        <v>0</v>
      </c>
      <c r="AB54" s="387"/>
      <c r="AC54" s="387"/>
      <c r="AD54" s="387"/>
      <c r="AE54" s="387"/>
      <c r="AF54" s="387"/>
      <c r="AG54" s="387"/>
      <c r="AH54" s="387"/>
      <c r="AI54" s="387"/>
      <c r="AJ54" s="387"/>
      <c r="AK54" s="387"/>
      <c r="AL54" s="387"/>
      <c r="AM54" s="387"/>
      <c r="AN54" s="387"/>
      <c r="AO54" s="387"/>
      <c r="AP54" s="383">
        <f>IF(BF54=0,90,Envoltória!S59)</f>
        <v>0</v>
      </c>
      <c r="AQ54" s="383">
        <f>IF(BF54=0,90,Envoltória!R59)</f>
        <v>0</v>
      </c>
      <c r="AR54" s="383" t="str">
        <f t="shared" si="7"/>
        <v/>
      </c>
      <c r="AS54" s="383" t="str">
        <f t="shared" si="7"/>
        <v/>
      </c>
      <c r="AT54" s="383" t="str">
        <f t="shared" si="7"/>
        <v/>
      </c>
      <c r="AU54" s="383" t="str">
        <f t="shared" si="7"/>
        <v/>
      </c>
      <c r="AV54" s="383" t="str">
        <f t="shared" si="7"/>
        <v/>
      </c>
      <c r="AW54" s="384" t="str">
        <f>IFERROR(VLOOKUP(Envoltória!$B59,Aux_Lista!$N$2:$T$7,AW$9,FALSE),"")</f>
        <v/>
      </c>
      <c r="AX54" s="384" t="str">
        <f>IFERROR(VLOOKUP(Envoltória!$B59,Aux_Lista!$N$2:$T$7,AX$9,FALSE),"")</f>
        <v/>
      </c>
      <c r="AY54" s="384" t="str">
        <f>IFERROR(VLOOKUP(Envoltória!$B59,Aux_Lista!$N$2:$T$7,AY$9,FALSE),"")</f>
        <v/>
      </c>
      <c r="AZ54" s="384" t="str">
        <f>IFERROR(VLOOKUP(Envoltória!$B59,Aux_Lista!$N$2:$T$7,AZ$9,FALSE),"")</f>
        <v/>
      </c>
      <c r="BA54" s="384" t="str">
        <f>IFERROR(VLOOKUP(Envoltória!$B59,Aux_Lista!$N$2:$T$7,BA$9,FALSE),"")</f>
        <v/>
      </c>
      <c r="BB54" s="384" t="str">
        <f>IFERROR(VLOOKUP(Envoltória!$B59,Aux_Lista!$N$2:$T$7,BB$9,FALSE),"")</f>
        <v/>
      </c>
      <c r="BC54" s="384" t="str">
        <f>IFERROR(VLOOKUP(Envoltória!$H59,Aux_Lista!$V$2:$X$3,BC$9,FALSE),"")</f>
        <v/>
      </c>
      <c r="BD54" s="384" t="str">
        <f>IFERROR(VLOOKUP(Envoltória!$H59,Aux_Lista!$V$2:$X$3,BD$9,FALSE),"")</f>
        <v/>
      </c>
      <c r="BE54" s="382">
        <f t="shared" si="2"/>
        <v>0</v>
      </c>
      <c r="BF54" s="382" t="str">
        <f>IFERROR(VLOOKUP(Envoltória!F59,CB3E_Envoltória!$BQ$18:$BR$19,2,FALSE),"")</f>
        <v/>
      </c>
      <c r="BG54" s="382" t="str">
        <f>IFERROR(VLOOKUP(Envoltória!$G59,$BQ$35:$BZ$43,BG$9,FALSE),"")</f>
        <v/>
      </c>
      <c r="BH54" s="382" t="str">
        <f>IFERROR(VLOOKUP(Envoltória!$G59,$BQ$35:$BZ$43,BH$9,FALSE),"")</f>
        <v/>
      </c>
      <c r="BI54" s="382" t="str">
        <f>IFERROR(VLOOKUP(Envoltória!$G59,$BQ$35:$BZ$43,BI$9,FALSE),"")</f>
        <v/>
      </c>
      <c r="BJ54" s="382" t="str">
        <f>IFERROR(VLOOKUP(Envoltória!$G59,$BQ$35:$BZ$43,BJ$9,FALSE),"")</f>
        <v/>
      </c>
      <c r="BK54" s="382" t="str">
        <f>IFERROR(VLOOKUP(Envoltória!$G59,$BQ$35:$BZ$43,BK$9,FALSE),"")</f>
        <v/>
      </c>
      <c r="BL54" s="382" t="str">
        <f>IFERROR(VLOOKUP(Envoltória!$G59,$BQ$35:$BZ$43,BL$9,FALSE),"")</f>
        <v/>
      </c>
      <c r="BM54" s="382" t="str">
        <f>IFERROR(VLOOKUP(Envoltória!$G59,$BQ$35:$BZ$43,BM$9,FALSE),"")</f>
        <v/>
      </c>
      <c r="BN54" s="382" t="str">
        <f>IFERROR(VLOOKUP(Envoltória!$G59,$BQ$35:$BZ$43,BN$9,FALSE),"")</f>
        <v/>
      </c>
      <c r="BO54" s="382" t="str">
        <f>IFERROR(VLOOKUP(Envoltória!$G59,$BQ$35:$BZ$43,BO$9,FALSE),"")</f>
        <v/>
      </c>
    </row>
    <row r="55" spans="1:68" x14ac:dyDescent="0.25">
      <c r="A55" s="1">
        <v>45</v>
      </c>
      <c r="B55" s="370">
        <f>Envoltória!I60</f>
        <v>0</v>
      </c>
      <c r="C55" s="371">
        <f>Envoltória!B60</f>
        <v>0</v>
      </c>
      <c r="D55" s="371">
        <f>Envoltória!C60</f>
        <v>0</v>
      </c>
      <c r="E55" s="381">
        <f>Envoltória!D60</f>
        <v>0</v>
      </c>
      <c r="F55" s="382">
        <f>Envoltória!E60</f>
        <v>0</v>
      </c>
      <c r="G55" s="382">
        <f t="shared" si="1"/>
        <v>0</v>
      </c>
      <c r="H55" s="383">
        <f>Envoltória!O60/100</f>
        <v>0</v>
      </c>
      <c r="I55" s="383">
        <f>IF(BF55=1,Envoltória!Q60,90)</f>
        <v>90</v>
      </c>
      <c r="J55" s="384" t="str">
        <f>IFERROR(VLOOKUP(Envoltória!M60,Componentes!$P:$R,2,FALSE),"")</f>
        <v/>
      </c>
      <c r="K55" s="384" t="str">
        <f>IFERROR(VLOOKUP(Envoltória!M60,Componentes!$P:$R,3,FALSE),"")</f>
        <v/>
      </c>
      <c r="L55" s="383">
        <f>IF(ISERROR(VLOOKUP(Envoltória!L60,Componentes!K:N,2,FALSE)),0,VLOOKUP(Envoltória!L60,Componentes!K:N,2,FALSE))</f>
        <v>0</v>
      </c>
      <c r="M55" s="383">
        <f>IF(ISERROR(VLOOKUP(Envoltória!L60,Componentes!K:N,3,FALSE)),0,VLOOKUP(Envoltória!L60,Componentes!K:N,3,FALSE))</f>
        <v>0</v>
      </c>
      <c r="N55" s="385" t="str">
        <f>IFERROR(IF(BB55&lt;&gt;0,VLOOKUP(Envoltória!L60,Componentes!K:N,4,FALSE),0),"")</f>
        <v/>
      </c>
      <c r="O55" s="383">
        <f>IF(BF55=1,VLOOKUP(Envoltória!J60,Componentes!B:E,2,FALSE),-6)</f>
        <v>-6</v>
      </c>
      <c r="P55" s="383">
        <f>IF(BF55=1,VLOOKUP(Envoltória!J60,Componentes!B:E,3,FALSE),-400)</f>
        <v>-400</v>
      </c>
      <c r="Q55" s="383">
        <f>IF(BF55=1,VLOOKUP(Envoltória!J60,Componentes!B:E,4,FALSE),0)</f>
        <v>0</v>
      </c>
      <c r="R55" s="384" t="str">
        <f>IFERROR(VLOOKUP(Envoltória!K60,Componentes!G:I,2,FALSE),"")</f>
        <v/>
      </c>
      <c r="S55" s="384" t="str">
        <f>IFERROR(VLOOKUP(Envoltória!K60,Componentes!G:I,3,FALSE),"")</f>
        <v/>
      </c>
      <c r="T55" s="383">
        <f>IFERROR(IF(H55&lt;&gt;0,VLOOKUP(Envoltória!N60,Componentes!T:V,3,FALSE),0),"")</f>
        <v>0</v>
      </c>
      <c r="U55" s="383">
        <f>IFERROR(IF(H55&lt;&gt;0,VLOOKUP(Envoltória!N60,Componentes!T:V,2,FALSE),0),"")</f>
        <v>0</v>
      </c>
      <c r="V55" s="384">
        <f>IFERROR(IF(AA55&lt;&gt;0,VLOOKUP(Envoltória!U60,Componentes!X:Z,2,FALSE),0),"")</f>
        <v>0</v>
      </c>
      <c r="W55" s="384">
        <f>IFERROR(IF(AA55&lt;&gt;0,VLOOKUP(Envoltória!U60,Componentes!X:Z,3,FALSE),0),"")</f>
        <v>0</v>
      </c>
      <c r="X55" s="383" t="str">
        <f>Envoltória!X60</f>
        <v/>
      </c>
      <c r="Y55" s="383">
        <f>Envoltória!V60</f>
        <v>0</v>
      </c>
      <c r="Z55" s="383" t="str">
        <f>Envoltória!W60</f>
        <v/>
      </c>
      <c r="AA55" s="386">
        <f>Envoltória!T60/100</f>
        <v>0</v>
      </c>
      <c r="AB55" s="387"/>
      <c r="AC55" s="387"/>
      <c r="AD55" s="387"/>
      <c r="AE55" s="387"/>
      <c r="AF55" s="387"/>
      <c r="AG55" s="387"/>
      <c r="AH55" s="387"/>
      <c r="AI55" s="387"/>
      <c r="AJ55" s="387"/>
      <c r="AK55" s="387"/>
      <c r="AL55" s="387"/>
      <c r="AM55" s="387"/>
      <c r="AN55" s="387"/>
      <c r="AO55" s="387"/>
      <c r="AP55" s="383">
        <f>IF(BF55=0,90,Envoltória!S60)</f>
        <v>0</v>
      </c>
      <c r="AQ55" s="383">
        <f>IF(BF55=0,90,Envoltória!R60)</f>
        <v>0</v>
      </c>
      <c r="AR55" s="383" t="str">
        <f t="shared" si="7"/>
        <v/>
      </c>
      <c r="AS55" s="383" t="str">
        <f t="shared" si="7"/>
        <v/>
      </c>
      <c r="AT55" s="383" t="str">
        <f t="shared" si="7"/>
        <v/>
      </c>
      <c r="AU55" s="383" t="str">
        <f t="shared" si="7"/>
        <v/>
      </c>
      <c r="AV55" s="383" t="str">
        <f t="shared" si="7"/>
        <v/>
      </c>
      <c r="AW55" s="384" t="str">
        <f>IFERROR(VLOOKUP(Envoltória!$B60,Aux_Lista!$N$2:$T$7,AW$9,FALSE),"")</f>
        <v/>
      </c>
      <c r="AX55" s="384" t="str">
        <f>IFERROR(VLOOKUP(Envoltória!$B60,Aux_Lista!$N$2:$T$7,AX$9,FALSE),"")</f>
        <v/>
      </c>
      <c r="AY55" s="384" t="str">
        <f>IFERROR(VLOOKUP(Envoltória!$B60,Aux_Lista!$N$2:$T$7,AY$9,FALSE),"")</f>
        <v/>
      </c>
      <c r="AZ55" s="384" t="str">
        <f>IFERROR(VLOOKUP(Envoltória!$B60,Aux_Lista!$N$2:$T$7,AZ$9,FALSE),"")</f>
        <v/>
      </c>
      <c r="BA55" s="384" t="str">
        <f>IFERROR(VLOOKUP(Envoltória!$B60,Aux_Lista!$N$2:$T$7,BA$9,FALSE),"")</f>
        <v/>
      </c>
      <c r="BB55" s="384" t="str">
        <f>IFERROR(VLOOKUP(Envoltória!$B60,Aux_Lista!$N$2:$T$7,BB$9,FALSE),"")</f>
        <v/>
      </c>
      <c r="BC55" s="384" t="str">
        <f>IFERROR(VLOOKUP(Envoltória!$H60,Aux_Lista!$V$2:$X$3,BC$9,FALSE),"")</f>
        <v/>
      </c>
      <c r="BD55" s="384" t="str">
        <f>IFERROR(VLOOKUP(Envoltória!$H60,Aux_Lista!$V$2:$X$3,BD$9,FALSE),"")</f>
        <v/>
      </c>
      <c r="BE55" s="382">
        <f t="shared" si="2"/>
        <v>0</v>
      </c>
      <c r="BF55" s="382" t="str">
        <f>IFERROR(VLOOKUP(Envoltória!F60,CB3E_Envoltória!$BQ$18:$BR$19,2,FALSE),"")</f>
        <v/>
      </c>
      <c r="BG55" s="382" t="str">
        <f>IFERROR(VLOOKUP(Envoltória!$G60,$BQ$35:$BZ$43,BG$9,FALSE),"")</f>
        <v/>
      </c>
      <c r="BH55" s="382" t="str">
        <f>IFERROR(VLOOKUP(Envoltória!$G60,$BQ$35:$BZ$43,BH$9,FALSE),"")</f>
        <v/>
      </c>
      <c r="BI55" s="382" t="str">
        <f>IFERROR(VLOOKUP(Envoltória!$G60,$BQ$35:$BZ$43,BI$9,FALSE),"")</f>
        <v/>
      </c>
      <c r="BJ55" s="382" t="str">
        <f>IFERROR(VLOOKUP(Envoltória!$G60,$BQ$35:$BZ$43,BJ$9,FALSE),"")</f>
        <v/>
      </c>
      <c r="BK55" s="382" t="str">
        <f>IFERROR(VLOOKUP(Envoltória!$G60,$BQ$35:$BZ$43,BK$9,FALSE),"")</f>
        <v/>
      </c>
      <c r="BL55" s="382" t="str">
        <f>IFERROR(VLOOKUP(Envoltória!$G60,$BQ$35:$BZ$43,BL$9,FALSE),"")</f>
        <v/>
      </c>
      <c r="BM55" s="382" t="str">
        <f>IFERROR(VLOOKUP(Envoltória!$G60,$BQ$35:$BZ$43,BM$9,FALSE),"")</f>
        <v/>
      </c>
      <c r="BN55" s="382" t="str">
        <f>IFERROR(VLOOKUP(Envoltória!$G60,$BQ$35:$BZ$43,BN$9,FALSE),"")</f>
        <v/>
      </c>
      <c r="BO55" s="382" t="str">
        <f>IFERROR(VLOOKUP(Envoltória!$G60,$BQ$35:$BZ$43,BO$9,FALSE),"")</f>
        <v/>
      </c>
    </row>
    <row r="56" spans="1:68" x14ac:dyDescent="0.25">
      <c r="A56" s="1">
        <v>46</v>
      </c>
      <c r="B56" s="370">
        <f>Envoltória!I61</f>
        <v>0</v>
      </c>
      <c r="C56" s="371">
        <f>Envoltória!B61</f>
        <v>0</v>
      </c>
      <c r="D56" s="371">
        <f>Envoltória!C61</f>
        <v>0</v>
      </c>
      <c r="E56" s="381">
        <f>Envoltória!D61</f>
        <v>0</v>
      </c>
      <c r="F56" s="382">
        <f>Envoltória!E61</f>
        <v>0</v>
      </c>
      <c r="G56" s="382">
        <f t="shared" si="1"/>
        <v>0</v>
      </c>
      <c r="H56" s="383">
        <f>Envoltória!O61/100</f>
        <v>0</v>
      </c>
      <c r="I56" s="383">
        <f>IF(BF56=1,Envoltória!Q61,90)</f>
        <v>90</v>
      </c>
      <c r="J56" s="384" t="str">
        <f>IFERROR(VLOOKUP(Envoltória!M61,Componentes!$P:$R,2,FALSE),"")</f>
        <v/>
      </c>
      <c r="K56" s="384" t="str">
        <f>IFERROR(VLOOKUP(Envoltória!M61,Componentes!$P:$R,3,FALSE),"")</f>
        <v/>
      </c>
      <c r="L56" s="383">
        <f>IF(ISERROR(VLOOKUP(Envoltória!L61,Componentes!K:N,2,FALSE)),0,VLOOKUP(Envoltória!L61,Componentes!K:N,2,FALSE))</f>
        <v>0</v>
      </c>
      <c r="M56" s="383">
        <f>IF(ISERROR(VLOOKUP(Envoltória!L61,Componentes!K:N,3,FALSE)),0,VLOOKUP(Envoltória!L61,Componentes!K:N,3,FALSE))</f>
        <v>0</v>
      </c>
      <c r="N56" s="385" t="str">
        <f>IFERROR(IF(BB56&lt;&gt;0,VLOOKUP(Envoltória!L61,Componentes!K:N,4,FALSE),0),"")</f>
        <v/>
      </c>
      <c r="O56" s="383">
        <f>IF(BF56=1,VLOOKUP(Envoltória!J61,Componentes!B:E,2,FALSE),-6)</f>
        <v>-6</v>
      </c>
      <c r="P56" s="383">
        <f>IF(BF56=1,VLOOKUP(Envoltória!J61,Componentes!B:E,3,FALSE),-400)</f>
        <v>-400</v>
      </c>
      <c r="Q56" s="383">
        <f>IF(BF56=1,VLOOKUP(Envoltória!J61,Componentes!B:E,4,FALSE),0)</f>
        <v>0</v>
      </c>
      <c r="R56" s="384" t="str">
        <f>IFERROR(VLOOKUP(Envoltória!K61,Componentes!G:I,2,FALSE),"")</f>
        <v/>
      </c>
      <c r="S56" s="384" t="str">
        <f>IFERROR(VLOOKUP(Envoltória!K61,Componentes!G:I,3,FALSE),"")</f>
        <v/>
      </c>
      <c r="T56" s="383">
        <f>IFERROR(IF(H56&lt;&gt;0,VLOOKUP(Envoltória!N61,Componentes!T:V,3,FALSE),0),"")</f>
        <v>0</v>
      </c>
      <c r="U56" s="383">
        <f>IFERROR(IF(H56&lt;&gt;0,VLOOKUP(Envoltória!N61,Componentes!T:V,2,FALSE),0),"")</f>
        <v>0</v>
      </c>
      <c r="V56" s="384">
        <f>IFERROR(IF(AA56&lt;&gt;0,VLOOKUP(Envoltória!U61,Componentes!X:Z,2,FALSE),0),"")</f>
        <v>0</v>
      </c>
      <c r="W56" s="384">
        <f>IFERROR(IF(AA56&lt;&gt;0,VLOOKUP(Envoltória!U61,Componentes!X:Z,3,FALSE),0),"")</f>
        <v>0</v>
      </c>
      <c r="X56" s="383" t="str">
        <f>Envoltória!X61</f>
        <v/>
      </c>
      <c r="Y56" s="383">
        <f>Envoltória!V61</f>
        <v>0</v>
      </c>
      <c r="Z56" s="383" t="str">
        <f>Envoltória!W61</f>
        <v/>
      </c>
      <c r="AA56" s="386">
        <f>Envoltória!T61/100</f>
        <v>0</v>
      </c>
      <c r="AB56" s="387"/>
      <c r="AC56" s="387"/>
      <c r="AD56" s="387"/>
      <c r="AE56" s="387"/>
      <c r="AF56" s="387"/>
      <c r="AG56" s="387"/>
      <c r="AH56" s="387"/>
      <c r="AI56" s="387"/>
      <c r="AJ56" s="387"/>
      <c r="AK56" s="387"/>
      <c r="AL56" s="387"/>
      <c r="AM56" s="387"/>
      <c r="AN56" s="387"/>
      <c r="AO56" s="387"/>
      <c r="AP56" s="383">
        <f>IF(BF56=0,90,Envoltória!S61)</f>
        <v>0</v>
      </c>
      <c r="AQ56" s="383">
        <f>IF(BF56=0,90,Envoltória!R61)</f>
        <v>0</v>
      </c>
      <c r="AR56" s="383" t="str">
        <f t="shared" si="7"/>
        <v/>
      </c>
      <c r="AS56" s="383" t="str">
        <f t="shared" si="7"/>
        <v/>
      </c>
      <c r="AT56" s="383" t="str">
        <f t="shared" si="7"/>
        <v/>
      </c>
      <c r="AU56" s="383" t="str">
        <f t="shared" si="7"/>
        <v/>
      </c>
      <c r="AV56" s="383" t="str">
        <f t="shared" si="7"/>
        <v/>
      </c>
      <c r="AW56" s="384" t="str">
        <f>IFERROR(VLOOKUP(Envoltória!$B61,Aux_Lista!$N$2:$T$7,AW$9,FALSE),"")</f>
        <v/>
      </c>
      <c r="AX56" s="384" t="str">
        <f>IFERROR(VLOOKUP(Envoltória!$B61,Aux_Lista!$N$2:$T$7,AX$9,FALSE),"")</f>
        <v/>
      </c>
      <c r="AY56" s="384" t="str">
        <f>IFERROR(VLOOKUP(Envoltória!$B61,Aux_Lista!$N$2:$T$7,AY$9,FALSE),"")</f>
        <v/>
      </c>
      <c r="AZ56" s="384" t="str">
        <f>IFERROR(VLOOKUP(Envoltória!$B61,Aux_Lista!$N$2:$T$7,AZ$9,FALSE),"")</f>
        <v/>
      </c>
      <c r="BA56" s="384" t="str">
        <f>IFERROR(VLOOKUP(Envoltória!$B61,Aux_Lista!$N$2:$T$7,BA$9,FALSE),"")</f>
        <v/>
      </c>
      <c r="BB56" s="384" t="str">
        <f>IFERROR(VLOOKUP(Envoltória!$B61,Aux_Lista!$N$2:$T$7,BB$9,FALSE),"")</f>
        <v/>
      </c>
      <c r="BC56" s="384" t="str">
        <f>IFERROR(VLOOKUP(Envoltória!$H61,Aux_Lista!$V$2:$X$3,BC$9,FALSE),"")</f>
        <v/>
      </c>
      <c r="BD56" s="384" t="str">
        <f>IFERROR(VLOOKUP(Envoltória!$H61,Aux_Lista!$V$2:$X$3,BD$9,FALSE),"")</f>
        <v/>
      </c>
      <c r="BE56" s="382">
        <f t="shared" si="2"/>
        <v>0</v>
      </c>
      <c r="BF56" s="382" t="str">
        <f>IFERROR(VLOOKUP(Envoltória!F61,CB3E_Envoltória!$BQ$18:$BR$19,2,FALSE),"")</f>
        <v/>
      </c>
      <c r="BG56" s="382" t="str">
        <f>IFERROR(VLOOKUP(Envoltória!$G61,$BQ$35:$BZ$43,BG$9,FALSE),"")</f>
        <v/>
      </c>
      <c r="BH56" s="382" t="str">
        <f>IFERROR(VLOOKUP(Envoltória!$G61,$BQ$35:$BZ$43,BH$9,FALSE),"")</f>
        <v/>
      </c>
      <c r="BI56" s="382" t="str">
        <f>IFERROR(VLOOKUP(Envoltória!$G61,$BQ$35:$BZ$43,BI$9,FALSE),"")</f>
        <v/>
      </c>
      <c r="BJ56" s="382" t="str">
        <f>IFERROR(VLOOKUP(Envoltória!$G61,$BQ$35:$BZ$43,BJ$9,FALSE),"")</f>
        <v/>
      </c>
      <c r="BK56" s="382" t="str">
        <f>IFERROR(VLOOKUP(Envoltória!$G61,$BQ$35:$BZ$43,BK$9,FALSE),"")</f>
        <v/>
      </c>
      <c r="BL56" s="382" t="str">
        <f>IFERROR(VLOOKUP(Envoltória!$G61,$BQ$35:$BZ$43,BL$9,FALSE),"")</f>
        <v/>
      </c>
      <c r="BM56" s="382" t="str">
        <f>IFERROR(VLOOKUP(Envoltória!$G61,$BQ$35:$BZ$43,BM$9,FALSE),"")</f>
        <v/>
      </c>
      <c r="BN56" s="382" t="str">
        <f>IFERROR(VLOOKUP(Envoltória!$G61,$BQ$35:$BZ$43,BN$9,FALSE),"")</f>
        <v/>
      </c>
      <c r="BO56" s="382" t="str">
        <f>IFERROR(VLOOKUP(Envoltória!$G61,$BQ$35:$BZ$43,BO$9,FALSE),"")</f>
        <v/>
      </c>
    </row>
    <row r="57" spans="1:68" x14ac:dyDescent="0.25">
      <c r="A57" s="1">
        <v>47</v>
      </c>
      <c r="B57" s="370">
        <f>Envoltória!I62</f>
        <v>0</v>
      </c>
      <c r="C57" s="371">
        <f>Envoltória!B62</f>
        <v>0</v>
      </c>
      <c r="D57" s="371">
        <f>Envoltória!C62</f>
        <v>0</v>
      </c>
      <c r="E57" s="381">
        <f>Envoltória!D62</f>
        <v>0</v>
      </c>
      <c r="F57" s="382">
        <f>Envoltória!E62</f>
        <v>0</v>
      </c>
      <c r="G57" s="382">
        <f t="shared" si="1"/>
        <v>0</v>
      </c>
      <c r="H57" s="383">
        <f>Envoltória!O62/100</f>
        <v>0</v>
      </c>
      <c r="I57" s="383">
        <f>IF(BF57=1,Envoltória!Q62,90)</f>
        <v>90</v>
      </c>
      <c r="J57" s="384" t="str">
        <f>IFERROR(VLOOKUP(Envoltória!M62,Componentes!$P:$R,2,FALSE),"")</f>
        <v/>
      </c>
      <c r="K57" s="384" t="str">
        <f>IFERROR(VLOOKUP(Envoltória!M62,Componentes!$P:$R,3,FALSE),"")</f>
        <v/>
      </c>
      <c r="L57" s="383">
        <f>IF(ISERROR(VLOOKUP(Envoltória!L62,Componentes!K:N,2,FALSE)),0,VLOOKUP(Envoltória!L62,Componentes!K:N,2,FALSE))</f>
        <v>0</v>
      </c>
      <c r="M57" s="383">
        <f>IF(ISERROR(VLOOKUP(Envoltória!L62,Componentes!K:N,3,FALSE)),0,VLOOKUP(Envoltória!L62,Componentes!K:N,3,FALSE))</f>
        <v>0</v>
      </c>
      <c r="N57" s="385" t="str">
        <f>IFERROR(IF(BB57&lt;&gt;0,VLOOKUP(Envoltória!L62,Componentes!K:N,4,FALSE),0),"")</f>
        <v/>
      </c>
      <c r="O57" s="383">
        <f>IF(BF57=1,VLOOKUP(Envoltória!J62,Componentes!B:E,2,FALSE),-6)</f>
        <v>-6</v>
      </c>
      <c r="P57" s="383">
        <f>IF(BF57=1,VLOOKUP(Envoltória!J62,Componentes!B:E,3,FALSE),-400)</f>
        <v>-400</v>
      </c>
      <c r="Q57" s="383">
        <f>IF(BF57=1,VLOOKUP(Envoltória!J62,Componentes!B:E,4,FALSE),0)</f>
        <v>0</v>
      </c>
      <c r="R57" s="384" t="str">
        <f>IFERROR(VLOOKUP(Envoltória!K62,Componentes!G:I,2,FALSE),"")</f>
        <v/>
      </c>
      <c r="S57" s="384" t="str">
        <f>IFERROR(VLOOKUP(Envoltória!K62,Componentes!G:I,3,FALSE),"")</f>
        <v/>
      </c>
      <c r="T57" s="383">
        <f>IFERROR(IF(H57&lt;&gt;0,VLOOKUP(Envoltória!N62,Componentes!T:V,3,FALSE),0),"")</f>
        <v>0</v>
      </c>
      <c r="U57" s="383">
        <f>IFERROR(IF(H57&lt;&gt;0,VLOOKUP(Envoltória!N62,Componentes!T:V,2,FALSE),0),"")</f>
        <v>0</v>
      </c>
      <c r="V57" s="384">
        <f>IFERROR(IF(AA57&lt;&gt;0,VLOOKUP(Envoltória!U62,Componentes!X:Z,2,FALSE),0),"")</f>
        <v>0</v>
      </c>
      <c r="W57" s="384">
        <f>IFERROR(IF(AA57&lt;&gt;0,VLOOKUP(Envoltória!U62,Componentes!X:Z,3,FALSE),0),"")</f>
        <v>0</v>
      </c>
      <c r="X57" s="383" t="str">
        <f>Envoltória!X62</f>
        <v/>
      </c>
      <c r="Y57" s="383">
        <f>Envoltória!V62</f>
        <v>0</v>
      </c>
      <c r="Z57" s="383" t="str">
        <f>Envoltória!W62</f>
        <v/>
      </c>
      <c r="AA57" s="386">
        <f>Envoltória!T62/100</f>
        <v>0</v>
      </c>
      <c r="AB57" s="387"/>
      <c r="AC57" s="387"/>
      <c r="AD57" s="387"/>
      <c r="AE57" s="387"/>
      <c r="AF57" s="387"/>
      <c r="AG57" s="387"/>
      <c r="AH57" s="387"/>
      <c r="AI57" s="387"/>
      <c r="AJ57" s="387"/>
      <c r="AK57" s="387"/>
      <c r="AL57" s="387"/>
      <c r="AM57" s="387"/>
      <c r="AN57" s="387"/>
      <c r="AO57" s="387"/>
      <c r="AP57" s="383">
        <f>IF(BF57=0,90,Envoltória!S62)</f>
        <v>0</v>
      </c>
      <c r="AQ57" s="383">
        <f>IF(BF57=0,90,Envoltória!R62)</f>
        <v>0</v>
      </c>
      <c r="AR57" s="383" t="str">
        <f t="shared" si="7"/>
        <v/>
      </c>
      <c r="AS57" s="383" t="str">
        <f t="shared" si="7"/>
        <v/>
      </c>
      <c r="AT57" s="383" t="str">
        <f t="shared" si="7"/>
        <v/>
      </c>
      <c r="AU57" s="383" t="str">
        <f t="shared" si="7"/>
        <v/>
      </c>
      <c r="AV57" s="383" t="str">
        <f t="shared" si="7"/>
        <v/>
      </c>
      <c r="AW57" s="384" t="str">
        <f>IFERROR(VLOOKUP(Envoltória!$B62,Aux_Lista!$N$2:$T$7,AW$9,FALSE),"")</f>
        <v/>
      </c>
      <c r="AX57" s="384" t="str">
        <f>IFERROR(VLOOKUP(Envoltória!$B62,Aux_Lista!$N$2:$T$7,AX$9,FALSE),"")</f>
        <v/>
      </c>
      <c r="AY57" s="384" t="str">
        <f>IFERROR(VLOOKUP(Envoltória!$B62,Aux_Lista!$N$2:$T$7,AY$9,FALSE),"")</f>
        <v/>
      </c>
      <c r="AZ57" s="384" t="str">
        <f>IFERROR(VLOOKUP(Envoltória!$B62,Aux_Lista!$N$2:$T$7,AZ$9,FALSE),"")</f>
        <v/>
      </c>
      <c r="BA57" s="384" t="str">
        <f>IFERROR(VLOOKUP(Envoltória!$B62,Aux_Lista!$N$2:$T$7,BA$9,FALSE),"")</f>
        <v/>
      </c>
      <c r="BB57" s="384" t="str">
        <f>IFERROR(VLOOKUP(Envoltória!$B62,Aux_Lista!$N$2:$T$7,BB$9,FALSE),"")</f>
        <v/>
      </c>
      <c r="BC57" s="384" t="str">
        <f>IFERROR(VLOOKUP(Envoltória!$H62,Aux_Lista!$V$2:$X$3,BC$9,FALSE),"")</f>
        <v/>
      </c>
      <c r="BD57" s="384" t="str">
        <f>IFERROR(VLOOKUP(Envoltória!$H62,Aux_Lista!$V$2:$X$3,BD$9,FALSE),"")</f>
        <v/>
      </c>
      <c r="BE57" s="382">
        <f t="shared" si="2"/>
        <v>0</v>
      </c>
      <c r="BF57" s="382" t="str">
        <f>IFERROR(VLOOKUP(Envoltória!F62,CB3E_Envoltória!$BQ$18:$BR$19,2,FALSE),"")</f>
        <v/>
      </c>
      <c r="BG57" s="382" t="str">
        <f>IFERROR(VLOOKUP(Envoltória!$G62,$BQ$35:$BZ$43,BG$9,FALSE),"")</f>
        <v/>
      </c>
      <c r="BH57" s="382" t="str">
        <f>IFERROR(VLOOKUP(Envoltória!$G62,$BQ$35:$BZ$43,BH$9,FALSE),"")</f>
        <v/>
      </c>
      <c r="BI57" s="382" t="str">
        <f>IFERROR(VLOOKUP(Envoltória!$G62,$BQ$35:$BZ$43,BI$9,FALSE),"")</f>
        <v/>
      </c>
      <c r="BJ57" s="382" t="str">
        <f>IFERROR(VLOOKUP(Envoltória!$G62,$BQ$35:$BZ$43,BJ$9,FALSE),"")</f>
        <v/>
      </c>
      <c r="BK57" s="382" t="str">
        <f>IFERROR(VLOOKUP(Envoltória!$G62,$BQ$35:$BZ$43,BK$9,FALSE),"")</f>
        <v/>
      </c>
      <c r="BL57" s="382" t="str">
        <f>IFERROR(VLOOKUP(Envoltória!$G62,$BQ$35:$BZ$43,BL$9,FALSE),"")</f>
        <v/>
      </c>
      <c r="BM57" s="382" t="str">
        <f>IFERROR(VLOOKUP(Envoltória!$G62,$BQ$35:$BZ$43,BM$9,FALSE),"")</f>
        <v/>
      </c>
      <c r="BN57" s="382" t="str">
        <f>IFERROR(VLOOKUP(Envoltória!$G62,$BQ$35:$BZ$43,BN$9,FALSE),"")</f>
        <v/>
      </c>
      <c r="BO57" s="382" t="str">
        <f>IFERROR(VLOOKUP(Envoltória!$G62,$BQ$35:$BZ$43,BO$9,FALSE),"")</f>
        <v/>
      </c>
    </row>
    <row r="58" spans="1:68" x14ac:dyDescent="0.25">
      <c r="A58" s="1">
        <v>48</v>
      </c>
      <c r="B58" s="370">
        <f>Envoltória!I63</f>
        <v>0</v>
      </c>
      <c r="C58" s="371">
        <f>Envoltória!B63</f>
        <v>0</v>
      </c>
      <c r="D58" s="371">
        <f>Envoltória!C63</f>
        <v>0</v>
      </c>
      <c r="E58" s="381">
        <f>Envoltória!D63</f>
        <v>0</v>
      </c>
      <c r="F58" s="382">
        <f>Envoltória!E63</f>
        <v>0</v>
      </c>
      <c r="G58" s="382">
        <f t="shared" si="1"/>
        <v>0</v>
      </c>
      <c r="H58" s="383">
        <f>Envoltória!O63/100</f>
        <v>0</v>
      </c>
      <c r="I58" s="383">
        <f>IF(BF58=1,Envoltória!Q63,90)</f>
        <v>90</v>
      </c>
      <c r="J58" s="384" t="str">
        <f>IFERROR(VLOOKUP(Envoltória!M63,Componentes!$P:$R,2,FALSE),"")</f>
        <v/>
      </c>
      <c r="K58" s="384" t="str">
        <f>IFERROR(VLOOKUP(Envoltória!M63,Componentes!$P:$R,3,FALSE),"")</f>
        <v/>
      </c>
      <c r="L58" s="383">
        <f>IF(ISERROR(VLOOKUP(Envoltória!L63,Componentes!K:N,2,FALSE)),0,VLOOKUP(Envoltória!L63,Componentes!K:N,2,FALSE))</f>
        <v>0</v>
      </c>
      <c r="M58" s="383">
        <f>IF(ISERROR(VLOOKUP(Envoltória!L63,Componentes!K:N,3,FALSE)),0,VLOOKUP(Envoltória!L63,Componentes!K:N,3,FALSE))</f>
        <v>0</v>
      </c>
      <c r="N58" s="385" t="str">
        <f>IFERROR(IF(BB58&lt;&gt;0,VLOOKUP(Envoltória!L63,Componentes!K:N,4,FALSE),0),"")</f>
        <v/>
      </c>
      <c r="O58" s="383">
        <f>IF(BF58=1,VLOOKUP(Envoltória!J63,Componentes!B:E,2,FALSE),-6)</f>
        <v>-6</v>
      </c>
      <c r="P58" s="383">
        <f>IF(BF58=1,VLOOKUP(Envoltória!J63,Componentes!B:E,3,FALSE),-400)</f>
        <v>-400</v>
      </c>
      <c r="Q58" s="383">
        <f>IF(BF58=1,VLOOKUP(Envoltória!J63,Componentes!B:E,4,FALSE),0)</f>
        <v>0</v>
      </c>
      <c r="R58" s="384" t="str">
        <f>IFERROR(VLOOKUP(Envoltória!K63,Componentes!G:I,2,FALSE),"")</f>
        <v/>
      </c>
      <c r="S58" s="384" t="str">
        <f>IFERROR(VLOOKUP(Envoltória!K63,Componentes!G:I,3,FALSE),"")</f>
        <v/>
      </c>
      <c r="T58" s="383">
        <f>IFERROR(IF(H58&lt;&gt;0,VLOOKUP(Envoltória!N63,Componentes!T:V,3,FALSE),0),"")</f>
        <v>0</v>
      </c>
      <c r="U58" s="383">
        <f>IFERROR(IF(H58&lt;&gt;0,VLOOKUP(Envoltória!N63,Componentes!T:V,2,FALSE),0),"")</f>
        <v>0</v>
      </c>
      <c r="V58" s="384">
        <f>IFERROR(IF(AA58&lt;&gt;0,VLOOKUP(Envoltória!U63,Componentes!X:Z,2,FALSE),0),"")</f>
        <v>0</v>
      </c>
      <c r="W58" s="384">
        <f>IFERROR(IF(AA58&lt;&gt;0,VLOOKUP(Envoltória!U63,Componentes!X:Z,3,FALSE),0),"")</f>
        <v>0</v>
      </c>
      <c r="X58" s="383" t="str">
        <f>Envoltória!X63</f>
        <v/>
      </c>
      <c r="Y58" s="383">
        <f>Envoltória!V63</f>
        <v>0</v>
      </c>
      <c r="Z58" s="383" t="str">
        <f>Envoltória!W63</f>
        <v/>
      </c>
      <c r="AA58" s="386">
        <f>Envoltória!T63/100</f>
        <v>0</v>
      </c>
      <c r="AB58" s="387"/>
      <c r="AC58" s="387"/>
      <c r="AD58" s="387"/>
      <c r="AE58" s="387"/>
      <c r="AF58" s="387"/>
      <c r="AG58" s="387"/>
      <c r="AH58" s="387"/>
      <c r="AI58" s="387"/>
      <c r="AJ58" s="387"/>
      <c r="AK58" s="387"/>
      <c r="AL58" s="387"/>
      <c r="AM58" s="387"/>
      <c r="AN58" s="387"/>
      <c r="AO58" s="387"/>
      <c r="AP58" s="383">
        <f>IF(BF58=0,90,Envoltória!S63)</f>
        <v>0</v>
      </c>
      <c r="AQ58" s="383">
        <f>IF(BF58=0,90,Envoltória!R63)</f>
        <v>0</v>
      </c>
      <c r="AR58" s="383" t="str">
        <f t="shared" si="7"/>
        <v/>
      </c>
      <c r="AS58" s="383" t="str">
        <f t="shared" si="7"/>
        <v/>
      </c>
      <c r="AT58" s="383" t="str">
        <f t="shared" si="7"/>
        <v/>
      </c>
      <c r="AU58" s="383" t="str">
        <f t="shared" si="7"/>
        <v/>
      </c>
      <c r="AV58" s="383" t="str">
        <f t="shared" si="7"/>
        <v/>
      </c>
      <c r="AW58" s="384" t="str">
        <f>IFERROR(VLOOKUP(Envoltória!$B63,Aux_Lista!$N$2:$T$7,AW$9,FALSE),"")</f>
        <v/>
      </c>
      <c r="AX58" s="384" t="str">
        <f>IFERROR(VLOOKUP(Envoltória!$B63,Aux_Lista!$N$2:$T$7,AX$9,FALSE),"")</f>
        <v/>
      </c>
      <c r="AY58" s="384" t="str">
        <f>IFERROR(VLOOKUP(Envoltória!$B63,Aux_Lista!$N$2:$T$7,AY$9,FALSE),"")</f>
        <v/>
      </c>
      <c r="AZ58" s="384" t="str">
        <f>IFERROR(VLOOKUP(Envoltória!$B63,Aux_Lista!$N$2:$T$7,AZ$9,FALSE),"")</f>
        <v/>
      </c>
      <c r="BA58" s="384" t="str">
        <f>IFERROR(VLOOKUP(Envoltória!$B63,Aux_Lista!$N$2:$T$7,BA$9,FALSE),"")</f>
        <v/>
      </c>
      <c r="BB58" s="384" t="str">
        <f>IFERROR(VLOOKUP(Envoltória!$B63,Aux_Lista!$N$2:$T$7,BB$9,FALSE),"")</f>
        <v/>
      </c>
      <c r="BC58" s="384" t="str">
        <f>IFERROR(VLOOKUP(Envoltória!$H63,Aux_Lista!$V$2:$X$3,BC$9,FALSE),"")</f>
        <v/>
      </c>
      <c r="BD58" s="384" t="str">
        <f>IFERROR(VLOOKUP(Envoltória!$H63,Aux_Lista!$V$2:$X$3,BD$9,FALSE),"")</f>
        <v/>
      </c>
      <c r="BE58" s="382">
        <f t="shared" si="2"/>
        <v>0</v>
      </c>
      <c r="BF58" s="382" t="str">
        <f>IFERROR(VLOOKUP(Envoltória!F63,CB3E_Envoltória!$BQ$18:$BR$19,2,FALSE),"")</f>
        <v/>
      </c>
      <c r="BG58" s="382" t="str">
        <f>IFERROR(VLOOKUP(Envoltória!$G63,$BQ$35:$BZ$43,BG$9,FALSE),"")</f>
        <v/>
      </c>
      <c r="BH58" s="382" t="str">
        <f>IFERROR(VLOOKUP(Envoltória!$G63,$BQ$35:$BZ$43,BH$9,FALSE),"")</f>
        <v/>
      </c>
      <c r="BI58" s="382" t="str">
        <f>IFERROR(VLOOKUP(Envoltória!$G63,$BQ$35:$BZ$43,BI$9,FALSE),"")</f>
        <v/>
      </c>
      <c r="BJ58" s="382" t="str">
        <f>IFERROR(VLOOKUP(Envoltória!$G63,$BQ$35:$BZ$43,BJ$9,FALSE),"")</f>
        <v/>
      </c>
      <c r="BK58" s="382" t="str">
        <f>IFERROR(VLOOKUP(Envoltória!$G63,$BQ$35:$BZ$43,BK$9,FALSE),"")</f>
        <v/>
      </c>
      <c r="BL58" s="382" t="str">
        <f>IFERROR(VLOOKUP(Envoltória!$G63,$BQ$35:$BZ$43,BL$9,FALSE),"")</f>
        <v/>
      </c>
      <c r="BM58" s="382" t="str">
        <f>IFERROR(VLOOKUP(Envoltória!$G63,$BQ$35:$BZ$43,BM$9,FALSE),"")</f>
        <v/>
      </c>
      <c r="BN58" s="382" t="str">
        <f>IFERROR(VLOOKUP(Envoltória!$G63,$BQ$35:$BZ$43,BN$9,FALSE),"")</f>
        <v/>
      </c>
      <c r="BO58" s="382" t="str">
        <f>IFERROR(VLOOKUP(Envoltória!$G63,$BQ$35:$BZ$43,BO$9,FALSE),"")</f>
        <v/>
      </c>
    </row>
    <row r="59" spans="1:68" x14ac:dyDescent="0.25">
      <c r="A59" s="1">
        <v>49</v>
      </c>
      <c r="B59" s="370">
        <f>Envoltória!I64</f>
        <v>0</v>
      </c>
      <c r="C59" s="371">
        <f>Envoltória!B64</f>
        <v>0</v>
      </c>
      <c r="D59" s="371">
        <f>Envoltória!C64</f>
        <v>0</v>
      </c>
      <c r="E59" s="381">
        <f>Envoltória!D64</f>
        <v>0</v>
      </c>
      <c r="F59" s="382">
        <f>Envoltória!E64</f>
        <v>0</v>
      </c>
      <c r="G59" s="382">
        <f t="shared" si="1"/>
        <v>0</v>
      </c>
      <c r="H59" s="383">
        <f>Envoltória!O64/100</f>
        <v>0</v>
      </c>
      <c r="I59" s="383">
        <f>IF(BF59=1,Envoltória!Q64,90)</f>
        <v>90</v>
      </c>
      <c r="J59" s="384" t="str">
        <f>IFERROR(VLOOKUP(Envoltória!M64,Componentes!$P:$R,2,FALSE),"")</f>
        <v/>
      </c>
      <c r="K59" s="384" t="str">
        <f>IFERROR(VLOOKUP(Envoltória!M64,Componentes!$P:$R,3,FALSE),"")</f>
        <v/>
      </c>
      <c r="L59" s="383">
        <f>IF(ISERROR(VLOOKUP(Envoltória!L64,Componentes!K:N,2,FALSE)),0,VLOOKUP(Envoltória!L64,Componentes!K:N,2,FALSE))</f>
        <v>0</v>
      </c>
      <c r="M59" s="383">
        <f>IF(ISERROR(VLOOKUP(Envoltória!L64,Componentes!K:N,3,FALSE)),0,VLOOKUP(Envoltória!L64,Componentes!K:N,3,FALSE))</f>
        <v>0</v>
      </c>
      <c r="N59" s="385" t="str">
        <f>IFERROR(IF(BB59&lt;&gt;0,VLOOKUP(Envoltória!L64,Componentes!K:N,4,FALSE),0),"")</f>
        <v/>
      </c>
      <c r="O59" s="383">
        <f>IF(BF59=1,VLOOKUP(Envoltória!J64,Componentes!B:E,2,FALSE),-6)</f>
        <v>-6</v>
      </c>
      <c r="P59" s="383">
        <f>IF(BF59=1,VLOOKUP(Envoltória!J64,Componentes!B:E,3,FALSE),-400)</f>
        <v>-400</v>
      </c>
      <c r="Q59" s="383">
        <f>IF(BF59=1,VLOOKUP(Envoltória!J64,Componentes!B:E,4,FALSE),0)</f>
        <v>0</v>
      </c>
      <c r="R59" s="384" t="str">
        <f>IFERROR(VLOOKUP(Envoltória!K64,Componentes!G:I,2,FALSE),"")</f>
        <v/>
      </c>
      <c r="S59" s="384" t="str">
        <f>IFERROR(VLOOKUP(Envoltória!K64,Componentes!G:I,3,FALSE),"")</f>
        <v/>
      </c>
      <c r="T59" s="383">
        <f>IFERROR(IF(H59&lt;&gt;0,VLOOKUP(Envoltória!N64,Componentes!T:V,3,FALSE),0),"")</f>
        <v>0</v>
      </c>
      <c r="U59" s="383">
        <f>IFERROR(IF(H59&lt;&gt;0,VLOOKUP(Envoltória!N64,Componentes!T:V,2,FALSE),0),"")</f>
        <v>0</v>
      </c>
      <c r="V59" s="384">
        <f>IFERROR(IF(AA59&lt;&gt;0,VLOOKUP(Envoltória!U64,Componentes!X:Z,2,FALSE),0),"")</f>
        <v>0</v>
      </c>
      <c r="W59" s="384">
        <f>IFERROR(IF(AA59&lt;&gt;0,VLOOKUP(Envoltória!U64,Componentes!X:Z,3,FALSE),0),"")</f>
        <v>0</v>
      </c>
      <c r="X59" s="383" t="str">
        <f>Envoltória!X64</f>
        <v/>
      </c>
      <c r="Y59" s="383">
        <f>Envoltória!V64</f>
        <v>0</v>
      </c>
      <c r="Z59" s="383" t="str">
        <f>Envoltória!W64</f>
        <v/>
      </c>
      <c r="AA59" s="386">
        <f>Envoltória!T64/100</f>
        <v>0</v>
      </c>
      <c r="AB59" s="387"/>
      <c r="AC59" s="387"/>
      <c r="AD59" s="387"/>
      <c r="AE59" s="387"/>
      <c r="AF59" s="387"/>
      <c r="AG59" s="387"/>
      <c r="AH59" s="387"/>
      <c r="AI59" s="387"/>
      <c r="AJ59" s="387"/>
      <c r="AK59" s="387"/>
      <c r="AL59" s="387"/>
      <c r="AM59" s="387"/>
      <c r="AN59" s="387"/>
      <c r="AO59" s="387"/>
      <c r="AP59" s="383">
        <f>IF(BF59=0,90,Envoltória!S64)</f>
        <v>0</v>
      </c>
      <c r="AQ59" s="383">
        <f>IF(BF59=0,90,Envoltória!R64)</f>
        <v>0</v>
      </c>
      <c r="AR59" s="383" t="str">
        <f t="shared" si="7"/>
        <v/>
      </c>
      <c r="AS59" s="383" t="str">
        <f t="shared" si="7"/>
        <v/>
      </c>
      <c r="AT59" s="383" t="str">
        <f t="shared" si="7"/>
        <v/>
      </c>
      <c r="AU59" s="383" t="str">
        <f t="shared" si="7"/>
        <v/>
      </c>
      <c r="AV59" s="383" t="str">
        <f t="shared" si="7"/>
        <v/>
      </c>
      <c r="AW59" s="384" t="str">
        <f>IFERROR(VLOOKUP(Envoltória!$B64,Aux_Lista!$N$2:$T$7,AW$9,FALSE),"")</f>
        <v/>
      </c>
      <c r="AX59" s="384" t="str">
        <f>IFERROR(VLOOKUP(Envoltória!$B64,Aux_Lista!$N$2:$T$7,AX$9,FALSE),"")</f>
        <v/>
      </c>
      <c r="AY59" s="384" t="str">
        <f>IFERROR(VLOOKUP(Envoltória!$B64,Aux_Lista!$N$2:$T$7,AY$9,FALSE),"")</f>
        <v/>
      </c>
      <c r="AZ59" s="384" t="str">
        <f>IFERROR(VLOOKUP(Envoltória!$B64,Aux_Lista!$N$2:$T$7,AZ$9,FALSE),"")</f>
        <v/>
      </c>
      <c r="BA59" s="384" t="str">
        <f>IFERROR(VLOOKUP(Envoltória!$B64,Aux_Lista!$N$2:$T$7,BA$9,FALSE),"")</f>
        <v/>
      </c>
      <c r="BB59" s="384" t="str">
        <f>IFERROR(VLOOKUP(Envoltória!$B64,Aux_Lista!$N$2:$T$7,BB$9,FALSE),"")</f>
        <v/>
      </c>
      <c r="BC59" s="384" t="str">
        <f>IFERROR(VLOOKUP(Envoltória!$H64,Aux_Lista!$V$2:$X$3,BC$9,FALSE),"")</f>
        <v/>
      </c>
      <c r="BD59" s="384" t="str">
        <f>IFERROR(VLOOKUP(Envoltória!$H64,Aux_Lista!$V$2:$X$3,BD$9,FALSE),"")</f>
        <v/>
      </c>
      <c r="BE59" s="382">
        <f t="shared" si="2"/>
        <v>0</v>
      </c>
      <c r="BF59" s="382" t="str">
        <f>IFERROR(VLOOKUP(Envoltória!F64,CB3E_Envoltória!$BQ$18:$BR$19,2,FALSE),"")</f>
        <v/>
      </c>
      <c r="BG59" s="382" t="str">
        <f>IFERROR(VLOOKUP(Envoltória!$G64,$BQ$35:$BZ$43,BG$9,FALSE),"")</f>
        <v/>
      </c>
      <c r="BH59" s="382" t="str">
        <f>IFERROR(VLOOKUP(Envoltória!$G64,$BQ$35:$BZ$43,BH$9,FALSE),"")</f>
        <v/>
      </c>
      <c r="BI59" s="382" t="str">
        <f>IFERROR(VLOOKUP(Envoltória!$G64,$BQ$35:$BZ$43,BI$9,FALSE),"")</f>
        <v/>
      </c>
      <c r="BJ59" s="382" t="str">
        <f>IFERROR(VLOOKUP(Envoltória!$G64,$BQ$35:$BZ$43,BJ$9,FALSE),"")</f>
        <v/>
      </c>
      <c r="BK59" s="382" t="str">
        <f>IFERROR(VLOOKUP(Envoltória!$G64,$BQ$35:$BZ$43,BK$9,FALSE),"")</f>
        <v/>
      </c>
      <c r="BL59" s="382" t="str">
        <f>IFERROR(VLOOKUP(Envoltória!$G64,$BQ$35:$BZ$43,BL$9,FALSE),"")</f>
        <v/>
      </c>
      <c r="BM59" s="382" t="str">
        <f>IFERROR(VLOOKUP(Envoltória!$G64,$BQ$35:$BZ$43,BM$9,FALSE),"")</f>
        <v/>
      </c>
      <c r="BN59" s="382" t="str">
        <f>IFERROR(VLOOKUP(Envoltória!$G64,$BQ$35:$BZ$43,BN$9,FALSE),"")</f>
        <v/>
      </c>
      <c r="BO59" s="382" t="str">
        <f>IFERROR(VLOOKUP(Envoltória!$G64,$BQ$35:$BZ$43,BO$9,FALSE),"")</f>
        <v/>
      </c>
    </row>
    <row r="60" spans="1:68" x14ac:dyDescent="0.25">
      <c r="A60" s="1">
        <v>50</v>
      </c>
      <c r="B60" s="370">
        <f>Envoltória!I65</f>
        <v>0</v>
      </c>
      <c r="C60" s="371">
        <f>Envoltória!B65</f>
        <v>0</v>
      </c>
      <c r="D60" s="371">
        <f>Envoltória!C65</f>
        <v>0</v>
      </c>
      <c r="E60" s="381">
        <f>Envoltória!D65</f>
        <v>0</v>
      </c>
      <c r="F60" s="382">
        <f>Envoltória!E65</f>
        <v>0</v>
      </c>
      <c r="G60" s="382">
        <f t="shared" si="1"/>
        <v>0</v>
      </c>
      <c r="H60" s="383">
        <f>Envoltória!O65/100</f>
        <v>0</v>
      </c>
      <c r="I60" s="383">
        <f>IF(BF60=1,Envoltória!Q65,90)</f>
        <v>90</v>
      </c>
      <c r="J60" s="384" t="str">
        <f>IFERROR(VLOOKUP(Envoltória!M65,Componentes!$P:$R,2,FALSE),"")</f>
        <v/>
      </c>
      <c r="K60" s="384" t="str">
        <f>IFERROR(VLOOKUP(Envoltória!M65,Componentes!$P:$R,3,FALSE),"")</f>
        <v/>
      </c>
      <c r="L60" s="383">
        <f>IF(ISERROR(VLOOKUP(Envoltória!L65,Componentes!K:N,2,FALSE)),0,VLOOKUP(Envoltória!L65,Componentes!K:N,2,FALSE))</f>
        <v>0</v>
      </c>
      <c r="M60" s="383">
        <f>IF(ISERROR(VLOOKUP(Envoltória!L65,Componentes!K:N,3,FALSE)),0,VLOOKUP(Envoltória!L65,Componentes!K:N,3,FALSE))</f>
        <v>0</v>
      </c>
      <c r="N60" s="385" t="str">
        <f>IFERROR(IF(BB60&lt;&gt;0,VLOOKUP(Envoltória!L65,Componentes!K:N,4,FALSE),0),"")</f>
        <v/>
      </c>
      <c r="O60" s="383">
        <f>IF(BF60=1,VLOOKUP(Envoltória!J65,Componentes!B:E,2,FALSE),-6)</f>
        <v>-6</v>
      </c>
      <c r="P60" s="383">
        <f>IF(BF60=1,VLOOKUP(Envoltória!J65,Componentes!B:E,3,FALSE),-400)</f>
        <v>-400</v>
      </c>
      <c r="Q60" s="383">
        <f>IF(BF60=1,VLOOKUP(Envoltória!J65,Componentes!B:E,4,FALSE),0)</f>
        <v>0</v>
      </c>
      <c r="R60" s="384" t="str">
        <f>IFERROR(VLOOKUP(Envoltória!K65,Componentes!G:I,2,FALSE),"")</f>
        <v/>
      </c>
      <c r="S60" s="384" t="str">
        <f>IFERROR(VLOOKUP(Envoltória!K65,Componentes!G:I,3,FALSE),"")</f>
        <v/>
      </c>
      <c r="T60" s="383">
        <f>IFERROR(IF(H60&lt;&gt;0,VLOOKUP(Envoltória!N65,Componentes!T:V,3,FALSE),0),"")</f>
        <v>0</v>
      </c>
      <c r="U60" s="383">
        <f>IFERROR(IF(H60&lt;&gt;0,VLOOKUP(Envoltória!N65,Componentes!T:V,2,FALSE),0),"")</f>
        <v>0</v>
      </c>
      <c r="V60" s="384">
        <f>IFERROR(IF(AA60&lt;&gt;0,VLOOKUP(Envoltória!U65,Componentes!X:Z,2,FALSE),0),"")</f>
        <v>0</v>
      </c>
      <c r="W60" s="384">
        <f>IFERROR(IF(AA60&lt;&gt;0,VLOOKUP(Envoltória!U65,Componentes!X:Z,3,FALSE),0),"")</f>
        <v>0</v>
      </c>
      <c r="X60" s="383" t="str">
        <f>Envoltória!X65</f>
        <v/>
      </c>
      <c r="Y60" s="383">
        <f>Envoltória!V65</f>
        <v>0</v>
      </c>
      <c r="Z60" s="383" t="str">
        <f>Envoltória!W65</f>
        <v/>
      </c>
      <c r="AA60" s="386">
        <f>Envoltória!T65/100</f>
        <v>0</v>
      </c>
      <c r="AB60" s="387"/>
      <c r="AC60" s="387"/>
      <c r="AD60" s="387"/>
      <c r="AE60" s="387"/>
      <c r="AF60" s="387"/>
      <c r="AG60" s="387"/>
      <c r="AH60" s="387"/>
      <c r="AI60" s="387"/>
      <c r="AJ60" s="387"/>
      <c r="AK60" s="387"/>
      <c r="AL60" s="387"/>
      <c r="AM60" s="387"/>
      <c r="AN60" s="387"/>
      <c r="AO60" s="387"/>
      <c r="AP60" s="383">
        <f>IF(BF60=0,90,Envoltória!S65)</f>
        <v>0</v>
      </c>
      <c r="AQ60" s="383">
        <f>IF(BF60=0,90,Envoltória!R65)</f>
        <v>0</v>
      </c>
      <c r="AR60" s="383" t="str">
        <f t="shared" si="7"/>
        <v/>
      </c>
      <c r="AS60" s="383" t="str">
        <f t="shared" si="7"/>
        <v/>
      </c>
      <c r="AT60" s="383" t="str">
        <f t="shared" si="7"/>
        <v/>
      </c>
      <c r="AU60" s="383" t="str">
        <f t="shared" si="7"/>
        <v/>
      </c>
      <c r="AV60" s="383" t="str">
        <f t="shared" si="7"/>
        <v/>
      </c>
      <c r="AW60" s="384" t="str">
        <f>IFERROR(VLOOKUP(Envoltória!$B65,Aux_Lista!$N$2:$T$7,AW$9,FALSE),"")</f>
        <v/>
      </c>
      <c r="AX60" s="384" t="str">
        <f>IFERROR(VLOOKUP(Envoltória!$B65,Aux_Lista!$N$2:$T$7,AX$9,FALSE),"")</f>
        <v/>
      </c>
      <c r="AY60" s="384" t="str">
        <f>IFERROR(VLOOKUP(Envoltória!$B65,Aux_Lista!$N$2:$T$7,AY$9,FALSE),"")</f>
        <v/>
      </c>
      <c r="AZ60" s="384" t="str">
        <f>IFERROR(VLOOKUP(Envoltória!$B65,Aux_Lista!$N$2:$T$7,AZ$9,FALSE),"")</f>
        <v/>
      </c>
      <c r="BA60" s="384" t="str">
        <f>IFERROR(VLOOKUP(Envoltória!$B65,Aux_Lista!$N$2:$T$7,BA$9,FALSE),"")</f>
        <v/>
      </c>
      <c r="BB60" s="384" t="str">
        <f>IFERROR(VLOOKUP(Envoltória!$B65,Aux_Lista!$N$2:$T$7,BB$9,FALSE),"")</f>
        <v/>
      </c>
      <c r="BC60" s="384" t="str">
        <f>IFERROR(VLOOKUP(Envoltória!$H65,Aux_Lista!$V$2:$X$3,BC$9,FALSE),"")</f>
        <v/>
      </c>
      <c r="BD60" s="384" t="str">
        <f>IFERROR(VLOOKUP(Envoltória!$H65,Aux_Lista!$V$2:$X$3,BD$9,FALSE),"")</f>
        <v/>
      </c>
      <c r="BE60" s="382">
        <f t="shared" si="2"/>
        <v>0</v>
      </c>
      <c r="BF60" s="382" t="str">
        <f>IFERROR(VLOOKUP(Envoltória!F65,CB3E_Envoltória!$BQ$18:$BR$19,2,FALSE),"")</f>
        <v/>
      </c>
      <c r="BG60" s="382" t="str">
        <f>IFERROR(VLOOKUP(Envoltória!$G65,$BQ$35:$BZ$43,BG$9,FALSE),"")</f>
        <v/>
      </c>
      <c r="BH60" s="382" t="str">
        <f>IFERROR(VLOOKUP(Envoltória!$G65,$BQ$35:$BZ$43,BH$9,FALSE),"")</f>
        <v/>
      </c>
      <c r="BI60" s="382" t="str">
        <f>IFERROR(VLOOKUP(Envoltória!$G65,$BQ$35:$BZ$43,BI$9,FALSE),"")</f>
        <v/>
      </c>
      <c r="BJ60" s="382" t="str">
        <f>IFERROR(VLOOKUP(Envoltória!$G65,$BQ$35:$BZ$43,BJ$9,FALSE),"")</f>
        <v/>
      </c>
      <c r="BK60" s="382" t="str">
        <f>IFERROR(VLOOKUP(Envoltória!$G65,$BQ$35:$BZ$43,BK$9,FALSE),"")</f>
        <v/>
      </c>
      <c r="BL60" s="382" t="str">
        <f>IFERROR(VLOOKUP(Envoltória!$G65,$BQ$35:$BZ$43,BL$9,FALSE),"")</f>
        <v/>
      </c>
      <c r="BM60" s="382" t="str">
        <f>IFERROR(VLOOKUP(Envoltória!$G65,$BQ$35:$BZ$43,BM$9,FALSE),"")</f>
        <v/>
      </c>
      <c r="BN60" s="382" t="str">
        <f>IFERROR(VLOOKUP(Envoltória!$G65,$BQ$35:$BZ$43,BN$9,FALSE),"")</f>
        <v/>
      </c>
      <c r="BO60" s="382" t="str">
        <f>IFERROR(VLOOKUP(Envoltória!$G65,$BQ$35:$BZ$43,BO$9,FALSE),"")</f>
        <v/>
      </c>
    </row>
    <row r="61" spans="1:68" x14ac:dyDescent="0.25">
      <c r="A61" s="1">
        <v>51</v>
      </c>
      <c r="B61" s="370">
        <f>Envoltória!I66</f>
        <v>0</v>
      </c>
      <c r="C61" s="371">
        <f>Envoltória!B66</f>
        <v>0</v>
      </c>
      <c r="D61" s="371">
        <f>Envoltória!C66</f>
        <v>0</v>
      </c>
      <c r="E61" s="381">
        <f>Envoltória!D66</f>
        <v>0</v>
      </c>
      <c r="F61" s="382">
        <f>Envoltória!E66</f>
        <v>0</v>
      </c>
      <c r="G61" s="382">
        <f t="shared" si="1"/>
        <v>0</v>
      </c>
      <c r="H61" s="383">
        <f>Envoltória!O66/100</f>
        <v>0</v>
      </c>
      <c r="I61" s="383">
        <f>IF(BF61=1,Envoltória!Q66,90)</f>
        <v>90</v>
      </c>
      <c r="J61" s="384" t="str">
        <f>IFERROR(VLOOKUP(Envoltória!M66,Componentes!$P:$R,2,FALSE),"")</f>
        <v/>
      </c>
      <c r="K61" s="384" t="str">
        <f>IFERROR(VLOOKUP(Envoltória!M66,Componentes!$P:$R,3,FALSE),"")</f>
        <v/>
      </c>
      <c r="L61" s="383">
        <f>IF(ISERROR(VLOOKUP(Envoltória!L66,Componentes!K:N,2,FALSE)),0,VLOOKUP(Envoltória!L66,Componentes!K:N,2,FALSE))</f>
        <v>0</v>
      </c>
      <c r="M61" s="383">
        <f>IF(ISERROR(VLOOKUP(Envoltória!L66,Componentes!K:N,3,FALSE)),0,VLOOKUP(Envoltória!L66,Componentes!K:N,3,FALSE))</f>
        <v>0</v>
      </c>
      <c r="N61" s="385" t="str">
        <f>IFERROR(IF(BB61&lt;&gt;0,VLOOKUP(Envoltória!L66,Componentes!K:N,4,FALSE),0),"")</f>
        <v/>
      </c>
      <c r="O61" s="383">
        <f>IF(BF61=1,VLOOKUP(Envoltória!J66,Componentes!B:E,2,FALSE),-6)</f>
        <v>-6</v>
      </c>
      <c r="P61" s="383">
        <f>IF(BF61=1,VLOOKUP(Envoltória!J66,Componentes!B:E,3,FALSE),-400)</f>
        <v>-400</v>
      </c>
      <c r="Q61" s="383">
        <f>IF(BF61=1,VLOOKUP(Envoltória!J66,Componentes!B:E,4,FALSE),0)</f>
        <v>0</v>
      </c>
      <c r="R61" s="384" t="str">
        <f>IFERROR(VLOOKUP(Envoltória!K66,Componentes!G:I,2,FALSE),"")</f>
        <v/>
      </c>
      <c r="S61" s="384" t="str">
        <f>IFERROR(VLOOKUP(Envoltória!K66,Componentes!G:I,3,FALSE),"")</f>
        <v/>
      </c>
      <c r="T61" s="383">
        <f>IFERROR(IF(H61&lt;&gt;0,VLOOKUP(Envoltória!N66,Componentes!T:V,3,FALSE),0),"")</f>
        <v>0</v>
      </c>
      <c r="U61" s="383">
        <f>IFERROR(IF(H61&lt;&gt;0,VLOOKUP(Envoltória!N66,Componentes!T:V,2,FALSE),0),"")</f>
        <v>0</v>
      </c>
      <c r="V61" s="384">
        <f>IFERROR(IF(AA61&lt;&gt;0,VLOOKUP(Envoltória!U66,Componentes!X:Z,2,FALSE),0),"")</f>
        <v>0</v>
      </c>
      <c r="W61" s="384">
        <f>IFERROR(IF(AA61&lt;&gt;0,VLOOKUP(Envoltória!U66,Componentes!X:Z,3,FALSE),0),"")</f>
        <v>0</v>
      </c>
      <c r="X61" s="383" t="str">
        <f>Envoltória!X66</f>
        <v/>
      </c>
      <c r="Y61" s="383">
        <f>Envoltória!V66</f>
        <v>0</v>
      </c>
      <c r="Z61" s="383" t="str">
        <f>Envoltória!W66</f>
        <v/>
      </c>
      <c r="AA61" s="386">
        <f>Envoltória!T66/100</f>
        <v>0</v>
      </c>
      <c r="AB61" s="387"/>
      <c r="AC61" s="387"/>
      <c r="AD61" s="387"/>
      <c r="AE61" s="387"/>
      <c r="AF61" s="387"/>
      <c r="AG61" s="387"/>
      <c r="AH61" s="387"/>
      <c r="AI61" s="387"/>
      <c r="AJ61" s="387"/>
      <c r="AK61" s="387"/>
      <c r="AL61" s="387"/>
      <c r="AM61" s="387"/>
      <c r="AN61" s="387"/>
      <c r="AO61" s="387"/>
      <c r="AP61" s="383">
        <f>IF(BF61=0,90,Envoltória!S66)</f>
        <v>0</v>
      </c>
      <c r="AQ61" s="383">
        <f>IF(BF61=0,90,Envoltória!R66)</f>
        <v>0</v>
      </c>
      <c r="AR61" s="383" t="str">
        <f t="shared" ref="AR61:AV70" si="8">IFERROR(VLOOKUP($B61,$BQ$21:$BW$31,AR$9,FALSE),"")</f>
        <v/>
      </c>
      <c r="AS61" s="383" t="str">
        <f t="shared" si="8"/>
        <v/>
      </c>
      <c r="AT61" s="383" t="str">
        <f t="shared" si="8"/>
        <v/>
      </c>
      <c r="AU61" s="383" t="str">
        <f t="shared" si="8"/>
        <v/>
      </c>
      <c r="AV61" s="383" t="str">
        <f t="shared" si="8"/>
        <v/>
      </c>
      <c r="AW61" s="384" t="str">
        <f>IFERROR(VLOOKUP(Envoltória!$B66,Aux_Lista!$N$2:$T$7,AW$9,FALSE),"")</f>
        <v/>
      </c>
      <c r="AX61" s="384" t="str">
        <f>IFERROR(VLOOKUP(Envoltória!$B66,Aux_Lista!$N$2:$T$7,AX$9,FALSE),"")</f>
        <v/>
      </c>
      <c r="AY61" s="384" t="str">
        <f>IFERROR(VLOOKUP(Envoltória!$B66,Aux_Lista!$N$2:$T$7,AY$9,FALSE),"")</f>
        <v/>
      </c>
      <c r="AZ61" s="384" t="str">
        <f>IFERROR(VLOOKUP(Envoltória!$B66,Aux_Lista!$N$2:$T$7,AZ$9,FALSE),"")</f>
        <v/>
      </c>
      <c r="BA61" s="384" t="str">
        <f>IFERROR(VLOOKUP(Envoltória!$B66,Aux_Lista!$N$2:$T$7,BA$9,FALSE),"")</f>
        <v/>
      </c>
      <c r="BB61" s="384" t="str">
        <f>IFERROR(VLOOKUP(Envoltória!$B66,Aux_Lista!$N$2:$T$7,BB$9,FALSE),"")</f>
        <v/>
      </c>
      <c r="BC61" s="384" t="str">
        <f>IFERROR(VLOOKUP(Envoltória!$H66,Aux_Lista!$V$2:$X$3,BC$9,FALSE),"")</f>
        <v/>
      </c>
      <c r="BD61" s="384" t="str">
        <f>IFERROR(VLOOKUP(Envoltória!$H66,Aux_Lista!$V$2:$X$3,BD$9,FALSE),"")</f>
        <v/>
      </c>
      <c r="BE61" s="382">
        <f t="shared" si="2"/>
        <v>0</v>
      </c>
      <c r="BF61" s="382" t="str">
        <f>IFERROR(VLOOKUP(Envoltória!F66,CB3E_Envoltória!$BQ$18:$BR$19,2,FALSE),"")</f>
        <v/>
      </c>
      <c r="BG61" s="382" t="str">
        <f>IFERROR(VLOOKUP(Envoltória!$G66,$BQ$35:$BZ$43,BG$9,FALSE),"")</f>
        <v/>
      </c>
      <c r="BH61" s="382" t="str">
        <f>IFERROR(VLOOKUP(Envoltória!$G66,$BQ$35:$BZ$43,BH$9,FALSE),"")</f>
        <v/>
      </c>
      <c r="BI61" s="382" t="str">
        <f>IFERROR(VLOOKUP(Envoltória!$G66,$BQ$35:$BZ$43,BI$9,FALSE),"")</f>
        <v/>
      </c>
      <c r="BJ61" s="382" t="str">
        <f>IFERROR(VLOOKUP(Envoltória!$G66,$BQ$35:$BZ$43,BJ$9,FALSE),"")</f>
        <v/>
      </c>
      <c r="BK61" s="382" t="str">
        <f>IFERROR(VLOOKUP(Envoltória!$G66,$BQ$35:$BZ$43,BK$9,FALSE),"")</f>
        <v/>
      </c>
      <c r="BL61" s="382" t="str">
        <f>IFERROR(VLOOKUP(Envoltória!$G66,$BQ$35:$BZ$43,BL$9,FALSE),"")</f>
        <v/>
      </c>
      <c r="BM61" s="382" t="str">
        <f>IFERROR(VLOOKUP(Envoltória!$G66,$BQ$35:$BZ$43,BM$9,FALSE),"")</f>
        <v/>
      </c>
      <c r="BN61" s="382" t="str">
        <f>IFERROR(VLOOKUP(Envoltória!$G66,$BQ$35:$BZ$43,BN$9,FALSE),"")</f>
        <v/>
      </c>
      <c r="BO61" s="382" t="str">
        <f>IFERROR(VLOOKUP(Envoltória!$G66,$BQ$35:$BZ$43,BO$9,FALSE),"")</f>
        <v/>
      </c>
    </row>
    <row r="62" spans="1:68" x14ac:dyDescent="0.25">
      <c r="A62" s="1">
        <v>52</v>
      </c>
      <c r="B62" s="370">
        <f>Envoltória!I67</f>
        <v>0</v>
      </c>
      <c r="C62" s="371">
        <f>Envoltória!B67</f>
        <v>0</v>
      </c>
      <c r="D62" s="371">
        <f>Envoltória!C67</f>
        <v>0</v>
      </c>
      <c r="E62" s="381">
        <f>Envoltória!D67</f>
        <v>0</v>
      </c>
      <c r="F62" s="382">
        <f>Envoltória!E67</f>
        <v>0</v>
      </c>
      <c r="G62" s="382">
        <f t="shared" si="1"/>
        <v>0</v>
      </c>
      <c r="H62" s="383">
        <f>Envoltória!O67/100</f>
        <v>0</v>
      </c>
      <c r="I62" s="383">
        <f>IF(BF62=1,Envoltória!Q67,90)</f>
        <v>90</v>
      </c>
      <c r="J62" s="384" t="str">
        <f>IFERROR(VLOOKUP(Envoltória!M67,Componentes!$P:$R,2,FALSE),"")</f>
        <v/>
      </c>
      <c r="K62" s="384" t="str">
        <f>IFERROR(VLOOKUP(Envoltória!M67,Componentes!$P:$R,3,FALSE),"")</f>
        <v/>
      </c>
      <c r="L62" s="383">
        <f>IF(ISERROR(VLOOKUP(Envoltória!L67,Componentes!K:N,2,FALSE)),0,VLOOKUP(Envoltória!L67,Componentes!K:N,2,FALSE))</f>
        <v>0</v>
      </c>
      <c r="M62" s="383">
        <f>IF(ISERROR(VLOOKUP(Envoltória!L67,Componentes!K:N,3,FALSE)),0,VLOOKUP(Envoltória!L67,Componentes!K:N,3,FALSE))</f>
        <v>0</v>
      </c>
      <c r="N62" s="385" t="str">
        <f>IFERROR(IF(BB62&lt;&gt;0,VLOOKUP(Envoltória!L67,Componentes!K:N,4,FALSE),0),"")</f>
        <v/>
      </c>
      <c r="O62" s="383">
        <f>IF(BF62=1,VLOOKUP(Envoltória!J67,Componentes!B:E,2,FALSE),-6)</f>
        <v>-6</v>
      </c>
      <c r="P62" s="383">
        <f>IF(BF62=1,VLOOKUP(Envoltória!J67,Componentes!B:E,3,FALSE),-400)</f>
        <v>-400</v>
      </c>
      <c r="Q62" s="383">
        <f>IF(BF62=1,VLOOKUP(Envoltória!J67,Componentes!B:E,4,FALSE),0)</f>
        <v>0</v>
      </c>
      <c r="R62" s="384" t="str">
        <f>IFERROR(VLOOKUP(Envoltória!K67,Componentes!G:I,2,FALSE),"")</f>
        <v/>
      </c>
      <c r="S62" s="384" t="str">
        <f>IFERROR(VLOOKUP(Envoltória!K67,Componentes!G:I,3,FALSE),"")</f>
        <v/>
      </c>
      <c r="T62" s="383">
        <f>IFERROR(IF(H62&lt;&gt;0,VLOOKUP(Envoltória!N67,Componentes!T:V,3,FALSE),0),"")</f>
        <v>0</v>
      </c>
      <c r="U62" s="383">
        <f>IFERROR(IF(H62&lt;&gt;0,VLOOKUP(Envoltória!N67,Componentes!T:V,2,FALSE),0),"")</f>
        <v>0</v>
      </c>
      <c r="V62" s="384">
        <f>IFERROR(IF(AA62&lt;&gt;0,VLOOKUP(Envoltória!U67,Componentes!X:Z,2,FALSE),0),"")</f>
        <v>0</v>
      </c>
      <c r="W62" s="384">
        <f>IFERROR(IF(AA62&lt;&gt;0,VLOOKUP(Envoltória!U67,Componentes!X:Z,3,FALSE),0),"")</f>
        <v>0</v>
      </c>
      <c r="X62" s="383" t="str">
        <f>Envoltória!X67</f>
        <v/>
      </c>
      <c r="Y62" s="383">
        <f>Envoltória!V67</f>
        <v>0</v>
      </c>
      <c r="Z62" s="383" t="str">
        <f>Envoltória!W67</f>
        <v/>
      </c>
      <c r="AA62" s="386">
        <f>Envoltória!T67/100</f>
        <v>0</v>
      </c>
      <c r="AB62" s="387"/>
      <c r="AC62" s="387"/>
      <c r="AD62" s="387"/>
      <c r="AE62" s="387"/>
      <c r="AF62" s="387"/>
      <c r="AG62" s="387"/>
      <c r="AH62" s="387"/>
      <c r="AI62" s="387"/>
      <c r="AJ62" s="387"/>
      <c r="AK62" s="387"/>
      <c r="AL62" s="387"/>
      <c r="AM62" s="387"/>
      <c r="AN62" s="387"/>
      <c r="AO62" s="387"/>
      <c r="AP62" s="383">
        <f>IF(BF62=0,90,Envoltória!S67)</f>
        <v>0</v>
      </c>
      <c r="AQ62" s="383">
        <f>IF(BF62=0,90,Envoltória!R67)</f>
        <v>0</v>
      </c>
      <c r="AR62" s="383" t="str">
        <f t="shared" si="8"/>
        <v/>
      </c>
      <c r="AS62" s="383" t="str">
        <f t="shared" si="8"/>
        <v/>
      </c>
      <c r="AT62" s="383" t="str">
        <f t="shared" si="8"/>
        <v/>
      </c>
      <c r="AU62" s="383" t="str">
        <f t="shared" si="8"/>
        <v/>
      </c>
      <c r="AV62" s="383" t="str">
        <f t="shared" si="8"/>
        <v/>
      </c>
      <c r="AW62" s="384" t="str">
        <f>IFERROR(VLOOKUP(Envoltória!$B67,Aux_Lista!$N$2:$T$7,AW$9,FALSE),"")</f>
        <v/>
      </c>
      <c r="AX62" s="384" t="str">
        <f>IFERROR(VLOOKUP(Envoltória!$B67,Aux_Lista!$N$2:$T$7,AX$9,FALSE),"")</f>
        <v/>
      </c>
      <c r="AY62" s="384" t="str">
        <f>IFERROR(VLOOKUP(Envoltória!$B67,Aux_Lista!$N$2:$T$7,AY$9,FALSE),"")</f>
        <v/>
      </c>
      <c r="AZ62" s="384" t="str">
        <f>IFERROR(VLOOKUP(Envoltória!$B67,Aux_Lista!$N$2:$T$7,AZ$9,FALSE),"")</f>
        <v/>
      </c>
      <c r="BA62" s="384" t="str">
        <f>IFERROR(VLOOKUP(Envoltória!$B67,Aux_Lista!$N$2:$T$7,BA$9,FALSE),"")</f>
        <v/>
      </c>
      <c r="BB62" s="384" t="str">
        <f>IFERROR(VLOOKUP(Envoltória!$B67,Aux_Lista!$N$2:$T$7,BB$9,FALSE),"")</f>
        <v/>
      </c>
      <c r="BC62" s="384" t="str">
        <f>IFERROR(VLOOKUP(Envoltória!$H67,Aux_Lista!$V$2:$X$3,BC$9,FALSE),"")</f>
        <v/>
      </c>
      <c r="BD62" s="384" t="str">
        <f>IFERROR(VLOOKUP(Envoltória!$H67,Aux_Lista!$V$2:$X$3,BD$9,FALSE),"")</f>
        <v/>
      </c>
      <c r="BE62" s="382">
        <f t="shared" si="2"/>
        <v>0</v>
      </c>
      <c r="BF62" s="382" t="str">
        <f>IFERROR(VLOOKUP(Envoltória!F67,CB3E_Envoltória!$BQ$18:$BR$19,2,FALSE),"")</f>
        <v/>
      </c>
      <c r="BG62" s="382" t="str">
        <f>IFERROR(VLOOKUP(Envoltória!$G67,$BQ$35:$BZ$43,BG$9,FALSE),"")</f>
        <v/>
      </c>
      <c r="BH62" s="382" t="str">
        <f>IFERROR(VLOOKUP(Envoltória!$G67,$BQ$35:$BZ$43,BH$9,FALSE),"")</f>
        <v/>
      </c>
      <c r="BI62" s="382" t="str">
        <f>IFERROR(VLOOKUP(Envoltória!$G67,$BQ$35:$BZ$43,BI$9,FALSE),"")</f>
        <v/>
      </c>
      <c r="BJ62" s="382" t="str">
        <f>IFERROR(VLOOKUP(Envoltória!$G67,$BQ$35:$BZ$43,BJ$9,FALSE),"")</f>
        <v/>
      </c>
      <c r="BK62" s="382" t="str">
        <f>IFERROR(VLOOKUP(Envoltória!$G67,$BQ$35:$BZ$43,BK$9,FALSE),"")</f>
        <v/>
      </c>
      <c r="BL62" s="382" t="str">
        <f>IFERROR(VLOOKUP(Envoltória!$G67,$BQ$35:$BZ$43,BL$9,FALSE),"")</f>
        <v/>
      </c>
      <c r="BM62" s="382" t="str">
        <f>IFERROR(VLOOKUP(Envoltória!$G67,$BQ$35:$BZ$43,BM$9,FALSE),"")</f>
        <v/>
      </c>
      <c r="BN62" s="382" t="str">
        <f>IFERROR(VLOOKUP(Envoltória!$G67,$BQ$35:$BZ$43,BN$9,FALSE),"")</f>
        <v/>
      </c>
      <c r="BO62" s="382" t="str">
        <f>IFERROR(VLOOKUP(Envoltória!$G67,$BQ$35:$BZ$43,BO$9,FALSE),"")</f>
        <v/>
      </c>
    </row>
    <row r="63" spans="1:68" x14ac:dyDescent="0.25">
      <c r="A63" s="1">
        <v>53</v>
      </c>
      <c r="B63" s="370">
        <f>Envoltória!I68</f>
        <v>0</v>
      </c>
      <c r="C63" s="371">
        <f>Envoltória!B68</f>
        <v>0</v>
      </c>
      <c r="D63" s="371">
        <f>Envoltória!C68</f>
        <v>0</v>
      </c>
      <c r="E63" s="381">
        <f>Envoltória!D68</f>
        <v>0</v>
      </c>
      <c r="F63" s="382">
        <f>Envoltória!E68</f>
        <v>0</v>
      </c>
      <c r="G63" s="382">
        <f t="shared" si="1"/>
        <v>0</v>
      </c>
      <c r="H63" s="383">
        <f>Envoltória!O68/100</f>
        <v>0</v>
      </c>
      <c r="I63" s="383">
        <f>IF(BF63=1,Envoltória!Q68,90)</f>
        <v>90</v>
      </c>
      <c r="J63" s="384" t="str">
        <f>IFERROR(VLOOKUP(Envoltória!M68,Componentes!$P:$R,2,FALSE),"")</f>
        <v/>
      </c>
      <c r="K63" s="384" t="str">
        <f>IFERROR(VLOOKUP(Envoltória!M68,Componentes!$P:$R,3,FALSE),"")</f>
        <v/>
      </c>
      <c r="L63" s="383">
        <f>IF(ISERROR(VLOOKUP(Envoltória!L68,Componentes!K:N,2,FALSE)),0,VLOOKUP(Envoltória!L68,Componentes!K:N,2,FALSE))</f>
        <v>0</v>
      </c>
      <c r="M63" s="383">
        <f>IF(ISERROR(VLOOKUP(Envoltória!L68,Componentes!K:N,3,FALSE)),0,VLOOKUP(Envoltória!L68,Componentes!K:N,3,FALSE))</f>
        <v>0</v>
      </c>
      <c r="N63" s="385" t="str">
        <f>IFERROR(IF(BB63&lt;&gt;0,VLOOKUP(Envoltória!L68,Componentes!K:N,4,FALSE),0),"")</f>
        <v/>
      </c>
      <c r="O63" s="383">
        <f>IF(BF63=1,VLOOKUP(Envoltória!J68,Componentes!B:E,2,FALSE),-6)</f>
        <v>-6</v>
      </c>
      <c r="P63" s="383">
        <f>IF(BF63=1,VLOOKUP(Envoltória!J68,Componentes!B:E,3,FALSE),-400)</f>
        <v>-400</v>
      </c>
      <c r="Q63" s="383">
        <f>IF(BF63=1,VLOOKUP(Envoltória!J68,Componentes!B:E,4,FALSE),0)</f>
        <v>0</v>
      </c>
      <c r="R63" s="384" t="str">
        <f>IFERROR(VLOOKUP(Envoltória!K68,Componentes!G:I,2,FALSE),"")</f>
        <v/>
      </c>
      <c r="S63" s="384" t="str">
        <f>IFERROR(VLOOKUP(Envoltória!K68,Componentes!G:I,3,FALSE),"")</f>
        <v/>
      </c>
      <c r="T63" s="383">
        <f>IFERROR(IF(H63&lt;&gt;0,VLOOKUP(Envoltória!N68,Componentes!T:V,3,FALSE),0),"")</f>
        <v>0</v>
      </c>
      <c r="U63" s="383">
        <f>IFERROR(IF(H63&lt;&gt;0,VLOOKUP(Envoltória!N68,Componentes!T:V,2,FALSE),0),"")</f>
        <v>0</v>
      </c>
      <c r="V63" s="384">
        <f>IFERROR(IF(AA63&lt;&gt;0,VLOOKUP(Envoltória!U68,Componentes!X:Z,2,FALSE),0),"")</f>
        <v>0</v>
      </c>
      <c r="W63" s="384">
        <f>IFERROR(IF(AA63&lt;&gt;0,VLOOKUP(Envoltória!U68,Componentes!X:Z,3,FALSE),0),"")</f>
        <v>0</v>
      </c>
      <c r="X63" s="383" t="str">
        <f>Envoltória!X68</f>
        <v/>
      </c>
      <c r="Y63" s="383">
        <f>Envoltória!V68</f>
        <v>0</v>
      </c>
      <c r="Z63" s="383" t="str">
        <f>Envoltória!W68</f>
        <v/>
      </c>
      <c r="AA63" s="386">
        <f>Envoltória!T68/100</f>
        <v>0</v>
      </c>
      <c r="AB63" s="387"/>
      <c r="AC63" s="387"/>
      <c r="AD63" s="387"/>
      <c r="AE63" s="387"/>
      <c r="AF63" s="387"/>
      <c r="AG63" s="387"/>
      <c r="AH63" s="387"/>
      <c r="AI63" s="387"/>
      <c r="AJ63" s="387"/>
      <c r="AK63" s="387"/>
      <c r="AL63" s="387"/>
      <c r="AM63" s="387"/>
      <c r="AN63" s="387"/>
      <c r="AO63" s="387"/>
      <c r="AP63" s="383">
        <f>IF(BF63=0,90,Envoltória!S68)</f>
        <v>0</v>
      </c>
      <c r="AQ63" s="383">
        <f>IF(BF63=0,90,Envoltória!R68)</f>
        <v>0</v>
      </c>
      <c r="AR63" s="383" t="str">
        <f t="shared" si="8"/>
        <v/>
      </c>
      <c r="AS63" s="383" t="str">
        <f t="shared" si="8"/>
        <v/>
      </c>
      <c r="AT63" s="383" t="str">
        <f t="shared" si="8"/>
        <v/>
      </c>
      <c r="AU63" s="383" t="str">
        <f t="shared" si="8"/>
        <v/>
      </c>
      <c r="AV63" s="383" t="str">
        <f t="shared" si="8"/>
        <v/>
      </c>
      <c r="AW63" s="384" t="str">
        <f>IFERROR(VLOOKUP(Envoltória!$B68,Aux_Lista!$N$2:$T$7,AW$9,FALSE),"")</f>
        <v/>
      </c>
      <c r="AX63" s="384" t="str">
        <f>IFERROR(VLOOKUP(Envoltória!$B68,Aux_Lista!$N$2:$T$7,AX$9,FALSE),"")</f>
        <v/>
      </c>
      <c r="AY63" s="384" t="str">
        <f>IFERROR(VLOOKUP(Envoltória!$B68,Aux_Lista!$N$2:$T$7,AY$9,FALSE),"")</f>
        <v/>
      </c>
      <c r="AZ63" s="384" t="str">
        <f>IFERROR(VLOOKUP(Envoltória!$B68,Aux_Lista!$N$2:$T$7,AZ$9,FALSE),"")</f>
        <v/>
      </c>
      <c r="BA63" s="384" t="str">
        <f>IFERROR(VLOOKUP(Envoltória!$B68,Aux_Lista!$N$2:$T$7,BA$9,FALSE),"")</f>
        <v/>
      </c>
      <c r="BB63" s="384" t="str">
        <f>IFERROR(VLOOKUP(Envoltória!$B68,Aux_Lista!$N$2:$T$7,BB$9,FALSE),"")</f>
        <v/>
      </c>
      <c r="BC63" s="384" t="str">
        <f>IFERROR(VLOOKUP(Envoltória!$H68,Aux_Lista!$V$2:$X$3,BC$9,FALSE),"")</f>
        <v/>
      </c>
      <c r="BD63" s="384" t="str">
        <f>IFERROR(VLOOKUP(Envoltória!$H68,Aux_Lista!$V$2:$X$3,BD$9,FALSE),"")</f>
        <v/>
      </c>
      <c r="BE63" s="382">
        <f t="shared" si="2"/>
        <v>0</v>
      </c>
      <c r="BF63" s="382" t="str">
        <f>IFERROR(VLOOKUP(Envoltória!F68,CB3E_Envoltória!$BQ$18:$BR$19,2,FALSE),"")</f>
        <v/>
      </c>
      <c r="BG63" s="382" t="str">
        <f>IFERROR(VLOOKUP(Envoltória!$G68,$BQ$35:$BZ$43,BG$9,FALSE),"")</f>
        <v/>
      </c>
      <c r="BH63" s="382" t="str">
        <f>IFERROR(VLOOKUP(Envoltória!$G68,$BQ$35:$BZ$43,BH$9,FALSE),"")</f>
        <v/>
      </c>
      <c r="BI63" s="382" t="str">
        <f>IFERROR(VLOOKUP(Envoltória!$G68,$BQ$35:$BZ$43,BI$9,FALSE),"")</f>
        <v/>
      </c>
      <c r="BJ63" s="382" t="str">
        <f>IFERROR(VLOOKUP(Envoltória!$G68,$BQ$35:$BZ$43,BJ$9,FALSE),"")</f>
        <v/>
      </c>
      <c r="BK63" s="382" t="str">
        <f>IFERROR(VLOOKUP(Envoltória!$G68,$BQ$35:$BZ$43,BK$9,FALSE),"")</f>
        <v/>
      </c>
      <c r="BL63" s="382" t="str">
        <f>IFERROR(VLOOKUP(Envoltória!$G68,$BQ$35:$BZ$43,BL$9,FALSE),"")</f>
        <v/>
      </c>
      <c r="BM63" s="382" t="str">
        <f>IFERROR(VLOOKUP(Envoltória!$G68,$BQ$35:$BZ$43,BM$9,FALSE),"")</f>
        <v/>
      </c>
      <c r="BN63" s="382" t="str">
        <f>IFERROR(VLOOKUP(Envoltória!$G68,$BQ$35:$BZ$43,BN$9,FALSE),"")</f>
        <v/>
      </c>
      <c r="BO63" s="382" t="str">
        <f>IFERROR(VLOOKUP(Envoltória!$G68,$BQ$35:$BZ$43,BO$9,FALSE),"")</f>
        <v/>
      </c>
    </row>
    <row r="64" spans="1:68" x14ac:dyDescent="0.25">
      <c r="A64" s="1">
        <v>54</v>
      </c>
      <c r="B64" s="370">
        <f>Envoltória!I69</f>
        <v>0</v>
      </c>
      <c r="C64" s="371">
        <f>Envoltória!B69</f>
        <v>0</v>
      </c>
      <c r="D64" s="371">
        <f>Envoltória!C69</f>
        <v>0</v>
      </c>
      <c r="E64" s="381">
        <f>Envoltória!D69</f>
        <v>0</v>
      </c>
      <c r="F64" s="382">
        <f>Envoltória!E69</f>
        <v>0</v>
      </c>
      <c r="G64" s="382">
        <f t="shared" si="1"/>
        <v>0</v>
      </c>
      <c r="H64" s="383">
        <f>Envoltória!O69/100</f>
        <v>0</v>
      </c>
      <c r="I64" s="383">
        <f>IF(BF64=1,Envoltória!Q69,90)</f>
        <v>90</v>
      </c>
      <c r="J64" s="384" t="str">
        <f>IFERROR(VLOOKUP(Envoltória!M69,Componentes!$P:$R,2,FALSE),"")</f>
        <v/>
      </c>
      <c r="K64" s="384" t="str">
        <f>IFERROR(VLOOKUP(Envoltória!M69,Componentes!$P:$R,3,FALSE),"")</f>
        <v/>
      </c>
      <c r="L64" s="383">
        <f>IF(ISERROR(VLOOKUP(Envoltória!L69,Componentes!K:N,2,FALSE)),0,VLOOKUP(Envoltória!L69,Componentes!K:N,2,FALSE))</f>
        <v>0</v>
      </c>
      <c r="M64" s="383">
        <f>IF(ISERROR(VLOOKUP(Envoltória!L69,Componentes!K:N,3,FALSE)),0,VLOOKUP(Envoltória!L69,Componentes!K:N,3,FALSE))</f>
        <v>0</v>
      </c>
      <c r="N64" s="385" t="str">
        <f>IFERROR(IF(BB64&lt;&gt;0,VLOOKUP(Envoltória!L69,Componentes!K:N,4,FALSE),0),"")</f>
        <v/>
      </c>
      <c r="O64" s="383">
        <f>IF(BF64=1,VLOOKUP(Envoltória!J69,Componentes!B:E,2,FALSE),-6)</f>
        <v>-6</v>
      </c>
      <c r="P64" s="383">
        <f>IF(BF64=1,VLOOKUP(Envoltória!J69,Componentes!B:E,3,FALSE),-400)</f>
        <v>-400</v>
      </c>
      <c r="Q64" s="383">
        <f>IF(BF64=1,VLOOKUP(Envoltória!J69,Componentes!B:E,4,FALSE),0)</f>
        <v>0</v>
      </c>
      <c r="R64" s="384" t="str">
        <f>IFERROR(VLOOKUP(Envoltória!K69,Componentes!G:I,2,FALSE),"")</f>
        <v/>
      </c>
      <c r="S64" s="384" t="str">
        <f>IFERROR(VLOOKUP(Envoltória!K69,Componentes!G:I,3,FALSE),"")</f>
        <v/>
      </c>
      <c r="T64" s="383">
        <f>IFERROR(IF(H64&lt;&gt;0,VLOOKUP(Envoltória!N69,Componentes!T:V,3,FALSE),0),"")</f>
        <v>0</v>
      </c>
      <c r="U64" s="383">
        <f>IFERROR(IF(H64&lt;&gt;0,VLOOKUP(Envoltória!N69,Componentes!T:V,2,FALSE),0),"")</f>
        <v>0</v>
      </c>
      <c r="V64" s="384">
        <f>IFERROR(IF(AA64&lt;&gt;0,VLOOKUP(Envoltória!U69,Componentes!X:Z,2,FALSE),0),"")</f>
        <v>0</v>
      </c>
      <c r="W64" s="384">
        <f>IFERROR(IF(AA64&lt;&gt;0,VLOOKUP(Envoltória!U69,Componentes!X:Z,3,FALSE),0),"")</f>
        <v>0</v>
      </c>
      <c r="X64" s="383" t="str">
        <f>Envoltória!X69</f>
        <v/>
      </c>
      <c r="Y64" s="383">
        <f>Envoltória!V69</f>
        <v>0</v>
      </c>
      <c r="Z64" s="383" t="str">
        <f>Envoltória!W69</f>
        <v/>
      </c>
      <c r="AA64" s="386">
        <f>Envoltória!T69/100</f>
        <v>0</v>
      </c>
      <c r="AB64" s="387"/>
      <c r="AC64" s="387"/>
      <c r="AD64" s="387"/>
      <c r="AE64" s="387"/>
      <c r="AF64" s="387"/>
      <c r="AG64" s="387"/>
      <c r="AH64" s="387"/>
      <c r="AI64" s="387"/>
      <c r="AJ64" s="387"/>
      <c r="AK64" s="387"/>
      <c r="AL64" s="387"/>
      <c r="AM64" s="387"/>
      <c r="AN64" s="387"/>
      <c r="AO64" s="387"/>
      <c r="AP64" s="383">
        <f>IF(BF64=0,90,Envoltória!S69)</f>
        <v>0</v>
      </c>
      <c r="AQ64" s="383">
        <f>IF(BF64=0,90,Envoltória!R69)</f>
        <v>0</v>
      </c>
      <c r="AR64" s="383" t="str">
        <f t="shared" si="8"/>
        <v/>
      </c>
      <c r="AS64" s="383" t="str">
        <f t="shared" si="8"/>
        <v/>
      </c>
      <c r="AT64" s="383" t="str">
        <f t="shared" si="8"/>
        <v/>
      </c>
      <c r="AU64" s="383" t="str">
        <f t="shared" si="8"/>
        <v/>
      </c>
      <c r="AV64" s="383" t="str">
        <f t="shared" si="8"/>
        <v/>
      </c>
      <c r="AW64" s="384" t="str">
        <f>IFERROR(VLOOKUP(Envoltória!$B69,Aux_Lista!$N$2:$T$7,AW$9,FALSE),"")</f>
        <v/>
      </c>
      <c r="AX64" s="384" t="str">
        <f>IFERROR(VLOOKUP(Envoltória!$B69,Aux_Lista!$N$2:$T$7,AX$9,FALSE),"")</f>
        <v/>
      </c>
      <c r="AY64" s="384" t="str">
        <f>IFERROR(VLOOKUP(Envoltória!$B69,Aux_Lista!$N$2:$T$7,AY$9,FALSE),"")</f>
        <v/>
      </c>
      <c r="AZ64" s="384" t="str">
        <f>IFERROR(VLOOKUP(Envoltória!$B69,Aux_Lista!$N$2:$T$7,AZ$9,FALSE),"")</f>
        <v/>
      </c>
      <c r="BA64" s="384" t="str">
        <f>IFERROR(VLOOKUP(Envoltória!$B69,Aux_Lista!$N$2:$T$7,BA$9,FALSE),"")</f>
        <v/>
      </c>
      <c r="BB64" s="384" t="str">
        <f>IFERROR(VLOOKUP(Envoltória!$B69,Aux_Lista!$N$2:$T$7,BB$9,FALSE),"")</f>
        <v/>
      </c>
      <c r="BC64" s="384" t="str">
        <f>IFERROR(VLOOKUP(Envoltória!$H69,Aux_Lista!$V$2:$X$3,BC$9,FALSE),"")</f>
        <v/>
      </c>
      <c r="BD64" s="384" t="str">
        <f>IFERROR(VLOOKUP(Envoltória!$H69,Aux_Lista!$V$2:$X$3,BD$9,FALSE),"")</f>
        <v/>
      </c>
      <c r="BE64" s="382">
        <f t="shared" si="2"/>
        <v>0</v>
      </c>
      <c r="BF64" s="382" t="str">
        <f>IFERROR(VLOOKUP(Envoltória!F69,CB3E_Envoltória!$BQ$18:$BR$19,2,FALSE),"")</f>
        <v/>
      </c>
      <c r="BG64" s="382" t="str">
        <f>IFERROR(VLOOKUP(Envoltória!$G69,$BQ$35:$BZ$43,BG$9,FALSE),"")</f>
        <v/>
      </c>
      <c r="BH64" s="382" t="str">
        <f>IFERROR(VLOOKUP(Envoltória!$G69,$BQ$35:$BZ$43,BH$9,FALSE),"")</f>
        <v/>
      </c>
      <c r="BI64" s="382" t="str">
        <f>IFERROR(VLOOKUP(Envoltória!$G69,$BQ$35:$BZ$43,BI$9,FALSE),"")</f>
        <v/>
      </c>
      <c r="BJ64" s="382" t="str">
        <f>IFERROR(VLOOKUP(Envoltória!$G69,$BQ$35:$BZ$43,BJ$9,FALSE),"")</f>
        <v/>
      </c>
      <c r="BK64" s="382" t="str">
        <f>IFERROR(VLOOKUP(Envoltória!$G69,$BQ$35:$BZ$43,BK$9,FALSE),"")</f>
        <v/>
      </c>
      <c r="BL64" s="382" t="str">
        <f>IFERROR(VLOOKUP(Envoltória!$G69,$BQ$35:$BZ$43,BL$9,FALSE),"")</f>
        <v/>
      </c>
      <c r="BM64" s="382" t="str">
        <f>IFERROR(VLOOKUP(Envoltória!$G69,$BQ$35:$BZ$43,BM$9,FALSE),"")</f>
        <v/>
      </c>
      <c r="BN64" s="382" t="str">
        <f>IFERROR(VLOOKUP(Envoltória!$G69,$BQ$35:$BZ$43,BN$9,FALSE),"")</f>
        <v/>
      </c>
      <c r="BO64" s="382" t="str">
        <f>IFERROR(VLOOKUP(Envoltória!$G69,$BQ$35:$BZ$43,BO$9,FALSE),"")</f>
        <v/>
      </c>
    </row>
    <row r="65" spans="1:67" x14ac:dyDescent="0.25">
      <c r="A65" s="1">
        <v>55</v>
      </c>
      <c r="B65" s="370">
        <f>Envoltória!I70</f>
        <v>0</v>
      </c>
      <c r="C65" s="371">
        <f>Envoltória!B70</f>
        <v>0</v>
      </c>
      <c r="D65" s="371">
        <f>Envoltória!C70</f>
        <v>0</v>
      </c>
      <c r="E65" s="381">
        <f>Envoltória!D70</f>
        <v>0</v>
      </c>
      <c r="F65" s="382">
        <f>Envoltória!E70</f>
        <v>0</v>
      </c>
      <c r="G65" s="382">
        <f t="shared" si="1"/>
        <v>0</v>
      </c>
      <c r="H65" s="383">
        <f>Envoltória!O70/100</f>
        <v>0</v>
      </c>
      <c r="I65" s="383">
        <f>IF(BF65=1,Envoltória!Q70,90)</f>
        <v>90</v>
      </c>
      <c r="J65" s="384" t="str">
        <f>IFERROR(VLOOKUP(Envoltória!M70,Componentes!$P:$R,2,FALSE),"")</f>
        <v/>
      </c>
      <c r="K65" s="384" t="str">
        <f>IFERROR(VLOOKUP(Envoltória!M70,Componentes!$P:$R,3,FALSE),"")</f>
        <v/>
      </c>
      <c r="L65" s="383">
        <f>IF(ISERROR(VLOOKUP(Envoltória!L70,Componentes!K:N,2,FALSE)),0,VLOOKUP(Envoltória!L70,Componentes!K:N,2,FALSE))</f>
        <v>0</v>
      </c>
      <c r="M65" s="383">
        <f>IF(ISERROR(VLOOKUP(Envoltória!L70,Componentes!K:N,3,FALSE)),0,VLOOKUP(Envoltória!L70,Componentes!K:N,3,FALSE))</f>
        <v>0</v>
      </c>
      <c r="N65" s="385" t="str">
        <f>IFERROR(IF(BB65&lt;&gt;0,VLOOKUP(Envoltória!L70,Componentes!K:N,4,FALSE),0),"")</f>
        <v/>
      </c>
      <c r="O65" s="383">
        <f>IF(BF65=1,VLOOKUP(Envoltória!J70,Componentes!B:E,2,FALSE),-6)</f>
        <v>-6</v>
      </c>
      <c r="P65" s="383">
        <f>IF(BF65=1,VLOOKUP(Envoltória!J70,Componentes!B:E,3,FALSE),-400)</f>
        <v>-400</v>
      </c>
      <c r="Q65" s="383">
        <f>IF(BF65=1,VLOOKUP(Envoltória!J70,Componentes!B:E,4,FALSE),0)</f>
        <v>0</v>
      </c>
      <c r="R65" s="384" t="str">
        <f>IFERROR(VLOOKUP(Envoltória!K70,Componentes!G:I,2,FALSE),"")</f>
        <v/>
      </c>
      <c r="S65" s="384" t="str">
        <f>IFERROR(VLOOKUP(Envoltória!K70,Componentes!G:I,3,FALSE),"")</f>
        <v/>
      </c>
      <c r="T65" s="383">
        <f>IFERROR(IF(H65&lt;&gt;0,VLOOKUP(Envoltória!N70,Componentes!T:V,3,FALSE),0),"")</f>
        <v>0</v>
      </c>
      <c r="U65" s="383">
        <f>IFERROR(IF(H65&lt;&gt;0,VLOOKUP(Envoltória!N70,Componentes!T:V,2,FALSE),0),"")</f>
        <v>0</v>
      </c>
      <c r="V65" s="384">
        <f>IFERROR(IF(AA65&lt;&gt;0,VLOOKUP(Envoltória!U70,Componentes!X:Z,2,FALSE),0),"")</f>
        <v>0</v>
      </c>
      <c r="W65" s="384">
        <f>IFERROR(IF(AA65&lt;&gt;0,VLOOKUP(Envoltória!U70,Componentes!X:Z,3,FALSE),0),"")</f>
        <v>0</v>
      </c>
      <c r="X65" s="383" t="str">
        <f>Envoltória!X70</f>
        <v/>
      </c>
      <c r="Y65" s="383">
        <f>Envoltória!V70</f>
        <v>0</v>
      </c>
      <c r="Z65" s="383" t="str">
        <f>Envoltória!W70</f>
        <v/>
      </c>
      <c r="AA65" s="386">
        <f>Envoltória!T70/100</f>
        <v>0</v>
      </c>
      <c r="AB65" s="387"/>
      <c r="AC65" s="387"/>
      <c r="AD65" s="387"/>
      <c r="AE65" s="387"/>
      <c r="AF65" s="387"/>
      <c r="AG65" s="387"/>
      <c r="AH65" s="387"/>
      <c r="AI65" s="387"/>
      <c r="AJ65" s="387"/>
      <c r="AK65" s="387"/>
      <c r="AL65" s="387"/>
      <c r="AM65" s="387"/>
      <c r="AN65" s="387"/>
      <c r="AO65" s="387"/>
      <c r="AP65" s="383">
        <f>IF(BF65=0,90,Envoltória!S70)</f>
        <v>0</v>
      </c>
      <c r="AQ65" s="383">
        <f>IF(BF65=0,90,Envoltória!R70)</f>
        <v>0</v>
      </c>
      <c r="AR65" s="383" t="str">
        <f t="shared" si="8"/>
        <v/>
      </c>
      <c r="AS65" s="383" t="str">
        <f t="shared" si="8"/>
        <v/>
      </c>
      <c r="AT65" s="383" t="str">
        <f t="shared" si="8"/>
        <v/>
      </c>
      <c r="AU65" s="383" t="str">
        <f t="shared" si="8"/>
        <v/>
      </c>
      <c r="AV65" s="383" t="str">
        <f t="shared" si="8"/>
        <v/>
      </c>
      <c r="AW65" s="384" t="str">
        <f>IFERROR(VLOOKUP(Envoltória!$B70,Aux_Lista!$N$2:$T$7,AW$9,FALSE),"")</f>
        <v/>
      </c>
      <c r="AX65" s="384" t="str">
        <f>IFERROR(VLOOKUP(Envoltória!$B70,Aux_Lista!$N$2:$T$7,AX$9,FALSE),"")</f>
        <v/>
      </c>
      <c r="AY65" s="384" t="str">
        <f>IFERROR(VLOOKUP(Envoltória!$B70,Aux_Lista!$N$2:$T$7,AY$9,FALSE),"")</f>
        <v/>
      </c>
      <c r="AZ65" s="384" t="str">
        <f>IFERROR(VLOOKUP(Envoltória!$B70,Aux_Lista!$N$2:$T$7,AZ$9,FALSE),"")</f>
        <v/>
      </c>
      <c r="BA65" s="384" t="str">
        <f>IFERROR(VLOOKUP(Envoltória!$B70,Aux_Lista!$N$2:$T$7,BA$9,FALSE),"")</f>
        <v/>
      </c>
      <c r="BB65" s="384" t="str">
        <f>IFERROR(VLOOKUP(Envoltória!$B70,Aux_Lista!$N$2:$T$7,BB$9,FALSE),"")</f>
        <v/>
      </c>
      <c r="BC65" s="384" t="str">
        <f>IFERROR(VLOOKUP(Envoltória!$H70,Aux_Lista!$V$2:$X$3,BC$9,FALSE),"")</f>
        <v/>
      </c>
      <c r="BD65" s="384" t="str">
        <f>IFERROR(VLOOKUP(Envoltória!$H70,Aux_Lista!$V$2:$X$3,BD$9,FALSE),"")</f>
        <v/>
      </c>
      <c r="BE65" s="382">
        <f t="shared" si="2"/>
        <v>0</v>
      </c>
      <c r="BF65" s="382" t="str">
        <f>IFERROR(VLOOKUP(Envoltória!F70,CB3E_Envoltória!$BQ$18:$BR$19,2,FALSE),"")</f>
        <v/>
      </c>
      <c r="BG65" s="382" t="str">
        <f>IFERROR(VLOOKUP(Envoltória!$G70,$BQ$35:$BZ$43,BG$9,FALSE),"")</f>
        <v/>
      </c>
      <c r="BH65" s="382" t="str">
        <f>IFERROR(VLOOKUP(Envoltória!$G70,$BQ$35:$BZ$43,BH$9,FALSE),"")</f>
        <v/>
      </c>
      <c r="BI65" s="382" t="str">
        <f>IFERROR(VLOOKUP(Envoltória!$G70,$BQ$35:$BZ$43,BI$9,FALSE),"")</f>
        <v/>
      </c>
      <c r="BJ65" s="382" t="str">
        <f>IFERROR(VLOOKUP(Envoltória!$G70,$BQ$35:$BZ$43,BJ$9,FALSE),"")</f>
        <v/>
      </c>
      <c r="BK65" s="382" t="str">
        <f>IFERROR(VLOOKUP(Envoltória!$G70,$BQ$35:$BZ$43,BK$9,FALSE),"")</f>
        <v/>
      </c>
      <c r="BL65" s="382" t="str">
        <f>IFERROR(VLOOKUP(Envoltória!$G70,$BQ$35:$BZ$43,BL$9,FALSE),"")</f>
        <v/>
      </c>
      <c r="BM65" s="382" t="str">
        <f>IFERROR(VLOOKUP(Envoltória!$G70,$BQ$35:$BZ$43,BM$9,FALSE),"")</f>
        <v/>
      </c>
      <c r="BN65" s="382" t="str">
        <f>IFERROR(VLOOKUP(Envoltória!$G70,$BQ$35:$BZ$43,BN$9,FALSE),"")</f>
        <v/>
      </c>
      <c r="BO65" s="382" t="str">
        <f>IFERROR(VLOOKUP(Envoltória!$G70,$BQ$35:$BZ$43,BO$9,FALSE),"")</f>
        <v/>
      </c>
    </row>
    <row r="66" spans="1:67" x14ac:dyDescent="0.25">
      <c r="A66" s="1">
        <v>56</v>
      </c>
      <c r="B66" s="370">
        <f>Envoltória!I71</f>
        <v>0</v>
      </c>
      <c r="C66" s="371">
        <f>Envoltória!B71</f>
        <v>0</v>
      </c>
      <c r="D66" s="371">
        <f>Envoltória!C71</f>
        <v>0</v>
      </c>
      <c r="E66" s="381">
        <f>Envoltória!D71</f>
        <v>0</v>
      </c>
      <c r="F66" s="382">
        <f>Envoltória!E71</f>
        <v>0</v>
      </c>
      <c r="G66" s="382">
        <f t="shared" si="1"/>
        <v>0</v>
      </c>
      <c r="H66" s="383">
        <f>Envoltória!O71/100</f>
        <v>0</v>
      </c>
      <c r="I66" s="383">
        <f>IF(BF66=1,Envoltória!Q71,90)</f>
        <v>90</v>
      </c>
      <c r="J66" s="384" t="str">
        <f>IFERROR(VLOOKUP(Envoltória!M71,Componentes!$P:$R,2,FALSE),"")</f>
        <v/>
      </c>
      <c r="K66" s="384" t="str">
        <f>IFERROR(VLOOKUP(Envoltória!M71,Componentes!$P:$R,3,FALSE),"")</f>
        <v/>
      </c>
      <c r="L66" s="383">
        <f>IF(ISERROR(VLOOKUP(Envoltória!L71,Componentes!K:N,2,FALSE)),0,VLOOKUP(Envoltória!L71,Componentes!K:N,2,FALSE))</f>
        <v>0</v>
      </c>
      <c r="M66" s="383">
        <f>IF(ISERROR(VLOOKUP(Envoltória!L71,Componentes!K:N,3,FALSE)),0,VLOOKUP(Envoltória!L71,Componentes!K:N,3,FALSE))</f>
        <v>0</v>
      </c>
      <c r="N66" s="385" t="str">
        <f>IFERROR(IF(BB66&lt;&gt;0,VLOOKUP(Envoltória!L71,Componentes!K:N,4,FALSE),0),"")</f>
        <v/>
      </c>
      <c r="O66" s="383">
        <f>IF(BF66=1,VLOOKUP(Envoltória!J71,Componentes!B:E,2,FALSE),-6)</f>
        <v>-6</v>
      </c>
      <c r="P66" s="383">
        <f>IF(BF66=1,VLOOKUP(Envoltória!J71,Componentes!B:E,3,FALSE),-400)</f>
        <v>-400</v>
      </c>
      <c r="Q66" s="383">
        <f>IF(BF66=1,VLOOKUP(Envoltória!J71,Componentes!B:E,4,FALSE),0)</f>
        <v>0</v>
      </c>
      <c r="R66" s="384" t="str">
        <f>IFERROR(VLOOKUP(Envoltória!K71,Componentes!G:I,2,FALSE),"")</f>
        <v/>
      </c>
      <c r="S66" s="384" t="str">
        <f>IFERROR(VLOOKUP(Envoltória!K71,Componentes!G:I,3,FALSE),"")</f>
        <v/>
      </c>
      <c r="T66" s="383">
        <f>IFERROR(IF(H66&lt;&gt;0,VLOOKUP(Envoltória!N71,Componentes!T:V,3,FALSE),0),"")</f>
        <v>0</v>
      </c>
      <c r="U66" s="383">
        <f>IFERROR(IF(H66&lt;&gt;0,VLOOKUP(Envoltória!N71,Componentes!T:V,2,FALSE),0),"")</f>
        <v>0</v>
      </c>
      <c r="V66" s="384">
        <f>IFERROR(IF(AA66&lt;&gt;0,VLOOKUP(Envoltória!U71,Componentes!X:Z,2,FALSE),0),"")</f>
        <v>0</v>
      </c>
      <c r="W66" s="384">
        <f>IFERROR(IF(AA66&lt;&gt;0,VLOOKUP(Envoltória!U71,Componentes!X:Z,3,FALSE),0),"")</f>
        <v>0</v>
      </c>
      <c r="X66" s="383" t="str">
        <f>Envoltória!X71</f>
        <v/>
      </c>
      <c r="Y66" s="383">
        <f>Envoltória!V71</f>
        <v>0</v>
      </c>
      <c r="Z66" s="383" t="str">
        <f>Envoltória!W71</f>
        <v/>
      </c>
      <c r="AA66" s="386">
        <f>Envoltória!T71/100</f>
        <v>0</v>
      </c>
      <c r="AB66" s="387"/>
      <c r="AC66" s="387"/>
      <c r="AD66" s="387"/>
      <c r="AE66" s="387"/>
      <c r="AF66" s="387"/>
      <c r="AG66" s="387"/>
      <c r="AH66" s="387"/>
      <c r="AI66" s="387"/>
      <c r="AJ66" s="387"/>
      <c r="AK66" s="387"/>
      <c r="AL66" s="387"/>
      <c r="AM66" s="387"/>
      <c r="AN66" s="387"/>
      <c r="AO66" s="387"/>
      <c r="AP66" s="383">
        <f>IF(BF66=0,90,Envoltória!S71)</f>
        <v>0</v>
      </c>
      <c r="AQ66" s="383">
        <f>IF(BF66=0,90,Envoltória!R71)</f>
        <v>0</v>
      </c>
      <c r="AR66" s="383" t="str">
        <f t="shared" si="8"/>
        <v/>
      </c>
      <c r="AS66" s="383" t="str">
        <f t="shared" si="8"/>
        <v/>
      </c>
      <c r="AT66" s="383" t="str">
        <f t="shared" si="8"/>
        <v/>
      </c>
      <c r="AU66" s="383" t="str">
        <f t="shared" si="8"/>
        <v/>
      </c>
      <c r="AV66" s="383" t="str">
        <f t="shared" si="8"/>
        <v/>
      </c>
      <c r="AW66" s="384" t="str">
        <f>IFERROR(VLOOKUP(Envoltória!$B71,Aux_Lista!$N$2:$T$7,AW$9,FALSE),"")</f>
        <v/>
      </c>
      <c r="AX66" s="384" t="str">
        <f>IFERROR(VLOOKUP(Envoltória!$B71,Aux_Lista!$N$2:$T$7,AX$9,FALSE),"")</f>
        <v/>
      </c>
      <c r="AY66" s="384" t="str">
        <f>IFERROR(VLOOKUP(Envoltória!$B71,Aux_Lista!$N$2:$T$7,AY$9,FALSE),"")</f>
        <v/>
      </c>
      <c r="AZ66" s="384" t="str">
        <f>IFERROR(VLOOKUP(Envoltória!$B71,Aux_Lista!$N$2:$T$7,AZ$9,FALSE),"")</f>
        <v/>
      </c>
      <c r="BA66" s="384" t="str">
        <f>IFERROR(VLOOKUP(Envoltória!$B71,Aux_Lista!$N$2:$T$7,BA$9,FALSE),"")</f>
        <v/>
      </c>
      <c r="BB66" s="384" t="str">
        <f>IFERROR(VLOOKUP(Envoltória!$B71,Aux_Lista!$N$2:$T$7,BB$9,FALSE),"")</f>
        <v/>
      </c>
      <c r="BC66" s="384" t="str">
        <f>IFERROR(VLOOKUP(Envoltória!$H71,Aux_Lista!$V$2:$X$3,BC$9,FALSE),"")</f>
        <v/>
      </c>
      <c r="BD66" s="384" t="str">
        <f>IFERROR(VLOOKUP(Envoltória!$H71,Aux_Lista!$V$2:$X$3,BD$9,FALSE),"")</f>
        <v/>
      </c>
      <c r="BE66" s="382">
        <f t="shared" si="2"/>
        <v>0</v>
      </c>
      <c r="BF66" s="382" t="str">
        <f>IFERROR(VLOOKUP(Envoltória!F71,CB3E_Envoltória!$BQ$18:$BR$19,2,FALSE),"")</f>
        <v/>
      </c>
      <c r="BG66" s="382" t="str">
        <f>IFERROR(VLOOKUP(Envoltória!$G71,$BQ$35:$BZ$43,BG$9,FALSE),"")</f>
        <v/>
      </c>
      <c r="BH66" s="382" t="str">
        <f>IFERROR(VLOOKUP(Envoltória!$G71,$BQ$35:$BZ$43,BH$9,FALSE),"")</f>
        <v/>
      </c>
      <c r="BI66" s="382" t="str">
        <f>IFERROR(VLOOKUP(Envoltória!$G71,$BQ$35:$BZ$43,BI$9,FALSE),"")</f>
        <v/>
      </c>
      <c r="BJ66" s="382" t="str">
        <f>IFERROR(VLOOKUP(Envoltória!$G71,$BQ$35:$BZ$43,BJ$9,FALSE),"")</f>
        <v/>
      </c>
      <c r="BK66" s="382" t="str">
        <f>IFERROR(VLOOKUP(Envoltória!$G71,$BQ$35:$BZ$43,BK$9,FALSE),"")</f>
        <v/>
      </c>
      <c r="BL66" s="382" t="str">
        <f>IFERROR(VLOOKUP(Envoltória!$G71,$BQ$35:$BZ$43,BL$9,FALSE),"")</f>
        <v/>
      </c>
      <c r="BM66" s="382" t="str">
        <f>IFERROR(VLOOKUP(Envoltória!$G71,$BQ$35:$BZ$43,BM$9,FALSE),"")</f>
        <v/>
      </c>
      <c r="BN66" s="382" t="str">
        <f>IFERROR(VLOOKUP(Envoltória!$G71,$BQ$35:$BZ$43,BN$9,FALSE),"")</f>
        <v/>
      </c>
      <c r="BO66" s="382" t="str">
        <f>IFERROR(VLOOKUP(Envoltória!$G71,$BQ$35:$BZ$43,BO$9,FALSE),"")</f>
        <v/>
      </c>
    </row>
    <row r="67" spans="1:67" x14ac:dyDescent="0.25">
      <c r="A67" s="1">
        <v>57</v>
      </c>
      <c r="B67" s="370">
        <f>Envoltória!I72</f>
        <v>0</v>
      </c>
      <c r="C67" s="371">
        <f>Envoltória!B72</f>
        <v>0</v>
      </c>
      <c r="D67" s="371">
        <f>Envoltória!C72</f>
        <v>0</v>
      </c>
      <c r="E67" s="381">
        <f>Envoltória!D72</f>
        <v>0</v>
      </c>
      <c r="F67" s="382">
        <f>Envoltória!E72</f>
        <v>0</v>
      </c>
      <c r="G67" s="382">
        <f t="shared" si="1"/>
        <v>0</v>
      </c>
      <c r="H67" s="383">
        <f>Envoltória!O72/100</f>
        <v>0</v>
      </c>
      <c r="I67" s="383">
        <f>IF(BF67=1,Envoltória!Q72,90)</f>
        <v>90</v>
      </c>
      <c r="J67" s="384" t="str">
        <f>IFERROR(VLOOKUP(Envoltória!M72,Componentes!$P:$R,2,FALSE),"")</f>
        <v/>
      </c>
      <c r="K67" s="384" t="str">
        <f>IFERROR(VLOOKUP(Envoltória!M72,Componentes!$P:$R,3,FALSE),"")</f>
        <v/>
      </c>
      <c r="L67" s="383">
        <f>IF(ISERROR(VLOOKUP(Envoltória!L72,Componentes!K:N,2,FALSE)),0,VLOOKUP(Envoltória!L72,Componentes!K:N,2,FALSE))</f>
        <v>0</v>
      </c>
      <c r="M67" s="383">
        <f>IF(ISERROR(VLOOKUP(Envoltória!L72,Componentes!K:N,3,FALSE)),0,VLOOKUP(Envoltória!L72,Componentes!K:N,3,FALSE))</f>
        <v>0</v>
      </c>
      <c r="N67" s="385" t="str">
        <f>IFERROR(IF(BB67&lt;&gt;0,VLOOKUP(Envoltória!L72,Componentes!K:N,4,FALSE),0),"")</f>
        <v/>
      </c>
      <c r="O67" s="383">
        <f>IF(BF67=1,VLOOKUP(Envoltória!J72,Componentes!B:E,2,FALSE),-6)</f>
        <v>-6</v>
      </c>
      <c r="P67" s="383">
        <f>IF(BF67=1,VLOOKUP(Envoltória!J72,Componentes!B:E,3,FALSE),-400)</f>
        <v>-400</v>
      </c>
      <c r="Q67" s="383">
        <f>IF(BF67=1,VLOOKUP(Envoltória!J72,Componentes!B:E,4,FALSE),0)</f>
        <v>0</v>
      </c>
      <c r="R67" s="384" t="str">
        <f>IFERROR(VLOOKUP(Envoltória!K72,Componentes!G:I,2,FALSE),"")</f>
        <v/>
      </c>
      <c r="S67" s="384" t="str">
        <f>IFERROR(VLOOKUP(Envoltória!K72,Componentes!G:I,3,FALSE),"")</f>
        <v/>
      </c>
      <c r="T67" s="383">
        <f>IFERROR(IF(H67&lt;&gt;0,VLOOKUP(Envoltória!N72,Componentes!T:V,3,FALSE),0),"")</f>
        <v>0</v>
      </c>
      <c r="U67" s="383">
        <f>IFERROR(IF(H67&lt;&gt;0,VLOOKUP(Envoltória!N72,Componentes!T:V,2,FALSE),0),"")</f>
        <v>0</v>
      </c>
      <c r="V67" s="384">
        <f>IFERROR(IF(AA67&lt;&gt;0,VLOOKUP(Envoltória!U72,Componentes!X:Z,2,FALSE),0),"")</f>
        <v>0</v>
      </c>
      <c r="W67" s="384">
        <f>IFERROR(IF(AA67&lt;&gt;0,VLOOKUP(Envoltória!U72,Componentes!X:Z,3,FALSE),0),"")</f>
        <v>0</v>
      </c>
      <c r="X67" s="383" t="str">
        <f>Envoltória!X72</f>
        <v/>
      </c>
      <c r="Y67" s="383">
        <f>Envoltória!V72</f>
        <v>0</v>
      </c>
      <c r="Z67" s="383" t="str">
        <f>Envoltória!W72</f>
        <v/>
      </c>
      <c r="AA67" s="386">
        <f>Envoltória!T72/100</f>
        <v>0</v>
      </c>
      <c r="AB67" s="387"/>
      <c r="AC67" s="387"/>
      <c r="AD67" s="387"/>
      <c r="AE67" s="387"/>
      <c r="AF67" s="387"/>
      <c r="AG67" s="387"/>
      <c r="AH67" s="387"/>
      <c r="AI67" s="387"/>
      <c r="AJ67" s="387"/>
      <c r="AK67" s="387"/>
      <c r="AL67" s="387"/>
      <c r="AM67" s="387"/>
      <c r="AN67" s="387"/>
      <c r="AO67" s="387"/>
      <c r="AP67" s="383">
        <f>IF(BF67=0,90,Envoltória!S72)</f>
        <v>0</v>
      </c>
      <c r="AQ67" s="383">
        <f>IF(BF67=0,90,Envoltória!R72)</f>
        <v>0</v>
      </c>
      <c r="AR67" s="383" t="str">
        <f t="shared" si="8"/>
        <v/>
      </c>
      <c r="AS67" s="383" t="str">
        <f t="shared" si="8"/>
        <v/>
      </c>
      <c r="AT67" s="383" t="str">
        <f t="shared" si="8"/>
        <v/>
      </c>
      <c r="AU67" s="383" t="str">
        <f t="shared" si="8"/>
        <v/>
      </c>
      <c r="AV67" s="383" t="str">
        <f t="shared" si="8"/>
        <v/>
      </c>
      <c r="AW67" s="384" t="str">
        <f>IFERROR(VLOOKUP(Envoltória!$B72,Aux_Lista!$N$2:$T$7,AW$9,FALSE),"")</f>
        <v/>
      </c>
      <c r="AX67" s="384" t="str">
        <f>IFERROR(VLOOKUP(Envoltória!$B72,Aux_Lista!$N$2:$T$7,AX$9,FALSE),"")</f>
        <v/>
      </c>
      <c r="AY67" s="384" t="str">
        <f>IFERROR(VLOOKUP(Envoltória!$B72,Aux_Lista!$N$2:$T$7,AY$9,FALSE),"")</f>
        <v/>
      </c>
      <c r="AZ67" s="384" t="str">
        <f>IFERROR(VLOOKUP(Envoltória!$B72,Aux_Lista!$N$2:$T$7,AZ$9,FALSE),"")</f>
        <v/>
      </c>
      <c r="BA67" s="384" t="str">
        <f>IFERROR(VLOOKUP(Envoltória!$B72,Aux_Lista!$N$2:$T$7,BA$9,FALSE),"")</f>
        <v/>
      </c>
      <c r="BB67" s="384" t="str">
        <f>IFERROR(VLOOKUP(Envoltória!$B72,Aux_Lista!$N$2:$T$7,BB$9,FALSE),"")</f>
        <v/>
      </c>
      <c r="BC67" s="384" t="str">
        <f>IFERROR(VLOOKUP(Envoltória!$H72,Aux_Lista!$V$2:$X$3,BC$9,FALSE),"")</f>
        <v/>
      </c>
      <c r="BD67" s="384" t="str">
        <f>IFERROR(VLOOKUP(Envoltória!$H72,Aux_Lista!$V$2:$X$3,BD$9,FALSE),"")</f>
        <v/>
      </c>
      <c r="BE67" s="382">
        <f t="shared" si="2"/>
        <v>0</v>
      </c>
      <c r="BF67" s="382" t="str">
        <f>IFERROR(VLOOKUP(Envoltória!F72,CB3E_Envoltória!$BQ$18:$BR$19,2,FALSE),"")</f>
        <v/>
      </c>
      <c r="BG67" s="382" t="str">
        <f>IFERROR(VLOOKUP(Envoltória!$G72,$BQ$35:$BZ$43,BG$9,FALSE),"")</f>
        <v/>
      </c>
      <c r="BH67" s="382" t="str">
        <f>IFERROR(VLOOKUP(Envoltória!$G72,$BQ$35:$BZ$43,BH$9,FALSE),"")</f>
        <v/>
      </c>
      <c r="BI67" s="382" t="str">
        <f>IFERROR(VLOOKUP(Envoltória!$G72,$BQ$35:$BZ$43,BI$9,FALSE),"")</f>
        <v/>
      </c>
      <c r="BJ67" s="382" t="str">
        <f>IFERROR(VLOOKUP(Envoltória!$G72,$BQ$35:$BZ$43,BJ$9,FALSE),"")</f>
        <v/>
      </c>
      <c r="BK67" s="382" t="str">
        <f>IFERROR(VLOOKUP(Envoltória!$G72,$BQ$35:$BZ$43,BK$9,FALSE),"")</f>
        <v/>
      </c>
      <c r="BL67" s="382" t="str">
        <f>IFERROR(VLOOKUP(Envoltória!$G72,$BQ$35:$BZ$43,BL$9,FALSE),"")</f>
        <v/>
      </c>
      <c r="BM67" s="382" t="str">
        <f>IFERROR(VLOOKUP(Envoltória!$G72,$BQ$35:$BZ$43,BM$9,FALSE),"")</f>
        <v/>
      </c>
      <c r="BN67" s="382" t="str">
        <f>IFERROR(VLOOKUP(Envoltória!$G72,$BQ$35:$BZ$43,BN$9,FALSE),"")</f>
        <v/>
      </c>
      <c r="BO67" s="382" t="str">
        <f>IFERROR(VLOOKUP(Envoltória!$G72,$BQ$35:$BZ$43,BO$9,FALSE),"")</f>
        <v/>
      </c>
    </row>
    <row r="68" spans="1:67" x14ac:dyDescent="0.25">
      <c r="A68" s="1">
        <v>58</v>
      </c>
      <c r="B68" s="370">
        <f>Envoltória!I73</f>
        <v>0</v>
      </c>
      <c r="C68" s="371">
        <f>Envoltória!B73</f>
        <v>0</v>
      </c>
      <c r="D68" s="371">
        <f>Envoltória!C73</f>
        <v>0</v>
      </c>
      <c r="E68" s="381">
        <f>Envoltória!D73</f>
        <v>0</v>
      </c>
      <c r="F68" s="382">
        <f>Envoltória!E73</f>
        <v>0</v>
      </c>
      <c r="G68" s="382">
        <f t="shared" si="1"/>
        <v>0</v>
      </c>
      <c r="H68" s="383">
        <f>Envoltória!O73/100</f>
        <v>0</v>
      </c>
      <c r="I68" s="383">
        <f>IF(BF68=1,Envoltória!Q73,90)</f>
        <v>90</v>
      </c>
      <c r="J68" s="384" t="str">
        <f>IFERROR(VLOOKUP(Envoltória!M73,Componentes!$P:$R,2,FALSE),"")</f>
        <v/>
      </c>
      <c r="K68" s="384" t="str">
        <f>IFERROR(VLOOKUP(Envoltória!M73,Componentes!$P:$R,3,FALSE),"")</f>
        <v/>
      </c>
      <c r="L68" s="383">
        <f>IF(ISERROR(VLOOKUP(Envoltória!L73,Componentes!K:N,2,FALSE)),0,VLOOKUP(Envoltória!L73,Componentes!K:N,2,FALSE))</f>
        <v>0</v>
      </c>
      <c r="M68" s="383">
        <f>IF(ISERROR(VLOOKUP(Envoltória!L73,Componentes!K:N,3,FALSE)),0,VLOOKUP(Envoltória!L73,Componentes!K:N,3,FALSE))</f>
        <v>0</v>
      </c>
      <c r="N68" s="385" t="str">
        <f>IFERROR(IF(BB68&lt;&gt;0,VLOOKUP(Envoltória!L73,Componentes!K:N,4,FALSE),0),"")</f>
        <v/>
      </c>
      <c r="O68" s="383">
        <f>IF(BF68=1,VLOOKUP(Envoltória!J73,Componentes!B:E,2,FALSE),-6)</f>
        <v>-6</v>
      </c>
      <c r="P68" s="383">
        <f>IF(BF68=1,VLOOKUP(Envoltória!J73,Componentes!B:E,3,FALSE),-400)</f>
        <v>-400</v>
      </c>
      <c r="Q68" s="383">
        <f>IF(BF68=1,VLOOKUP(Envoltória!J73,Componentes!B:E,4,FALSE),0)</f>
        <v>0</v>
      </c>
      <c r="R68" s="384" t="str">
        <f>IFERROR(VLOOKUP(Envoltória!K73,Componentes!G:I,2,FALSE),"")</f>
        <v/>
      </c>
      <c r="S68" s="384" t="str">
        <f>IFERROR(VLOOKUP(Envoltória!K73,Componentes!G:I,3,FALSE),"")</f>
        <v/>
      </c>
      <c r="T68" s="383">
        <f>IFERROR(IF(H68&lt;&gt;0,VLOOKUP(Envoltória!N73,Componentes!T:V,3,FALSE),0),"")</f>
        <v>0</v>
      </c>
      <c r="U68" s="383">
        <f>IFERROR(IF(H68&lt;&gt;0,VLOOKUP(Envoltória!N73,Componentes!T:V,2,FALSE),0),"")</f>
        <v>0</v>
      </c>
      <c r="V68" s="384">
        <f>IFERROR(IF(AA68&lt;&gt;0,VLOOKUP(Envoltória!U73,Componentes!X:Z,2,FALSE),0),"")</f>
        <v>0</v>
      </c>
      <c r="W68" s="384">
        <f>IFERROR(IF(AA68&lt;&gt;0,VLOOKUP(Envoltória!U73,Componentes!X:Z,3,FALSE),0),"")</f>
        <v>0</v>
      </c>
      <c r="X68" s="383" t="str">
        <f>Envoltória!X73</f>
        <v/>
      </c>
      <c r="Y68" s="383">
        <f>Envoltória!V73</f>
        <v>0</v>
      </c>
      <c r="Z68" s="383" t="str">
        <f>Envoltória!W73</f>
        <v/>
      </c>
      <c r="AA68" s="386">
        <f>Envoltória!T73/100</f>
        <v>0</v>
      </c>
      <c r="AB68" s="387"/>
      <c r="AC68" s="387"/>
      <c r="AD68" s="387"/>
      <c r="AE68" s="387"/>
      <c r="AF68" s="387"/>
      <c r="AG68" s="387"/>
      <c r="AH68" s="387"/>
      <c r="AI68" s="387"/>
      <c r="AJ68" s="387"/>
      <c r="AK68" s="387"/>
      <c r="AL68" s="387"/>
      <c r="AM68" s="387"/>
      <c r="AN68" s="387"/>
      <c r="AO68" s="387"/>
      <c r="AP68" s="383">
        <f>IF(BF68=0,90,Envoltória!S73)</f>
        <v>0</v>
      </c>
      <c r="AQ68" s="383">
        <f>IF(BF68=0,90,Envoltória!R73)</f>
        <v>0</v>
      </c>
      <c r="AR68" s="383" t="str">
        <f t="shared" si="8"/>
        <v/>
      </c>
      <c r="AS68" s="383" t="str">
        <f t="shared" si="8"/>
        <v/>
      </c>
      <c r="AT68" s="383" t="str">
        <f t="shared" si="8"/>
        <v/>
      </c>
      <c r="AU68" s="383" t="str">
        <f t="shared" si="8"/>
        <v/>
      </c>
      <c r="AV68" s="383" t="str">
        <f t="shared" si="8"/>
        <v/>
      </c>
      <c r="AW68" s="384" t="str">
        <f>IFERROR(VLOOKUP(Envoltória!$B73,Aux_Lista!$N$2:$T$7,AW$9,FALSE),"")</f>
        <v/>
      </c>
      <c r="AX68" s="384" t="str">
        <f>IFERROR(VLOOKUP(Envoltória!$B73,Aux_Lista!$N$2:$T$7,AX$9,FALSE),"")</f>
        <v/>
      </c>
      <c r="AY68" s="384" t="str">
        <f>IFERROR(VLOOKUP(Envoltória!$B73,Aux_Lista!$N$2:$T$7,AY$9,FALSE),"")</f>
        <v/>
      </c>
      <c r="AZ68" s="384" t="str">
        <f>IFERROR(VLOOKUP(Envoltória!$B73,Aux_Lista!$N$2:$T$7,AZ$9,FALSE),"")</f>
        <v/>
      </c>
      <c r="BA68" s="384" t="str">
        <f>IFERROR(VLOOKUP(Envoltória!$B73,Aux_Lista!$N$2:$T$7,BA$9,FALSE),"")</f>
        <v/>
      </c>
      <c r="BB68" s="384" t="str">
        <f>IFERROR(VLOOKUP(Envoltória!$B73,Aux_Lista!$N$2:$T$7,BB$9,FALSE),"")</f>
        <v/>
      </c>
      <c r="BC68" s="384" t="str">
        <f>IFERROR(VLOOKUP(Envoltória!$H73,Aux_Lista!$V$2:$X$3,BC$9,FALSE),"")</f>
        <v/>
      </c>
      <c r="BD68" s="384" t="str">
        <f>IFERROR(VLOOKUP(Envoltória!$H73,Aux_Lista!$V$2:$X$3,BD$9,FALSE),"")</f>
        <v/>
      </c>
      <c r="BE68" s="382">
        <f t="shared" si="2"/>
        <v>0</v>
      </c>
      <c r="BF68" s="382" t="str">
        <f>IFERROR(VLOOKUP(Envoltória!F73,CB3E_Envoltória!$BQ$18:$BR$19,2,FALSE),"")</f>
        <v/>
      </c>
      <c r="BG68" s="382" t="str">
        <f>IFERROR(VLOOKUP(Envoltória!$G73,$BQ$35:$BZ$43,BG$9,FALSE),"")</f>
        <v/>
      </c>
      <c r="BH68" s="382" t="str">
        <f>IFERROR(VLOOKUP(Envoltória!$G73,$BQ$35:$BZ$43,BH$9,FALSE),"")</f>
        <v/>
      </c>
      <c r="BI68" s="382" t="str">
        <f>IFERROR(VLOOKUP(Envoltória!$G73,$BQ$35:$BZ$43,BI$9,FALSE),"")</f>
        <v/>
      </c>
      <c r="BJ68" s="382" t="str">
        <f>IFERROR(VLOOKUP(Envoltória!$G73,$BQ$35:$BZ$43,BJ$9,FALSE),"")</f>
        <v/>
      </c>
      <c r="BK68" s="382" t="str">
        <f>IFERROR(VLOOKUP(Envoltória!$G73,$BQ$35:$BZ$43,BK$9,FALSE),"")</f>
        <v/>
      </c>
      <c r="BL68" s="382" t="str">
        <f>IFERROR(VLOOKUP(Envoltória!$G73,$BQ$35:$BZ$43,BL$9,FALSE),"")</f>
        <v/>
      </c>
      <c r="BM68" s="382" t="str">
        <f>IFERROR(VLOOKUP(Envoltória!$G73,$BQ$35:$BZ$43,BM$9,FALSE),"")</f>
        <v/>
      </c>
      <c r="BN68" s="382" t="str">
        <f>IFERROR(VLOOKUP(Envoltória!$G73,$BQ$35:$BZ$43,BN$9,FALSE),"")</f>
        <v/>
      </c>
      <c r="BO68" s="382" t="str">
        <f>IFERROR(VLOOKUP(Envoltória!$G73,$BQ$35:$BZ$43,BO$9,FALSE),"")</f>
        <v/>
      </c>
    </row>
    <row r="69" spans="1:67" x14ac:dyDescent="0.25">
      <c r="A69" s="1">
        <v>59</v>
      </c>
      <c r="B69" s="370">
        <f>Envoltória!I74</f>
        <v>0</v>
      </c>
      <c r="C69" s="371">
        <f>Envoltória!B74</f>
        <v>0</v>
      </c>
      <c r="D69" s="371">
        <f>Envoltória!C74</f>
        <v>0</v>
      </c>
      <c r="E69" s="381">
        <f>Envoltória!D74</f>
        <v>0</v>
      </c>
      <c r="F69" s="382">
        <f>Envoltória!E74</f>
        <v>0</v>
      </c>
      <c r="G69" s="382">
        <f t="shared" si="1"/>
        <v>0</v>
      </c>
      <c r="H69" s="383">
        <f>Envoltória!O74/100</f>
        <v>0</v>
      </c>
      <c r="I69" s="383">
        <f>IF(BF69=1,Envoltória!Q74,90)</f>
        <v>90</v>
      </c>
      <c r="J69" s="384" t="str">
        <f>IFERROR(VLOOKUP(Envoltória!M74,Componentes!$P:$R,2,FALSE),"")</f>
        <v/>
      </c>
      <c r="K69" s="384" t="str">
        <f>IFERROR(VLOOKUP(Envoltória!M74,Componentes!$P:$R,3,FALSE),"")</f>
        <v/>
      </c>
      <c r="L69" s="383">
        <f>IF(ISERROR(VLOOKUP(Envoltória!L74,Componentes!K:N,2,FALSE)),0,VLOOKUP(Envoltória!L74,Componentes!K:N,2,FALSE))</f>
        <v>0</v>
      </c>
      <c r="M69" s="383">
        <f>IF(ISERROR(VLOOKUP(Envoltória!L74,Componentes!K:N,3,FALSE)),0,VLOOKUP(Envoltória!L74,Componentes!K:N,3,FALSE))</f>
        <v>0</v>
      </c>
      <c r="N69" s="385" t="str">
        <f>IFERROR(IF(BB69&lt;&gt;0,VLOOKUP(Envoltória!L74,Componentes!K:N,4,FALSE),0),"")</f>
        <v/>
      </c>
      <c r="O69" s="383">
        <f>IF(BF69=1,VLOOKUP(Envoltória!J74,Componentes!B:E,2,FALSE),-6)</f>
        <v>-6</v>
      </c>
      <c r="P69" s="383">
        <f>IF(BF69=1,VLOOKUP(Envoltória!J74,Componentes!B:E,3,FALSE),-400)</f>
        <v>-400</v>
      </c>
      <c r="Q69" s="383">
        <f>IF(BF69=1,VLOOKUP(Envoltória!J74,Componentes!B:E,4,FALSE),0)</f>
        <v>0</v>
      </c>
      <c r="R69" s="384" t="str">
        <f>IFERROR(VLOOKUP(Envoltória!K74,Componentes!G:I,2,FALSE),"")</f>
        <v/>
      </c>
      <c r="S69" s="384" t="str">
        <f>IFERROR(VLOOKUP(Envoltória!K74,Componentes!G:I,3,FALSE),"")</f>
        <v/>
      </c>
      <c r="T69" s="383">
        <f>IFERROR(IF(H69&lt;&gt;0,VLOOKUP(Envoltória!N74,Componentes!T:V,3,FALSE),0),"")</f>
        <v>0</v>
      </c>
      <c r="U69" s="383">
        <f>IFERROR(IF(H69&lt;&gt;0,VLOOKUP(Envoltória!N74,Componentes!T:V,2,FALSE),0),"")</f>
        <v>0</v>
      </c>
      <c r="V69" s="384">
        <f>IFERROR(IF(AA69&lt;&gt;0,VLOOKUP(Envoltória!U74,Componentes!X:Z,2,FALSE),0),"")</f>
        <v>0</v>
      </c>
      <c r="W69" s="384">
        <f>IFERROR(IF(AA69&lt;&gt;0,VLOOKUP(Envoltória!U74,Componentes!X:Z,3,FALSE),0),"")</f>
        <v>0</v>
      </c>
      <c r="X69" s="383" t="str">
        <f>Envoltória!X74</f>
        <v/>
      </c>
      <c r="Y69" s="383">
        <f>Envoltória!V74</f>
        <v>0</v>
      </c>
      <c r="Z69" s="383" t="str">
        <f>Envoltória!W74</f>
        <v/>
      </c>
      <c r="AA69" s="386">
        <f>Envoltória!T74/100</f>
        <v>0</v>
      </c>
      <c r="AB69" s="387"/>
      <c r="AC69" s="387"/>
      <c r="AD69" s="387"/>
      <c r="AE69" s="387"/>
      <c r="AF69" s="387"/>
      <c r="AG69" s="387"/>
      <c r="AH69" s="387"/>
      <c r="AI69" s="387"/>
      <c r="AJ69" s="387"/>
      <c r="AK69" s="387"/>
      <c r="AL69" s="387"/>
      <c r="AM69" s="387"/>
      <c r="AN69" s="387"/>
      <c r="AO69" s="387"/>
      <c r="AP69" s="383">
        <f>IF(BF69=0,90,Envoltória!S74)</f>
        <v>0</v>
      </c>
      <c r="AQ69" s="383">
        <f>IF(BF69=0,90,Envoltória!R74)</f>
        <v>0</v>
      </c>
      <c r="AR69" s="383" t="str">
        <f t="shared" si="8"/>
        <v/>
      </c>
      <c r="AS69" s="383" t="str">
        <f t="shared" si="8"/>
        <v/>
      </c>
      <c r="AT69" s="383" t="str">
        <f t="shared" si="8"/>
        <v/>
      </c>
      <c r="AU69" s="383" t="str">
        <f t="shared" si="8"/>
        <v/>
      </c>
      <c r="AV69" s="383" t="str">
        <f t="shared" si="8"/>
        <v/>
      </c>
      <c r="AW69" s="384" t="str">
        <f>IFERROR(VLOOKUP(Envoltória!$B74,Aux_Lista!$N$2:$T$7,AW$9,FALSE),"")</f>
        <v/>
      </c>
      <c r="AX69" s="384" t="str">
        <f>IFERROR(VLOOKUP(Envoltória!$B74,Aux_Lista!$N$2:$T$7,AX$9,FALSE),"")</f>
        <v/>
      </c>
      <c r="AY69" s="384" t="str">
        <f>IFERROR(VLOOKUP(Envoltória!$B74,Aux_Lista!$N$2:$T$7,AY$9,FALSE),"")</f>
        <v/>
      </c>
      <c r="AZ69" s="384" t="str">
        <f>IFERROR(VLOOKUP(Envoltória!$B74,Aux_Lista!$N$2:$T$7,AZ$9,FALSE),"")</f>
        <v/>
      </c>
      <c r="BA69" s="384" t="str">
        <f>IFERROR(VLOOKUP(Envoltória!$B74,Aux_Lista!$N$2:$T$7,BA$9,FALSE),"")</f>
        <v/>
      </c>
      <c r="BB69" s="384" t="str">
        <f>IFERROR(VLOOKUP(Envoltória!$B74,Aux_Lista!$N$2:$T$7,BB$9,FALSE),"")</f>
        <v/>
      </c>
      <c r="BC69" s="384" t="str">
        <f>IFERROR(VLOOKUP(Envoltória!$H74,Aux_Lista!$V$2:$X$3,BC$9,FALSE),"")</f>
        <v/>
      </c>
      <c r="BD69" s="384" t="str">
        <f>IFERROR(VLOOKUP(Envoltória!$H74,Aux_Lista!$V$2:$X$3,BD$9,FALSE),"")</f>
        <v/>
      </c>
      <c r="BE69" s="382">
        <f t="shared" si="2"/>
        <v>0</v>
      </c>
      <c r="BF69" s="382" t="str">
        <f>IFERROR(VLOOKUP(Envoltória!F74,CB3E_Envoltória!$BQ$18:$BR$19,2,FALSE),"")</f>
        <v/>
      </c>
      <c r="BG69" s="382" t="str">
        <f>IFERROR(VLOOKUP(Envoltória!$G74,$BQ$35:$BZ$43,BG$9,FALSE),"")</f>
        <v/>
      </c>
      <c r="BH69" s="382" t="str">
        <f>IFERROR(VLOOKUP(Envoltória!$G74,$BQ$35:$BZ$43,BH$9,FALSE),"")</f>
        <v/>
      </c>
      <c r="BI69" s="382" t="str">
        <f>IFERROR(VLOOKUP(Envoltória!$G74,$BQ$35:$BZ$43,BI$9,FALSE),"")</f>
        <v/>
      </c>
      <c r="BJ69" s="382" t="str">
        <f>IFERROR(VLOOKUP(Envoltória!$G74,$BQ$35:$BZ$43,BJ$9,FALSE),"")</f>
        <v/>
      </c>
      <c r="BK69" s="382" t="str">
        <f>IFERROR(VLOOKUP(Envoltória!$G74,$BQ$35:$BZ$43,BK$9,FALSE),"")</f>
        <v/>
      </c>
      <c r="BL69" s="382" t="str">
        <f>IFERROR(VLOOKUP(Envoltória!$G74,$BQ$35:$BZ$43,BL$9,FALSE),"")</f>
        <v/>
      </c>
      <c r="BM69" s="382" t="str">
        <f>IFERROR(VLOOKUP(Envoltória!$G74,$BQ$35:$BZ$43,BM$9,FALSE),"")</f>
        <v/>
      </c>
      <c r="BN69" s="382" t="str">
        <f>IFERROR(VLOOKUP(Envoltória!$G74,$BQ$35:$BZ$43,BN$9,FALSE),"")</f>
        <v/>
      </c>
      <c r="BO69" s="382" t="str">
        <f>IFERROR(VLOOKUP(Envoltória!$G74,$BQ$35:$BZ$43,BO$9,FALSE),"")</f>
        <v/>
      </c>
    </row>
    <row r="70" spans="1:67" x14ac:dyDescent="0.25">
      <c r="A70" s="1">
        <v>60</v>
      </c>
      <c r="B70" s="370">
        <f>Envoltória!I75</f>
        <v>0</v>
      </c>
      <c r="C70" s="371">
        <f>Envoltória!B75</f>
        <v>0</v>
      </c>
      <c r="D70" s="371">
        <f>Envoltória!C75</f>
        <v>0</v>
      </c>
      <c r="E70" s="381">
        <f>Envoltória!D75</f>
        <v>0</v>
      </c>
      <c r="F70" s="382">
        <f>Envoltória!E75</f>
        <v>0</v>
      </c>
      <c r="G70" s="382">
        <f t="shared" si="1"/>
        <v>0</v>
      </c>
      <c r="H70" s="383">
        <f>Envoltória!O75/100</f>
        <v>0</v>
      </c>
      <c r="I70" s="383">
        <f>IF(BF70=1,Envoltória!Q75,90)</f>
        <v>90</v>
      </c>
      <c r="J70" s="384" t="str">
        <f>IFERROR(VLOOKUP(Envoltória!M75,Componentes!$P:$R,2,FALSE),"")</f>
        <v/>
      </c>
      <c r="K70" s="384" t="str">
        <f>IFERROR(VLOOKUP(Envoltória!M75,Componentes!$P:$R,3,FALSE),"")</f>
        <v/>
      </c>
      <c r="L70" s="383">
        <f>IF(ISERROR(VLOOKUP(Envoltória!L75,Componentes!K:N,2,FALSE)),0,VLOOKUP(Envoltória!L75,Componentes!K:N,2,FALSE))</f>
        <v>0</v>
      </c>
      <c r="M70" s="383">
        <f>IF(ISERROR(VLOOKUP(Envoltória!L75,Componentes!K:N,3,FALSE)),0,VLOOKUP(Envoltória!L75,Componentes!K:N,3,FALSE))</f>
        <v>0</v>
      </c>
      <c r="N70" s="385" t="str">
        <f>IFERROR(IF(BB70&lt;&gt;0,VLOOKUP(Envoltória!L75,Componentes!K:N,4,FALSE),0),"")</f>
        <v/>
      </c>
      <c r="O70" s="383">
        <f>IF(BF70=1,VLOOKUP(Envoltória!J75,Componentes!B:E,2,FALSE),-6)</f>
        <v>-6</v>
      </c>
      <c r="P70" s="383">
        <f>IF(BF70=1,VLOOKUP(Envoltória!J75,Componentes!B:E,3,FALSE),-400)</f>
        <v>-400</v>
      </c>
      <c r="Q70" s="383">
        <f>IF(BF70=1,VLOOKUP(Envoltória!J75,Componentes!B:E,4,FALSE),0)</f>
        <v>0</v>
      </c>
      <c r="R70" s="384" t="str">
        <f>IFERROR(VLOOKUP(Envoltória!K75,Componentes!G:I,2,FALSE),"")</f>
        <v/>
      </c>
      <c r="S70" s="384" t="str">
        <f>IFERROR(VLOOKUP(Envoltória!K75,Componentes!G:I,3,FALSE),"")</f>
        <v/>
      </c>
      <c r="T70" s="383">
        <f>IFERROR(IF(H70&lt;&gt;0,VLOOKUP(Envoltória!N75,Componentes!T:V,3,FALSE),0),"")</f>
        <v>0</v>
      </c>
      <c r="U70" s="383">
        <f>IFERROR(IF(H70&lt;&gt;0,VLOOKUP(Envoltória!N75,Componentes!T:V,2,FALSE),0),"")</f>
        <v>0</v>
      </c>
      <c r="V70" s="384">
        <f>IFERROR(IF(AA70&lt;&gt;0,VLOOKUP(Envoltória!U75,Componentes!X:Z,2,FALSE),0),"")</f>
        <v>0</v>
      </c>
      <c r="W70" s="384">
        <f>IFERROR(IF(AA70&lt;&gt;0,VLOOKUP(Envoltória!U75,Componentes!X:Z,3,FALSE),0),"")</f>
        <v>0</v>
      </c>
      <c r="X70" s="383" t="str">
        <f>Envoltória!X75</f>
        <v/>
      </c>
      <c r="Y70" s="383">
        <f>Envoltória!V75</f>
        <v>0</v>
      </c>
      <c r="Z70" s="383" t="str">
        <f>Envoltória!W75</f>
        <v/>
      </c>
      <c r="AA70" s="386">
        <f>Envoltória!T75/100</f>
        <v>0</v>
      </c>
      <c r="AB70" s="387"/>
      <c r="AC70" s="387"/>
      <c r="AD70" s="387"/>
      <c r="AE70" s="387"/>
      <c r="AF70" s="387"/>
      <c r="AG70" s="387"/>
      <c r="AH70" s="387"/>
      <c r="AI70" s="387"/>
      <c r="AJ70" s="387"/>
      <c r="AK70" s="387"/>
      <c r="AL70" s="387"/>
      <c r="AM70" s="387"/>
      <c r="AN70" s="387"/>
      <c r="AO70" s="387"/>
      <c r="AP70" s="383">
        <f>IF(BF70=0,90,Envoltória!S75)</f>
        <v>0</v>
      </c>
      <c r="AQ70" s="383">
        <f>IF(BF70=0,90,Envoltória!R75)</f>
        <v>0</v>
      </c>
      <c r="AR70" s="383" t="str">
        <f t="shared" si="8"/>
        <v/>
      </c>
      <c r="AS70" s="383" t="str">
        <f t="shared" si="8"/>
        <v/>
      </c>
      <c r="AT70" s="383" t="str">
        <f t="shared" si="8"/>
        <v/>
      </c>
      <c r="AU70" s="383" t="str">
        <f t="shared" si="8"/>
        <v/>
      </c>
      <c r="AV70" s="383" t="str">
        <f t="shared" si="8"/>
        <v/>
      </c>
      <c r="AW70" s="384" t="str">
        <f>IFERROR(VLOOKUP(Envoltória!$B75,Aux_Lista!$N$2:$T$7,AW$9,FALSE),"")</f>
        <v/>
      </c>
      <c r="AX70" s="384" t="str">
        <f>IFERROR(VLOOKUP(Envoltória!$B75,Aux_Lista!$N$2:$T$7,AX$9,FALSE),"")</f>
        <v/>
      </c>
      <c r="AY70" s="384" t="str">
        <f>IFERROR(VLOOKUP(Envoltória!$B75,Aux_Lista!$N$2:$T$7,AY$9,FALSE),"")</f>
        <v/>
      </c>
      <c r="AZ70" s="384" t="str">
        <f>IFERROR(VLOOKUP(Envoltória!$B75,Aux_Lista!$N$2:$T$7,AZ$9,FALSE),"")</f>
        <v/>
      </c>
      <c r="BA70" s="384" t="str">
        <f>IFERROR(VLOOKUP(Envoltória!$B75,Aux_Lista!$N$2:$T$7,BA$9,FALSE),"")</f>
        <v/>
      </c>
      <c r="BB70" s="384" t="str">
        <f>IFERROR(VLOOKUP(Envoltória!$B75,Aux_Lista!$N$2:$T$7,BB$9,FALSE),"")</f>
        <v/>
      </c>
      <c r="BC70" s="384" t="str">
        <f>IFERROR(VLOOKUP(Envoltória!$H75,Aux_Lista!$V$2:$X$3,BC$9,FALSE),"")</f>
        <v/>
      </c>
      <c r="BD70" s="384" t="str">
        <f>IFERROR(VLOOKUP(Envoltória!$H75,Aux_Lista!$V$2:$X$3,BD$9,FALSE),"")</f>
        <v/>
      </c>
      <c r="BE70" s="382">
        <f t="shared" si="2"/>
        <v>0</v>
      </c>
      <c r="BF70" s="382" t="str">
        <f>IFERROR(VLOOKUP(Envoltória!F75,CB3E_Envoltória!$BQ$18:$BR$19,2,FALSE),"")</f>
        <v/>
      </c>
      <c r="BG70" s="382" t="str">
        <f>IFERROR(VLOOKUP(Envoltória!$G75,$BQ$35:$BZ$43,BG$9,FALSE),"")</f>
        <v/>
      </c>
      <c r="BH70" s="382" t="str">
        <f>IFERROR(VLOOKUP(Envoltória!$G75,$BQ$35:$BZ$43,BH$9,FALSE),"")</f>
        <v/>
      </c>
      <c r="BI70" s="382" t="str">
        <f>IFERROR(VLOOKUP(Envoltória!$G75,$BQ$35:$BZ$43,BI$9,FALSE),"")</f>
        <v/>
      </c>
      <c r="BJ70" s="382" t="str">
        <f>IFERROR(VLOOKUP(Envoltória!$G75,$BQ$35:$BZ$43,BJ$9,FALSE),"")</f>
        <v/>
      </c>
      <c r="BK70" s="382" t="str">
        <f>IFERROR(VLOOKUP(Envoltória!$G75,$BQ$35:$BZ$43,BK$9,FALSE),"")</f>
        <v/>
      </c>
      <c r="BL70" s="382" t="str">
        <f>IFERROR(VLOOKUP(Envoltória!$G75,$BQ$35:$BZ$43,BL$9,FALSE),"")</f>
        <v/>
      </c>
      <c r="BM70" s="382" t="str">
        <f>IFERROR(VLOOKUP(Envoltória!$G75,$BQ$35:$BZ$43,BM$9,FALSE),"")</f>
        <v/>
      </c>
      <c r="BN70" s="382" t="str">
        <f>IFERROR(VLOOKUP(Envoltória!$G75,$BQ$35:$BZ$43,BN$9,FALSE),"")</f>
        <v/>
      </c>
      <c r="BO70" s="382" t="str">
        <f>IFERROR(VLOOKUP(Envoltória!$G75,$BQ$35:$BZ$43,BO$9,FALSE),"")</f>
        <v/>
      </c>
    </row>
    <row r="71" spans="1:67" x14ac:dyDescent="0.25">
      <c r="A71" s="1">
        <v>61</v>
      </c>
      <c r="B71" s="370">
        <f>Envoltória!I76</f>
        <v>0</v>
      </c>
      <c r="C71" s="371">
        <f>Envoltória!B76</f>
        <v>0</v>
      </c>
      <c r="D71" s="371">
        <f>Envoltória!C76</f>
        <v>0</v>
      </c>
      <c r="E71" s="381">
        <f>Envoltória!D76</f>
        <v>0</v>
      </c>
      <c r="F71" s="382">
        <f>Envoltória!E76</f>
        <v>0</v>
      </c>
      <c r="G71" s="382">
        <f t="shared" si="1"/>
        <v>0</v>
      </c>
      <c r="H71" s="383">
        <f>Envoltória!O76/100</f>
        <v>0</v>
      </c>
      <c r="I71" s="383">
        <f>IF(BF71=1,Envoltória!Q76,90)</f>
        <v>90</v>
      </c>
      <c r="J71" s="384" t="str">
        <f>IFERROR(VLOOKUP(Envoltória!M76,Componentes!$P:$R,2,FALSE),"")</f>
        <v/>
      </c>
      <c r="K71" s="384" t="str">
        <f>IFERROR(VLOOKUP(Envoltória!M76,Componentes!$P:$R,3,FALSE),"")</f>
        <v/>
      </c>
      <c r="L71" s="383">
        <f>IF(ISERROR(VLOOKUP(Envoltória!L76,Componentes!K:N,2,FALSE)),0,VLOOKUP(Envoltória!L76,Componentes!K:N,2,FALSE))</f>
        <v>0</v>
      </c>
      <c r="M71" s="383">
        <f>IF(ISERROR(VLOOKUP(Envoltória!L76,Componentes!K:N,3,FALSE)),0,VLOOKUP(Envoltória!L76,Componentes!K:N,3,FALSE))</f>
        <v>0</v>
      </c>
      <c r="N71" s="385" t="str">
        <f>IFERROR(IF(BB71&lt;&gt;0,VLOOKUP(Envoltória!L76,Componentes!K:N,4,FALSE),0),"")</f>
        <v/>
      </c>
      <c r="O71" s="383">
        <f>IF(BF71=1,VLOOKUP(Envoltória!J76,Componentes!B:E,2,FALSE),-6)</f>
        <v>-6</v>
      </c>
      <c r="P71" s="383">
        <f>IF(BF71=1,VLOOKUP(Envoltória!J76,Componentes!B:E,3,FALSE),-400)</f>
        <v>-400</v>
      </c>
      <c r="Q71" s="383">
        <f>IF(BF71=1,VLOOKUP(Envoltória!J76,Componentes!B:E,4,FALSE),0)</f>
        <v>0</v>
      </c>
      <c r="R71" s="384" t="str">
        <f>IFERROR(VLOOKUP(Envoltória!K76,Componentes!G:I,2,FALSE),"")</f>
        <v/>
      </c>
      <c r="S71" s="384" t="str">
        <f>IFERROR(VLOOKUP(Envoltória!K76,Componentes!G:I,3,FALSE),"")</f>
        <v/>
      </c>
      <c r="T71" s="383">
        <f>IFERROR(IF(H71&lt;&gt;0,VLOOKUP(Envoltória!N76,Componentes!T:V,3,FALSE),0),"")</f>
        <v>0</v>
      </c>
      <c r="U71" s="383">
        <f>IFERROR(IF(H71&lt;&gt;0,VLOOKUP(Envoltória!N76,Componentes!T:V,2,FALSE),0),"")</f>
        <v>0</v>
      </c>
      <c r="V71" s="384">
        <f>IFERROR(IF(AA71&lt;&gt;0,VLOOKUP(Envoltória!U76,Componentes!X:Z,2,FALSE),0),"")</f>
        <v>0</v>
      </c>
      <c r="W71" s="384">
        <f>IFERROR(IF(AA71&lt;&gt;0,VLOOKUP(Envoltória!U76,Componentes!X:Z,3,FALSE),0),"")</f>
        <v>0</v>
      </c>
      <c r="X71" s="383" t="str">
        <f>Envoltória!X76</f>
        <v/>
      </c>
      <c r="Y71" s="383">
        <f>Envoltória!V76</f>
        <v>0</v>
      </c>
      <c r="Z71" s="383" t="str">
        <f>Envoltória!W76</f>
        <v/>
      </c>
      <c r="AA71" s="386">
        <f>Envoltória!T76/100</f>
        <v>0</v>
      </c>
      <c r="AB71" s="387"/>
      <c r="AC71" s="387"/>
      <c r="AD71" s="387"/>
      <c r="AE71" s="387"/>
      <c r="AF71" s="387"/>
      <c r="AG71" s="387"/>
      <c r="AH71" s="387"/>
      <c r="AI71" s="387"/>
      <c r="AJ71" s="387"/>
      <c r="AK71" s="387"/>
      <c r="AL71" s="387"/>
      <c r="AM71" s="387"/>
      <c r="AN71" s="387"/>
      <c r="AO71" s="387"/>
      <c r="AP71" s="383">
        <f>IF(BF71=0,90,Envoltória!S76)</f>
        <v>0</v>
      </c>
      <c r="AQ71" s="383">
        <f>IF(BF71=0,90,Envoltória!R76)</f>
        <v>0</v>
      </c>
      <c r="AR71" s="383" t="str">
        <f t="shared" ref="AR71:AV80" si="9">IFERROR(VLOOKUP($B71,$BQ$21:$BW$31,AR$9,FALSE),"")</f>
        <v/>
      </c>
      <c r="AS71" s="383" t="str">
        <f t="shared" si="9"/>
        <v/>
      </c>
      <c r="AT71" s="383" t="str">
        <f t="shared" si="9"/>
        <v/>
      </c>
      <c r="AU71" s="383" t="str">
        <f t="shared" si="9"/>
        <v/>
      </c>
      <c r="AV71" s="383" t="str">
        <f t="shared" si="9"/>
        <v/>
      </c>
      <c r="AW71" s="384" t="str">
        <f>IFERROR(VLOOKUP(Envoltória!$B76,Aux_Lista!$N$2:$T$7,AW$9,FALSE),"")</f>
        <v/>
      </c>
      <c r="AX71" s="384" t="str">
        <f>IFERROR(VLOOKUP(Envoltória!$B76,Aux_Lista!$N$2:$T$7,AX$9,FALSE),"")</f>
        <v/>
      </c>
      <c r="AY71" s="384" t="str">
        <f>IFERROR(VLOOKUP(Envoltória!$B76,Aux_Lista!$N$2:$T$7,AY$9,FALSE),"")</f>
        <v/>
      </c>
      <c r="AZ71" s="384" t="str">
        <f>IFERROR(VLOOKUP(Envoltória!$B76,Aux_Lista!$N$2:$T$7,AZ$9,FALSE),"")</f>
        <v/>
      </c>
      <c r="BA71" s="384" t="str">
        <f>IFERROR(VLOOKUP(Envoltória!$B76,Aux_Lista!$N$2:$T$7,BA$9,FALSE),"")</f>
        <v/>
      </c>
      <c r="BB71" s="384" t="str">
        <f>IFERROR(VLOOKUP(Envoltória!$B76,Aux_Lista!$N$2:$T$7,BB$9,FALSE),"")</f>
        <v/>
      </c>
      <c r="BC71" s="384" t="str">
        <f>IFERROR(VLOOKUP(Envoltória!$H76,Aux_Lista!$V$2:$X$3,BC$9,FALSE),"")</f>
        <v/>
      </c>
      <c r="BD71" s="384" t="str">
        <f>IFERROR(VLOOKUP(Envoltória!$H76,Aux_Lista!$V$2:$X$3,BD$9,FALSE),"")</f>
        <v/>
      </c>
      <c r="BE71" s="382">
        <f t="shared" si="2"/>
        <v>0</v>
      </c>
      <c r="BF71" s="382" t="str">
        <f>IFERROR(VLOOKUP(Envoltória!F76,CB3E_Envoltória!$BQ$18:$BR$19,2,FALSE),"")</f>
        <v/>
      </c>
      <c r="BG71" s="382" t="str">
        <f>IFERROR(VLOOKUP(Envoltória!$G76,$BQ$35:$BZ$43,BG$9,FALSE),"")</f>
        <v/>
      </c>
      <c r="BH71" s="382" t="str">
        <f>IFERROR(VLOOKUP(Envoltória!$G76,$BQ$35:$BZ$43,BH$9,FALSE),"")</f>
        <v/>
      </c>
      <c r="BI71" s="382" t="str">
        <f>IFERROR(VLOOKUP(Envoltória!$G76,$BQ$35:$BZ$43,BI$9,FALSE),"")</f>
        <v/>
      </c>
      <c r="BJ71" s="382" t="str">
        <f>IFERROR(VLOOKUP(Envoltória!$G76,$BQ$35:$BZ$43,BJ$9,FALSE),"")</f>
        <v/>
      </c>
      <c r="BK71" s="382" t="str">
        <f>IFERROR(VLOOKUP(Envoltória!$G76,$BQ$35:$BZ$43,BK$9,FALSE),"")</f>
        <v/>
      </c>
      <c r="BL71" s="382" t="str">
        <f>IFERROR(VLOOKUP(Envoltória!$G76,$BQ$35:$BZ$43,BL$9,FALSE),"")</f>
        <v/>
      </c>
      <c r="BM71" s="382" t="str">
        <f>IFERROR(VLOOKUP(Envoltória!$G76,$BQ$35:$BZ$43,BM$9,FALSE),"")</f>
        <v/>
      </c>
      <c r="BN71" s="382" t="str">
        <f>IFERROR(VLOOKUP(Envoltória!$G76,$BQ$35:$BZ$43,BN$9,FALSE),"")</f>
        <v/>
      </c>
      <c r="BO71" s="382" t="str">
        <f>IFERROR(VLOOKUP(Envoltória!$G76,$BQ$35:$BZ$43,BO$9,FALSE),"")</f>
        <v/>
      </c>
    </row>
    <row r="72" spans="1:67" x14ac:dyDescent="0.25">
      <c r="A72" s="1">
        <v>62</v>
      </c>
      <c r="B72" s="370">
        <f>Envoltória!I77</f>
        <v>0</v>
      </c>
      <c r="C72" s="371">
        <f>Envoltória!B77</f>
        <v>0</v>
      </c>
      <c r="D72" s="371">
        <f>Envoltória!C77</f>
        <v>0</v>
      </c>
      <c r="E72" s="381">
        <f>Envoltória!D77</f>
        <v>0</v>
      </c>
      <c r="F72" s="382">
        <f>Envoltória!E77</f>
        <v>0</v>
      </c>
      <c r="G72" s="382">
        <f t="shared" si="1"/>
        <v>0</v>
      </c>
      <c r="H72" s="383">
        <f>Envoltória!O77/100</f>
        <v>0</v>
      </c>
      <c r="I72" s="383">
        <f>IF(BF72=1,Envoltória!Q77,90)</f>
        <v>90</v>
      </c>
      <c r="J72" s="384" t="str">
        <f>IFERROR(VLOOKUP(Envoltória!M77,Componentes!$P:$R,2,FALSE),"")</f>
        <v/>
      </c>
      <c r="K72" s="384" t="str">
        <f>IFERROR(VLOOKUP(Envoltória!M77,Componentes!$P:$R,3,FALSE),"")</f>
        <v/>
      </c>
      <c r="L72" s="383">
        <f>IF(ISERROR(VLOOKUP(Envoltória!L77,Componentes!K:N,2,FALSE)),0,VLOOKUP(Envoltória!L77,Componentes!K:N,2,FALSE))</f>
        <v>0</v>
      </c>
      <c r="M72" s="383">
        <f>IF(ISERROR(VLOOKUP(Envoltória!L77,Componentes!K:N,3,FALSE)),0,VLOOKUP(Envoltória!L77,Componentes!K:N,3,FALSE))</f>
        <v>0</v>
      </c>
      <c r="N72" s="385" t="str">
        <f>IFERROR(IF(BB72&lt;&gt;0,VLOOKUP(Envoltória!L77,Componentes!K:N,4,FALSE),0),"")</f>
        <v/>
      </c>
      <c r="O72" s="383">
        <f>IF(BF72=1,VLOOKUP(Envoltória!J77,Componentes!B:E,2,FALSE),-6)</f>
        <v>-6</v>
      </c>
      <c r="P72" s="383">
        <f>IF(BF72=1,VLOOKUP(Envoltória!J77,Componentes!B:E,3,FALSE),-400)</f>
        <v>-400</v>
      </c>
      <c r="Q72" s="383">
        <f>IF(BF72=1,VLOOKUP(Envoltória!J77,Componentes!B:E,4,FALSE),0)</f>
        <v>0</v>
      </c>
      <c r="R72" s="384" t="str">
        <f>IFERROR(VLOOKUP(Envoltória!K77,Componentes!G:I,2,FALSE),"")</f>
        <v/>
      </c>
      <c r="S72" s="384" t="str">
        <f>IFERROR(VLOOKUP(Envoltória!K77,Componentes!G:I,3,FALSE),"")</f>
        <v/>
      </c>
      <c r="T72" s="383">
        <f>IFERROR(IF(H72&lt;&gt;0,VLOOKUP(Envoltória!N77,Componentes!T:V,3,FALSE),0),"")</f>
        <v>0</v>
      </c>
      <c r="U72" s="383">
        <f>IFERROR(IF(H72&lt;&gt;0,VLOOKUP(Envoltória!N77,Componentes!T:V,2,FALSE),0),"")</f>
        <v>0</v>
      </c>
      <c r="V72" s="384">
        <f>IFERROR(IF(AA72&lt;&gt;0,VLOOKUP(Envoltória!U77,Componentes!X:Z,2,FALSE),0),"")</f>
        <v>0</v>
      </c>
      <c r="W72" s="384">
        <f>IFERROR(IF(AA72&lt;&gt;0,VLOOKUP(Envoltória!U77,Componentes!X:Z,3,FALSE),0),"")</f>
        <v>0</v>
      </c>
      <c r="X72" s="383" t="str">
        <f>Envoltória!X77</f>
        <v/>
      </c>
      <c r="Y72" s="383">
        <f>Envoltória!V77</f>
        <v>0</v>
      </c>
      <c r="Z72" s="383" t="str">
        <f>Envoltória!W77</f>
        <v/>
      </c>
      <c r="AA72" s="386">
        <f>Envoltória!T77/100</f>
        <v>0</v>
      </c>
      <c r="AB72" s="387"/>
      <c r="AC72" s="387"/>
      <c r="AD72" s="387"/>
      <c r="AE72" s="387"/>
      <c r="AF72" s="387"/>
      <c r="AG72" s="387"/>
      <c r="AH72" s="387"/>
      <c r="AI72" s="387"/>
      <c r="AJ72" s="387"/>
      <c r="AK72" s="387"/>
      <c r="AL72" s="387"/>
      <c r="AM72" s="387"/>
      <c r="AN72" s="387"/>
      <c r="AO72" s="387"/>
      <c r="AP72" s="383">
        <f>IF(BF72=0,90,Envoltória!S77)</f>
        <v>0</v>
      </c>
      <c r="AQ72" s="383">
        <f>IF(BF72=0,90,Envoltória!R77)</f>
        <v>0</v>
      </c>
      <c r="AR72" s="383" t="str">
        <f t="shared" si="9"/>
        <v/>
      </c>
      <c r="AS72" s="383" t="str">
        <f t="shared" si="9"/>
        <v/>
      </c>
      <c r="AT72" s="383" t="str">
        <f t="shared" si="9"/>
        <v/>
      </c>
      <c r="AU72" s="383" t="str">
        <f t="shared" si="9"/>
        <v/>
      </c>
      <c r="AV72" s="383" t="str">
        <f t="shared" si="9"/>
        <v/>
      </c>
      <c r="AW72" s="384" t="str">
        <f>IFERROR(VLOOKUP(Envoltória!$B77,Aux_Lista!$N$2:$T$7,AW$9,FALSE),"")</f>
        <v/>
      </c>
      <c r="AX72" s="384" t="str">
        <f>IFERROR(VLOOKUP(Envoltória!$B77,Aux_Lista!$N$2:$T$7,AX$9,FALSE),"")</f>
        <v/>
      </c>
      <c r="AY72" s="384" t="str">
        <f>IFERROR(VLOOKUP(Envoltória!$B77,Aux_Lista!$N$2:$T$7,AY$9,FALSE),"")</f>
        <v/>
      </c>
      <c r="AZ72" s="384" t="str">
        <f>IFERROR(VLOOKUP(Envoltória!$B77,Aux_Lista!$N$2:$T$7,AZ$9,FALSE),"")</f>
        <v/>
      </c>
      <c r="BA72" s="384" t="str">
        <f>IFERROR(VLOOKUP(Envoltória!$B77,Aux_Lista!$N$2:$T$7,BA$9,FALSE),"")</f>
        <v/>
      </c>
      <c r="BB72" s="384" t="str">
        <f>IFERROR(VLOOKUP(Envoltória!$B77,Aux_Lista!$N$2:$T$7,BB$9,FALSE),"")</f>
        <v/>
      </c>
      <c r="BC72" s="384" t="str">
        <f>IFERROR(VLOOKUP(Envoltória!$H77,Aux_Lista!$V$2:$X$3,BC$9,FALSE),"")</f>
        <v/>
      </c>
      <c r="BD72" s="384" t="str">
        <f>IFERROR(VLOOKUP(Envoltória!$H77,Aux_Lista!$V$2:$X$3,BD$9,FALSE),"")</f>
        <v/>
      </c>
      <c r="BE72" s="382">
        <f t="shared" si="2"/>
        <v>0</v>
      </c>
      <c r="BF72" s="382" t="str">
        <f>IFERROR(VLOOKUP(Envoltória!F77,CB3E_Envoltória!$BQ$18:$BR$19,2,FALSE),"")</f>
        <v/>
      </c>
      <c r="BG72" s="382" t="str">
        <f>IFERROR(VLOOKUP(Envoltória!$G77,$BQ$35:$BZ$43,BG$9,FALSE),"")</f>
        <v/>
      </c>
      <c r="BH72" s="382" t="str">
        <f>IFERROR(VLOOKUP(Envoltória!$G77,$BQ$35:$BZ$43,BH$9,FALSE),"")</f>
        <v/>
      </c>
      <c r="BI72" s="382" t="str">
        <f>IFERROR(VLOOKUP(Envoltória!$G77,$BQ$35:$BZ$43,BI$9,FALSE),"")</f>
        <v/>
      </c>
      <c r="BJ72" s="382" t="str">
        <f>IFERROR(VLOOKUP(Envoltória!$G77,$BQ$35:$BZ$43,BJ$9,FALSE),"")</f>
        <v/>
      </c>
      <c r="BK72" s="382" t="str">
        <f>IFERROR(VLOOKUP(Envoltória!$G77,$BQ$35:$BZ$43,BK$9,FALSE),"")</f>
        <v/>
      </c>
      <c r="BL72" s="382" t="str">
        <f>IFERROR(VLOOKUP(Envoltória!$G77,$BQ$35:$BZ$43,BL$9,FALSE),"")</f>
        <v/>
      </c>
      <c r="BM72" s="382" t="str">
        <f>IFERROR(VLOOKUP(Envoltória!$G77,$BQ$35:$BZ$43,BM$9,FALSE),"")</f>
        <v/>
      </c>
      <c r="BN72" s="382" t="str">
        <f>IFERROR(VLOOKUP(Envoltória!$G77,$BQ$35:$BZ$43,BN$9,FALSE),"")</f>
        <v/>
      </c>
      <c r="BO72" s="382" t="str">
        <f>IFERROR(VLOOKUP(Envoltória!$G77,$BQ$35:$BZ$43,BO$9,FALSE),"")</f>
        <v/>
      </c>
    </row>
    <row r="73" spans="1:67" x14ac:dyDescent="0.25">
      <c r="A73" s="1">
        <v>63</v>
      </c>
      <c r="B73" s="370">
        <f>Envoltória!I78</f>
        <v>0</v>
      </c>
      <c r="C73" s="371">
        <f>Envoltória!B78</f>
        <v>0</v>
      </c>
      <c r="D73" s="371">
        <f>Envoltória!C78</f>
        <v>0</v>
      </c>
      <c r="E73" s="381">
        <f>Envoltória!D78</f>
        <v>0</v>
      </c>
      <c r="F73" s="382">
        <f>Envoltória!E78</f>
        <v>0</v>
      </c>
      <c r="G73" s="382">
        <f t="shared" si="1"/>
        <v>0</v>
      </c>
      <c r="H73" s="383">
        <f>Envoltória!O78/100</f>
        <v>0</v>
      </c>
      <c r="I73" s="383">
        <f>IF(BF73=1,Envoltória!Q78,90)</f>
        <v>90</v>
      </c>
      <c r="J73" s="384" t="str">
        <f>IFERROR(VLOOKUP(Envoltória!M78,Componentes!$P:$R,2,FALSE),"")</f>
        <v/>
      </c>
      <c r="K73" s="384" t="str">
        <f>IFERROR(VLOOKUP(Envoltória!M78,Componentes!$P:$R,3,FALSE),"")</f>
        <v/>
      </c>
      <c r="L73" s="383">
        <f>IF(ISERROR(VLOOKUP(Envoltória!L78,Componentes!K:N,2,FALSE)),0,VLOOKUP(Envoltória!L78,Componentes!K:N,2,FALSE))</f>
        <v>0</v>
      </c>
      <c r="M73" s="383">
        <f>IF(ISERROR(VLOOKUP(Envoltória!L78,Componentes!K:N,3,FALSE)),0,VLOOKUP(Envoltória!L78,Componentes!K:N,3,FALSE))</f>
        <v>0</v>
      </c>
      <c r="N73" s="385" t="str">
        <f>IFERROR(IF(BB73&lt;&gt;0,VLOOKUP(Envoltória!L78,Componentes!K:N,4,FALSE),0),"")</f>
        <v/>
      </c>
      <c r="O73" s="383">
        <f>IF(BF73=1,VLOOKUP(Envoltória!J78,Componentes!B:E,2,FALSE),-6)</f>
        <v>-6</v>
      </c>
      <c r="P73" s="383">
        <f>IF(BF73=1,VLOOKUP(Envoltória!J78,Componentes!B:E,3,FALSE),-400)</f>
        <v>-400</v>
      </c>
      <c r="Q73" s="383">
        <f>IF(BF73=1,VLOOKUP(Envoltória!J78,Componentes!B:E,4,FALSE),0)</f>
        <v>0</v>
      </c>
      <c r="R73" s="384" t="str">
        <f>IFERROR(VLOOKUP(Envoltória!K78,Componentes!G:I,2,FALSE),"")</f>
        <v/>
      </c>
      <c r="S73" s="384" t="str">
        <f>IFERROR(VLOOKUP(Envoltória!K78,Componentes!G:I,3,FALSE),"")</f>
        <v/>
      </c>
      <c r="T73" s="383">
        <f>IFERROR(IF(H73&lt;&gt;0,VLOOKUP(Envoltória!N78,Componentes!T:V,3,FALSE),0),"")</f>
        <v>0</v>
      </c>
      <c r="U73" s="383">
        <f>IFERROR(IF(H73&lt;&gt;0,VLOOKUP(Envoltória!N78,Componentes!T:V,2,FALSE),0),"")</f>
        <v>0</v>
      </c>
      <c r="V73" s="384">
        <f>IFERROR(IF(AA73&lt;&gt;0,VLOOKUP(Envoltória!U78,Componentes!X:Z,2,FALSE),0),"")</f>
        <v>0</v>
      </c>
      <c r="W73" s="384">
        <f>IFERROR(IF(AA73&lt;&gt;0,VLOOKUP(Envoltória!U78,Componentes!X:Z,3,FALSE),0),"")</f>
        <v>0</v>
      </c>
      <c r="X73" s="383" t="str">
        <f>Envoltória!X78</f>
        <v/>
      </c>
      <c r="Y73" s="383">
        <f>Envoltória!V78</f>
        <v>0</v>
      </c>
      <c r="Z73" s="383" t="str">
        <f>Envoltória!W78</f>
        <v/>
      </c>
      <c r="AA73" s="386">
        <f>Envoltória!T78/100</f>
        <v>0</v>
      </c>
      <c r="AB73" s="387"/>
      <c r="AC73" s="387"/>
      <c r="AD73" s="387"/>
      <c r="AE73" s="387"/>
      <c r="AF73" s="387"/>
      <c r="AG73" s="387"/>
      <c r="AH73" s="387"/>
      <c r="AI73" s="387"/>
      <c r="AJ73" s="387"/>
      <c r="AK73" s="387"/>
      <c r="AL73" s="387"/>
      <c r="AM73" s="387"/>
      <c r="AN73" s="387"/>
      <c r="AO73" s="387"/>
      <c r="AP73" s="383">
        <f>IF(BF73=0,90,Envoltória!S78)</f>
        <v>0</v>
      </c>
      <c r="AQ73" s="383">
        <f>IF(BF73=0,90,Envoltória!R78)</f>
        <v>0</v>
      </c>
      <c r="AR73" s="383" t="str">
        <f t="shared" si="9"/>
        <v/>
      </c>
      <c r="AS73" s="383" t="str">
        <f t="shared" si="9"/>
        <v/>
      </c>
      <c r="AT73" s="383" t="str">
        <f t="shared" si="9"/>
        <v/>
      </c>
      <c r="AU73" s="383" t="str">
        <f t="shared" si="9"/>
        <v/>
      </c>
      <c r="AV73" s="383" t="str">
        <f t="shared" si="9"/>
        <v/>
      </c>
      <c r="AW73" s="384" t="str">
        <f>IFERROR(VLOOKUP(Envoltória!$B78,Aux_Lista!$N$2:$T$7,AW$9,FALSE),"")</f>
        <v/>
      </c>
      <c r="AX73" s="384" t="str">
        <f>IFERROR(VLOOKUP(Envoltória!$B78,Aux_Lista!$N$2:$T$7,AX$9,FALSE),"")</f>
        <v/>
      </c>
      <c r="AY73" s="384" t="str">
        <f>IFERROR(VLOOKUP(Envoltória!$B78,Aux_Lista!$N$2:$T$7,AY$9,FALSE),"")</f>
        <v/>
      </c>
      <c r="AZ73" s="384" t="str">
        <f>IFERROR(VLOOKUP(Envoltória!$B78,Aux_Lista!$N$2:$T$7,AZ$9,FALSE),"")</f>
        <v/>
      </c>
      <c r="BA73" s="384" t="str">
        <f>IFERROR(VLOOKUP(Envoltória!$B78,Aux_Lista!$N$2:$T$7,BA$9,FALSE),"")</f>
        <v/>
      </c>
      <c r="BB73" s="384" t="str">
        <f>IFERROR(VLOOKUP(Envoltória!$B78,Aux_Lista!$N$2:$T$7,BB$9,FALSE),"")</f>
        <v/>
      </c>
      <c r="BC73" s="384" t="str">
        <f>IFERROR(VLOOKUP(Envoltória!$H78,Aux_Lista!$V$2:$X$3,BC$9,FALSE),"")</f>
        <v/>
      </c>
      <c r="BD73" s="384" t="str">
        <f>IFERROR(VLOOKUP(Envoltória!$H78,Aux_Lista!$V$2:$X$3,BD$9,FALSE),"")</f>
        <v/>
      </c>
      <c r="BE73" s="382">
        <f t="shared" si="2"/>
        <v>0</v>
      </c>
      <c r="BF73" s="382" t="str">
        <f>IFERROR(VLOOKUP(Envoltória!F78,CB3E_Envoltória!$BQ$18:$BR$19,2,FALSE),"")</f>
        <v/>
      </c>
      <c r="BG73" s="382" t="str">
        <f>IFERROR(VLOOKUP(Envoltória!$G78,$BQ$35:$BZ$43,BG$9,FALSE),"")</f>
        <v/>
      </c>
      <c r="BH73" s="382" t="str">
        <f>IFERROR(VLOOKUP(Envoltória!$G78,$BQ$35:$BZ$43,BH$9,FALSE),"")</f>
        <v/>
      </c>
      <c r="BI73" s="382" t="str">
        <f>IFERROR(VLOOKUP(Envoltória!$G78,$BQ$35:$BZ$43,BI$9,FALSE),"")</f>
        <v/>
      </c>
      <c r="BJ73" s="382" t="str">
        <f>IFERROR(VLOOKUP(Envoltória!$G78,$BQ$35:$BZ$43,BJ$9,FALSE),"")</f>
        <v/>
      </c>
      <c r="BK73" s="382" t="str">
        <f>IFERROR(VLOOKUP(Envoltória!$G78,$BQ$35:$BZ$43,BK$9,FALSE),"")</f>
        <v/>
      </c>
      <c r="BL73" s="382" t="str">
        <f>IFERROR(VLOOKUP(Envoltória!$G78,$BQ$35:$BZ$43,BL$9,FALSE),"")</f>
        <v/>
      </c>
      <c r="BM73" s="382" t="str">
        <f>IFERROR(VLOOKUP(Envoltória!$G78,$BQ$35:$BZ$43,BM$9,FALSE),"")</f>
        <v/>
      </c>
      <c r="BN73" s="382" t="str">
        <f>IFERROR(VLOOKUP(Envoltória!$G78,$BQ$35:$BZ$43,BN$9,FALSE),"")</f>
        <v/>
      </c>
      <c r="BO73" s="382" t="str">
        <f>IFERROR(VLOOKUP(Envoltória!$G78,$BQ$35:$BZ$43,BO$9,FALSE),"")</f>
        <v/>
      </c>
    </row>
    <row r="74" spans="1:67" x14ac:dyDescent="0.25">
      <c r="A74" s="1">
        <v>64</v>
      </c>
      <c r="B74" s="370">
        <f>Envoltória!I79</f>
        <v>0</v>
      </c>
      <c r="C74" s="371">
        <f>Envoltória!B79</f>
        <v>0</v>
      </c>
      <c r="D74" s="371">
        <f>Envoltória!C79</f>
        <v>0</v>
      </c>
      <c r="E74" s="381">
        <f>Envoltória!D79</f>
        <v>0</v>
      </c>
      <c r="F74" s="382">
        <f>Envoltória!E79</f>
        <v>0</v>
      </c>
      <c r="G74" s="382">
        <f t="shared" si="1"/>
        <v>0</v>
      </c>
      <c r="H74" s="383">
        <f>Envoltória!O79/100</f>
        <v>0</v>
      </c>
      <c r="I74" s="383">
        <f>IF(BF74=1,Envoltória!Q79,90)</f>
        <v>90</v>
      </c>
      <c r="J74" s="384" t="str">
        <f>IFERROR(VLOOKUP(Envoltória!M79,Componentes!$P:$R,2,FALSE),"")</f>
        <v/>
      </c>
      <c r="K74" s="384" t="str">
        <f>IFERROR(VLOOKUP(Envoltória!M79,Componentes!$P:$R,3,FALSE),"")</f>
        <v/>
      </c>
      <c r="L74" s="383">
        <f>IF(ISERROR(VLOOKUP(Envoltória!L79,Componentes!K:N,2,FALSE)),0,VLOOKUP(Envoltória!L79,Componentes!K:N,2,FALSE))</f>
        <v>0</v>
      </c>
      <c r="M74" s="383">
        <f>IF(ISERROR(VLOOKUP(Envoltória!L79,Componentes!K:N,3,FALSE)),0,VLOOKUP(Envoltória!L79,Componentes!K:N,3,FALSE))</f>
        <v>0</v>
      </c>
      <c r="N74" s="385" t="str">
        <f>IFERROR(IF(BB74&lt;&gt;0,VLOOKUP(Envoltória!L79,Componentes!K:N,4,FALSE),0),"")</f>
        <v/>
      </c>
      <c r="O74" s="383">
        <f>IF(BF74=1,VLOOKUP(Envoltória!J79,Componentes!B:E,2,FALSE),-6)</f>
        <v>-6</v>
      </c>
      <c r="P74" s="383">
        <f>IF(BF74=1,VLOOKUP(Envoltória!J79,Componentes!B:E,3,FALSE),-400)</f>
        <v>-400</v>
      </c>
      <c r="Q74" s="383">
        <f>IF(BF74=1,VLOOKUP(Envoltória!J79,Componentes!B:E,4,FALSE),0)</f>
        <v>0</v>
      </c>
      <c r="R74" s="384" t="str">
        <f>IFERROR(VLOOKUP(Envoltória!K79,Componentes!G:I,2,FALSE),"")</f>
        <v/>
      </c>
      <c r="S74" s="384" t="str">
        <f>IFERROR(VLOOKUP(Envoltória!K79,Componentes!G:I,3,FALSE),"")</f>
        <v/>
      </c>
      <c r="T74" s="383">
        <f>IFERROR(IF(H74&lt;&gt;0,VLOOKUP(Envoltória!N79,Componentes!T:V,3,FALSE),0),"")</f>
        <v>0</v>
      </c>
      <c r="U74" s="383">
        <f>IFERROR(IF(H74&lt;&gt;0,VLOOKUP(Envoltória!N79,Componentes!T:V,2,FALSE),0),"")</f>
        <v>0</v>
      </c>
      <c r="V74" s="384">
        <f>IFERROR(IF(AA74&lt;&gt;0,VLOOKUP(Envoltória!U79,Componentes!X:Z,2,FALSE),0),"")</f>
        <v>0</v>
      </c>
      <c r="W74" s="384">
        <f>IFERROR(IF(AA74&lt;&gt;0,VLOOKUP(Envoltória!U79,Componentes!X:Z,3,FALSE),0),"")</f>
        <v>0</v>
      </c>
      <c r="X74" s="383" t="str">
        <f>Envoltória!X79</f>
        <v/>
      </c>
      <c r="Y74" s="383">
        <f>Envoltória!V79</f>
        <v>0</v>
      </c>
      <c r="Z74" s="383" t="str">
        <f>Envoltória!W79</f>
        <v/>
      </c>
      <c r="AA74" s="386">
        <f>Envoltória!T79/100</f>
        <v>0</v>
      </c>
      <c r="AB74" s="387"/>
      <c r="AC74" s="387"/>
      <c r="AD74" s="387"/>
      <c r="AE74" s="387"/>
      <c r="AF74" s="387"/>
      <c r="AG74" s="387"/>
      <c r="AH74" s="387"/>
      <c r="AI74" s="387"/>
      <c r="AJ74" s="387"/>
      <c r="AK74" s="387"/>
      <c r="AL74" s="387"/>
      <c r="AM74" s="387"/>
      <c r="AN74" s="387"/>
      <c r="AO74" s="387"/>
      <c r="AP74" s="383">
        <f>IF(BF74=0,90,Envoltória!S79)</f>
        <v>0</v>
      </c>
      <c r="AQ74" s="383">
        <f>IF(BF74=0,90,Envoltória!R79)</f>
        <v>0</v>
      </c>
      <c r="AR74" s="383" t="str">
        <f t="shared" si="9"/>
        <v/>
      </c>
      <c r="AS74" s="383" t="str">
        <f t="shared" si="9"/>
        <v/>
      </c>
      <c r="AT74" s="383" t="str">
        <f t="shared" si="9"/>
        <v/>
      </c>
      <c r="AU74" s="383" t="str">
        <f t="shared" si="9"/>
        <v/>
      </c>
      <c r="AV74" s="383" t="str">
        <f t="shared" si="9"/>
        <v/>
      </c>
      <c r="AW74" s="384" t="str">
        <f>IFERROR(VLOOKUP(Envoltória!$B79,Aux_Lista!$N$2:$T$7,AW$9,FALSE),"")</f>
        <v/>
      </c>
      <c r="AX74" s="384" t="str">
        <f>IFERROR(VLOOKUP(Envoltória!$B79,Aux_Lista!$N$2:$T$7,AX$9,FALSE),"")</f>
        <v/>
      </c>
      <c r="AY74" s="384" t="str">
        <f>IFERROR(VLOOKUP(Envoltória!$B79,Aux_Lista!$N$2:$T$7,AY$9,FALSE),"")</f>
        <v/>
      </c>
      <c r="AZ74" s="384" t="str">
        <f>IFERROR(VLOOKUP(Envoltória!$B79,Aux_Lista!$N$2:$T$7,AZ$9,FALSE),"")</f>
        <v/>
      </c>
      <c r="BA74" s="384" t="str">
        <f>IFERROR(VLOOKUP(Envoltória!$B79,Aux_Lista!$N$2:$T$7,BA$9,FALSE),"")</f>
        <v/>
      </c>
      <c r="BB74" s="384" t="str">
        <f>IFERROR(VLOOKUP(Envoltória!$B79,Aux_Lista!$N$2:$T$7,BB$9,FALSE),"")</f>
        <v/>
      </c>
      <c r="BC74" s="384" t="str">
        <f>IFERROR(VLOOKUP(Envoltória!$H79,Aux_Lista!$V$2:$X$3,BC$9,FALSE),"")</f>
        <v/>
      </c>
      <c r="BD74" s="384" t="str">
        <f>IFERROR(VLOOKUP(Envoltória!$H79,Aux_Lista!$V$2:$X$3,BD$9,FALSE),"")</f>
        <v/>
      </c>
      <c r="BE74" s="382">
        <f t="shared" si="2"/>
        <v>0</v>
      </c>
      <c r="BF74" s="382" t="str">
        <f>IFERROR(VLOOKUP(Envoltória!F79,CB3E_Envoltória!$BQ$18:$BR$19,2,FALSE),"")</f>
        <v/>
      </c>
      <c r="BG74" s="382" t="str">
        <f>IFERROR(VLOOKUP(Envoltória!$G79,$BQ$35:$BZ$43,BG$9,FALSE),"")</f>
        <v/>
      </c>
      <c r="BH74" s="382" t="str">
        <f>IFERROR(VLOOKUP(Envoltória!$G79,$BQ$35:$BZ$43,BH$9,FALSE),"")</f>
        <v/>
      </c>
      <c r="BI74" s="382" t="str">
        <f>IFERROR(VLOOKUP(Envoltória!$G79,$BQ$35:$BZ$43,BI$9,FALSE),"")</f>
        <v/>
      </c>
      <c r="BJ74" s="382" t="str">
        <f>IFERROR(VLOOKUP(Envoltória!$G79,$BQ$35:$BZ$43,BJ$9,FALSE),"")</f>
        <v/>
      </c>
      <c r="BK74" s="382" t="str">
        <f>IFERROR(VLOOKUP(Envoltória!$G79,$BQ$35:$BZ$43,BK$9,FALSE),"")</f>
        <v/>
      </c>
      <c r="BL74" s="382" t="str">
        <f>IFERROR(VLOOKUP(Envoltória!$G79,$BQ$35:$BZ$43,BL$9,FALSE),"")</f>
        <v/>
      </c>
      <c r="BM74" s="382" t="str">
        <f>IFERROR(VLOOKUP(Envoltória!$G79,$BQ$35:$BZ$43,BM$9,FALSE),"")</f>
        <v/>
      </c>
      <c r="BN74" s="382" t="str">
        <f>IFERROR(VLOOKUP(Envoltória!$G79,$BQ$35:$BZ$43,BN$9,FALSE),"")</f>
        <v/>
      </c>
      <c r="BO74" s="382" t="str">
        <f>IFERROR(VLOOKUP(Envoltória!$G79,$BQ$35:$BZ$43,BO$9,FALSE),"")</f>
        <v/>
      </c>
    </row>
    <row r="75" spans="1:67" x14ac:dyDescent="0.25">
      <c r="A75" s="1">
        <v>65</v>
      </c>
      <c r="B75" s="370">
        <f>Envoltória!I80</f>
        <v>0</v>
      </c>
      <c r="C75" s="371">
        <f>Envoltória!B80</f>
        <v>0</v>
      </c>
      <c r="D75" s="371">
        <f>Envoltória!C80</f>
        <v>0</v>
      </c>
      <c r="E75" s="381">
        <f>Envoltória!D80</f>
        <v>0</v>
      </c>
      <c r="F75" s="382">
        <f>Envoltória!E80</f>
        <v>0</v>
      </c>
      <c r="G75" s="382">
        <f t="shared" si="1"/>
        <v>0</v>
      </c>
      <c r="H75" s="383">
        <f>Envoltória!O80/100</f>
        <v>0</v>
      </c>
      <c r="I75" s="383">
        <f>IF(BF75=1,Envoltória!Q80,90)</f>
        <v>90</v>
      </c>
      <c r="J75" s="384" t="str">
        <f>IFERROR(VLOOKUP(Envoltória!M80,Componentes!$P:$R,2,FALSE),"")</f>
        <v/>
      </c>
      <c r="K75" s="384" t="str">
        <f>IFERROR(VLOOKUP(Envoltória!M80,Componentes!$P:$R,3,FALSE),"")</f>
        <v/>
      </c>
      <c r="L75" s="383">
        <f>IF(ISERROR(VLOOKUP(Envoltória!L80,Componentes!K:N,2,FALSE)),0,VLOOKUP(Envoltória!L80,Componentes!K:N,2,FALSE))</f>
        <v>0</v>
      </c>
      <c r="M75" s="383">
        <f>IF(ISERROR(VLOOKUP(Envoltória!L80,Componentes!K:N,3,FALSE)),0,VLOOKUP(Envoltória!L80,Componentes!K:N,3,FALSE))</f>
        <v>0</v>
      </c>
      <c r="N75" s="385" t="str">
        <f>IFERROR(IF(BB75&lt;&gt;0,VLOOKUP(Envoltória!L80,Componentes!K:N,4,FALSE),0),"")</f>
        <v/>
      </c>
      <c r="O75" s="383">
        <f>IF(BF75=1,VLOOKUP(Envoltória!J80,Componentes!B:E,2,FALSE),-6)</f>
        <v>-6</v>
      </c>
      <c r="P75" s="383">
        <f>IF(BF75=1,VLOOKUP(Envoltória!J80,Componentes!B:E,3,FALSE),-400)</f>
        <v>-400</v>
      </c>
      <c r="Q75" s="383">
        <f>IF(BF75=1,VLOOKUP(Envoltória!J80,Componentes!B:E,4,FALSE),0)</f>
        <v>0</v>
      </c>
      <c r="R75" s="384" t="str">
        <f>IFERROR(VLOOKUP(Envoltória!K80,Componentes!G:I,2,FALSE),"")</f>
        <v/>
      </c>
      <c r="S75" s="384" t="str">
        <f>IFERROR(VLOOKUP(Envoltória!K80,Componentes!G:I,3,FALSE),"")</f>
        <v/>
      </c>
      <c r="T75" s="383">
        <f>IFERROR(IF(H75&lt;&gt;0,VLOOKUP(Envoltória!N80,Componentes!T:V,3,FALSE),0),"")</f>
        <v>0</v>
      </c>
      <c r="U75" s="383">
        <f>IFERROR(IF(H75&lt;&gt;0,VLOOKUP(Envoltória!N80,Componentes!T:V,2,FALSE),0),"")</f>
        <v>0</v>
      </c>
      <c r="V75" s="384">
        <f>IFERROR(IF(AA75&lt;&gt;0,VLOOKUP(Envoltória!U80,Componentes!X:Z,2,FALSE),0),"")</f>
        <v>0</v>
      </c>
      <c r="W75" s="384">
        <f>IFERROR(IF(AA75&lt;&gt;0,VLOOKUP(Envoltória!U80,Componentes!X:Z,3,FALSE),0),"")</f>
        <v>0</v>
      </c>
      <c r="X75" s="383" t="str">
        <f>Envoltória!X80</f>
        <v/>
      </c>
      <c r="Y75" s="383">
        <f>Envoltória!V80</f>
        <v>0</v>
      </c>
      <c r="Z75" s="383" t="str">
        <f>Envoltória!W80</f>
        <v/>
      </c>
      <c r="AA75" s="386">
        <f>Envoltória!T80/100</f>
        <v>0</v>
      </c>
      <c r="AB75" s="387"/>
      <c r="AC75" s="387"/>
      <c r="AD75" s="387"/>
      <c r="AE75" s="387"/>
      <c r="AF75" s="387"/>
      <c r="AG75" s="387"/>
      <c r="AH75" s="387"/>
      <c r="AI75" s="387"/>
      <c r="AJ75" s="387"/>
      <c r="AK75" s="387"/>
      <c r="AL75" s="387"/>
      <c r="AM75" s="387"/>
      <c r="AN75" s="387"/>
      <c r="AO75" s="387"/>
      <c r="AP75" s="383">
        <f>IF(BF75=0,90,Envoltória!S80)</f>
        <v>0</v>
      </c>
      <c r="AQ75" s="383">
        <f>IF(BF75=0,90,Envoltória!R80)</f>
        <v>0</v>
      </c>
      <c r="AR75" s="383" t="str">
        <f t="shared" si="9"/>
        <v/>
      </c>
      <c r="AS75" s="383" t="str">
        <f t="shared" si="9"/>
        <v/>
      </c>
      <c r="AT75" s="383" t="str">
        <f t="shared" si="9"/>
        <v/>
      </c>
      <c r="AU75" s="383" t="str">
        <f t="shared" si="9"/>
        <v/>
      </c>
      <c r="AV75" s="383" t="str">
        <f t="shared" si="9"/>
        <v/>
      </c>
      <c r="AW75" s="384" t="str">
        <f>IFERROR(VLOOKUP(Envoltória!$B80,Aux_Lista!$N$2:$T$7,AW$9,FALSE),"")</f>
        <v/>
      </c>
      <c r="AX75" s="384" t="str">
        <f>IFERROR(VLOOKUP(Envoltória!$B80,Aux_Lista!$N$2:$T$7,AX$9,FALSE),"")</f>
        <v/>
      </c>
      <c r="AY75" s="384" t="str">
        <f>IFERROR(VLOOKUP(Envoltória!$B80,Aux_Lista!$N$2:$T$7,AY$9,FALSE),"")</f>
        <v/>
      </c>
      <c r="AZ75" s="384" t="str">
        <f>IFERROR(VLOOKUP(Envoltória!$B80,Aux_Lista!$N$2:$T$7,AZ$9,FALSE),"")</f>
        <v/>
      </c>
      <c r="BA75" s="384" t="str">
        <f>IFERROR(VLOOKUP(Envoltória!$B80,Aux_Lista!$N$2:$T$7,BA$9,FALSE),"")</f>
        <v/>
      </c>
      <c r="BB75" s="384" t="str">
        <f>IFERROR(VLOOKUP(Envoltória!$B80,Aux_Lista!$N$2:$T$7,BB$9,FALSE),"")</f>
        <v/>
      </c>
      <c r="BC75" s="384" t="str">
        <f>IFERROR(VLOOKUP(Envoltória!$H80,Aux_Lista!$V$2:$X$3,BC$9,FALSE),"")</f>
        <v/>
      </c>
      <c r="BD75" s="384" t="str">
        <f>IFERROR(VLOOKUP(Envoltória!$H80,Aux_Lista!$V$2:$X$3,BD$9,FALSE),"")</f>
        <v/>
      </c>
      <c r="BE75" s="382">
        <f t="shared" si="2"/>
        <v>0</v>
      </c>
      <c r="BF75" s="382" t="str">
        <f>IFERROR(VLOOKUP(Envoltória!F80,CB3E_Envoltória!$BQ$18:$BR$19,2,FALSE),"")</f>
        <v/>
      </c>
      <c r="BG75" s="382" t="str">
        <f>IFERROR(VLOOKUP(Envoltória!$G80,$BQ$35:$BZ$43,BG$9,FALSE),"")</f>
        <v/>
      </c>
      <c r="BH75" s="382" t="str">
        <f>IFERROR(VLOOKUP(Envoltória!$G80,$BQ$35:$BZ$43,BH$9,FALSE),"")</f>
        <v/>
      </c>
      <c r="BI75" s="382" t="str">
        <f>IFERROR(VLOOKUP(Envoltória!$G80,$BQ$35:$BZ$43,BI$9,FALSE),"")</f>
        <v/>
      </c>
      <c r="BJ75" s="382" t="str">
        <f>IFERROR(VLOOKUP(Envoltória!$G80,$BQ$35:$BZ$43,BJ$9,FALSE),"")</f>
        <v/>
      </c>
      <c r="BK75" s="382" t="str">
        <f>IFERROR(VLOOKUP(Envoltória!$G80,$BQ$35:$BZ$43,BK$9,FALSE),"")</f>
        <v/>
      </c>
      <c r="BL75" s="382" t="str">
        <f>IFERROR(VLOOKUP(Envoltória!$G80,$BQ$35:$BZ$43,BL$9,FALSE),"")</f>
        <v/>
      </c>
      <c r="BM75" s="382" t="str">
        <f>IFERROR(VLOOKUP(Envoltória!$G80,$BQ$35:$BZ$43,BM$9,FALSE),"")</f>
        <v/>
      </c>
      <c r="BN75" s="382" t="str">
        <f>IFERROR(VLOOKUP(Envoltória!$G80,$BQ$35:$BZ$43,BN$9,FALSE),"")</f>
        <v/>
      </c>
      <c r="BO75" s="382" t="str">
        <f>IFERROR(VLOOKUP(Envoltória!$G80,$BQ$35:$BZ$43,BO$9,FALSE),"")</f>
        <v/>
      </c>
    </row>
    <row r="76" spans="1:67" x14ac:dyDescent="0.25">
      <c r="A76" s="1">
        <v>66</v>
      </c>
      <c r="B76" s="370">
        <f>Envoltória!I81</f>
        <v>0</v>
      </c>
      <c r="C76" s="371">
        <f>Envoltória!B81</f>
        <v>0</v>
      </c>
      <c r="D76" s="371">
        <f>Envoltória!C81</f>
        <v>0</v>
      </c>
      <c r="E76" s="381">
        <f>Envoltória!D81</f>
        <v>0</v>
      </c>
      <c r="F76" s="382">
        <f>Envoltória!E81</f>
        <v>0</v>
      </c>
      <c r="G76" s="382">
        <f t="shared" ref="G76:G110" si="10">IF(BF76=1,(((2/4.5)*E76)+9)/2,SQRT(E76))</f>
        <v>0</v>
      </c>
      <c r="H76" s="383">
        <f>Envoltória!O81/100</f>
        <v>0</v>
      </c>
      <c r="I76" s="383">
        <f>IF(BF76=1,Envoltória!Q81,90)</f>
        <v>90</v>
      </c>
      <c r="J76" s="384" t="str">
        <f>IFERROR(VLOOKUP(Envoltória!M81,Componentes!$P:$R,2,FALSE),"")</f>
        <v/>
      </c>
      <c r="K76" s="384" t="str">
        <f>IFERROR(VLOOKUP(Envoltória!M81,Componentes!$P:$R,3,FALSE),"")</f>
        <v/>
      </c>
      <c r="L76" s="383">
        <f>IF(ISERROR(VLOOKUP(Envoltória!L81,Componentes!K:N,2,FALSE)),0,VLOOKUP(Envoltória!L81,Componentes!K:N,2,FALSE))</f>
        <v>0</v>
      </c>
      <c r="M76" s="383">
        <f>IF(ISERROR(VLOOKUP(Envoltória!L81,Componentes!K:N,3,FALSE)),0,VLOOKUP(Envoltória!L81,Componentes!K:N,3,FALSE))</f>
        <v>0</v>
      </c>
      <c r="N76" s="385" t="str">
        <f>IFERROR(IF(BB76&lt;&gt;0,VLOOKUP(Envoltória!L81,Componentes!K:N,4,FALSE),0),"")</f>
        <v/>
      </c>
      <c r="O76" s="383">
        <f>IF(BF76=1,VLOOKUP(Envoltória!J81,Componentes!B:E,2,FALSE),-6)</f>
        <v>-6</v>
      </c>
      <c r="P76" s="383">
        <f>IF(BF76=1,VLOOKUP(Envoltória!J81,Componentes!B:E,3,FALSE),-400)</f>
        <v>-400</v>
      </c>
      <c r="Q76" s="383">
        <f>IF(BF76=1,VLOOKUP(Envoltória!J81,Componentes!B:E,4,FALSE),0)</f>
        <v>0</v>
      </c>
      <c r="R76" s="384" t="str">
        <f>IFERROR(VLOOKUP(Envoltória!K81,Componentes!G:I,2,FALSE),"")</f>
        <v/>
      </c>
      <c r="S76" s="384" t="str">
        <f>IFERROR(VLOOKUP(Envoltória!K81,Componentes!G:I,3,FALSE),"")</f>
        <v/>
      </c>
      <c r="T76" s="383">
        <f>IFERROR(IF(H76&lt;&gt;0,VLOOKUP(Envoltória!N81,Componentes!T:V,3,FALSE),0),"")</f>
        <v>0</v>
      </c>
      <c r="U76" s="383">
        <f>IFERROR(IF(H76&lt;&gt;0,VLOOKUP(Envoltória!N81,Componentes!T:V,2,FALSE),0),"")</f>
        <v>0</v>
      </c>
      <c r="V76" s="384">
        <f>IFERROR(IF(AA76&lt;&gt;0,VLOOKUP(Envoltória!U81,Componentes!X:Z,2,FALSE),0),"")</f>
        <v>0</v>
      </c>
      <c r="W76" s="384">
        <f>IFERROR(IF(AA76&lt;&gt;0,VLOOKUP(Envoltória!U81,Componentes!X:Z,3,FALSE),0),"")</f>
        <v>0</v>
      </c>
      <c r="X76" s="383" t="str">
        <f>Envoltória!X81</f>
        <v/>
      </c>
      <c r="Y76" s="383">
        <f>Envoltória!V81</f>
        <v>0</v>
      </c>
      <c r="Z76" s="383" t="str">
        <f>Envoltória!W81</f>
        <v/>
      </c>
      <c r="AA76" s="386">
        <f>Envoltória!T81/100</f>
        <v>0</v>
      </c>
      <c r="AB76" s="387"/>
      <c r="AC76" s="387"/>
      <c r="AD76" s="387"/>
      <c r="AE76" s="387"/>
      <c r="AF76" s="387"/>
      <c r="AG76" s="387"/>
      <c r="AH76" s="387"/>
      <c r="AI76" s="387"/>
      <c r="AJ76" s="387"/>
      <c r="AK76" s="387"/>
      <c r="AL76" s="387"/>
      <c r="AM76" s="387"/>
      <c r="AN76" s="387"/>
      <c r="AO76" s="387"/>
      <c r="AP76" s="383">
        <f>IF(BF76=0,90,Envoltória!S81)</f>
        <v>0</v>
      </c>
      <c r="AQ76" s="383">
        <f>IF(BF76=0,90,Envoltória!R81)</f>
        <v>0</v>
      </c>
      <c r="AR76" s="383" t="str">
        <f t="shared" si="9"/>
        <v/>
      </c>
      <c r="AS76" s="383" t="str">
        <f t="shared" si="9"/>
        <v/>
      </c>
      <c r="AT76" s="383" t="str">
        <f t="shared" si="9"/>
        <v/>
      </c>
      <c r="AU76" s="383" t="str">
        <f t="shared" si="9"/>
        <v/>
      </c>
      <c r="AV76" s="383" t="str">
        <f t="shared" si="9"/>
        <v/>
      </c>
      <c r="AW76" s="384" t="str">
        <f>IFERROR(VLOOKUP(Envoltória!$B81,Aux_Lista!$N$2:$T$7,AW$9,FALSE),"")</f>
        <v/>
      </c>
      <c r="AX76" s="384" t="str">
        <f>IFERROR(VLOOKUP(Envoltória!$B81,Aux_Lista!$N$2:$T$7,AX$9,FALSE),"")</f>
        <v/>
      </c>
      <c r="AY76" s="384" t="str">
        <f>IFERROR(VLOOKUP(Envoltória!$B81,Aux_Lista!$N$2:$T$7,AY$9,FALSE),"")</f>
        <v/>
      </c>
      <c r="AZ76" s="384" t="str">
        <f>IFERROR(VLOOKUP(Envoltória!$B81,Aux_Lista!$N$2:$T$7,AZ$9,FALSE),"")</f>
        <v/>
      </c>
      <c r="BA76" s="384" t="str">
        <f>IFERROR(VLOOKUP(Envoltória!$B81,Aux_Lista!$N$2:$T$7,BA$9,FALSE),"")</f>
        <v/>
      </c>
      <c r="BB76" s="384" t="str">
        <f>IFERROR(VLOOKUP(Envoltória!$B81,Aux_Lista!$N$2:$T$7,BB$9,FALSE),"")</f>
        <v/>
      </c>
      <c r="BC76" s="384" t="str">
        <f>IFERROR(VLOOKUP(Envoltória!$H81,Aux_Lista!$V$2:$X$3,BC$9,FALSE),"")</f>
        <v/>
      </c>
      <c r="BD76" s="384" t="str">
        <f>IFERROR(VLOOKUP(Envoltória!$H81,Aux_Lista!$V$2:$X$3,BD$9,FALSE),"")</f>
        <v/>
      </c>
      <c r="BE76" s="382">
        <f t="shared" ref="BE76:BE110" si="11">IF(BF76=0,1,0)</f>
        <v>0</v>
      </c>
      <c r="BF76" s="382" t="str">
        <f>IFERROR(VLOOKUP(Envoltória!F81,CB3E_Envoltória!$BQ$18:$BR$19,2,FALSE),"")</f>
        <v/>
      </c>
      <c r="BG76" s="382" t="str">
        <f>IFERROR(VLOOKUP(Envoltória!$G81,$BQ$35:$BZ$43,BG$9,FALSE),"")</f>
        <v/>
      </c>
      <c r="BH76" s="382" t="str">
        <f>IFERROR(VLOOKUP(Envoltória!$G81,$BQ$35:$BZ$43,BH$9,FALSE),"")</f>
        <v/>
      </c>
      <c r="BI76" s="382" t="str">
        <f>IFERROR(VLOOKUP(Envoltória!$G81,$BQ$35:$BZ$43,BI$9,FALSE),"")</f>
        <v/>
      </c>
      <c r="BJ76" s="382" t="str">
        <f>IFERROR(VLOOKUP(Envoltória!$G81,$BQ$35:$BZ$43,BJ$9,FALSE),"")</f>
        <v/>
      </c>
      <c r="BK76" s="382" t="str">
        <f>IFERROR(VLOOKUP(Envoltória!$G81,$BQ$35:$BZ$43,BK$9,FALSE),"")</f>
        <v/>
      </c>
      <c r="BL76" s="382" t="str">
        <f>IFERROR(VLOOKUP(Envoltória!$G81,$BQ$35:$BZ$43,BL$9,FALSE),"")</f>
        <v/>
      </c>
      <c r="BM76" s="382" t="str">
        <f>IFERROR(VLOOKUP(Envoltória!$G81,$BQ$35:$BZ$43,BM$9,FALSE),"")</f>
        <v/>
      </c>
      <c r="BN76" s="382" t="str">
        <f>IFERROR(VLOOKUP(Envoltória!$G81,$BQ$35:$BZ$43,BN$9,FALSE),"")</f>
        <v/>
      </c>
      <c r="BO76" s="382" t="str">
        <f>IFERROR(VLOOKUP(Envoltória!$G81,$BQ$35:$BZ$43,BO$9,FALSE),"")</f>
        <v/>
      </c>
    </row>
    <row r="77" spans="1:67" x14ac:dyDescent="0.25">
      <c r="A77" s="1">
        <v>67</v>
      </c>
      <c r="B77" s="370">
        <f>Envoltória!I82</f>
        <v>0</v>
      </c>
      <c r="C77" s="371">
        <f>Envoltória!B82</f>
        <v>0</v>
      </c>
      <c r="D77" s="371">
        <f>Envoltória!C82</f>
        <v>0</v>
      </c>
      <c r="E77" s="381">
        <f>Envoltória!D82</f>
        <v>0</v>
      </c>
      <c r="F77" s="382">
        <f>Envoltória!E82</f>
        <v>0</v>
      </c>
      <c r="G77" s="382">
        <f t="shared" si="10"/>
        <v>0</v>
      </c>
      <c r="H77" s="383">
        <f>Envoltória!O82/100</f>
        <v>0</v>
      </c>
      <c r="I77" s="383">
        <f>IF(BF77=1,Envoltória!Q82,90)</f>
        <v>90</v>
      </c>
      <c r="J77" s="384" t="str">
        <f>IFERROR(VLOOKUP(Envoltória!M82,Componentes!$P:$R,2,FALSE),"")</f>
        <v/>
      </c>
      <c r="K77" s="384" t="str">
        <f>IFERROR(VLOOKUP(Envoltória!M82,Componentes!$P:$R,3,FALSE),"")</f>
        <v/>
      </c>
      <c r="L77" s="383">
        <f>IF(ISERROR(VLOOKUP(Envoltória!L82,Componentes!K:N,2,FALSE)),0,VLOOKUP(Envoltória!L82,Componentes!K:N,2,FALSE))</f>
        <v>0</v>
      </c>
      <c r="M77" s="383">
        <f>IF(ISERROR(VLOOKUP(Envoltória!L82,Componentes!K:N,3,FALSE)),0,VLOOKUP(Envoltória!L82,Componentes!K:N,3,FALSE))</f>
        <v>0</v>
      </c>
      <c r="N77" s="385" t="str">
        <f>IFERROR(IF(BB77&lt;&gt;0,VLOOKUP(Envoltória!L82,Componentes!K:N,4,FALSE),0),"")</f>
        <v/>
      </c>
      <c r="O77" s="383">
        <f>IF(BF77=1,VLOOKUP(Envoltória!J82,Componentes!B:E,2,FALSE),-6)</f>
        <v>-6</v>
      </c>
      <c r="P77" s="383">
        <f>IF(BF77=1,VLOOKUP(Envoltória!J82,Componentes!B:E,3,FALSE),-400)</f>
        <v>-400</v>
      </c>
      <c r="Q77" s="383">
        <f>IF(BF77=1,VLOOKUP(Envoltória!J82,Componentes!B:E,4,FALSE),0)</f>
        <v>0</v>
      </c>
      <c r="R77" s="384" t="str">
        <f>IFERROR(VLOOKUP(Envoltória!K82,Componentes!G:I,2,FALSE),"")</f>
        <v/>
      </c>
      <c r="S77" s="384" t="str">
        <f>IFERROR(VLOOKUP(Envoltória!K82,Componentes!G:I,3,FALSE),"")</f>
        <v/>
      </c>
      <c r="T77" s="383">
        <f>IFERROR(IF(H77&lt;&gt;0,VLOOKUP(Envoltória!N82,Componentes!T:V,3,FALSE),0),"")</f>
        <v>0</v>
      </c>
      <c r="U77" s="383">
        <f>IFERROR(IF(H77&lt;&gt;0,VLOOKUP(Envoltória!N82,Componentes!T:V,2,FALSE),0),"")</f>
        <v>0</v>
      </c>
      <c r="V77" s="384">
        <f>IFERROR(IF(AA77&lt;&gt;0,VLOOKUP(Envoltória!U82,Componentes!X:Z,2,FALSE),0),"")</f>
        <v>0</v>
      </c>
      <c r="W77" s="384">
        <f>IFERROR(IF(AA77&lt;&gt;0,VLOOKUP(Envoltória!U82,Componentes!X:Z,3,FALSE),0),"")</f>
        <v>0</v>
      </c>
      <c r="X77" s="383" t="str">
        <f>Envoltória!X82</f>
        <v/>
      </c>
      <c r="Y77" s="383">
        <f>Envoltória!V82</f>
        <v>0</v>
      </c>
      <c r="Z77" s="383" t="str">
        <f>Envoltória!W82</f>
        <v/>
      </c>
      <c r="AA77" s="386">
        <f>Envoltória!T82/100</f>
        <v>0</v>
      </c>
      <c r="AB77" s="387"/>
      <c r="AC77" s="387"/>
      <c r="AD77" s="387"/>
      <c r="AE77" s="387"/>
      <c r="AF77" s="387"/>
      <c r="AG77" s="387"/>
      <c r="AH77" s="387"/>
      <c r="AI77" s="387"/>
      <c r="AJ77" s="387"/>
      <c r="AK77" s="387"/>
      <c r="AL77" s="387"/>
      <c r="AM77" s="387"/>
      <c r="AN77" s="387"/>
      <c r="AO77" s="387"/>
      <c r="AP77" s="383">
        <f>IF(BF77=0,90,Envoltória!S82)</f>
        <v>0</v>
      </c>
      <c r="AQ77" s="383">
        <f>IF(BF77=0,90,Envoltória!R82)</f>
        <v>0</v>
      </c>
      <c r="AR77" s="383" t="str">
        <f t="shared" si="9"/>
        <v/>
      </c>
      <c r="AS77" s="383" t="str">
        <f t="shared" si="9"/>
        <v/>
      </c>
      <c r="AT77" s="383" t="str">
        <f t="shared" si="9"/>
        <v/>
      </c>
      <c r="AU77" s="383" t="str">
        <f t="shared" si="9"/>
        <v/>
      </c>
      <c r="AV77" s="383" t="str">
        <f t="shared" si="9"/>
        <v/>
      </c>
      <c r="AW77" s="384" t="str">
        <f>IFERROR(VLOOKUP(Envoltória!$B82,Aux_Lista!$N$2:$T$7,AW$9,FALSE),"")</f>
        <v/>
      </c>
      <c r="AX77" s="384" t="str">
        <f>IFERROR(VLOOKUP(Envoltória!$B82,Aux_Lista!$N$2:$T$7,AX$9,FALSE),"")</f>
        <v/>
      </c>
      <c r="AY77" s="384" t="str">
        <f>IFERROR(VLOOKUP(Envoltória!$B82,Aux_Lista!$N$2:$T$7,AY$9,FALSE),"")</f>
        <v/>
      </c>
      <c r="AZ77" s="384" t="str">
        <f>IFERROR(VLOOKUP(Envoltória!$B82,Aux_Lista!$N$2:$T$7,AZ$9,FALSE),"")</f>
        <v/>
      </c>
      <c r="BA77" s="384" t="str">
        <f>IFERROR(VLOOKUP(Envoltória!$B82,Aux_Lista!$N$2:$T$7,BA$9,FALSE),"")</f>
        <v/>
      </c>
      <c r="BB77" s="384" t="str">
        <f>IFERROR(VLOOKUP(Envoltória!$B82,Aux_Lista!$N$2:$T$7,BB$9,FALSE),"")</f>
        <v/>
      </c>
      <c r="BC77" s="384" t="str">
        <f>IFERROR(VLOOKUP(Envoltória!$H82,Aux_Lista!$V$2:$X$3,BC$9,FALSE),"")</f>
        <v/>
      </c>
      <c r="BD77" s="384" t="str">
        <f>IFERROR(VLOOKUP(Envoltória!$H82,Aux_Lista!$V$2:$X$3,BD$9,FALSE),"")</f>
        <v/>
      </c>
      <c r="BE77" s="382">
        <f t="shared" si="11"/>
        <v>0</v>
      </c>
      <c r="BF77" s="382" t="str">
        <f>IFERROR(VLOOKUP(Envoltória!F82,CB3E_Envoltória!$BQ$18:$BR$19,2,FALSE),"")</f>
        <v/>
      </c>
      <c r="BG77" s="382" t="str">
        <f>IFERROR(VLOOKUP(Envoltória!$G82,$BQ$35:$BZ$43,BG$9,FALSE),"")</f>
        <v/>
      </c>
      <c r="BH77" s="382" t="str">
        <f>IFERROR(VLOOKUP(Envoltória!$G82,$BQ$35:$BZ$43,BH$9,FALSE),"")</f>
        <v/>
      </c>
      <c r="BI77" s="382" t="str">
        <f>IFERROR(VLOOKUP(Envoltória!$G82,$BQ$35:$BZ$43,BI$9,FALSE),"")</f>
        <v/>
      </c>
      <c r="BJ77" s="382" t="str">
        <f>IFERROR(VLOOKUP(Envoltória!$G82,$BQ$35:$BZ$43,BJ$9,FALSE),"")</f>
        <v/>
      </c>
      <c r="BK77" s="382" t="str">
        <f>IFERROR(VLOOKUP(Envoltória!$G82,$BQ$35:$BZ$43,BK$9,FALSE),"")</f>
        <v/>
      </c>
      <c r="BL77" s="382" t="str">
        <f>IFERROR(VLOOKUP(Envoltória!$G82,$BQ$35:$BZ$43,BL$9,FALSE),"")</f>
        <v/>
      </c>
      <c r="BM77" s="382" t="str">
        <f>IFERROR(VLOOKUP(Envoltória!$G82,$BQ$35:$BZ$43,BM$9,FALSE),"")</f>
        <v/>
      </c>
      <c r="BN77" s="382" t="str">
        <f>IFERROR(VLOOKUP(Envoltória!$G82,$BQ$35:$BZ$43,BN$9,FALSE),"")</f>
        <v/>
      </c>
      <c r="BO77" s="382" t="str">
        <f>IFERROR(VLOOKUP(Envoltória!$G82,$BQ$35:$BZ$43,BO$9,FALSE),"")</f>
        <v/>
      </c>
    </row>
    <row r="78" spans="1:67" x14ac:dyDescent="0.25">
      <c r="A78" s="1">
        <v>68</v>
      </c>
      <c r="B78" s="370">
        <f>Envoltória!I83</f>
        <v>0</v>
      </c>
      <c r="C78" s="371">
        <f>Envoltória!B83</f>
        <v>0</v>
      </c>
      <c r="D78" s="371">
        <f>Envoltória!C83</f>
        <v>0</v>
      </c>
      <c r="E78" s="381">
        <f>Envoltória!D83</f>
        <v>0</v>
      </c>
      <c r="F78" s="382">
        <f>Envoltória!E83</f>
        <v>0</v>
      </c>
      <c r="G78" s="382">
        <f t="shared" si="10"/>
        <v>0</v>
      </c>
      <c r="H78" s="383">
        <f>Envoltória!O83/100</f>
        <v>0</v>
      </c>
      <c r="I78" s="383">
        <f>IF(BF78=1,Envoltória!Q83,90)</f>
        <v>90</v>
      </c>
      <c r="J78" s="384" t="str">
        <f>IFERROR(VLOOKUP(Envoltória!M83,Componentes!$P:$R,2,FALSE),"")</f>
        <v/>
      </c>
      <c r="K78" s="384" t="str">
        <f>IFERROR(VLOOKUP(Envoltória!M83,Componentes!$P:$R,3,FALSE),"")</f>
        <v/>
      </c>
      <c r="L78" s="383">
        <f>IF(ISERROR(VLOOKUP(Envoltória!L83,Componentes!K:N,2,FALSE)),0,VLOOKUP(Envoltória!L83,Componentes!K:N,2,FALSE))</f>
        <v>0</v>
      </c>
      <c r="M78" s="383">
        <f>IF(ISERROR(VLOOKUP(Envoltória!L83,Componentes!K:N,3,FALSE)),0,VLOOKUP(Envoltória!L83,Componentes!K:N,3,FALSE))</f>
        <v>0</v>
      </c>
      <c r="N78" s="385" t="str">
        <f>IFERROR(IF(BB78&lt;&gt;0,VLOOKUP(Envoltória!L83,Componentes!K:N,4,FALSE),0),"")</f>
        <v/>
      </c>
      <c r="O78" s="383">
        <f>IF(BF78=1,VLOOKUP(Envoltória!J83,Componentes!B:E,2,FALSE),-6)</f>
        <v>-6</v>
      </c>
      <c r="P78" s="383">
        <f>IF(BF78=1,VLOOKUP(Envoltória!J83,Componentes!B:E,3,FALSE),-400)</f>
        <v>-400</v>
      </c>
      <c r="Q78" s="383">
        <f>IF(BF78=1,VLOOKUP(Envoltória!J83,Componentes!B:E,4,FALSE),0)</f>
        <v>0</v>
      </c>
      <c r="R78" s="384" t="str">
        <f>IFERROR(VLOOKUP(Envoltória!K83,Componentes!G:I,2,FALSE),"")</f>
        <v/>
      </c>
      <c r="S78" s="384" t="str">
        <f>IFERROR(VLOOKUP(Envoltória!K83,Componentes!G:I,3,FALSE),"")</f>
        <v/>
      </c>
      <c r="T78" s="383">
        <f>IFERROR(IF(H78&lt;&gt;0,VLOOKUP(Envoltória!N83,Componentes!T:V,3,FALSE),0),"")</f>
        <v>0</v>
      </c>
      <c r="U78" s="383">
        <f>IFERROR(IF(H78&lt;&gt;0,VLOOKUP(Envoltória!N83,Componentes!T:V,2,FALSE),0),"")</f>
        <v>0</v>
      </c>
      <c r="V78" s="384">
        <f>IFERROR(IF(AA78&lt;&gt;0,VLOOKUP(Envoltória!U83,Componentes!X:Z,2,FALSE),0),"")</f>
        <v>0</v>
      </c>
      <c r="W78" s="384">
        <f>IFERROR(IF(AA78&lt;&gt;0,VLOOKUP(Envoltória!U83,Componentes!X:Z,3,FALSE),0),"")</f>
        <v>0</v>
      </c>
      <c r="X78" s="383" t="str">
        <f>Envoltória!X83</f>
        <v/>
      </c>
      <c r="Y78" s="383">
        <f>Envoltória!V83</f>
        <v>0</v>
      </c>
      <c r="Z78" s="383" t="str">
        <f>Envoltória!W83</f>
        <v/>
      </c>
      <c r="AA78" s="386">
        <f>Envoltória!T83/100</f>
        <v>0</v>
      </c>
      <c r="AB78" s="387"/>
      <c r="AC78" s="387"/>
      <c r="AD78" s="387"/>
      <c r="AE78" s="387"/>
      <c r="AF78" s="387"/>
      <c r="AG78" s="387"/>
      <c r="AH78" s="387"/>
      <c r="AI78" s="387"/>
      <c r="AJ78" s="387"/>
      <c r="AK78" s="387"/>
      <c r="AL78" s="387"/>
      <c r="AM78" s="387"/>
      <c r="AN78" s="387"/>
      <c r="AO78" s="387"/>
      <c r="AP78" s="383">
        <f>IF(BF78=0,90,Envoltória!S83)</f>
        <v>0</v>
      </c>
      <c r="AQ78" s="383">
        <f>IF(BF78=0,90,Envoltória!R83)</f>
        <v>0</v>
      </c>
      <c r="AR78" s="383" t="str">
        <f t="shared" si="9"/>
        <v/>
      </c>
      <c r="AS78" s="383" t="str">
        <f t="shared" si="9"/>
        <v/>
      </c>
      <c r="AT78" s="383" t="str">
        <f t="shared" si="9"/>
        <v/>
      </c>
      <c r="AU78" s="383" t="str">
        <f t="shared" si="9"/>
        <v/>
      </c>
      <c r="AV78" s="383" t="str">
        <f t="shared" si="9"/>
        <v/>
      </c>
      <c r="AW78" s="384" t="str">
        <f>IFERROR(VLOOKUP(Envoltória!$B83,Aux_Lista!$N$2:$T$7,AW$9,FALSE),"")</f>
        <v/>
      </c>
      <c r="AX78" s="384" t="str">
        <f>IFERROR(VLOOKUP(Envoltória!$B83,Aux_Lista!$N$2:$T$7,AX$9,FALSE),"")</f>
        <v/>
      </c>
      <c r="AY78" s="384" t="str">
        <f>IFERROR(VLOOKUP(Envoltória!$B83,Aux_Lista!$N$2:$T$7,AY$9,FALSE),"")</f>
        <v/>
      </c>
      <c r="AZ78" s="384" t="str">
        <f>IFERROR(VLOOKUP(Envoltória!$B83,Aux_Lista!$N$2:$T$7,AZ$9,FALSE),"")</f>
        <v/>
      </c>
      <c r="BA78" s="384" t="str">
        <f>IFERROR(VLOOKUP(Envoltória!$B83,Aux_Lista!$N$2:$T$7,BA$9,FALSE),"")</f>
        <v/>
      </c>
      <c r="BB78" s="384" t="str">
        <f>IFERROR(VLOOKUP(Envoltória!$B83,Aux_Lista!$N$2:$T$7,BB$9,FALSE),"")</f>
        <v/>
      </c>
      <c r="BC78" s="384" t="str">
        <f>IFERROR(VLOOKUP(Envoltória!$H83,Aux_Lista!$V$2:$X$3,BC$9,FALSE),"")</f>
        <v/>
      </c>
      <c r="BD78" s="384" t="str">
        <f>IFERROR(VLOOKUP(Envoltória!$H83,Aux_Lista!$V$2:$X$3,BD$9,FALSE),"")</f>
        <v/>
      </c>
      <c r="BE78" s="382">
        <f t="shared" si="11"/>
        <v>0</v>
      </c>
      <c r="BF78" s="382" t="str">
        <f>IFERROR(VLOOKUP(Envoltória!F83,CB3E_Envoltória!$BQ$18:$BR$19,2,FALSE),"")</f>
        <v/>
      </c>
      <c r="BG78" s="382" t="str">
        <f>IFERROR(VLOOKUP(Envoltória!$G83,$BQ$35:$BZ$43,BG$9,FALSE),"")</f>
        <v/>
      </c>
      <c r="BH78" s="382" t="str">
        <f>IFERROR(VLOOKUP(Envoltória!$G83,$BQ$35:$BZ$43,BH$9,FALSE),"")</f>
        <v/>
      </c>
      <c r="BI78" s="382" t="str">
        <f>IFERROR(VLOOKUP(Envoltória!$G83,$BQ$35:$BZ$43,BI$9,FALSE),"")</f>
        <v/>
      </c>
      <c r="BJ78" s="382" t="str">
        <f>IFERROR(VLOOKUP(Envoltória!$G83,$BQ$35:$BZ$43,BJ$9,FALSE),"")</f>
        <v/>
      </c>
      <c r="BK78" s="382" t="str">
        <f>IFERROR(VLOOKUP(Envoltória!$G83,$BQ$35:$BZ$43,BK$9,FALSE),"")</f>
        <v/>
      </c>
      <c r="BL78" s="382" t="str">
        <f>IFERROR(VLOOKUP(Envoltória!$G83,$BQ$35:$BZ$43,BL$9,FALSE),"")</f>
        <v/>
      </c>
      <c r="BM78" s="382" t="str">
        <f>IFERROR(VLOOKUP(Envoltória!$G83,$BQ$35:$BZ$43,BM$9,FALSE),"")</f>
        <v/>
      </c>
      <c r="BN78" s="382" t="str">
        <f>IFERROR(VLOOKUP(Envoltória!$G83,$BQ$35:$BZ$43,BN$9,FALSE),"")</f>
        <v/>
      </c>
      <c r="BO78" s="382" t="str">
        <f>IFERROR(VLOOKUP(Envoltória!$G83,$BQ$35:$BZ$43,BO$9,FALSE),"")</f>
        <v/>
      </c>
    </row>
    <row r="79" spans="1:67" x14ac:dyDescent="0.25">
      <c r="A79" s="1">
        <v>69</v>
      </c>
      <c r="B79" s="370">
        <f>Envoltória!I84</f>
        <v>0</v>
      </c>
      <c r="C79" s="371">
        <f>Envoltória!B84</f>
        <v>0</v>
      </c>
      <c r="D79" s="371">
        <f>Envoltória!C84</f>
        <v>0</v>
      </c>
      <c r="E79" s="381">
        <f>Envoltória!D84</f>
        <v>0</v>
      </c>
      <c r="F79" s="382">
        <f>Envoltória!E84</f>
        <v>0</v>
      </c>
      <c r="G79" s="382">
        <f t="shared" si="10"/>
        <v>0</v>
      </c>
      <c r="H79" s="383">
        <f>Envoltória!O84/100</f>
        <v>0</v>
      </c>
      <c r="I79" s="383">
        <f>IF(BF79=1,Envoltória!Q84,90)</f>
        <v>90</v>
      </c>
      <c r="J79" s="384" t="str">
        <f>IFERROR(VLOOKUP(Envoltória!M84,Componentes!$P:$R,2,FALSE),"")</f>
        <v/>
      </c>
      <c r="K79" s="384" t="str">
        <f>IFERROR(VLOOKUP(Envoltória!M84,Componentes!$P:$R,3,FALSE),"")</f>
        <v/>
      </c>
      <c r="L79" s="383">
        <f>IF(ISERROR(VLOOKUP(Envoltória!L84,Componentes!K:N,2,FALSE)),0,VLOOKUP(Envoltória!L84,Componentes!K:N,2,FALSE))</f>
        <v>0</v>
      </c>
      <c r="M79" s="383">
        <f>IF(ISERROR(VLOOKUP(Envoltória!L84,Componentes!K:N,3,FALSE)),0,VLOOKUP(Envoltória!L84,Componentes!K:N,3,FALSE))</f>
        <v>0</v>
      </c>
      <c r="N79" s="385" t="str">
        <f>IFERROR(IF(BB79&lt;&gt;0,VLOOKUP(Envoltória!L84,Componentes!K:N,4,FALSE),0),"")</f>
        <v/>
      </c>
      <c r="O79" s="383">
        <f>IF(BF79=1,VLOOKUP(Envoltória!J84,Componentes!B:E,2,FALSE),-6)</f>
        <v>-6</v>
      </c>
      <c r="P79" s="383">
        <f>IF(BF79=1,VLOOKUP(Envoltória!J84,Componentes!B:E,3,FALSE),-400)</f>
        <v>-400</v>
      </c>
      <c r="Q79" s="383">
        <f>IF(BF79=1,VLOOKUP(Envoltória!J84,Componentes!B:E,4,FALSE),0)</f>
        <v>0</v>
      </c>
      <c r="R79" s="384" t="str">
        <f>IFERROR(VLOOKUP(Envoltória!K84,Componentes!G:I,2,FALSE),"")</f>
        <v/>
      </c>
      <c r="S79" s="384" t="str">
        <f>IFERROR(VLOOKUP(Envoltória!K84,Componentes!G:I,3,FALSE),"")</f>
        <v/>
      </c>
      <c r="T79" s="383">
        <f>IFERROR(IF(H79&lt;&gt;0,VLOOKUP(Envoltória!N84,Componentes!T:V,3,FALSE),0),"")</f>
        <v>0</v>
      </c>
      <c r="U79" s="383">
        <f>IFERROR(IF(H79&lt;&gt;0,VLOOKUP(Envoltória!N84,Componentes!T:V,2,FALSE),0),"")</f>
        <v>0</v>
      </c>
      <c r="V79" s="384">
        <f>IFERROR(IF(AA79&lt;&gt;0,VLOOKUP(Envoltória!U84,Componentes!X:Z,2,FALSE),0),"")</f>
        <v>0</v>
      </c>
      <c r="W79" s="384">
        <f>IFERROR(IF(AA79&lt;&gt;0,VLOOKUP(Envoltória!U84,Componentes!X:Z,3,FALSE),0),"")</f>
        <v>0</v>
      </c>
      <c r="X79" s="383" t="str">
        <f>Envoltória!X84</f>
        <v/>
      </c>
      <c r="Y79" s="383">
        <f>Envoltória!V84</f>
        <v>0</v>
      </c>
      <c r="Z79" s="383" t="str">
        <f>Envoltória!W84</f>
        <v/>
      </c>
      <c r="AA79" s="386">
        <f>Envoltória!T84/100</f>
        <v>0</v>
      </c>
      <c r="AB79" s="387"/>
      <c r="AC79" s="387"/>
      <c r="AD79" s="387"/>
      <c r="AE79" s="387"/>
      <c r="AF79" s="387"/>
      <c r="AG79" s="387"/>
      <c r="AH79" s="387"/>
      <c r="AI79" s="387"/>
      <c r="AJ79" s="387"/>
      <c r="AK79" s="387"/>
      <c r="AL79" s="387"/>
      <c r="AM79" s="387"/>
      <c r="AN79" s="387"/>
      <c r="AO79" s="387"/>
      <c r="AP79" s="383">
        <f>IF(BF79=0,90,Envoltória!S84)</f>
        <v>0</v>
      </c>
      <c r="AQ79" s="383">
        <f>IF(BF79=0,90,Envoltória!R84)</f>
        <v>0</v>
      </c>
      <c r="AR79" s="383" t="str">
        <f t="shared" si="9"/>
        <v/>
      </c>
      <c r="AS79" s="383" t="str">
        <f t="shared" si="9"/>
        <v/>
      </c>
      <c r="AT79" s="383" t="str">
        <f t="shared" si="9"/>
        <v/>
      </c>
      <c r="AU79" s="383" t="str">
        <f t="shared" si="9"/>
        <v/>
      </c>
      <c r="AV79" s="383" t="str">
        <f t="shared" si="9"/>
        <v/>
      </c>
      <c r="AW79" s="384" t="str">
        <f>IFERROR(VLOOKUP(Envoltória!$B84,Aux_Lista!$N$2:$T$7,AW$9,FALSE),"")</f>
        <v/>
      </c>
      <c r="AX79" s="384" t="str">
        <f>IFERROR(VLOOKUP(Envoltória!$B84,Aux_Lista!$N$2:$T$7,AX$9,FALSE),"")</f>
        <v/>
      </c>
      <c r="AY79" s="384" t="str">
        <f>IFERROR(VLOOKUP(Envoltória!$B84,Aux_Lista!$N$2:$T$7,AY$9,FALSE),"")</f>
        <v/>
      </c>
      <c r="AZ79" s="384" t="str">
        <f>IFERROR(VLOOKUP(Envoltória!$B84,Aux_Lista!$N$2:$T$7,AZ$9,FALSE),"")</f>
        <v/>
      </c>
      <c r="BA79" s="384" t="str">
        <f>IFERROR(VLOOKUP(Envoltória!$B84,Aux_Lista!$N$2:$T$7,BA$9,FALSE),"")</f>
        <v/>
      </c>
      <c r="BB79" s="384" t="str">
        <f>IFERROR(VLOOKUP(Envoltória!$B84,Aux_Lista!$N$2:$T$7,BB$9,FALSE),"")</f>
        <v/>
      </c>
      <c r="BC79" s="384" t="str">
        <f>IFERROR(VLOOKUP(Envoltória!$H84,Aux_Lista!$V$2:$X$3,BC$9,FALSE),"")</f>
        <v/>
      </c>
      <c r="BD79" s="384" t="str">
        <f>IFERROR(VLOOKUP(Envoltória!$H84,Aux_Lista!$V$2:$X$3,BD$9,FALSE),"")</f>
        <v/>
      </c>
      <c r="BE79" s="382">
        <f t="shared" si="11"/>
        <v>0</v>
      </c>
      <c r="BF79" s="382" t="str">
        <f>IFERROR(VLOOKUP(Envoltória!F84,CB3E_Envoltória!$BQ$18:$BR$19,2,FALSE),"")</f>
        <v/>
      </c>
      <c r="BG79" s="382" t="str">
        <f>IFERROR(VLOOKUP(Envoltória!$G84,$BQ$35:$BZ$43,BG$9,FALSE),"")</f>
        <v/>
      </c>
      <c r="BH79" s="382" t="str">
        <f>IFERROR(VLOOKUP(Envoltória!$G84,$BQ$35:$BZ$43,BH$9,FALSE),"")</f>
        <v/>
      </c>
      <c r="BI79" s="382" t="str">
        <f>IFERROR(VLOOKUP(Envoltória!$G84,$BQ$35:$BZ$43,BI$9,FALSE),"")</f>
        <v/>
      </c>
      <c r="BJ79" s="382" t="str">
        <f>IFERROR(VLOOKUP(Envoltória!$G84,$BQ$35:$BZ$43,BJ$9,FALSE),"")</f>
        <v/>
      </c>
      <c r="BK79" s="382" t="str">
        <f>IFERROR(VLOOKUP(Envoltória!$G84,$BQ$35:$BZ$43,BK$9,FALSE),"")</f>
        <v/>
      </c>
      <c r="BL79" s="382" t="str">
        <f>IFERROR(VLOOKUP(Envoltória!$G84,$BQ$35:$BZ$43,BL$9,FALSE),"")</f>
        <v/>
      </c>
      <c r="BM79" s="382" t="str">
        <f>IFERROR(VLOOKUP(Envoltória!$G84,$BQ$35:$BZ$43,BM$9,FALSE),"")</f>
        <v/>
      </c>
      <c r="BN79" s="382" t="str">
        <f>IFERROR(VLOOKUP(Envoltória!$G84,$BQ$35:$BZ$43,BN$9,FALSE),"")</f>
        <v/>
      </c>
      <c r="BO79" s="382" t="str">
        <f>IFERROR(VLOOKUP(Envoltória!$G84,$BQ$35:$BZ$43,BO$9,FALSE),"")</f>
        <v/>
      </c>
    </row>
    <row r="80" spans="1:67" x14ac:dyDescent="0.25">
      <c r="A80" s="1">
        <v>70</v>
      </c>
      <c r="B80" s="370">
        <f>Envoltória!I85</f>
        <v>0</v>
      </c>
      <c r="C80" s="371">
        <f>Envoltória!B85</f>
        <v>0</v>
      </c>
      <c r="D80" s="371">
        <f>Envoltória!C85</f>
        <v>0</v>
      </c>
      <c r="E80" s="381">
        <f>Envoltória!D85</f>
        <v>0</v>
      </c>
      <c r="F80" s="382">
        <f>Envoltória!E85</f>
        <v>0</v>
      </c>
      <c r="G80" s="382">
        <f t="shared" si="10"/>
        <v>0</v>
      </c>
      <c r="H80" s="383">
        <f>Envoltória!O85/100</f>
        <v>0</v>
      </c>
      <c r="I80" s="383">
        <f>IF(BF80=1,Envoltória!Q85,90)</f>
        <v>90</v>
      </c>
      <c r="J80" s="384" t="str">
        <f>IFERROR(VLOOKUP(Envoltória!M85,Componentes!$P:$R,2,FALSE),"")</f>
        <v/>
      </c>
      <c r="K80" s="384" t="str">
        <f>IFERROR(VLOOKUP(Envoltória!M85,Componentes!$P:$R,3,FALSE),"")</f>
        <v/>
      </c>
      <c r="L80" s="383">
        <f>IF(ISERROR(VLOOKUP(Envoltória!L85,Componentes!K:N,2,FALSE)),0,VLOOKUP(Envoltória!L85,Componentes!K:N,2,FALSE))</f>
        <v>0</v>
      </c>
      <c r="M80" s="383">
        <f>IF(ISERROR(VLOOKUP(Envoltória!L85,Componentes!K:N,3,FALSE)),0,VLOOKUP(Envoltória!L85,Componentes!K:N,3,FALSE))</f>
        <v>0</v>
      </c>
      <c r="N80" s="385" t="str">
        <f>IFERROR(IF(BB80&lt;&gt;0,VLOOKUP(Envoltória!L85,Componentes!K:N,4,FALSE),0),"")</f>
        <v/>
      </c>
      <c r="O80" s="383">
        <f>IF(BF80=1,VLOOKUP(Envoltória!J85,Componentes!B:E,2,FALSE),-6)</f>
        <v>-6</v>
      </c>
      <c r="P80" s="383">
        <f>IF(BF80=1,VLOOKUP(Envoltória!J85,Componentes!B:E,3,FALSE),-400)</f>
        <v>-400</v>
      </c>
      <c r="Q80" s="383">
        <f>IF(BF80=1,VLOOKUP(Envoltória!J85,Componentes!B:E,4,FALSE),0)</f>
        <v>0</v>
      </c>
      <c r="R80" s="384" t="str">
        <f>IFERROR(VLOOKUP(Envoltória!K85,Componentes!G:I,2,FALSE),"")</f>
        <v/>
      </c>
      <c r="S80" s="384" t="str">
        <f>IFERROR(VLOOKUP(Envoltória!K85,Componentes!G:I,3,FALSE),"")</f>
        <v/>
      </c>
      <c r="T80" s="383">
        <f>IFERROR(IF(H80&lt;&gt;0,VLOOKUP(Envoltória!N85,Componentes!T:V,3,FALSE),0),"")</f>
        <v>0</v>
      </c>
      <c r="U80" s="383">
        <f>IFERROR(IF(H80&lt;&gt;0,VLOOKUP(Envoltória!N85,Componentes!T:V,2,FALSE),0),"")</f>
        <v>0</v>
      </c>
      <c r="V80" s="384">
        <f>IFERROR(IF(AA80&lt;&gt;0,VLOOKUP(Envoltória!U85,Componentes!X:Z,2,FALSE),0),"")</f>
        <v>0</v>
      </c>
      <c r="W80" s="384">
        <f>IFERROR(IF(AA80&lt;&gt;0,VLOOKUP(Envoltória!U85,Componentes!X:Z,3,FALSE),0),"")</f>
        <v>0</v>
      </c>
      <c r="X80" s="383" t="str">
        <f>Envoltória!X85</f>
        <v/>
      </c>
      <c r="Y80" s="383">
        <f>Envoltória!V85</f>
        <v>0</v>
      </c>
      <c r="Z80" s="383" t="str">
        <f>Envoltória!W85</f>
        <v/>
      </c>
      <c r="AA80" s="386">
        <f>Envoltória!T85/100</f>
        <v>0</v>
      </c>
      <c r="AB80" s="387"/>
      <c r="AC80" s="387"/>
      <c r="AD80" s="387"/>
      <c r="AE80" s="387"/>
      <c r="AF80" s="387"/>
      <c r="AG80" s="387"/>
      <c r="AH80" s="387"/>
      <c r="AI80" s="387"/>
      <c r="AJ80" s="387"/>
      <c r="AK80" s="387"/>
      <c r="AL80" s="387"/>
      <c r="AM80" s="387"/>
      <c r="AN80" s="387"/>
      <c r="AO80" s="387"/>
      <c r="AP80" s="383">
        <f>IF(BF80=0,90,Envoltória!S85)</f>
        <v>0</v>
      </c>
      <c r="AQ80" s="383">
        <f>IF(BF80=0,90,Envoltória!R85)</f>
        <v>0</v>
      </c>
      <c r="AR80" s="383" t="str">
        <f t="shared" si="9"/>
        <v/>
      </c>
      <c r="AS80" s="383" t="str">
        <f t="shared" si="9"/>
        <v/>
      </c>
      <c r="AT80" s="383" t="str">
        <f t="shared" si="9"/>
        <v/>
      </c>
      <c r="AU80" s="383" t="str">
        <f t="shared" si="9"/>
        <v/>
      </c>
      <c r="AV80" s="383" t="str">
        <f t="shared" si="9"/>
        <v/>
      </c>
      <c r="AW80" s="384" t="str">
        <f>IFERROR(VLOOKUP(Envoltória!$B85,Aux_Lista!$N$2:$T$7,AW$9,FALSE),"")</f>
        <v/>
      </c>
      <c r="AX80" s="384" t="str">
        <f>IFERROR(VLOOKUP(Envoltória!$B85,Aux_Lista!$N$2:$T$7,AX$9,FALSE),"")</f>
        <v/>
      </c>
      <c r="AY80" s="384" t="str">
        <f>IFERROR(VLOOKUP(Envoltória!$B85,Aux_Lista!$N$2:$T$7,AY$9,FALSE),"")</f>
        <v/>
      </c>
      <c r="AZ80" s="384" t="str">
        <f>IFERROR(VLOOKUP(Envoltória!$B85,Aux_Lista!$N$2:$T$7,AZ$9,FALSE),"")</f>
        <v/>
      </c>
      <c r="BA80" s="384" t="str">
        <f>IFERROR(VLOOKUP(Envoltória!$B85,Aux_Lista!$N$2:$T$7,BA$9,FALSE),"")</f>
        <v/>
      </c>
      <c r="BB80" s="384" t="str">
        <f>IFERROR(VLOOKUP(Envoltória!$B85,Aux_Lista!$N$2:$T$7,BB$9,FALSE),"")</f>
        <v/>
      </c>
      <c r="BC80" s="384" t="str">
        <f>IFERROR(VLOOKUP(Envoltória!$H85,Aux_Lista!$V$2:$X$3,BC$9,FALSE),"")</f>
        <v/>
      </c>
      <c r="BD80" s="384" t="str">
        <f>IFERROR(VLOOKUP(Envoltória!$H85,Aux_Lista!$V$2:$X$3,BD$9,FALSE),"")</f>
        <v/>
      </c>
      <c r="BE80" s="382">
        <f t="shared" si="11"/>
        <v>0</v>
      </c>
      <c r="BF80" s="382" t="str">
        <f>IFERROR(VLOOKUP(Envoltória!F85,CB3E_Envoltória!$BQ$18:$BR$19,2,FALSE),"")</f>
        <v/>
      </c>
      <c r="BG80" s="382" t="str">
        <f>IFERROR(VLOOKUP(Envoltória!$G85,$BQ$35:$BZ$43,BG$9,FALSE),"")</f>
        <v/>
      </c>
      <c r="BH80" s="382" t="str">
        <f>IFERROR(VLOOKUP(Envoltória!$G85,$BQ$35:$BZ$43,BH$9,FALSE),"")</f>
        <v/>
      </c>
      <c r="BI80" s="382" t="str">
        <f>IFERROR(VLOOKUP(Envoltória!$G85,$BQ$35:$BZ$43,BI$9,FALSE),"")</f>
        <v/>
      </c>
      <c r="BJ80" s="382" t="str">
        <f>IFERROR(VLOOKUP(Envoltória!$G85,$BQ$35:$BZ$43,BJ$9,FALSE),"")</f>
        <v/>
      </c>
      <c r="BK80" s="382" t="str">
        <f>IFERROR(VLOOKUP(Envoltória!$G85,$BQ$35:$BZ$43,BK$9,FALSE),"")</f>
        <v/>
      </c>
      <c r="BL80" s="382" t="str">
        <f>IFERROR(VLOOKUP(Envoltória!$G85,$BQ$35:$BZ$43,BL$9,FALSE),"")</f>
        <v/>
      </c>
      <c r="BM80" s="382" t="str">
        <f>IFERROR(VLOOKUP(Envoltória!$G85,$BQ$35:$BZ$43,BM$9,FALSE),"")</f>
        <v/>
      </c>
      <c r="BN80" s="382" t="str">
        <f>IFERROR(VLOOKUP(Envoltória!$G85,$BQ$35:$BZ$43,BN$9,FALSE),"")</f>
        <v/>
      </c>
      <c r="BO80" s="382" t="str">
        <f>IFERROR(VLOOKUP(Envoltória!$G85,$BQ$35:$BZ$43,BO$9,FALSE),"")</f>
        <v/>
      </c>
    </row>
    <row r="81" spans="1:67" x14ac:dyDescent="0.25">
      <c r="A81" s="1">
        <v>71</v>
      </c>
      <c r="B81" s="370">
        <f>Envoltória!I86</f>
        <v>0</v>
      </c>
      <c r="C81" s="371">
        <f>Envoltória!B86</f>
        <v>0</v>
      </c>
      <c r="D81" s="371">
        <f>Envoltória!C86</f>
        <v>0</v>
      </c>
      <c r="E81" s="381">
        <f>Envoltória!D86</f>
        <v>0</v>
      </c>
      <c r="F81" s="382">
        <f>Envoltória!E86</f>
        <v>0</v>
      </c>
      <c r="G81" s="382">
        <f t="shared" si="10"/>
        <v>0</v>
      </c>
      <c r="H81" s="383">
        <f>Envoltória!O86/100</f>
        <v>0</v>
      </c>
      <c r="I81" s="383">
        <f>IF(BF81=1,Envoltória!Q86,90)</f>
        <v>90</v>
      </c>
      <c r="J81" s="384" t="str">
        <f>IFERROR(VLOOKUP(Envoltória!M86,Componentes!$P:$R,2,FALSE),"")</f>
        <v/>
      </c>
      <c r="K81" s="384" t="str">
        <f>IFERROR(VLOOKUP(Envoltória!M86,Componentes!$P:$R,3,FALSE),"")</f>
        <v/>
      </c>
      <c r="L81" s="383">
        <f>IF(ISERROR(VLOOKUP(Envoltória!L86,Componentes!K:N,2,FALSE)),0,VLOOKUP(Envoltória!L86,Componentes!K:N,2,FALSE))</f>
        <v>0</v>
      </c>
      <c r="M81" s="383">
        <f>IF(ISERROR(VLOOKUP(Envoltória!L86,Componentes!K:N,3,FALSE)),0,VLOOKUP(Envoltória!L86,Componentes!K:N,3,FALSE))</f>
        <v>0</v>
      </c>
      <c r="N81" s="385" t="str">
        <f>IFERROR(IF(BB81&lt;&gt;0,VLOOKUP(Envoltória!L86,Componentes!K:N,4,FALSE),0),"")</f>
        <v/>
      </c>
      <c r="O81" s="383">
        <f>IF(BF81=1,VLOOKUP(Envoltória!J86,Componentes!B:E,2,FALSE),-6)</f>
        <v>-6</v>
      </c>
      <c r="P81" s="383">
        <f>IF(BF81=1,VLOOKUP(Envoltória!J86,Componentes!B:E,3,FALSE),-400)</f>
        <v>-400</v>
      </c>
      <c r="Q81" s="383">
        <f>IF(BF81=1,VLOOKUP(Envoltória!J86,Componentes!B:E,4,FALSE),0)</f>
        <v>0</v>
      </c>
      <c r="R81" s="384" t="str">
        <f>IFERROR(VLOOKUP(Envoltória!K86,Componentes!G:I,2,FALSE),"")</f>
        <v/>
      </c>
      <c r="S81" s="384" t="str">
        <f>IFERROR(VLOOKUP(Envoltória!K86,Componentes!G:I,3,FALSE),"")</f>
        <v/>
      </c>
      <c r="T81" s="383">
        <f>IFERROR(IF(H81&lt;&gt;0,VLOOKUP(Envoltória!N86,Componentes!T:V,3,FALSE),0),"")</f>
        <v>0</v>
      </c>
      <c r="U81" s="383">
        <f>IFERROR(IF(H81&lt;&gt;0,VLOOKUP(Envoltória!N86,Componentes!T:V,2,FALSE),0),"")</f>
        <v>0</v>
      </c>
      <c r="V81" s="384">
        <f>IFERROR(IF(AA81&lt;&gt;0,VLOOKUP(Envoltória!U86,Componentes!X:Z,2,FALSE),0),"")</f>
        <v>0</v>
      </c>
      <c r="W81" s="384">
        <f>IFERROR(IF(AA81&lt;&gt;0,VLOOKUP(Envoltória!U86,Componentes!X:Z,3,FALSE),0),"")</f>
        <v>0</v>
      </c>
      <c r="X81" s="383" t="str">
        <f>Envoltória!X86</f>
        <v/>
      </c>
      <c r="Y81" s="383">
        <f>Envoltória!V86</f>
        <v>0</v>
      </c>
      <c r="Z81" s="383" t="str">
        <f>Envoltória!W86</f>
        <v/>
      </c>
      <c r="AA81" s="386">
        <f>Envoltória!T86/100</f>
        <v>0</v>
      </c>
      <c r="AB81" s="387"/>
      <c r="AC81" s="387"/>
      <c r="AD81" s="387"/>
      <c r="AE81" s="387"/>
      <c r="AF81" s="387"/>
      <c r="AG81" s="387"/>
      <c r="AH81" s="387"/>
      <c r="AI81" s="387"/>
      <c r="AJ81" s="387"/>
      <c r="AK81" s="387"/>
      <c r="AL81" s="387"/>
      <c r="AM81" s="387"/>
      <c r="AN81" s="387"/>
      <c r="AO81" s="387"/>
      <c r="AP81" s="383">
        <f>IF(BF81=0,90,Envoltória!S86)</f>
        <v>0</v>
      </c>
      <c r="AQ81" s="383">
        <f>IF(BF81=0,90,Envoltória!R86)</f>
        <v>0</v>
      </c>
      <c r="AR81" s="383" t="str">
        <f t="shared" ref="AR81:AV90" si="12">IFERROR(VLOOKUP($B81,$BQ$21:$BW$31,AR$9,FALSE),"")</f>
        <v/>
      </c>
      <c r="AS81" s="383" t="str">
        <f t="shared" si="12"/>
        <v/>
      </c>
      <c r="AT81" s="383" t="str">
        <f t="shared" si="12"/>
        <v/>
      </c>
      <c r="AU81" s="383" t="str">
        <f t="shared" si="12"/>
        <v/>
      </c>
      <c r="AV81" s="383" t="str">
        <f t="shared" si="12"/>
        <v/>
      </c>
      <c r="AW81" s="384" t="str">
        <f>IFERROR(VLOOKUP(Envoltória!$B86,Aux_Lista!$N$2:$T$7,AW$9,FALSE),"")</f>
        <v/>
      </c>
      <c r="AX81" s="384" t="str">
        <f>IFERROR(VLOOKUP(Envoltória!$B86,Aux_Lista!$N$2:$T$7,AX$9,FALSE),"")</f>
        <v/>
      </c>
      <c r="AY81" s="384" t="str">
        <f>IFERROR(VLOOKUP(Envoltória!$B86,Aux_Lista!$N$2:$T$7,AY$9,FALSE),"")</f>
        <v/>
      </c>
      <c r="AZ81" s="384" t="str">
        <f>IFERROR(VLOOKUP(Envoltória!$B86,Aux_Lista!$N$2:$T$7,AZ$9,FALSE),"")</f>
        <v/>
      </c>
      <c r="BA81" s="384" t="str">
        <f>IFERROR(VLOOKUP(Envoltória!$B86,Aux_Lista!$N$2:$T$7,BA$9,FALSE),"")</f>
        <v/>
      </c>
      <c r="BB81" s="384" t="str">
        <f>IFERROR(VLOOKUP(Envoltória!$B86,Aux_Lista!$N$2:$T$7,BB$9,FALSE),"")</f>
        <v/>
      </c>
      <c r="BC81" s="384" t="str">
        <f>IFERROR(VLOOKUP(Envoltória!$H86,Aux_Lista!$V$2:$X$3,BC$9,FALSE),"")</f>
        <v/>
      </c>
      <c r="BD81" s="384" t="str">
        <f>IFERROR(VLOOKUP(Envoltória!$H86,Aux_Lista!$V$2:$X$3,BD$9,FALSE),"")</f>
        <v/>
      </c>
      <c r="BE81" s="382">
        <f t="shared" si="11"/>
        <v>0</v>
      </c>
      <c r="BF81" s="382" t="str">
        <f>IFERROR(VLOOKUP(Envoltória!F86,CB3E_Envoltória!$BQ$18:$BR$19,2,FALSE),"")</f>
        <v/>
      </c>
      <c r="BG81" s="382" t="str">
        <f>IFERROR(VLOOKUP(Envoltória!$G86,$BQ$35:$BZ$43,BG$9,FALSE),"")</f>
        <v/>
      </c>
      <c r="BH81" s="382" t="str">
        <f>IFERROR(VLOOKUP(Envoltória!$G86,$BQ$35:$BZ$43,BH$9,FALSE),"")</f>
        <v/>
      </c>
      <c r="BI81" s="382" t="str">
        <f>IFERROR(VLOOKUP(Envoltória!$G86,$BQ$35:$BZ$43,BI$9,FALSE),"")</f>
        <v/>
      </c>
      <c r="BJ81" s="382" t="str">
        <f>IFERROR(VLOOKUP(Envoltória!$G86,$BQ$35:$BZ$43,BJ$9,FALSE),"")</f>
        <v/>
      </c>
      <c r="BK81" s="382" t="str">
        <f>IFERROR(VLOOKUP(Envoltória!$G86,$BQ$35:$BZ$43,BK$9,FALSE),"")</f>
        <v/>
      </c>
      <c r="BL81" s="382" t="str">
        <f>IFERROR(VLOOKUP(Envoltória!$G86,$BQ$35:$BZ$43,BL$9,FALSE),"")</f>
        <v/>
      </c>
      <c r="BM81" s="382" t="str">
        <f>IFERROR(VLOOKUP(Envoltória!$G86,$BQ$35:$BZ$43,BM$9,FALSE),"")</f>
        <v/>
      </c>
      <c r="BN81" s="382" t="str">
        <f>IFERROR(VLOOKUP(Envoltória!$G86,$BQ$35:$BZ$43,BN$9,FALSE),"")</f>
        <v/>
      </c>
      <c r="BO81" s="382" t="str">
        <f>IFERROR(VLOOKUP(Envoltória!$G86,$BQ$35:$BZ$43,BO$9,FALSE),"")</f>
        <v/>
      </c>
    </row>
    <row r="82" spans="1:67" x14ac:dyDescent="0.25">
      <c r="A82" s="1">
        <v>72</v>
      </c>
      <c r="B82" s="370">
        <f>Envoltória!I87</f>
        <v>0</v>
      </c>
      <c r="C82" s="371">
        <f>Envoltória!B87</f>
        <v>0</v>
      </c>
      <c r="D82" s="371">
        <f>Envoltória!C87</f>
        <v>0</v>
      </c>
      <c r="E82" s="381">
        <f>Envoltória!D87</f>
        <v>0</v>
      </c>
      <c r="F82" s="382">
        <f>Envoltória!E87</f>
        <v>0</v>
      </c>
      <c r="G82" s="382">
        <f t="shared" si="10"/>
        <v>0</v>
      </c>
      <c r="H82" s="383">
        <f>Envoltória!O87/100</f>
        <v>0</v>
      </c>
      <c r="I82" s="383">
        <f>IF(BF82=1,Envoltória!Q87,90)</f>
        <v>90</v>
      </c>
      <c r="J82" s="384" t="str">
        <f>IFERROR(VLOOKUP(Envoltória!M87,Componentes!$P:$R,2,FALSE),"")</f>
        <v/>
      </c>
      <c r="K82" s="384" t="str">
        <f>IFERROR(VLOOKUP(Envoltória!M87,Componentes!$P:$R,3,FALSE),"")</f>
        <v/>
      </c>
      <c r="L82" s="383">
        <f>IF(ISERROR(VLOOKUP(Envoltória!L87,Componentes!K:N,2,FALSE)),0,VLOOKUP(Envoltória!L87,Componentes!K:N,2,FALSE))</f>
        <v>0</v>
      </c>
      <c r="M82" s="383">
        <f>IF(ISERROR(VLOOKUP(Envoltória!L87,Componentes!K:N,3,FALSE)),0,VLOOKUP(Envoltória!L87,Componentes!K:N,3,FALSE))</f>
        <v>0</v>
      </c>
      <c r="N82" s="385" t="str">
        <f>IFERROR(IF(BB82&lt;&gt;0,VLOOKUP(Envoltória!L87,Componentes!K:N,4,FALSE),0),"")</f>
        <v/>
      </c>
      <c r="O82" s="383">
        <f>IF(BF82=1,VLOOKUP(Envoltória!J87,Componentes!B:E,2,FALSE),-6)</f>
        <v>-6</v>
      </c>
      <c r="P82" s="383">
        <f>IF(BF82=1,VLOOKUP(Envoltória!J87,Componentes!B:E,3,FALSE),-400)</f>
        <v>-400</v>
      </c>
      <c r="Q82" s="383">
        <f>IF(BF82=1,VLOOKUP(Envoltória!J87,Componentes!B:E,4,FALSE),0)</f>
        <v>0</v>
      </c>
      <c r="R82" s="384" t="str">
        <f>IFERROR(VLOOKUP(Envoltória!K87,Componentes!G:I,2,FALSE),"")</f>
        <v/>
      </c>
      <c r="S82" s="384" t="str">
        <f>IFERROR(VLOOKUP(Envoltória!K87,Componentes!G:I,3,FALSE),"")</f>
        <v/>
      </c>
      <c r="T82" s="383">
        <f>IFERROR(IF(H82&lt;&gt;0,VLOOKUP(Envoltória!N87,Componentes!T:V,3,FALSE),0),"")</f>
        <v>0</v>
      </c>
      <c r="U82" s="383">
        <f>IFERROR(IF(H82&lt;&gt;0,VLOOKUP(Envoltória!N87,Componentes!T:V,2,FALSE),0),"")</f>
        <v>0</v>
      </c>
      <c r="V82" s="384">
        <f>IFERROR(IF(AA82&lt;&gt;0,VLOOKUP(Envoltória!U87,Componentes!X:Z,2,FALSE),0),"")</f>
        <v>0</v>
      </c>
      <c r="W82" s="384">
        <f>IFERROR(IF(AA82&lt;&gt;0,VLOOKUP(Envoltória!U87,Componentes!X:Z,3,FALSE),0),"")</f>
        <v>0</v>
      </c>
      <c r="X82" s="383" t="str">
        <f>Envoltória!X87</f>
        <v/>
      </c>
      <c r="Y82" s="383">
        <f>Envoltória!V87</f>
        <v>0</v>
      </c>
      <c r="Z82" s="383" t="str">
        <f>Envoltória!W87</f>
        <v/>
      </c>
      <c r="AA82" s="386">
        <f>Envoltória!T87/100</f>
        <v>0</v>
      </c>
      <c r="AB82" s="387"/>
      <c r="AC82" s="387"/>
      <c r="AD82" s="387"/>
      <c r="AE82" s="387"/>
      <c r="AF82" s="387"/>
      <c r="AG82" s="387"/>
      <c r="AH82" s="387"/>
      <c r="AI82" s="387"/>
      <c r="AJ82" s="387"/>
      <c r="AK82" s="387"/>
      <c r="AL82" s="387"/>
      <c r="AM82" s="387"/>
      <c r="AN82" s="387"/>
      <c r="AO82" s="387"/>
      <c r="AP82" s="383">
        <f>IF(BF82=0,90,Envoltória!S87)</f>
        <v>0</v>
      </c>
      <c r="AQ82" s="383">
        <f>IF(BF82=0,90,Envoltória!R87)</f>
        <v>0</v>
      </c>
      <c r="AR82" s="383" t="str">
        <f t="shared" si="12"/>
        <v/>
      </c>
      <c r="AS82" s="383" t="str">
        <f t="shared" si="12"/>
        <v/>
      </c>
      <c r="AT82" s="383" t="str">
        <f t="shared" si="12"/>
        <v/>
      </c>
      <c r="AU82" s="383" t="str">
        <f t="shared" si="12"/>
        <v/>
      </c>
      <c r="AV82" s="383" t="str">
        <f t="shared" si="12"/>
        <v/>
      </c>
      <c r="AW82" s="384" t="str">
        <f>IFERROR(VLOOKUP(Envoltória!$B87,Aux_Lista!$N$2:$T$7,AW$9,FALSE),"")</f>
        <v/>
      </c>
      <c r="AX82" s="384" t="str">
        <f>IFERROR(VLOOKUP(Envoltória!$B87,Aux_Lista!$N$2:$T$7,AX$9,FALSE),"")</f>
        <v/>
      </c>
      <c r="AY82" s="384" t="str">
        <f>IFERROR(VLOOKUP(Envoltória!$B87,Aux_Lista!$N$2:$T$7,AY$9,FALSE),"")</f>
        <v/>
      </c>
      <c r="AZ82" s="384" t="str">
        <f>IFERROR(VLOOKUP(Envoltória!$B87,Aux_Lista!$N$2:$T$7,AZ$9,FALSE),"")</f>
        <v/>
      </c>
      <c r="BA82" s="384" t="str">
        <f>IFERROR(VLOOKUP(Envoltória!$B87,Aux_Lista!$N$2:$T$7,BA$9,FALSE),"")</f>
        <v/>
      </c>
      <c r="BB82" s="384" t="str">
        <f>IFERROR(VLOOKUP(Envoltória!$B87,Aux_Lista!$N$2:$T$7,BB$9,FALSE),"")</f>
        <v/>
      </c>
      <c r="BC82" s="384" t="str">
        <f>IFERROR(VLOOKUP(Envoltória!$H87,Aux_Lista!$V$2:$X$3,BC$9,FALSE),"")</f>
        <v/>
      </c>
      <c r="BD82" s="384" t="str">
        <f>IFERROR(VLOOKUP(Envoltória!$H87,Aux_Lista!$V$2:$X$3,BD$9,FALSE),"")</f>
        <v/>
      </c>
      <c r="BE82" s="382">
        <f t="shared" si="11"/>
        <v>0</v>
      </c>
      <c r="BF82" s="382" t="str">
        <f>IFERROR(VLOOKUP(Envoltória!F87,CB3E_Envoltória!$BQ$18:$BR$19,2,FALSE),"")</f>
        <v/>
      </c>
      <c r="BG82" s="382" t="str">
        <f>IFERROR(VLOOKUP(Envoltória!$G87,$BQ$35:$BZ$43,BG$9,FALSE),"")</f>
        <v/>
      </c>
      <c r="BH82" s="382" t="str">
        <f>IFERROR(VLOOKUP(Envoltória!$G87,$BQ$35:$BZ$43,BH$9,FALSE),"")</f>
        <v/>
      </c>
      <c r="BI82" s="382" t="str">
        <f>IFERROR(VLOOKUP(Envoltória!$G87,$BQ$35:$BZ$43,BI$9,FALSE),"")</f>
        <v/>
      </c>
      <c r="BJ82" s="382" t="str">
        <f>IFERROR(VLOOKUP(Envoltória!$G87,$BQ$35:$BZ$43,BJ$9,FALSE),"")</f>
        <v/>
      </c>
      <c r="BK82" s="382" t="str">
        <f>IFERROR(VLOOKUP(Envoltória!$G87,$BQ$35:$BZ$43,BK$9,FALSE),"")</f>
        <v/>
      </c>
      <c r="BL82" s="382" t="str">
        <f>IFERROR(VLOOKUP(Envoltória!$G87,$BQ$35:$BZ$43,BL$9,FALSE),"")</f>
        <v/>
      </c>
      <c r="BM82" s="382" t="str">
        <f>IFERROR(VLOOKUP(Envoltória!$G87,$BQ$35:$BZ$43,BM$9,FALSE),"")</f>
        <v/>
      </c>
      <c r="BN82" s="382" t="str">
        <f>IFERROR(VLOOKUP(Envoltória!$G87,$BQ$35:$BZ$43,BN$9,FALSE),"")</f>
        <v/>
      </c>
      <c r="BO82" s="382" t="str">
        <f>IFERROR(VLOOKUP(Envoltória!$G87,$BQ$35:$BZ$43,BO$9,FALSE),"")</f>
        <v/>
      </c>
    </row>
    <row r="83" spans="1:67" x14ac:dyDescent="0.25">
      <c r="A83" s="1">
        <v>73</v>
      </c>
      <c r="B83" s="370">
        <f>Envoltória!I88</f>
        <v>0</v>
      </c>
      <c r="C83" s="371">
        <f>Envoltória!B88</f>
        <v>0</v>
      </c>
      <c r="D83" s="371">
        <f>Envoltória!C88</f>
        <v>0</v>
      </c>
      <c r="E83" s="381">
        <f>Envoltória!D88</f>
        <v>0</v>
      </c>
      <c r="F83" s="382">
        <f>Envoltória!E88</f>
        <v>0</v>
      </c>
      <c r="G83" s="382">
        <f t="shared" si="10"/>
        <v>0</v>
      </c>
      <c r="H83" s="383">
        <f>Envoltória!O88/100</f>
        <v>0</v>
      </c>
      <c r="I83" s="383">
        <f>IF(BF83=1,Envoltória!Q88,90)</f>
        <v>90</v>
      </c>
      <c r="J83" s="384" t="str">
        <f>IFERROR(VLOOKUP(Envoltória!M88,Componentes!$P:$R,2,FALSE),"")</f>
        <v/>
      </c>
      <c r="K83" s="384" t="str">
        <f>IFERROR(VLOOKUP(Envoltória!M88,Componentes!$P:$R,3,FALSE),"")</f>
        <v/>
      </c>
      <c r="L83" s="383">
        <f>IF(ISERROR(VLOOKUP(Envoltória!L88,Componentes!K:N,2,FALSE)),0,VLOOKUP(Envoltória!L88,Componentes!K:N,2,FALSE))</f>
        <v>0</v>
      </c>
      <c r="M83" s="383">
        <f>IF(ISERROR(VLOOKUP(Envoltória!L88,Componentes!K:N,3,FALSE)),0,VLOOKUP(Envoltória!L88,Componentes!K:N,3,FALSE))</f>
        <v>0</v>
      </c>
      <c r="N83" s="385" t="str">
        <f>IFERROR(IF(BB83&lt;&gt;0,VLOOKUP(Envoltória!L88,Componentes!K:N,4,FALSE),0),"")</f>
        <v/>
      </c>
      <c r="O83" s="383">
        <f>IF(BF83=1,VLOOKUP(Envoltória!J88,Componentes!B:E,2,FALSE),-6)</f>
        <v>-6</v>
      </c>
      <c r="P83" s="383">
        <f>IF(BF83=1,VLOOKUP(Envoltória!J88,Componentes!B:E,3,FALSE),-400)</f>
        <v>-400</v>
      </c>
      <c r="Q83" s="383">
        <f>IF(BF83=1,VLOOKUP(Envoltória!J88,Componentes!B:E,4,FALSE),0)</f>
        <v>0</v>
      </c>
      <c r="R83" s="384" t="str">
        <f>IFERROR(VLOOKUP(Envoltória!K88,Componentes!G:I,2,FALSE),"")</f>
        <v/>
      </c>
      <c r="S83" s="384" t="str">
        <f>IFERROR(VLOOKUP(Envoltória!K88,Componentes!G:I,3,FALSE),"")</f>
        <v/>
      </c>
      <c r="T83" s="383">
        <f>IFERROR(IF(H83&lt;&gt;0,VLOOKUP(Envoltória!N88,Componentes!T:V,3,FALSE),0),"")</f>
        <v>0</v>
      </c>
      <c r="U83" s="383">
        <f>IFERROR(IF(H83&lt;&gt;0,VLOOKUP(Envoltória!N88,Componentes!T:V,2,FALSE),0),"")</f>
        <v>0</v>
      </c>
      <c r="V83" s="384">
        <f>IFERROR(IF(AA83&lt;&gt;0,VLOOKUP(Envoltória!U88,Componentes!X:Z,2,FALSE),0),"")</f>
        <v>0</v>
      </c>
      <c r="W83" s="384">
        <f>IFERROR(IF(AA83&lt;&gt;0,VLOOKUP(Envoltória!U88,Componentes!X:Z,3,FALSE),0),"")</f>
        <v>0</v>
      </c>
      <c r="X83" s="383" t="str">
        <f>Envoltória!X88</f>
        <v/>
      </c>
      <c r="Y83" s="383">
        <f>Envoltória!V88</f>
        <v>0</v>
      </c>
      <c r="Z83" s="383" t="str">
        <f>Envoltória!W88</f>
        <v/>
      </c>
      <c r="AA83" s="386">
        <f>Envoltória!T88/100</f>
        <v>0</v>
      </c>
      <c r="AB83" s="387"/>
      <c r="AC83" s="387"/>
      <c r="AD83" s="387"/>
      <c r="AE83" s="387"/>
      <c r="AF83" s="387"/>
      <c r="AG83" s="387"/>
      <c r="AH83" s="387"/>
      <c r="AI83" s="387"/>
      <c r="AJ83" s="387"/>
      <c r="AK83" s="387"/>
      <c r="AL83" s="387"/>
      <c r="AM83" s="387"/>
      <c r="AN83" s="387"/>
      <c r="AO83" s="387"/>
      <c r="AP83" s="383">
        <f>IF(BF83=0,90,Envoltória!S88)</f>
        <v>0</v>
      </c>
      <c r="AQ83" s="383">
        <f>IF(BF83=0,90,Envoltória!R88)</f>
        <v>0</v>
      </c>
      <c r="AR83" s="383" t="str">
        <f t="shared" si="12"/>
        <v/>
      </c>
      <c r="AS83" s="383" t="str">
        <f t="shared" si="12"/>
        <v/>
      </c>
      <c r="AT83" s="383" t="str">
        <f t="shared" si="12"/>
        <v/>
      </c>
      <c r="AU83" s="383" t="str">
        <f t="shared" si="12"/>
        <v/>
      </c>
      <c r="AV83" s="383" t="str">
        <f t="shared" si="12"/>
        <v/>
      </c>
      <c r="AW83" s="384" t="str">
        <f>IFERROR(VLOOKUP(Envoltória!$B88,Aux_Lista!$N$2:$T$7,AW$9,FALSE),"")</f>
        <v/>
      </c>
      <c r="AX83" s="384" t="str">
        <f>IFERROR(VLOOKUP(Envoltória!$B88,Aux_Lista!$N$2:$T$7,AX$9,FALSE),"")</f>
        <v/>
      </c>
      <c r="AY83" s="384" t="str">
        <f>IFERROR(VLOOKUP(Envoltória!$B88,Aux_Lista!$N$2:$T$7,AY$9,FALSE),"")</f>
        <v/>
      </c>
      <c r="AZ83" s="384" t="str">
        <f>IFERROR(VLOOKUP(Envoltória!$B88,Aux_Lista!$N$2:$T$7,AZ$9,FALSE),"")</f>
        <v/>
      </c>
      <c r="BA83" s="384" t="str">
        <f>IFERROR(VLOOKUP(Envoltória!$B88,Aux_Lista!$N$2:$T$7,BA$9,FALSE),"")</f>
        <v/>
      </c>
      <c r="BB83" s="384" t="str">
        <f>IFERROR(VLOOKUP(Envoltória!$B88,Aux_Lista!$N$2:$T$7,BB$9,FALSE),"")</f>
        <v/>
      </c>
      <c r="BC83" s="384" t="str">
        <f>IFERROR(VLOOKUP(Envoltória!$H88,Aux_Lista!$V$2:$X$3,BC$9,FALSE),"")</f>
        <v/>
      </c>
      <c r="BD83" s="384" t="str">
        <f>IFERROR(VLOOKUP(Envoltória!$H88,Aux_Lista!$V$2:$X$3,BD$9,FALSE),"")</f>
        <v/>
      </c>
      <c r="BE83" s="382">
        <f t="shared" si="11"/>
        <v>0</v>
      </c>
      <c r="BF83" s="382" t="str">
        <f>IFERROR(VLOOKUP(Envoltória!F88,CB3E_Envoltória!$BQ$18:$BR$19,2,FALSE),"")</f>
        <v/>
      </c>
      <c r="BG83" s="382" t="str">
        <f>IFERROR(VLOOKUP(Envoltória!$G88,$BQ$35:$BZ$43,BG$9,FALSE),"")</f>
        <v/>
      </c>
      <c r="BH83" s="382" t="str">
        <f>IFERROR(VLOOKUP(Envoltória!$G88,$BQ$35:$BZ$43,BH$9,FALSE),"")</f>
        <v/>
      </c>
      <c r="BI83" s="382" t="str">
        <f>IFERROR(VLOOKUP(Envoltória!$G88,$BQ$35:$BZ$43,BI$9,FALSE),"")</f>
        <v/>
      </c>
      <c r="BJ83" s="382" t="str">
        <f>IFERROR(VLOOKUP(Envoltória!$G88,$BQ$35:$BZ$43,BJ$9,FALSE),"")</f>
        <v/>
      </c>
      <c r="BK83" s="382" t="str">
        <f>IFERROR(VLOOKUP(Envoltória!$G88,$BQ$35:$BZ$43,BK$9,FALSE),"")</f>
        <v/>
      </c>
      <c r="BL83" s="382" t="str">
        <f>IFERROR(VLOOKUP(Envoltória!$G88,$BQ$35:$BZ$43,BL$9,FALSE),"")</f>
        <v/>
      </c>
      <c r="BM83" s="382" t="str">
        <f>IFERROR(VLOOKUP(Envoltória!$G88,$BQ$35:$BZ$43,BM$9,FALSE),"")</f>
        <v/>
      </c>
      <c r="BN83" s="382" t="str">
        <f>IFERROR(VLOOKUP(Envoltória!$G88,$BQ$35:$BZ$43,BN$9,FALSE),"")</f>
        <v/>
      </c>
      <c r="BO83" s="382" t="str">
        <f>IFERROR(VLOOKUP(Envoltória!$G88,$BQ$35:$BZ$43,BO$9,FALSE),"")</f>
        <v/>
      </c>
    </row>
    <row r="84" spans="1:67" x14ac:dyDescent="0.25">
      <c r="A84" s="1">
        <v>74</v>
      </c>
      <c r="B84" s="370">
        <f>Envoltória!I89</f>
        <v>0</v>
      </c>
      <c r="C84" s="371">
        <f>Envoltória!B89</f>
        <v>0</v>
      </c>
      <c r="D84" s="371">
        <f>Envoltória!C89</f>
        <v>0</v>
      </c>
      <c r="E84" s="381">
        <f>Envoltória!D89</f>
        <v>0</v>
      </c>
      <c r="F84" s="382">
        <f>Envoltória!E89</f>
        <v>0</v>
      </c>
      <c r="G84" s="382">
        <f t="shared" si="10"/>
        <v>0</v>
      </c>
      <c r="H84" s="383">
        <f>Envoltória!O89/100</f>
        <v>0</v>
      </c>
      <c r="I84" s="383">
        <f>IF(BF84=1,Envoltória!Q89,90)</f>
        <v>90</v>
      </c>
      <c r="J84" s="384" t="str">
        <f>IFERROR(VLOOKUP(Envoltória!M89,Componentes!$P:$R,2,FALSE),"")</f>
        <v/>
      </c>
      <c r="K84" s="384" t="str">
        <f>IFERROR(VLOOKUP(Envoltória!M89,Componentes!$P:$R,3,FALSE),"")</f>
        <v/>
      </c>
      <c r="L84" s="383">
        <f>IF(ISERROR(VLOOKUP(Envoltória!L89,Componentes!K:N,2,FALSE)),0,VLOOKUP(Envoltória!L89,Componentes!K:N,2,FALSE))</f>
        <v>0</v>
      </c>
      <c r="M84" s="383">
        <f>IF(ISERROR(VLOOKUP(Envoltória!L89,Componentes!K:N,3,FALSE)),0,VLOOKUP(Envoltória!L89,Componentes!K:N,3,FALSE))</f>
        <v>0</v>
      </c>
      <c r="N84" s="385" t="str">
        <f>IFERROR(IF(BB84&lt;&gt;0,VLOOKUP(Envoltória!L89,Componentes!K:N,4,FALSE),0),"")</f>
        <v/>
      </c>
      <c r="O84" s="383">
        <f>IF(BF84=1,VLOOKUP(Envoltória!J89,Componentes!B:E,2,FALSE),-6)</f>
        <v>-6</v>
      </c>
      <c r="P84" s="383">
        <f>IF(BF84=1,VLOOKUP(Envoltória!J89,Componentes!B:E,3,FALSE),-400)</f>
        <v>-400</v>
      </c>
      <c r="Q84" s="383">
        <f>IF(BF84=1,VLOOKUP(Envoltória!J89,Componentes!B:E,4,FALSE),0)</f>
        <v>0</v>
      </c>
      <c r="R84" s="384" t="str">
        <f>IFERROR(VLOOKUP(Envoltória!K89,Componentes!G:I,2,FALSE),"")</f>
        <v/>
      </c>
      <c r="S84" s="384" t="str">
        <f>IFERROR(VLOOKUP(Envoltória!K89,Componentes!G:I,3,FALSE),"")</f>
        <v/>
      </c>
      <c r="T84" s="383">
        <f>IFERROR(IF(H84&lt;&gt;0,VLOOKUP(Envoltória!N89,Componentes!T:V,3,FALSE),0),"")</f>
        <v>0</v>
      </c>
      <c r="U84" s="383">
        <f>IFERROR(IF(H84&lt;&gt;0,VLOOKUP(Envoltória!N89,Componentes!T:V,2,FALSE),0),"")</f>
        <v>0</v>
      </c>
      <c r="V84" s="384">
        <f>IFERROR(IF(AA84&lt;&gt;0,VLOOKUP(Envoltória!U89,Componentes!X:Z,2,FALSE),0),"")</f>
        <v>0</v>
      </c>
      <c r="W84" s="384">
        <f>IFERROR(IF(AA84&lt;&gt;0,VLOOKUP(Envoltória!U89,Componentes!X:Z,3,FALSE),0),"")</f>
        <v>0</v>
      </c>
      <c r="X84" s="383" t="str">
        <f>Envoltória!X89</f>
        <v/>
      </c>
      <c r="Y84" s="383">
        <f>Envoltória!V89</f>
        <v>0</v>
      </c>
      <c r="Z84" s="383" t="str">
        <f>Envoltória!W89</f>
        <v/>
      </c>
      <c r="AA84" s="386">
        <f>Envoltória!T89/100</f>
        <v>0</v>
      </c>
      <c r="AB84" s="387"/>
      <c r="AC84" s="387"/>
      <c r="AD84" s="387"/>
      <c r="AE84" s="387"/>
      <c r="AF84" s="387"/>
      <c r="AG84" s="387"/>
      <c r="AH84" s="387"/>
      <c r="AI84" s="387"/>
      <c r="AJ84" s="387"/>
      <c r="AK84" s="387"/>
      <c r="AL84" s="387"/>
      <c r="AM84" s="387"/>
      <c r="AN84" s="387"/>
      <c r="AO84" s="387"/>
      <c r="AP84" s="383">
        <f>IF(BF84=0,90,Envoltória!S89)</f>
        <v>0</v>
      </c>
      <c r="AQ84" s="383">
        <f>IF(BF84=0,90,Envoltória!R89)</f>
        <v>0</v>
      </c>
      <c r="AR84" s="383" t="str">
        <f t="shared" si="12"/>
        <v/>
      </c>
      <c r="AS84" s="383" t="str">
        <f t="shared" si="12"/>
        <v/>
      </c>
      <c r="AT84" s="383" t="str">
        <f t="shared" si="12"/>
        <v/>
      </c>
      <c r="AU84" s="383" t="str">
        <f t="shared" si="12"/>
        <v/>
      </c>
      <c r="AV84" s="383" t="str">
        <f t="shared" si="12"/>
        <v/>
      </c>
      <c r="AW84" s="384" t="str">
        <f>IFERROR(VLOOKUP(Envoltória!$B89,Aux_Lista!$N$2:$T$7,AW$9,FALSE),"")</f>
        <v/>
      </c>
      <c r="AX84" s="384" t="str">
        <f>IFERROR(VLOOKUP(Envoltória!$B89,Aux_Lista!$N$2:$T$7,AX$9,FALSE),"")</f>
        <v/>
      </c>
      <c r="AY84" s="384" t="str">
        <f>IFERROR(VLOOKUP(Envoltória!$B89,Aux_Lista!$N$2:$T$7,AY$9,FALSE),"")</f>
        <v/>
      </c>
      <c r="AZ84" s="384" t="str">
        <f>IFERROR(VLOOKUP(Envoltória!$B89,Aux_Lista!$N$2:$T$7,AZ$9,FALSE),"")</f>
        <v/>
      </c>
      <c r="BA84" s="384" t="str">
        <f>IFERROR(VLOOKUP(Envoltória!$B89,Aux_Lista!$N$2:$T$7,BA$9,FALSE),"")</f>
        <v/>
      </c>
      <c r="BB84" s="384" t="str">
        <f>IFERROR(VLOOKUP(Envoltória!$B89,Aux_Lista!$N$2:$T$7,BB$9,FALSE),"")</f>
        <v/>
      </c>
      <c r="BC84" s="384" t="str">
        <f>IFERROR(VLOOKUP(Envoltória!$H89,Aux_Lista!$V$2:$X$3,BC$9,FALSE),"")</f>
        <v/>
      </c>
      <c r="BD84" s="384" t="str">
        <f>IFERROR(VLOOKUP(Envoltória!$H89,Aux_Lista!$V$2:$X$3,BD$9,FALSE),"")</f>
        <v/>
      </c>
      <c r="BE84" s="382">
        <f t="shared" si="11"/>
        <v>0</v>
      </c>
      <c r="BF84" s="382" t="str">
        <f>IFERROR(VLOOKUP(Envoltória!F89,CB3E_Envoltória!$BQ$18:$BR$19,2,FALSE),"")</f>
        <v/>
      </c>
      <c r="BG84" s="382" t="str">
        <f>IFERROR(VLOOKUP(Envoltória!$G89,$BQ$35:$BZ$43,BG$9,FALSE),"")</f>
        <v/>
      </c>
      <c r="BH84" s="382" t="str">
        <f>IFERROR(VLOOKUP(Envoltória!$G89,$BQ$35:$BZ$43,BH$9,FALSE),"")</f>
        <v/>
      </c>
      <c r="BI84" s="382" t="str">
        <f>IFERROR(VLOOKUP(Envoltória!$G89,$BQ$35:$BZ$43,BI$9,FALSE),"")</f>
        <v/>
      </c>
      <c r="BJ84" s="382" t="str">
        <f>IFERROR(VLOOKUP(Envoltória!$G89,$BQ$35:$BZ$43,BJ$9,FALSE),"")</f>
        <v/>
      </c>
      <c r="BK84" s="382" t="str">
        <f>IFERROR(VLOOKUP(Envoltória!$G89,$BQ$35:$BZ$43,BK$9,FALSE),"")</f>
        <v/>
      </c>
      <c r="BL84" s="382" t="str">
        <f>IFERROR(VLOOKUP(Envoltória!$G89,$BQ$35:$BZ$43,BL$9,FALSE),"")</f>
        <v/>
      </c>
      <c r="BM84" s="382" t="str">
        <f>IFERROR(VLOOKUP(Envoltória!$G89,$BQ$35:$BZ$43,BM$9,FALSE),"")</f>
        <v/>
      </c>
      <c r="BN84" s="382" t="str">
        <f>IFERROR(VLOOKUP(Envoltória!$G89,$BQ$35:$BZ$43,BN$9,FALSE),"")</f>
        <v/>
      </c>
      <c r="BO84" s="382" t="str">
        <f>IFERROR(VLOOKUP(Envoltória!$G89,$BQ$35:$BZ$43,BO$9,FALSE),"")</f>
        <v/>
      </c>
    </row>
    <row r="85" spans="1:67" x14ac:dyDescent="0.25">
      <c r="A85" s="1">
        <v>75</v>
      </c>
      <c r="B85" s="370">
        <f>Envoltória!I90</f>
        <v>0</v>
      </c>
      <c r="C85" s="371">
        <f>Envoltória!B90</f>
        <v>0</v>
      </c>
      <c r="D85" s="371">
        <f>Envoltória!C90</f>
        <v>0</v>
      </c>
      <c r="E85" s="381">
        <f>Envoltória!D90</f>
        <v>0</v>
      </c>
      <c r="F85" s="382">
        <f>Envoltória!E90</f>
        <v>0</v>
      </c>
      <c r="G85" s="382">
        <f t="shared" si="10"/>
        <v>0</v>
      </c>
      <c r="H85" s="383">
        <f>Envoltória!O90/100</f>
        <v>0</v>
      </c>
      <c r="I85" s="383">
        <f>IF(BF85=1,Envoltória!Q90,90)</f>
        <v>90</v>
      </c>
      <c r="J85" s="384" t="str">
        <f>IFERROR(VLOOKUP(Envoltória!M90,Componentes!$P:$R,2,FALSE),"")</f>
        <v/>
      </c>
      <c r="K85" s="384" t="str">
        <f>IFERROR(VLOOKUP(Envoltória!M90,Componentes!$P:$R,3,FALSE),"")</f>
        <v/>
      </c>
      <c r="L85" s="383">
        <f>IF(ISERROR(VLOOKUP(Envoltória!L90,Componentes!K:N,2,FALSE)),0,VLOOKUP(Envoltória!L90,Componentes!K:N,2,FALSE))</f>
        <v>0</v>
      </c>
      <c r="M85" s="383">
        <f>IF(ISERROR(VLOOKUP(Envoltória!L90,Componentes!K:N,3,FALSE)),0,VLOOKUP(Envoltória!L90,Componentes!K:N,3,FALSE))</f>
        <v>0</v>
      </c>
      <c r="N85" s="385" t="str">
        <f>IFERROR(IF(BB85&lt;&gt;0,VLOOKUP(Envoltória!L90,Componentes!K:N,4,FALSE),0),"")</f>
        <v/>
      </c>
      <c r="O85" s="383">
        <f>IF(BF85=1,VLOOKUP(Envoltória!J90,Componentes!B:E,2,FALSE),-6)</f>
        <v>-6</v>
      </c>
      <c r="P85" s="383">
        <f>IF(BF85=1,VLOOKUP(Envoltória!J90,Componentes!B:E,3,FALSE),-400)</f>
        <v>-400</v>
      </c>
      <c r="Q85" s="383">
        <f>IF(BF85=1,VLOOKUP(Envoltória!J90,Componentes!B:E,4,FALSE),0)</f>
        <v>0</v>
      </c>
      <c r="R85" s="384" t="str">
        <f>IFERROR(VLOOKUP(Envoltória!K90,Componentes!G:I,2,FALSE),"")</f>
        <v/>
      </c>
      <c r="S85" s="384" t="str">
        <f>IFERROR(VLOOKUP(Envoltória!K90,Componentes!G:I,3,FALSE),"")</f>
        <v/>
      </c>
      <c r="T85" s="383">
        <f>IFERROR(IF(H85&lt;&gt;0,VLOOKUP(Envoltória!N90,Componentes!T:V,3,FALSE),0),"")</f>
        <v>0</v>
      </c>
      <c r="U85" s="383">
        <f>IFERROR(IF(H85&lt;&gt;0,VLOOKUP(Envoltória!N90,Componentes!T:V,2,FALSE),0),"")</f>
        <v>0</v>
      </c>
      <c r="V85" s="384">
        <f>IFERROR(IF(AA85&lt;&gt;0,VLOOKUP(Envoltória!U90,Componentes!X:Z,2,FALSE),0),"")</f>
        <v>0</v>
      </c>
      <c r="W85" s="384">
        <f>IFERROR(IF(AA85&lt;&gt;0,VLOOKUP(Envoltória!U90,Componentes!X:Z,3,FALSE),0),"")</f>
        <v>0</v>
      </c>
      <c r="X85" s="383" t="str">
        <f>Envoltória!X90</f>
        <v/>
      </c>
      <c r="Y85" s="383">
        <f>Envoltória!V90</f>
        <v>0</v>
      </c>
      <c r="Z85" s="383" t="str">
        <f>Envoltória!W90</f>
        <v/>
      </c>
      <c r="AA85" s="386">
        <f>Envoltória!T90/100</f>
        <v>0</v>
      </c>
      <c r="AB85" s="387"/>
      <c r="AC85" s="387"/>
      <c r="AD85" s="387"/>
      <c r="AE85" s="387"/>
      <c r="AF85" s="387"/>
      <c r="AG85" s="387"/>
      <c r="AH85" s="387"/>
      <c r="AI85" s="387"/>
      <c r="AJ85" s="387"/>
      <c r="AK85" s="387"/>
      <c r="AL85" s="387"/>
      <c r="AM85" s="387"/>
      <c r="AN85" s="387"/>
      <c r="AO85" s="387"/>
      <c r="AP85" s="383">
        <f>IF(BF85=0,90,Envoltória!S90)</f>
        <v>0</v>
      </c>
      <c r="AQ85" s="383">
        <f>IF(BF85=0,90,Envoltória!R90)</f>
        <v>0</v>
      </c>
      <c r="AR85" s="383" t="str">
        <f t="shared" si="12"/>
        <v/>
      </c>
      <c r="AS85" s="383" t="str">
        <f t="shared" si="12"/>
        <v/>
      </c>
      <c r="AT85" s="383" t="str">
        <f t="shared" si="12"/>
        <v/>
      </c>
      <c r="AU85" s="383" t="str">
        <f t="shared" si="12"/>
        <v/>
      </c>
      <c r="AV85" s="383" t="str">
        <f t="shared" si="12"/>
        <v/>
      </c>
      <c r="AW85" s="384" t="str">
        <f>IFERROR(VLOOKUP(Envoltória!$B90,Aux_Lista!$N$2:$T$7,AW$9,FALSE),"")</f>
        <v/>
      </c>
      <c r="AX85" s="384" t="str">
        <f>IFERROR(VLOOKUP(Envoltória!$B90,Aux_Lista!$N$2:$T$7,AX$9,FALSE),"")</f>
        <v/>
      </c>
      <c r="AY85" s="384" t="str">
        <f>IFERROR(VLOOKUP(Envoltória!$B90,Aux_Lista!$N$2:$T$7,AY$9,FALSE),"")</f>
        <v/>
      </c>
      <c r="AZ85" s="384" t="str">
        <f>IFERROR(VLOOKUP(Envoltória!$B90,Aux_Lista!$N$2:$T$7,AZ$9,FALSE),"")</f>
        <v/>
      </c>
      <c r="BA85" s="384" t="str">
        <f>IFERROR(VLOOKUP(Envoltória!$B90,Aux_Lista!$N$2:$T$7,BA$9,FALSE),"")</f>
        <v/>
      </c>
      <c r="BB85" s="384" t="str">
        <f>IFERROR(VLOOKUP(Envoltória!$B90,Aux_Lista!$N$2:$T$7,BB$9,FALSE),"")</f>
        <v/>
      </c>
      <c r="BC85" s="384" t="str">
        <f>IFERROR(VLOOKUP(Envoltória!$H90,Aux_Lista!$V$2:$X$3,BC$9,FALSE),"")</f>
        <v/>
      </c>
      <c r="BD85" s="384" t="str">
        <f>IFERROR(VLOOKUP(Envoltória!$H90,Aux_Lista!$V$2:$X$3,BD$9,FALSE),"")</f>
        <v/>
      </c>
      <c r="BE85" s="382">
        <f t="shared" si="11"/>
        <v>0</v>
      </c>
      <c r="BF85" s="382" t="str">
        <f>IFERROR(VLOOKUP(Envoltória!F90,CB3E_Envoltória!$BQ$18:$BR$19,2,FALSE),"")</f>
        <v/>
      </c>
      <c r="BG85" s="382" t="str">
        <f>IFERROR(VLOOKUP(Envoltória!$G90,$BQ$35:$BZ$43,BG$9,FALSE),"")</f>
        <v/>
      </c>
      <c r="BH85" s="382" t="str">
        <f>IFERROR(VLOOKUP(Envoltória!$G90,$BQ$35:$BZ$43,BH$9,FALSE),"")</f>
        <v/>
      </c>
      <c r="BI85" s="382" t="str">
        <f>IFERROR(VLOOKUP(Envoltória!$G90,$BQ$35:$BZ$43,BI$9,FALSE),"")</f>
        <v/>
      </c>
      <c r="BJ85" s="382" t="str">
        <f>IFERROR(VLOOKUP(Envoltória!$G90,$BQ$35:$BZ$43,BJ$9,FALSE),"")</f>
        <v/>
      </c>
      <c r="BK85" s="382" t="str">
        <f>IFERROR(VLOOKUP(Envoltória!$G90,$BQ$35:$BZ$43,BK$9,FALSE),"")</f>
        <v/>
      </c>
      <c r="BL85" s="382" t="str">
        <f>IFERROR(VLOOKUP(Envoltória!$G90,$BQ$35:$BZ$43,BL$9,FALSE),"")</f>
        <v/>
      </c>
      <c r="BM85" s="382" t="str">
        <f>IFERROR(VLOOKUP(Envoltória!$G90,$BQ$35:$BZ$43,BM$9,FALSE),"")</f>
        <v/>
      </c>
      <c r="BN85" s="382" t="str">
        <f>IFERROR(VLOOKUP(Envoltória!$G90,$BQ$35:$BZ$43,BN$9,FALSE),"")</f>
        <v/>
      </c>
      <c r="BO85" s="382" t="str">
        <f>IFERROR(VLOOKUP(Envoltória!$G90,$BQ$35:$BZ$43,BO$9,FALSE),"")</f>
        <v/>
      </c>
    </row>
    <row r="86" spans="1:67" x14ac:dyDescent="0.25">
      <c r="A86" s="1">
        <v>76</v>
      </c>
      <c r="B86" s="370">
        <f>Envoltória!I91</f>
        <v>0</v>
      </c>
      <c r="C86" s="371">
        <f>Envoltória!B91</f>
        <v>0</v>
      </c>
      <c r="D86" s="371">
        <f>Envoltória!C91</f>
        <v>0</v>
      </c>
      <c r="E86" s="381">
        <f>Envoltória!D91</f>
        <v>0</v>
      </c>
      <c r="F86" s="382">
        <f>Envoltória!E91</f>
        <v>0</v>
      </c>
      <c r="G86" s="382">
        <f t="shared" si="10"/>
        <v>0</v>
      </c>
      <c r="H86" s="383">
        <f>Envoltória!O91/100</f>
        <v>0</v>
      </c>
      <c r="I86" s="383">
        <f>IF(BF86=1,Envoltória!Q91,90)</f>
        <v>90</v>
      </c>
      <c r="J86" s="384" t="str">
        <f>IFERROR(VLOOKUP(Envoltória!M91,Componentes!$P:$R,2,FALSE),"")</f>
        <v/>
      </c>
      <c r="K86" s="384" t="str">
        <f>IFERROR(VLOOKUP(Envoltória!M91,Componentes!$P:$R,3,FALSE),"")</f>
        <v/>
      </c>
      <c r="L86" s="383">
        <f>IF(ISERROR(VLOOKUP(Envoltória!L91,Componentes!K:N,2,FALSE)),0,VLOOKUP(Envoltória!L91,Componentes!K:N,2,FALSE))</f>
        <v>0</v>
      </c>
      <c r="M86" s="383">
        <f>IF(ISERROR(VLOOKUP(Envoltória!L91,Componentes!K:N,3,FALSE)),0,VLOOKUP(Envoltória!L91,Componentes!K:N,3,FALSE))</f>
        <v>0</v>
      </c>
      <c r="N86" s="385" t="str">
        <f>IFERROR(IF(BB86&lt;&gt;0,VLOOKUP(Envoltória!L91,Componentes!K:N,4,FALSE),0),"")</f>
        <v/>
      </c>
      <c r="O86" s="383">
        <f>IF(BF86=1,VLOOKUP(Envoltória!J91,Componentes!B:E,2,FALSE),-6)</f>
        <v>-6</v>
      </c>
      <c r="P86" s="383">
        <f>IF(BF86=1,VLOOKUP(Envoltória!J91,Componentes!B:E,3,FALSE),-400)</f>
        <v>-400</v>
      </c>
      <c r="Q86" s="383">
        <f>IF(BF86=1,VLOOKUP(Envoltória!J91,Componentes!B:E,4,FALSE),0)</f>
        <v>0</v>
      </c>
      <c r="R86" s="384" t="str">
        <f>IFERROR(VLOOKUP(Envoltória!K91,Componentes!G:I,2,FALSE),"")</f>
        <v/>
      </c>
      <c r="S86" s="384" t="str">
        <f>IFERROR(VLOOKUP(Envoltória!K91,Componentes!G:I,3,FALSE),"")</f>
        <v/>
      </c>
      <c r="T86" s="383">
        <f>IFERROR(IF(H86&lt;&gt;0,VLOOKUP(Envoltória!N91,Componentes!T:V,3,FALSE),0),"")</f>
        <v>0</v>
      </c>
      <c r="U86" s="383">
        <f>IFERROR(IF(H86&lt;&gt;0,VLOOKUP(Envoltória!N91,Componentes!T:V,2,FALSE),0),"")</f>
        <v>0</v>
      </c>
      <c r="V86" s="384">
        <f>IFERROR(IF(AA86&lt;&gt;0,VLOOKUP(Envoltória!U91,Componentes!X:Z,2,FALSE),0),"")</f>
        <v>0</v>
      </c>
      <c r="W86" s="384">
        <f>IFERROR(IF(AA86&lt;&gt;0,VLOOKUP(Envoltória!U91,Componentes!X:Z,3,FALSE),0),"")</f>
        <v>0</v>
      </c>
      <c r="X86" s="383" t="str">
        <f>Envoltória!X91</f>
        <v/>
      </c>
      <c r="Y86" s="383">
        <f>Envoltória!V91</f>
        <v>0</v>
      </c>
      <c r="Z86" s="383" t="str">
        <f>Envoltória!W91</f>
        <v/>
      </c>
      <c r="AA86" s="386">
        <f>Envoltória!T91/100</f>
        <v>0</v>
      </c>
      <c r="AB86" s="387"/>
      <c r="AC86" s="387"/>
      <c r="AD86" s="387"/>
      <c r="AE86" s="387"/>
      <c r="AF86" s="387"/>
      <c r="AG86" s="387"/>
      <c r="AH86" s="387"/>
      <c r="AI86" s="387"/>
      <c r="AJ86" s="387"/>
      <c r="AK86" s="387"/>
      <c r="AL86" s="387"/>
      <c r="AM86" s="387"/>
      <c r="AN86" s="387"/>
      <c r="AO86" s="387"/>
      <c r="AP86" s="383">
        <f>IF(BF86=0,90,Envoltória!S91)</f>
        <v>0</v>
      </c>
      <c r="AQ86" s="383">
        <f>IF(BF86=0,90,Envoltória!R91)</f>
        <v>0</v>
      </c>
      <c r="AR86" s="383" t="str">
        <f t="shared" si="12"/>
        <v/>
      </c>
      <c r="AS86" s="383" t="str">
        <f t="shared" si="12"/>
        <v/>
      </c>
      <c r="AT86" s="383" t="str">
        <f t="shared" si="12"/>
        <v/>
      </c>
      <c r="AU86" s="383" t="str">
        <f t="shared" si="12"/>
        <v/>
      </c>
      <c r="AV86" s="383" t="str">
        <f t="shared" si="12"/>
        <v/>
      </c>
      <c r="AW86" s="384" t="str">
        <f>IFERROR(VLOOKUP(Envoltória!$B91,Aux_Lista!$N$2:$T$7,AW$9,FALSE),"")</f>
        <v/>
      </c>
      <c r="AX86" s="384" t="str">
        <f>IFERROR(VLOOKUP(Envoltória!$B91,Aux_Lista!$N$2:$T$7,AX$9,FALSE),"")</f>
        <v/>
      </c>
      <c r="AY86" s="384" t="str">
        <f>IFERROR(VLOOKUP(Envoltória!$B91,Aux_Lista!$N$2:$T$7,AY$9,FALSE),"")</f>
        <v/>
      </c>
      <c r="AZ86" s="384" t="str">
        <f>IFERROR(VLOOKUP(Envoltória!$B91,Aux_Lista!$N$2:$T$7,AZ$9,FALSE),"")</f>
        <v/>
      </c>
      <c r="BA86" s="384" t="str">
        <f>IFERROR(VLOOKUP(Envoltória!$B91,Aux_Lista!$N$2:$T$7,BA$9,FALSE),"")</f>
        <v/>
      </c>
      <c r="BB86" s="384" t="str">
        <f>IFERROR(VLOOKUP(Envoltória!$B91,Aux_Lista!$N$2:$T$7,BB$9,FALSE),"")</f>
        <v/>
      </c>
      <c r="BC86" s="384" t="str">
        <f>IFERROR(VLOOKUP(Envoltória!$H91,Aux_Lista!$V$2:$X$3,BC$9,FALSE),"")</f>
        <v/>
      </c>
      <c r="BD86" s="384" t="str">
        <f>IFERROR(VLOOKUP(Envoltória!$H91,Aux_Lista!$V$2:$X$3,BD$9,FALSE),"")</f>
        <v/>
      </c>
      <c r="BE86" s="382">
        <f t="shared" si="11"/>
        <v>0</v>
      </c>
      <c r="BF86" s="382" t="str">
        <f>IFERROR(VLOOKUP(Envoltória!F91,CB3E_Envoltória!$BQ$18:$BR$19,2,FALSE),"")</f>
        <v/>
      </c>
      <c r="BG86" s="382" t="str">
        <f>IFERROR(VLOOKUP(Envoltória!$G91,$BQ$35:$BZ$43,BG$9,FALSE),"")</f>
        <v/>
      </c>
      <c r="BH86" s="382" t="str">
        <f>IFERROR(VLOOKUP(Envoltória!$G91,$BQ$35:$BZ$43,BH$9,FALSE),"")</f>
        <v/>
      </c>
      <c r="BI86" s="382" t="str">
        <f>IFERROR(VLOOKUP(Envoltória!$G91,$BQ$35:$BZ$43,BI$9,FALSE),"")</f>
        <v/>
      </c>
      <c r="BJ86" s="382" t="str">
        <f>IFERROR(VLOOKUP(Envoltória!$G91,$BQ$35:$BZ$43,BJ$9,FALSE),"")</f>
        <v/>
      </c>
      <c r="BK86" s="382" t="str">
        <f>IFERROR(VLOOKUP(Envoltória!$G91,$BQ$35:$BZ$43,BK$9,FALSE),"")</f>
        <v/>
      </c>
      <c r="BL86" s="382" t="str">
        <f>IFERROR(VLOOKUP(Envoltória!$G91,$BQ$35:$BZ$43,BL$9,FALSE),"")</f>
        <v/>
      </c>
      <c r="BM86" s="382" t="str">
        <f>IFERROR(VLOOKUP(Envoltória!$G91,$BQ$35:$BZ$43,BM$9,FALSE),"")</f>
        <v/>
      </c>
      <c r="BN86" s="382" t="str">
        <f>IFERROR(VLOOKUP(Envoltória!$G91,$BQ$35:$BZ$43,BN$9,FALSE),"")</f>
        <v/>
      </c>
      <c r="BO86" s="382" t="str">
        <f>IFERROR(VLOOKUP(Envoltória!$G91,$BQ$35:$BZ$43,BO$9,FALSE),"")</f>
        <v/>
      </c>
    </row>
    <row r="87" spans="1:67" x14ac:dyDescent="0.25">
      <c r="A87" s="1">
        <v>77</v>
      </c>
      <c r="B87" s="370">
        <f>Envoltória!I92</f>
        <v>0</v>
      </c>
      <c r="C87" s="371">
        <f>Envoltória!B92</f>
        <v>0</v>
      </c>
      <c r="D87" s="371">
        <f>Envoltória!C92</f>
        <v>0</v>
      </c>
      <c r="E87" s="381">
        <f>Envoltória!D92</f>
        <v>0</v>
      </c>
      <c r="F87" s="382">
        <f>Envoltória!E92</f>
        <v>0</v>
      </c>
      <c r="G87" s="382">
        <f t="shared" si="10"/>
        <v>0</v>
      </c>
      <c r="H87" s="383">
        <f>Envoltória!O92/100</f>
        <v>0</v>
      </c>
      <c r="I87" s="383">
        <f>IF(BF87=1,Envoltória!Q92,90)</f>
        <v>90</v>
      </c>
      <c r="J87" s="384" t="str">
        <f>IFERROR(VLOOKUP(Envoltória!M92,Componentes!$P:$R,2,FALSE),"")</f>
        <v/>
      </c>
      <c r="K87" s="384" t="str">
        <f>IFERROR(VLOOKUP(Envoltória!M92,Componentes!$P:$R,3,FALSE),"")</f>
        <v/>
      </c>
      <c r="L87" s="383">
        <f>IF(ISERROR(VLOOKUP(Envoltória!L92,Componentes!K:N,2,FALSE)),0,VLOOKUP(Envoltória!L92,Componentes!K:N,2,FALSE))</f>
        <v>0</v>
      </c>
      <c r="M87" s="383">
        <f>IF(ISERROR(VLOOKUP(Envoltória!L92,Componentes!K:N,3,FALSE)),0,VLOOKUP(Envoltória!L92,Componentes!K:N,3,FALSE))</f>
        <v>0</v>
      </c>
      <c r="N87" s="385" t="str">
        <f>IFERROR(IF(BB87&lt;&gt;0,VLOOKUP(Envoltória!L92,Componentes!K:N,4,FALSE),0),"")</f>
        <v/>
      </c>
      <c r="O87" s="383">
        <f>IF(BF87=1,VLOOKUP(Envoltória!J92,Componentes!B:E,2,FALSE),-6)</f>
        <v>-6</v>
      </c>
      <c r="P87" s="383">
        <f>IF(BF87=1,VLOOKUP(Envoltória!J92,Componentes!B:E,3,FALSE),-400)</f>
        <v>-400</v>
      </c>
      <c r="Q87" s="383">
        <f>IF(BF87=1,VLOOKUP(Envoltória!J92,Componentes!B:E,4,FALSE),0)</f>
        <v>0</v>
      </c>
      <c r="R87" s="384" t="str">
        <f>IFERROR(VLOOKUP(Envoltória!K92,Componentes!G:I,2,FALSE),"")</f>
        <v/>
      </c>
      <c r="S87" s="384" t="str">
        <f>IFERROR(VLOOKUP(Envoltória!K92,Componentes!G:I,3,FALSE),"")</f>
        <v/>
      </c>
      <c r="T87" s="383">
        <f>IFERROR(IF(H87&lt;&gt;0,VLOOKUP(Envoltória!N92,Componentes!T:V,3,FALSE),0),"")</f>
        <v>0</v>
      </c>
      <c r="U87" s="383">
        <f>IFERROR(IF(H87&lt;&gt;0,VLOOKUP(Envoltória!N92,Componentes!T:V,2,FALSE),0),"")</f>
        <v>0</v>
      </c>
      <c r="V87" s="384">
        <f>IFERROR(IF(AA87&lt;&gt;0,VLOOKUP(Envoltória!U92,Componentes!X:Z,2,FALSE),0),"")</f>
        <v>0</v>
      </c>
      <c r="W87" s="384">
        <f>IFERROR(IF(AA87&lt;&gt;0,VLOOKUP(Envoltória!U92,Componentes!X:Z,3,FALSE),0),"")</f>
        <v>0</v>
      </c>
      <c r="X87" s="383" t="str">
        <f>Envoltória!X92</f>
        <v/>
      </c>
      <c r="Y87" s="383">
        <f>Envoltória!V92</f>
        <v>0</v>
      </c>
      <c r="Z87" s="383" t="str">
        <f>Envoltória!W92</f>
        <v/>
      </c>
      <c r="AA87" s="386">
        <f>Envoltória!T92/100</f>
        <v>0</v>
      </c>
      <c r="AB87" s="387"/>
      <c r="AC87" s="387"/>
      <c r="AD87" s="387"/>
      <c r="AE87" s="387"/>
      <c r="AF87" s="387"/>
      <c r="AG87" s="387"/>
      <c r="AH87" s="387"/>
      <c r="AI87" s="387"/>
      <c r="AJ87" s="387"/>
      <c r="AK87" s="387"/>
      <c r="AL87" s="387"/>
      <c r="AM87" s="387"/>
      <c r="AN87" s="387"/>
      <c r="AO87" s="387"/>
      <c r="AP87" s="383">
        <f>IF(BF87=0,90,Envoltória!S92)</f>
        <v>0</v>
      </c>
      <c r="AQ87" s="383">
        <f>IF(BF87=0,90,Envoltória!R92)</f>
        <v>0</v>
      </c>
      <c r="AR87" s="383" t="str">
        <f t="shared" si="12"/>
        <v/>
      </c>
      <c r="AS87" s="383" t="str">
        <f t="shared" si="12"/>
        <v/>
      </c>
      <c r="AT87" s="383" t="str">
        <f t="shared" si="12"/>
        <v/>
      </c>
      <c r="AU87" s="383" t="str">
        <f t="shared" si="12"/>
        <v/>
      </c>
      <c r="AV87" s="383" t="str">
        <f t="shared" si="12"/>
        <v/>
      </c>
      <c r="AW87" s="384" t="str">
        <f>IFERROR(VLOOKUP(Envoltória!$B92,Aux_Lista!$N$2:$T$7,AW$9,FALSE),"")</f>
        <v/>
      </c>
      <c r="AX87" s="384" t="str">
        <f>IFERROR(VLOOKUP(Envoltória!$B92,Aux_Lista!$N$2:$T$7,AX$9,FALSE),"")</f>
        <v/>
      </c>
      <c r="AY87" s="384" t="str">
        <f>IFERROR(VLOOKUP(Envoltória!$B92,Aux_Lista!$N$2:$T$7,AY$9,FALSE),"")</f>
        <v/>
      </c>
      <c r="AZ87" s="384" t="str">
        <f>IFERROR(VLOOKUP(Envoltória!$B92,Aux_Lista!$N$2:$T$7,AZ$9,FALSE),"")</f>
        <v/>
      </c>
      <c r="BA87" s="384" t="str">
        <f>IFERROR(VLOOKUP(Envoltória!$B92,Aux_Lista!$N$2:$T$7,BA$9,FALSE),"")</f>
        <v/>
      </c>
      <c r="BB87" s="384" t="str">
        <f>IFERROR(VLOOKUP(Envoltória!$B92,Aux_Lista!$N$2:$T$7,BB$9,FALSE),"")</f>
        <v/>
      </c>
      <c r="BC87" s="384" t="str">
        <f>IFERROR(VLOOKUP(Envoltória!$H92,Aux_Lista!$V$2:$X$3,BC$9,FALSE),"")</f>
        <v/>
      </c>
      <c r="BD87" s="384" t="str">
        <f>IFERROR(VLOOKUP(Envoltória!$H92,Aux_Lista!$V$2:$X$3,BD$9,FALSE),"")</f>
        <v/>
      </c>
      <c r="BE87" s="382">
        <f t="shared" si="11"/>
        <v>0</v>
      </c>
      <c r="BF87" s="382" t="str">
        <f>IFERROR(VLOOKUP(Envoltória!F92,CB3E_Envoltória!$BQ$18:$BR$19,2,FALSE),"")</f>
        <v/>
      </c>
      <c r="BG87" s="382" t="str">
        <f>IFERROR(VLOOKUP(Envoltória!$G92,$BQ$35:$BZ$43,BG$9,FALSE),"")</f>
        <v/>
      </c>
      <c r="BH87" s="382" t="str">
        <f>IFERROR(VLOOKUP(Envoltória!$G92,$BQ$35:$BZ$43,BH$9,FALSE),"")</f>
        <v/>
      </c>
      <c r="BI87" s="382" t="str">
        <f>IFERROR(VLOOKUP(Envoltória!$G92,$BQ$35:$BZ$43,BI$9,FALSE),"")</f>
        <v/>
      </c>
      <c r="BJ87" s="382" t="str">
        <f>IFERROR(VLOOKUP(Envoltória!$G92,$BQ$35:$BZ$43,BJ$9,FALSE),"")</f>
        <v/>
      </c>
      <c r="BK87" s="382" t="str">
        <f>IFERROR(VLOOKUP(Envoltória!$G92,$BQ$35:$BZ$43,BK$9,FALSE),"")</f>
        <v/>
      </c>
      <c r="BL87" s="382" t="str">
        <f>IFERROR(VLOOKUP(Envoltória!$G92,$BQ$35:$BZ$43,BL$9,FALSE),"")</f>
        <v/>
      </c>
      <c r="BM87" s="382" t="str">
        <f>IFERROR(VLOOKUP(Envoltória!$G92,$BQ$35:$BZ$43,BM$9,FALSE),"")</f>
        <v/>
      </c>
      <c r="BN87" s="382" t="str">
        <f>IFERROR(VLOOKUP(Envoltória!$G92,$BQ$35:$BZ$43,BN$9,FALSE),"")</f>
        <v/>
      </c>
      <c r="BO87" s="382" t="str">
        <f>IFERROR(VLOOKUP(Envoltória!$G92,$BQ$35:$BZ$43,BO$9,FALSE),"")</f>
        <v/>
      </c>
    </row>
    <row r="88" spans="1:67" x14ac:dyDescent="0.25">
      <c r="A88" s="1">
        <v>78</v>
      </c>
      <c r="B88" s="370">
        <f>Envoltória!I93</f>
        <v>0</v>
      </c>
      <c r="C88" s="371">
        <f>Envoltória!B93</f>
        <v>0</v>
      </c>
      <c r="D88" s="371">
        <f>Envoltória!C93</f>
        <v>0</v>
      </c>
      <c r="E88" s="381">
        <f>Envoltória!D93</f>
        <v>0</v>
      </c>
      <c r="F88" s="382">
        <f>Envoltória!E93</f>
        <v>0</v>
      </c>
      <c r="G88" s="382">
        <f t="shared" si="10"/>
        <v>0</v>
      </c>
      <c r="H88" s="383">
        <f>Envoltória!O93/100</f>
        <v>0</v>
      </c>
      <c r="I88" s="383">
        <f>IF(BF88=1,Envoltória!Q93,90)</f>
        <v>90</v>
      </c>
      <c r="J88" s="384" t="str">
        <f>IFERROR(VLOOKUP(Envoltória!M93,Componentes!$P:$R,2,FALSE),"")</f>
        <v/>
      </c>
      <c r="K88" s="384" t="str">
        <f>IFERROR(VLOOKUP(Envoltória!M93,Componentes!$P:$R,3,FALSE),"")</f>
        <v/>
      </c>
      <c r="L88" s="383">
        <f>IF(ISERROR(VLOOKUP(Envoltória!L93,Componentes!K:N,2,FALSE)),0,VLOOKUP(Envoltória!L93,Componentes!K:N,2,FALSE))</f>
        <v>0</v>
      </c>
      <c r="M88" s="383">
        <f>IF(ISERROR(VLOOKUP(Envoltória!L93,Componentes!K:N,3,FALSE)),0,VLOOKUP(Envoltória!L93,Componentes!K:N,3,FALSE))</f>
        <v>0</v>
      </c>
      <c r="N88" s="385" t="str">
        <f>IFERROR(IF(BB88&lt;&gt;0,VLOOKUP(Envoltória!L93,Componentes!K:N,4,FALSE),0),"")</f>
        <v/>
      </c>
      <c r="O88" s="383">
        <f>IF(BF88=1,VLOOKUP(Envoltória!J93,Componentes!B:E,2,FALSE),-6)</f>
        <v>-6</v>
      </c>
      <c r="P88" s="383">
        <f>IF(BF88=1,VLOOKUP(Envoltória!J93,Componentes!B:E,3,FALSE),-400)</f>
        <v>-400</v>
      </c>
      <c r="Q88" s="383">
        <f>IF(BF88=1,VLOOKUP(Envoltória!J93,Componentes!B:E,4,FALSE),0)</f>
        <v>0</v>
      </c>
      <c r="R88" s="384" t="str">
        <f>IFERROR(VLOOKUP(Envoltória!K93,Componentes!G:I,2,FALSE),"")</f>
        <v/>
      </c>
      <c r="S88" s="384" t="str">
        <f>IFERROR(VLOOKUP(Envoltória!K93,Componentes!G:I,3,FALSE),"")</f>
        <v/>
      </c>
      <c r="T88" s="383">
        <f>IFERROR(IF(H88&lt;&gt;0,VLOOKUP(Envoltória!N93,Componentes!T:V,3,FALSE),0),"")</f>
        <v>0</v>
      </c>
      <c r="U88" s="383">
        <f>IFERROR(IF(H88&lt;&gt;0,VLOOKUP(Envoltória!N93,Componentes!T:V,2,FALSE),0),"")</f>
        <v>0</v>
      </c>
      <c r="V88" s="384">
        <f>IFERROR(IF(AA88&lt;&gt;0,VLOOKUP(Envoltória!U93,Componentes!X:Z,2,FALSE),0),"")</f>
        <v>0</v>
      </c>
      <c r="W88" s="384">
        <f>IFERROR(IF(AA88&lt;&gt;0,VLOOKUP(Envoltória!U93,Componentes!X:Z,3,FALSE),0),"")</f>
        <v>0</v>
      </c>
      <c r="X88" s="383" t="str">
        <f>Envoltória!X93</f>
        <v/>
      </c>
      <c r="Y88" s="383">
        <f>Envoltória!V93</f>
        <v>0</v>
      </c>
      <c r="Z88" s="383" t="str">
        <f>Envoltória!W93</f>
        <v/>
      </c>
      <c r="AA88" s="386">
        <f>Envoltória!T93/100</f>
        <v>0</v>
      </c>
      <c r="AB88" s="387"/>
      <c r="AC88" s="387"/>
      <c r="AD88" s="387"/>
      <c r="AE88" s="387"/>
      <c r="AF88" s="387"/>
      <c r="AG88" s="387"/>
      <c r="AH88" s="387"/>
      <c r="AI88" s="387"/>
      <c r="AJ88" s="387"/>
      <c r="AK88" s="387"/>
      <c r="AL88" s="387"/>
      <c r="AM88" s="387"/>
      <c r="AN88" s="387"/>
      <c r="AO88" s="387"/>
      <c r="AP88" s="383">
        <f>IF(BF88=0,90,Envoltória!S93)</f>
        <v>0</v>
      </c>
      <c r="AQ88" s="383">
        <f>IF(BF88=0,90,Envoltória!R93)</f>
        <v>0</v>
      </c>
      <c r="AR88" s="383" t="str">
        <f t="shared" si="12"/>
        <v/>
      </c>
      <c r="AS88" s="383" t="str">
        <f t="shared" si="12"/>
        <v/>
      </c>
      <c r="AT88" s="383" t="str">
        <f t="shared" si="12"/>
        <v/>
      </c>
      <c r="AU88" s="383" t="str">
        <f t="shared" si="12"/>
        <v/>
      </c>
      <c r="AV88" s="383" t="str">
        <f t="shared" si="12"/>
        <v/>
      </c>
      <c r="AW88" s="384" t="str">
        <f>IFERROR(VLOOKUP(Envoltória!$B93,Aux_Lista!$N$2:$T$7,AW$9,FALSE),"")</f>
        <v/>
      </c>
      <c r="AX88" s="384" t="str">
        <f>IFERROR(VLOOKUP(Envoltória!$B93,Aux_Lista!$N$2:$T$7,AX$9,FALSE),"")</f>
        <v/>
      </c>
      <c r="AY88" s="384" t="str">
        <f>IFERROR(VLOOKUP(Envoltória!$B93,Aux_Lista!$N$2:$T$7,AY$9,FALSE),"")</f>
        <v/>
      </c>
      <c r="AZ88" s="384" t="str">
        <f>IFERROR(VLOOKUP(Envoltória!$B93,Aux_Lista!$N$2:$T$7,AZ$9,FALSE),"")</f>
        <v/>
      </c>
      <c r="BA88" s="384" t="str">
        <f>IFERROR(VLOOKUP(Envoltória!$B93,Aux_Lista!$N$2:$T$7,BA$9,FALSE),"")</f>
        <v/>
      </c>
      <c r="BB88" s="384" t="str">
        <f>IFERROR(VLOOKUP(Envoltória!$B93,Aux_Lista!$N$2:$T$7,BB$9,FALSE),"")</f>
        <v/>
      </c>
      <c r="BC88" s="384" t="str">
        <f>IFERROR(VLOOKUP(Envoltória!$H93,Aux_Lista!$V$2:$X$3,BC$9,FALSE),"")</f>
        <v/>
      </c>
      <c r="BD88" s="384" t="str">
        <f>IFERROR(VLOOKUP(Envoltória!$H93,Aux_Lista!$V$2:$X$3,BD$9,FALSE),"")</f>
        <v/>
      </c>
      <c r="BE88" s="382">
        <f t="shared" si="11"/>
        <v>0</v>
      </c>
      <c r="BF88" s="382" t="str">
        <f>IFERROR(VLOOKUP(Envoltória!F93,CB3E_Envoltória!$BQ$18:$BR$19,2,FALSE),"")</f>
        <v/>
      </c>
      <c r="BG88" s="382" t="str">
        <f>IFERROR(VLOOKUP(Envoltória!$G93,$BQ$35:$BZ$43,BG$9,FALSE),"")</f>
        <v/>
      </c>
      <c r="BH88" s="382" t="str">
        <f>IFERROR(VLOOKUP(Envoltória!$G93,$BQ$35:$BZ$43,BH$9,FALSE),"")</f>
        <v/>
      </c>
      <c r="BI88" s="382" t="str">
        <f>IFERROR(VLOOKUP(Envoltória!$G93,$BQ$35:$BZ$43,BI$9,FALSE),"")</f>
        <v/>
      </c>
      <c r="BJ88" s="382" t="str">
        <f>IFERROR(VLOOKUP(Envoltória!$G93,$BQ$35:$BZ$43,BJ$9,FALSE),"")</f>
        <v/>
      </c>
      <c r="BK88" s="382" t="str">
        <f>IFERROR(VLOOKUP(Envoltória!$G93,$BQ$35:$BZ$43,BK$9,FALSE),"")</f>
        <v/>
      </c>
      <c r="BL88" s="382" t="str">
        <f>IFERROR(VLOOKUP(Envoltória!$G93,$BQ$35:$BZ$43,BL$9,FALSE),"")</f>
        <v/>
      </c>
      <c r="BM88" s="382" t="str">
        <f>IFERROR(VLOOKUP(Envoltória!$G93,$BQ$35:$BZ$43,BM$9,FALSE),"")</f>
        <v/>
      </c>
      <c r="BN88" s="382" t="str">
        <f>IFERROR(VLOOKUP(Envoltória!$G93,$BQ$35:$BZ$43,BN$9,FALSE),"")</f>
        <v/>
      </c>
      <c r="BO88" s="382" t="str">
        <f>IFERROR(VLOOKUP(Envoltória!$G93,$BQ$35:$BZ$43,BO$9,FALSE),"")</f>
        <v/>
      </c>
    </row>
    <row r="89" spans="1:67" x14ac:dyDescent="0.25">
      <c r="A89" s="1">
        <v>79</v>
      </c>
      <c r="B89" s="370">
        <f>Envoltória!I94</f>
        <v>0</v>
      </c>
      <c r="C89" s="371">
        <f>Envoltória!B94</f>
        <v>0</v>
      </c>
      <c r="D89" s="371">
        <f>Envoltória!C94</f>
        <v>0</v>
      </c>
      <c r="E89" s="381">
        <f>Envoltória!D94</f>
        <v>0</v>
      </c>
      <c r="F89" s="382">
        <f>Envoltória!E94</f>
        <v>0</v>
      </c>
      <c r="G89" s="382">
        <f t="shared" si="10"/>
        <v>0</v>
      </c>
      <c r="H89" s="383">
        <f>Envoltória!O94/100</f>
        <v>0</v>
      </c>
      <c r="I89" s="383">
        <f>IF(BF89=1,Envoltória!Q94,90)</f>
        <v>90</v>
      </c>
      <c r="J89" s="384" t="str">
        <f>IFERROR(VLOOKUP(Envoltória!M94,Componentes!$P:$R,2,FALSE),"")</f>
        <v/>
      </c>
      <c r="K89" s="384" t="str">
        <f>IFERROR(VLOOKUP(Envoltória!M94,Componentes!$P:$R,3,FALSE),"")</f>
        <v/>
      </c>
      <c r="L89" s="383">
        <f>IF(ISERROR(VLOOKUP(Envoltória!L94,Componentes!K:N,2,FALSE)),0,VLOOKUP(Envoltória!L94,Componentes!K:N,2,FALSE))</f>
        <v>0</v>
      </c>
      <c r="M89" s="383">
        <f>IF(ISERROR(VLOOKUP(Envoltória!L94,Componentes!K:N,3,FALSE)),0,VLOOKUP(Envoltória!L94,Componentes!K:N,3,FALSE))</f>
        <v>0</v>
      </c>
      <c r="N89" s="385" t="str">
        <f>IFERROR(IF(BB89&lt;&gt;0,VLOOKUP(Envoltória!L94,Componentes!K:N,4,FALSE),0),"")</f>
        <v/>
      </c>
      <c r="O89" s="383">
        <f>IF(BF89=1,VLOOKUP(Envoltória!J94,Componentes!B:E,2,FALSE),-6)</f>
        <v>-6</v>
      </c>
      <c r="P89" s="383">
        <f>IF(BF89=1,VLOOKUP(Envoltória!J94,Componentes!B:E,3,FALSE),-400)</f>
        <v>-400</v>
      </c>
      <c r="Q89" s="383">
        <f>IF(BF89=1,VLOOKUP(Envoltória!J94,Componentes!B:E,4,FALSE),0)</f>
        <v>0</v>
      </c>
      <c r="R89" s="384" t="str">
        <f>IFERROR(VLOOKUP(Envoltória!K94,Componentes!G:I,2,FALSE),"")</f>
        <v/>
      </c>
      <c r="S89" s="384" t="str">
        <f>IFERROR(VLOOKUP(Envoltória!K94,Componentes!G:I,3,FALSE),"")</f>
        <v/>
      </c>
      <c r="T89" s="383">
        <f>IFERROR(IF(H89&lt;&gt;0,VLOOKUP(Envoltória!N94,Componentes!T:V,3,FALSE),0),"")</f>
        <v>0</v>
      </c>
      <c r="U89" s="383">
        <f>IFERROR(IF(H89&lt;&gt;0,VLOOKUP(Envoltória!N94,Componentes!T:V,2,FALSE),0),"")</f>
        <v>0</v>
      </c>
      <c r="V89" s="384">
        <f>IFERROR(IF(AA89&lt;&gt;0,VLOOKUP(Envoltória!U94,Componentes!X:Z,2,FALSE),0),"")</f>
        <v>0</v>
      </c>
      <c r="W89" s="384">
        <f>IFERROR(IF(AA89&lt;&gt;0,VLOOKUP(Envoltória!U94,Componentes!X:Z,3,FALSE),0),"")</f>
        <v>0</v>
      </c>
      <c r="X89" s="383" t="str">
        <f>Envoltória!X94</f>
        <v/>
      </c>
      <c r="Y89" s="383">
        <f>Envoltória!V94</f>
        <v>0</v>
      </c>
      <c r="Z89" s="383" t="str">
        <f>Envoltória!W94</f>
        <v/>
      </c>
      <c r="AA89" s="386">
        <f>Envoltória!T94/100</f>
        <v>0</v>
      </c>
      <c r="AB89" s="387"/>
      <c r="AC89" s="387"/>
      <c r="AD89" s="387"/>
      <c r="AE89" s="387"/>
      <c r="AF89" s="387"/>
      <c r="AG89" s="387"/>
      <c r="AH89" s="387"/>
      <c r="AI89" s="387"/>
      <c r="AJ89" s="387"/>
      <c r="AK89" s="387"/>
      <c r="AL89" s="387"/>
      <c r="AM89" s="387"/>
      <c r="AN89" s="387"/>
      <c r="AO89" s="387"/>
      <c r="AP89" s="383">
        <f>IF(BF89=0,90,Envoltória!S94)</f>
        <v>0</v>
      </c>
      <c r="AQ89" s="383">
        <f>IF(BF89=0,90,Envoltória!R94)</f>
        <v>0</v>
      </c>
      <c r="AR89" s="383" t="str">
        <f t="shared" si="12"/>
        <v/>
      </c>
      <c r="AS89" s="383" t="str">
        <f t="shared" si="12"/>
        <v/>
      </c>
      <c r="AT89" s="383" t="str">
        <f t="shared" si="12"/>
        <v/>
      </c>
      <c r="AU89" s="383" t="str">
        <f t="shared" si="12"/>
        <v/>
      </c>
      <c r="AV89" s="383" t="str">
        <f t="shared" si="12"/>
        <v/>
      </c>
      <c r="AW89" s="384" t="str">
        <f>IFERROR(VLOOKUP(Envoltória!$B94,Aux_Lista!$N$2:$T$7,AW$9,FALSE),"")</f>
        <v/>
      </c>
      <c r="AX89" s="384" t="str">
        <f>IFERROR(VLOOKUP(Envoltória!$B94,Aux_Lista!$N$2:$T$7,AX$9,FALSE),"")</f>
        <v/>
      </c>
      <c r="AY89" s="384" t="str">
        <f>IFERROR(VLOOKUP(Envoltória!$B94,Aux_Lista!$N$2:$T$7,AY$9,FALSE),"")</f>
        <v/>
      </c>
      <c r="AZ89" s="384" t="str">
        <f>IFERROR(VLOOKUP(Envoltória!$B94,Aux_Lista!$N$2:$T$7,AZ$9,FALSE),"")</f>
        <v/>
      </c>
      <c r="BA89" s="384" t="str">
        <f>IFERROR(VLOOKUP(Envoltória!$B94,Aux_Lista!$N$2:$T$7,BA$9,FALSE),"")</f>
        <v/>
      </c>
      <c r="BB89" s="384" t="str">
        <f>IFERROR(VLOOKUP(Envoltória!$B94,Aux_Lista!$N$2:$T$7,BB$9,FALSE),"")</f>
        <v/>
      </c>
      <c r="BC89" s="384" t="str">
        <f>IFERROR(VLOOKUP(Envoltória!$H94,Aux_Lista!$V$2:$X$3,BC$9,FALSE),"")</f>
        <v/>
      </c>
      <c r="BD89" s="384" t="str">
        <f>IFERROR(VLOOKUP(Envoltória!$H94,Aux_Lista!$V$2:$X$3,BD$9,FALSE),"")</f>
        <v/>
      </c>
      <c r="BE89" s="382">
        <f t="shared" si="11"/>
        <v>0</v>
      </c>
      <c r="BF89" s="382" t="str">
        <f>IFERROR(VLOOKUP(Envoltória!F94,CB3E_Envoltória!$BQ$18:$BR$19,2,FALSE),"")</f>
        <v/>
      </c>
      <c r="BG89" s="382" t="str">
        <f>IFERROR(VLOOKUP(Envoltória!$G94,$BQ$35:$BZ$43,BG$9,FALSE),"")</f>
        <v/>
      </c>
      <c r="BH89" s="382" t="str">
        <f>IFERROR(VLOOKUP(Envoltória!$G94,$BQ$35:$BZ$43,BH$9,FALSE),"")</f>
        <v/>
      </c>
      <c r="BI89" s="382" t="str">
        <f>IFERROR(VLOOKUP(Envoltória!$G94,$BQ$35:$BZ$43,BI$9,FALSE),"")</f>
        <v/>
      </c>
      <c r="BJ89" s="382" t="str">
        <f>IFERROR(VLOOKUP(Envoltória!$G94,$BQ$35:$BZ$43,BJ$9,FALSE),"")</f>
        <v/>
      </c>
      <c r="BK89" s="382" t="str">
        <f>IFERROR(VLOOKUP(Envoltória!$G94,$BQ$35:$BZ$43,BK$9,FALSE),"")</f>
        <v/>
      </c>
      <c r="BL89" s="382" t="str">
        <f>IFERROR(VLOOKUP(Envoltória!$G94,$BQ$35:$BZ$43,BL$9,FALSE),"")</f>
        <v/>
      </c>
      <c r="BM89" s="382" t="str">
        <f>IFERROR(VLOOKUP(Envoltória!$G94,$BQ$35:$BZ$43,BM$9,FALSE),"")</f>
        <v/>
      </c>
      <c r="BN89" s="382" t="str">
        <f>IFERROR(VLOOKUP(Envoltória!$G94,$BQ$35:$BZ$43,BN$9,FALSE),"")</f>
        <v/>
      </c>
      <c r="BO89" s="382" t="str">
        <f>IFERROR(VLOOKUP(Envoltória!$G94,$BQ$35:$BZ$43,BO$9,FALSE),"")</f>
        <v/>
      </c>
    </row>
    <row r="90" spans="1:67" x14ac:dyDescent="0.25">
      <c r="A90" s="1">
        <v>80</v>
      </c>
      <c r="B90" s="370">
        <f>Envoltória!I95</f>
        <v>0</v>
      </c>
      <c r="C90" s="371">
        <f>Envoltória!B95</f>
        <v>0</v>
      </c>
      <c r="D90" s="371">
        <f>Envoltória!C95</f>
        <v>0</v>
      </c>
      <c r="E90" s="381">
        <f>Envoltória!D95</f>
        <v>0</v>
      </c>
      <c r="F90" s="382">
        <f>Envoltória!E95</f>
        <v>0</v>
      </c>
      <c r="G90" s="382">
        <f t="shared" si="10"/>
        <v>0</v>
      </c>
      <c r="H90" s="383">
        <f>Envoltória!O95/100</f>
        <v>0</v>
      </c>
      <c r="I90" s="383">
        <f>IF(BF90=1,Envoltória!Q95,90)</f>
        <v>90</v>
      </c>
      <c r="J90" s="384" t="str">
        <f>IFERROR(VLOOKUP(Envoltória!M95,Componentes!$P:$R,2,FALSE),"")</f>
        <v/>
      </c>
      <c r="K90" s="384" t="str">
        <f>IFERROR(VLOOKUP(Envoltória!M95,Componentes!$P:$R,3,FALSE),"")</f>
        <v/>
      </c>
      <c r="L90" s="383">
        <f>IF(ISERROR(VLOOKUP(Envoltória!L95,Componentes!K:N,2,FALSE)),0,VLOOKUP(Envoltória!L95,Componentes!K:N,2,FALSE))</f>
        <v>0</v>
      </c>
      <c r="M90" s="383">
        <f>IF(ISERROR(VLOOKUP(Envoltória!L95,Componentes!K:N,3,FALSE)),0,VLOOKUP(Envoltória!L95,Componentes!K:N,3,FALSE))</f>
        <v>0</v>
      </c>
      <c r="N90" s="385" t="str">
        <f>IFERROR(IF(BB90&lt;&gt;0,VLOOKUP(Envoltória!L95,Componentes!K:N,4,FALSE),0),"")</f>
        <v/>
      </c>
      <c r="O90" s="383">
        <f>IF(BF90=1,VLOOKUP(Envoltória!J95,Componentes!B:E,2,FALSE),-6)</f>
        <v>-6</v>
      </c>
      <c r="P90" s="383">
        <f>IF(BF90=1,VLOOKUP(Envoltória!J95,Componentes!B:E,3,FALSE),-400)</f>
        <v>-400</v>
      </c>
      <c r="Q90" s="383">
        <f>IF(BF90=1,VLOOKUP(Envoltória!J95,Componentes!B:E,4,FALSE),0)</f>
        <v>0</v>
      </c>
      <c r="R90" s="384" t="str">
        <f>IFERROR(VLOOKUP(Envoltória!K95,Componentes!G:I,2,FALSE),"")</f>
        <v/>
      </c>
      <c r="S90" s="384" t="str">
        <f>IFERROR(VLOOKUP(Envoltória!K95,Componentes!G:I,3,FALSE),"")</f>
        <v/>
      </c>
      <c r="T90" s="383">
        <f>IFERROR(IF(H90&lt;&gt;0,VLOOKUP(Envoltória!N95,Componentes!T:V,3,FALSE),0),"")</f>
        <v>0</v>
      </c>
      <c r="U90" s="383">
        <f>IFERROR(IF(H90&lt;&gt;0,VLOOKUP(Envoltória!N95,Componentes!T:V,2,FALSE),0),"")</f>
        <v>0</v>
      </c>
      <c r="V90" s="384">
        <f>IFERROR(IF(AA90&lt;&gt;0,VLOOKUP(Envoltória!U95,Componentes!X:Z,2,FALSE),0),"")</f>
        <v>0</v>
      </c>
      <c r="W90" s="384">
        <f>IFERROR(IF(AA90&lt;&gt;0,VLOOKUP(Envoltória!U95,Componentes!X:Z,3,FALSE),0),"")</f>
        <v>0</v>
      </c>
      <c r="X90" s="383" t="str">
        <f>Envoltória!X95</f>
        <v/>
      </c>
      <c r="Y90" s="383">
        <f>Envoltória!V95</f>
        <v>0</v>
      </c>
      <c r="Z90" s="383" t="str">
        <f>Envoltória!W95</f>
        <v/>
      </c>
      <c r="AA90" s="386">
        <f>Envoltória!T95/100</f>
        <v>0</v>
      </c>
      <c r="AB90" s="387"/>
      <c r="AC90" s="387"/>
      <c r="AD90" s="387"/>
      <c r="AE90" s="387"/>
      <c r="AF90" s="387"/>
      <c r="AG90" s="387"/>
      <c r="AH90" s="387"/>
      <c r="AI90" s="387"/>
      <c r="AJ90" s="387"/>
      <c r="AK90" s="387"/>
      <c r="AL90" s="387"/>
      <c r="AM90" s="387"/>
      <c r="AN90" s="387"/>
      <c r="AO90" s="387"/>
      <c r="AP90" s="383">
        <f>IF(BF90=0,90,Envoltória!S95)</f>
        <v>0</v>
      </c>
      <c r="AQ90" s="383">
        <f>IF(BF90=0,90,Envoltória!R95)</f>
        <v>0</v>
      </c>
      <c r="AR90" s="383" t="str">
        <f t="shared" si="12"/>
        <v/>
      </c>
      <c r="AS90" s="383" t="str">
        <f t="shared" si="12"/>
        <v/>
      </c>
      <c r="AT90" s="383" t="str">
        <f t="shared" si="12"/>
        <v/>
      </c>
      <c r="AU90" s="383" t="str">
        <f t="shared" si="12"/>
        <v/>
      </c>
      <c r="AV90" s="383" t="str">
        <f t="shared" si="12"/>
        <v/>
      </c>
      <c r="AW90" s="384" t="str">
        <f>IFERROR(VLOOKUP(Envoltória!$B95,Aux_Lista!$N$2:$T$7,AW$9,FALSE),"")</f>
        <v/>
      </c>
      <c r="AX90" s="384" t="str">
        <f>IFERROR(VLOOKUP(Envoltória!$B95,Aux_Lista!$N$2:$T$7,AX$9,FALSE),"")</f>
        <v/>
      </c>
      <c r="AY90" s="384" t="str">
        <f>IFERROR(VLOOKUP(Envoltória!$B95,Aux_Lista!$N$2:$T$7,AY$9,FALSE),"")</f>
        <v/>
      </c>
      <c r="AZ90" s="384" t="str">
        <f>IFERROR(VLOOKUP(Envoltória!$B95,Aux_Lista!$N$2:$T$7,AZ$9,FALSE),"")</f>
        <v/>
      </c>
      <c r="BA90" s="384" t="str">
        <f>IFERROR(VLOOKUP(Envoltória!$B95,Aux_Lista!$N$2:$T$7,BA$9,FALSE),"")</f>
        <v/>
      </c>
      <c r="BB90" s="384" t="str">
        <f>IFERROR(VLOOKUP(Envoltória!$B95,Aux_Lista!$N$2:$T$7,BB$9,FALSE),"")</f>
        <v/>
      </c>
      <c r="BC90" s="384" t="str">
        <f>IFERROR(VLOOKUP(Envoltória!$H95,Aux_Lista!$V$2:$X$3,BC$9,FALSE),"")</f>
        <v/>
      </c>
      <c r="BD90" s="384" t="str">
        <f>IFERROR(VLOOKUP(Envoltória!$H95,Aux_Lista!$V$2:$X$3,BD$9,FALSE),"")</f>
        <v/>
      </c>
      <c r="BE90" s="382">
        <f t="shared" si="11"/>
        <v>0</v>
      </c>
      <c r="BF90" s="382" t="str">
        <f>IFERROR(VLOOKUP(Envoltória!F95,CB3E_Envoltória!$BQ$18:$BR$19,2,FALSE),"")</f>
        <v/>
      </c>
      <c r="BG90" s="382" t="str">
        <f>IFERROR(VLOOKUP(Envoltória!$G95,$BQ$35:$BZ$43,BG$9,FALSE),"")</f>
        <v/>
      </c>
      <c r="BH90" s="382" t="str">
        <f>IFERROR(VLOOKUP(Envoltória!$G95,$BQ$35:$BZ$43,BH$9,FALSE),"")</f>
        <v/>
      </c>
      <c r="BI90" s="382" t="str">
        <f>IFERROR(VLOOKUP(Envoltória!$G95,$BQ$35:$BZ$43,BI$9,FALSE),"")</f>
        <v/>
      </c>
      <c r="BJ90" s="382" t="str">
        <f>IFERROR(VLOOKUP(Envoltória!$G95,$BQ$35:$BZ$43,BJ$9,FALSE),"")</f>
        <v/>
      </c>
      <c r="BK90" s="382" t="str">
        <f>IFERROR(VLOOKUP(Envoltória!$G95,$BQ$35:$BZ$43,BK$9,FALSE),"")</f>
        <v/>
      </c>
      <c r="BL90" s="382" t="str">
        <f>IFERROR(VLOOKUP(Envoltória!$G95,$BQ$35:$BZ$43,BL$9,FALSE),"")</f>
        <v/>
      </c>
      <c r="BM90" s="382" t="str">
        <f>IFERROR(VLOOKUP(Envoltória!$G95,$BQ$35:$BZ$43,BM$9,FALSE),"")</f>
        <v/>
      </c>
      <c r="BN90" s="382" t="str">
        <f>IFERROR(VLOOKUP(Envoltória!$G95,$BQ$35:$BZ$43,BN$9,FALSE),"")</f>
        <v/>
      </c>
      <c r="BO90" s="382" t="str">
        <f>IFERROR(VLOOKUP(Envoltória!$G95,$BQ$35:$BZ$43,BO$9,FALSE),"")</f>
        <v/>
      </c>
    </row>
    <row r="91" spans="1:67" x14ac:dyDescent="0.25">
      <c r="A91" s="1">
        <v>81</v>
      </c>
      <c r="B91" s="370">
        <f>Envoltória!I96</f>
        <v>0</v>
      </c>
      <c r="C91" s="371">
        <f>Envoltória!B96</f>
        <v>0</v>
      </c>
      <c r="D91" s="371">
        <f>Envoltória!C96</f>
        <v>0</v>
      </c>
      <c r="E91" s="381">
        <f>Envoltória!D96</f>
        <v>0</v>
      </c>
      <c r="F91" s="382">
        <f>Envoltória!E96</f>
        <v>0</v>
      </c>
      <c r="G91" s="382">
        <f t="shared" si="10"/>
        <v>0</v>
      </c>
      <c r="H91" s="383">
        <f>Envoltória!O96/100</f>
        <v>0</v>
      </c>
      <c r="I91" s="383">
        <f>IF(BF91=1,Envoltória!Q96,90)</f>
        <v>90</v>
      </c>
      <c r="J91" s="384" t="str">
        <f>IFERROR(VLOOKUP(Envoltória!M96,Componentes!$P:$R,2,FALSE),"")</f>
        <v/>
      </c>
      <c r="K91" s="384" t="str">
        <f>IFERROR(VLOOKUP(Envoltória!M96,Componentes!$P:$R,3,FALSE),"")</f>
        <v/>
      </c>
      <c r="L91" s="383">
        <f>IF(ISERROR(VLOOKUP(Envoltória!L96,Componentes!K:N,2,FALSE)),0,VLOOKUP(Envoltória!L96,Componentes!K:N,2,FALSE))</f>
        <v>0</v>
      </c>
      <c r="M91" s="383">
        <f>IF(ISERROR(VLOOKUP(Envoltória!L96,Componentes!K:N,3,FALSE)),0,VLOOKUP(Envoltória!L96,Componentes!K:N,3,FALSE))</f>
        <v>0</v>
      </c>
      <c r="N91" s="385" t="str">
        <f>IFERROR(IF(BB91&lt;&gt;0,VLOOKUP(Envoltória!L96,Componentes!K:N,4,FALSE),0),"")</f>
        <v/>
      </c>
      <c r="O91" s="383">
        <f>IF(BF91=1,VLOOKUP(Envoltória!J96,Componentes!B:E,2,FALSE),-6)</f>
        <v>-6</v>
      </c>
      <c r="P91" s="383">
        <f>IF(BF91=1,VLOOKUP(Envoltória!J96,Componentes!B:E,3,FALSE),-400)</f>
        <v>-400</v>
      </c>
      <c r="Q91" s="383">
        <f>IF(BF91=1,VLOOKUP(Envoltória!J96,Componentes!B:E,4,FALSE),0)</f>
        <v>0</v>
      </c>
      <c r="R91" s="384" t="str">
        <f>IFERROR(VLOOKUP(Envoltória!K96,Componentes!G:I,2,FALSE),"")</f>
        <v/>
      </c>
      <c r="S91" s="384" t="str">
        <f>IFERROR(VLOOKUP(Envoltória!K96,Componentes!G:I,3,FALSE),"")</f>
        <v/>
      </c>
      <c r="T91" s="383">
        <f>IFERROR(IF(H91&lt;&gt;0,VLOOKUP(Envoltória!N96,Componentes!T:V,3,FALSE),0),"")</f>
        <v>0</v>
      </c>
      <c r="U91" s="383">
        <f>IFERROR(IF(H91&lt;&gt;0,VLOOKUP(Envoltória!N96,Componentes!T:V,2,FALSE),0),"")</f>
        <v>0</v>
      </c>
      <c r="V91" s="384">
        <f>IFERROR(IF(AA91&lt;&gt;0,VLOOKUP(Envoltória!U96,Componentes!X:Z,2,FALSE),0),"")</f>
        <v>0</v>
      </c>
      <c r="W91" s="384">
        <f>IFERROR(IF(AA91&lt;&gt;0,VLOOKUP(Envoltória!U96,Componentes!X:Z,3,FALSE),0),"")</f>
        <v>0</v>
      </c>
      <c r="X91" s="383" t="str">
        <f>Envoltória!X96</f>
        <v/>
      </c>
      <c r="Y91" s="383">
        <f>Envoltória!V96</f>
        <v>0</v>
      </c>
      <c r="Z91" s="383" t="str">
        <f>Envoltória!W96</f>
        <v/>
      </c>
      <c r="AA91" s="386">
        <f>Envoltória!T96/100</f>
        <v>0</v>
      </c>
      <c r="AB91" s="387"/>
      <c r="AC91" s="387"/>
      <c r="AD91" s="387"/>
      <c r="AE91" s="387"/>
      <c r="AF91" s="387"/>
      <c r="AG91" s="387"/>
      <c r="AH91" s="387"/>
      <c r="AI91" s="387"/>
      <c r="AJ91" s="387"/>
      <c r="AK91" s="387"/>
      <c r="AL91" s="387"/>
      <c r="AM91" s="387"/>
      <c r="AN91" s="387"/>
      <c r="AO91" s="387"/>
      <c r="AP91" s="383">
        <f>IF(BF91=0,90,Envoltória!S96)</f>
        <v>0</v>
      </c>
      <c r="AQ91" s="383">
        <f>IF(BF91=0,90,Envoltória!R96)</f>
        <v>0</v>
      </c>
      <c r="AR91" s="383" t="str">
        <f t="shared" ref="AR91:AV100" si="13">IFERROR(VLOOKUP($B91,$BQ$21:$BW$31,AR$9,FALSE),"")</f>
        <v/>
      </c>
      <c r="AS91" s="383" t="str">
        <f t="shared" si="13"/>
        <v/>
      </c>
      <c r="AT91" s="383" t="str">
        <f t="shared" si="13"/>
        <v/>
      </c>
      <c r="AU91" s="383" t="str">
        <f t="shared" si="13"/>
        <v/>
      </c>
      <c r="AV91" s="383" t="str">
        <f t="shared" si="13"/>
        <v/>
      </c>
      <c r="AW91" s="384" t="str">
        <f>IFERROR(VLOOKUP(Envoltória!$B96,Aux_Lista!$N$2:$T$7,AW$9,FALSE),"")</f>
        <v/>
      </c>
      <c r="AX91" s="384" t="str">
        <f>IFERROR(VLOOKUP(Envoltória!$B96,Aux_Lista!$N$2:$T$7,AX$9,FALSE),"")</f>
        <v/>
      </c>
      <c r="AY91" s="384" t="str">
        <f>IFERROR(VLOOKUP(Envoltória!$B96,Aux_Lista!$N$2:$T$7,AY$9,FALSE),"")</f>
        <v/>
      </c>
      <c r="AZ91" s="384" t="str">
        <f>IFERROR(VLOOKUP(Envoltória!$B96,Aux_Lista!$N$2:$T$7,AZ$9,FALSE),"")</f>
        <v/>
      </c>
      <c r="BA91" s="384" t="str">
        <f>IFERROR(VLOOKUP(Envoltória!$B96,Aux_Lista!$N$2:$T$7,BA$9,FALSE),"")</f>
        <v/>
      </c>
      <c r="BB91" s="384" t="str">
        <f>IFERROR(VLOOKUP(Envoltória!$B96,Aux_Lista!$N$2:$T$7,BB$9,FALSE),"")</f>
        <v/>
      </c>
      <c r="BC91" s="384" t="str">
        <f>IFERROR(VLOOKUP(Envoltória!$H96,Aux_Lista!$V$2:$X$3,BC$9,FALSE),"")</f>
        <v/>
      </c>
      <c r="BD91" s="384" t="str">
        <f>IFERROR(VLOOKUP(Envoltória!$H96,Aux_Lista!$V$2:$X$3,BD$9,FALSE),"")</f>
        <v/>
      </c>
      <c r="BE91" s="382">
        <f t="shared" si="11"/>
        <v>0</v>
      </c>
      <c r="BF91" s="382" t="str">
        <f>IFERROR(VLOOKUP(Envoltória!F96,CB3E_Envoltória!$BQ$18:$BR$19,2,FALSE),"")</f>
        <v/>
      </c>
      <c r="BG91" s="382" t="str">
        <f>IFERROR(VLOOKUP(Envoltória!$G96,$BQ$35:$BZ$43,BG$9,FALSE),"")</f>
        <v/>
      </c>
      <c r="BH91" s="382" t="str">
        <f>IFERROR(VLOOKUP(Envoltória!$G96,$BQ$35:$BZ$43,BH$9,FALSE),"")</f>
        <v/>
      </c>
      <c r="BI91" s="382" t="str">
        <f>IFERROR(VLOOKUP(Envoltória!$G96,$BQ$35:$BZ$43,BI$9,FALSE),"")</f>
        <v/>
      </c>
      <c r="BJ91" s="382" t="str">
        <f>IFERROR(VLOOKUP(Envoltória!$G96,$BQ$35:$BZ$43,BJ$9,FALSE),"")</f>
        <v/>
      </c>
      <c r="BK91" s="382" t="str">
        <f>IFERROR(VLOOKUP(Envoltória!$G96,$BQ$35:$BZ$43,BK$9,FALSE),"")</f>
        <v/>
      </c>
      <c r="BL91" s="382" t="str">
        <f>IFERROR(VLOOKUP(Envoltória!$G96,$BQ$35:$BZ$43,BL$9,FALSE),"")</f>
        <v/>
      </c>
      <c r="BM91" s="382" t="str">
        <f>IFERROR(VLOOKUP(Envoltória!$G96,$BQ$35:$BZ$43,BM$9,FALSE),"")</f>
        <v/>
      </c>
      <c r="BN91" s="382" t="str">
        <f>IFERROR(VLOOKUP(Envoltória!$G96,$BQ$35:$BZ$43,BN$9,FALSE),"")</f>
        <v/>
      </c>
      <c r="BO91" s="382" t="str">
        <f>IFERROR(VLOOKUP(Envoltória!$G96,$BQ$35:$BZ$43,BO$9,FALSE),"")</f>
        <v/>
      </c>
    </row>
    <row r="92" spans="1:67" x14ac:dyDescent="0.25">
      <c r="A92" s="1">
        <v>82</v>
      </c>
      <c r="B92" s="370">
        <f>Envoltória!I97</f>
        <v>0</v>
      </c>
      <c r="C92" s="371">
        <f>Envoltória!B97</f>
        <v>0</v>
      </c>
      <c r="D92" s="371">
        <f>Envoltória!C97</f>
        <v>0</v>
      </c>
      <c r="E92" s="381">
        <f>Envoltória!D97</f>
        <v>0</v>
      </c>
      <c r="F92" s="382">
        <f>Envoltória!E97</f>
        <v>0</v>
      </c>
      <c r="G92" s="382">
        <f t="shared" si="10"/>
        <v>0</v>
      </c>
      <c r="H92" s="383">
        <f>Envoltória!O97/100</f>
        <v>0</v>
      </c>
      <c r="I92" s="383">
        <f>IF(BF92=1,Envoltória!Q97,90)</f>
        <v>90</v>
      </c>
      <c r="J92" s="384" t="str">
        <f>IFERROR(VLOOKUP(Envoltória!M97,Componentes!$P:$R,2,FALSE),"")</f>
        <v/>
      </c>
      <c r="K92" s="384" t="str">
        <f>IFERROR(VLOOKUP(Envoltória!M97,Componentes!$P:$R,3,FALSE),"")</f>
        <v/>
      </c>
      <c r="L92" s="383">
        <f>IF(ISERROR(VLOOKUP(Envoltória!L97,Componentes!K:N,2,FALSE)),0,VLOOKUP(Envoltória!L97,Componentes!K:N,2,FALSE))</f>
        <v>0</v>
      </c>
      <c r="M92" s="383">
        <f>IF(ISERROR(VLOOKUP(Envoltória!L97,Componentes!K:N,3,FALSE)),0,VLOOKUP(Envoltória!L97,Componentes!K:N,3,FALSE))</f>
        <v>0</v>
      </c>
      <c r="N92" s="385" t="str">
        <f>IFERROR(IF(BB92&lt;&gt;0,VLOOKUP(Envoltória!L97,Componentes!K:N,4,FALSE),0),"")</f>
        <v/>
      </c>
      <c r="O92" s="383">
        <f>IF(BF92=1,VLOOKUP(Envoltória!J97,Componentes!B:E,2,FALSE),-6)</f>
        <v>-6</v>
      </c>
      <c r="P92" s="383">
        <f>IF(BF92=1,VLOOKUP(Envoltória!J97,Componentes!B:E,3,FALSE),-400)</f>
        <v>-400</v>
      </c>
      <c r="Q92" s="383">
        <f>IF(BF92=1,VLOOKUP(Envoltória!J97,Componentes!B:E,4,FALSE),0)</f>
        <v>0</v>
      </c>
      <c r="R92" s="384" t="str">
        <f>IFERROR(VLOOKUP(Envoltória!K97,Componentes!G:I,2,FALSE),"")</f>
        <v/>
      </c>
      <c r="S92" s="384" t="str">
        <f>IFERROR(VLOOKUP(Envoltória!K97,Componentes!G:I,3,FALSE),"")</f>
        <v/>
      </c>
      <c r="T92" s="383">
        <f>IFERROR(IF(H92&lt;&gt;0,VLOOKUP(Envoltória!N97,Componentes!T:V,3,FALSE),0),"")</f>
        <v>0</v>
      </c>
      <c r="U92" s="383">
        <f>IFERROR(IF(H92&lt;&gt;0,VLOOKUP(Envoltória!N97,Componentes!T:V,2,FALSE),0),"")</f>
        <v>0</v>
      </c>
      <c r="V92" s="384">
        <f>IFERROR(IF(AA92&lt;&gt;0,VLOOKUP(Envoltória!U97,Componentes!X:Z,2,FALSE),0),"")</f>
        <v>0</v>
      </c>
      <c r="W92" s="384">
        <f>IFERROR(IF(AA92&lt;&gt;0,VLOOKUP(Envoltória!U97,Componentes!X:Z,3,FALSE),0),"")</f>
        <v>0</v>
      </c>
      <c r="X92" s="383" t="str">
        <f>Envoltória!X97</f>
        <v/>
      </c>
      <c r="Y92" s="383">
        <f>Envoltória!V97</f>
        <v>0</v>
      </c>
      <c r="Z92" s="383" t="str">
        <f>Envoltória!W97</f>
        <v/>
      </c>
      <c r="AA92" s="386">
        <f>Envoltória!T97/100</f>
        <v>0</v>
      </c>
      <c r="AB92" s="387"/>
      <c r="AC92" s="387"/>
      <c r="AD92" s="387"/>
      <c r="AE92" s="387"/>
      <c r="AF92" s="387"/>
      <c r="AG92" s="387"/>
      <c r="AH92" s="387"/>
      <c r="AI92" s="387"/>
      <c r="AJ92" s="387"/>
      <c r="AK92" s="387"/>
      <c r="AL92" s="387"/>
      <c r="AM92" s="387"/>
      <c r="AN92" s="387"/>
      <c r="AO92" s="387"/>
      <c r="AP92" s="383">
        <f>IF(BF92=0,90,Envoltória!S97)</f>
        <v>0</v>
      </c>
      <c r="AQ92" s="383">
        <f>IF(BF92=0,90,Envoltória!R97)</f>
        <v>0</v>
      </c>
      <c r="AR92" s="383" t="str">
        <f t="shared" si="13"/>
        <v/>
      </c>
      <c r="AS92" s="383" t="str">
        <f t="shared" si="13"/>
        <v/>
      </c>
      <c r="AT92" s="383" t="str">
        <f t="shared" si="13"/>
        <v/>
      </c>
      <c r="AU92" s="383" t="str">
        <f t="shared" si="13"/>
        <v/>
      </c>
      <c r="AV92" s="383" t="str">
        <f t="shared" si="13"/>
        <v/>
      </c>
      <c r="AW92" s="384" t="str">
        <f>IFERROR(VLOOKUP(Envoltória!$B97,Aux_Lista!$N$2:$T$7,AW$9,FALSE),"")</f>
        <v/>
      </c>
      <c r="AX92" s="384" t="str">
        <f>IFERROR(VLOOKUP(Envoltória!$B97,Aux_Lista!$N$2:$T$7,AX$9,FALSE),"")</f>
        <v/>
      </c>
      <c r="AY92" s="384" t="str">
        <f>IFERROR(VLOOKUP(Envoltória!$B97,Aux_Lista!$N$2:$T$7,AY$9,FALSE),"")</f>
        <v/>
      </c>
      <c r="AZ92" s="384" t="str">
        <f>IFERROR(VLOOKUP(Envoltória!$B97,Aux_Lista!$N$2:$T$7,AZ$9,FALSE),"")</f>
        <v/>
      </c>
      <c r="BA92" s="384" t="str">
        <f>IFERROR(VLOOKUP(Envoltória!$B97,Aux_Lista!$N$2:$T$7,BA$9,FALSE),"")</f>
        <v/>
      </c>
      <c r="BB92" s="384" t="str">
        <f>IFERROR(VLOOKUP(Envoltória!$B97,Aux_Lista!$N$2:$T$7,BB$9,FALSE),"")</f>
        <v/>
      </c>
      <c r="BC92" s="384" t="str">
        <f>IFERROR(VLOOKUP(Envoltória!$H97,Aux_Lista!$V$2:$X$3,BC$9,FALSE),"")</f>
        <v/>
      </c>
      <c r="BD92" s="384" t="str">
        <f>IFERROR(VLOOKUP(Envoltória!$H97,Aux_Lista!$V$2:$X$3,BD$9,FALSE),"")</f>
        <v/>
      </c>
      <c r="BE92" s="382">
        <f t="shared" si="11"/>
        <v>0</v>
      </c>
      <c r="BF92" s="382" t="str">
        <f>IFERROR(VLOOKUP(Envoltória!F97,CB3E_Envoltória!$BQ$18:$BR$19,2,FALSE),"")</f>
        <v/>
      </c>
      <c r="BG92" s="382" t="str">
        <f>IFERROR(VLOOKUP(Envoltória!$G97,$BQ$35:$BZ$43,BG$9,FALSE),"")</f>
        <v/>
      </c>
      <c r="BH92" s="382" t="str">
        <f>IFERROR(VLOOKUP(Envoltória!$G97,$BQ$35:$BZ$43,BH$9,FALSE),"")</f>
        <v/>
      </c>
      <c r="BI92" s="382" t="str">
        <f>IFERROR(VLOOKUP(Envoltória!$G97,$BQ$35:$BZ$43,BI$9,FALSE),"")</f>
        <v/>
      </c>
      <c r="BJ92" s="382" t="str">
        <f>IFERROR(VLOOKUP(Envoltória!$G97,$BQ$35:$BZ$43,BJ$9,FALSE),"")</f>
        <v/>
      </c>
      <c r="BK92" s="382" t="str">
        <f>IFERROR(VLOOKUP(Envoltória!$G97,$BQ$35:$BZ$43,BK$9,FALSE),"")</f>
        <v/>
      </c>
      <c r="BL92" s="382" t="str">
        <f>IFERROR(VLOOKUP(Envoltória!$G97,$BQ$35:$BZ$43,BL$9,FALSE),"")</f>
        <v/>
      </c>
      <c r="BM92" s="382" t="str">
        <f>IFERROR(VLOOKUP(Envoltória!$G97,$BQ$35:$BZ$43,BM$9,FALSE),"")</f>
        <v/>
      </c>
      <c r="BN92" s="382" t="str">
        <f>IFERROR(VLOOKUP(Envoltória!$G97,$BQ$35:$BZ$43,BN$9,FALSE),"")</f>
        <v/>
      </c>
      <c r="BO92" s="382" t="str">
        <f>IFERROR(VLOOKUP(Envoltória!$G97,$BQ$35:$BZ$43,BO$9,FALSE),"")</f>
        <v/>
      </c>
    </row>
    <row r="93" spans="1:67" x14ac:dyDescent="0.25">
      <c r="A93" s="1">
        <v>83</v>
      </c>
      <c r="B93" s="370">
        <f>Envoltória!I98</f>
        <v>0</v>
      </c>
      <c r="C93" s="371">
        <f>Envoltória!B98</f>
        <v>0</v>
      </c>
      <c r="D93" s="371">
        <f>Envoltória!C98</f>
        <v>0</v>
      </c>
      <c r="E93" s="381">
        <f>Envoltória!D98</f>
        <v>0</v>
      </c>
      <c r="F93" s="382">
        <f>Envoltória!E98</f>
        <v>0</v>
      </c>
      <c r="G93" s="382">
        <f t="shared" si="10"/>
        <v>0</v>
      </c>
      <c r="H93" s="383">
        <f>Envoltória!O98/100</f>
        <v>0</v>
      </c>
      <c r="I93" s="383">
        <f>IF(BF93=1,Envoltória!Q98,90)</f>
        <v>90</v>
      </c>
      <c r="J93" s="384" t="str">
        <f>IFERROR(VLOOKUP(Envoltória!M98,Componentes!$P:$R,2,FALSE),"")</f>
        <v/>
      </c>
      <c r="K93" s="384" t="str">
        <f>IFERROR(VLOOKUP(Envoltória!M98,Componentes!$P:$R,3,FALSE),"")</f>
        <v/>
      </c>
      <c r="L93" s="383">
        <f>IF(ISERROR(VLOOKUP(Envoltória!L98,Componentes!K:N,2,FALSE)),0,VLOOKUP(Envoltória!L98,Componentes!K:N,2,FALSE))</f>
        <v>0</v>
      </c>
      <c r="M93" s="383">
        <f>IF(ISERROR(VLOOKUP(Envoltória!L98,Componentes!K:N,3,FALSE)),0,VLOOKUP(Envoltória!L98,Componentes!K:N,3,FALSE))</f>
        <v>0</v>
      </c>
      <c r="N93" s="385" t="str">
        <f>IFERROR(IF(BB93&lt;&gt;0,VLOOKUP(Envoltória!L98,Componentes!K:N,4,FALSE),0),"")</f>
        <v/>
      </c>
      <c r="O93" s="383">
        <f>IF(BF93=1,VLOOKUP(Envoltória!J98,Componentes!B:E,2,FALSE),-6)</f>
        <v>-6</v>
      </c>
      <c r="P93" s="383">
        <f>IF(BF93=1,VLOOKUP(Envoltória!J98,Componentes!B:E,3,FALSE),-400)</f>
        <v>-400</v>
      </c>
      <c r="Q93" s="383">
        <f>IF(BF93=1,VLOOKUP(Envoltória!J98,Componentes!B:E,4,FALSE),0)</f>
        <v>0</v>
      </c>
      <c r="R93" s="384" t="str">
        <f>IFERROR(VLOOKUP(Envoltória!K98,Componentes!G:I,2,FALSE),"")</f>
        <v/>
      </c>
      <c r="S93" s="384" t="str">
        <f>IFERROR(VLOOKUP(Envoltória!K98,Componentes!G:I,3,FALSE),"")</f>
        <v/>
      </c>
      <c r="T93" s="383">
        <f>IFERROR(IF(H93&lt;&gt;0,VLOOKUP(Envoltória!N98,Componentes!T:V,3,FALSE),0),"")</f>
        <v>0</v>
      </c>
      <c r="U93" s="383">
        <f>IFERROR(IF(H93&lt;&gt;0,VLOOKUP(Envoltória!N98,Componentes!T:V,2,FALSE),0),"")</f>
        <v>0</v>
      </c>
      <c r="V93" s="384">
        <f>IFERROR(IF(AA93&lt;&gt;0,VLOOKUP(Envoltória!U98,Componentes!X:Z,2,FALSE),0),"")</f>
        <v>0</v>
      </c>
      <c r="W93" s="384">
        <f>IFERROR(IF(AA93&lt;&gt;0,VLOOKUP(Envoltória!U98,Componentes!X:Z,3,FALSE),0),"")</f>
        <v>0</v>
      </c>
      <c r="X93" s="383" t="str">
        <f>Envoltória!X98</f>
        <v/>
      </c>
      <c r="Y93" s="383">
        <f>Envoltória!V98</f>
        <v>0</v>
      </c>
      <c r="Z93" s="383" t="str">
        <f>Envoltória!W98</f>
        <v/>
      </c>
      <c r="AA93" s="386">
        <f>Envoltória!T98/100</f>
        <v>0</v>
      </c>
      <c r="AB93" s="387"/>
      <c r="AC93" s="387"/>
      <c r="AD93" s="387"/>
      <c r="AE93" s="387"/>
      <c r="AF93" s="387"/>
      <c r="AG93" s="387"/>
      <c r="AH93" s="387"/>
      <c r="AI93" s="387"/>
      <c r="AJ93" s="387"/>
      <c r="AK93" s="387"/>
      <c r="AL93" s="387"/>
      <c r="AM93" s="387"/>
      <c r="AN93" s="387"/>
      <c r="AO93" s="387"/>
      <c r="AP93" s="383">
        <f>IF(BF93=0,90,Envoltória!S98)</f>
        <v>0</v>
      </c>
      <c r="AQ93" s="383">
        <f>IF(BF93=0,90,Envoltória!R98)</f>
        <v>0</v>
      </c>
      <c r="AR93" s="383" t="str">
        <f t="shared" si="13"/>
        <v/>
      </c>
      <c r="AS93" s="383" t="str">
        <f t="shared" si="13"/>
        <v/>
      </c>
      <c r="AT93" s="383" t="str">
        <f t="shared" si="13"/>
        <v/>
      </c>
      <c r="AU93" s="383" t="str">
        <f t="shared" si="13"/>
        <v/>
      </c>
      <c r="AV93" s="383" t="str">
        <f t="shared" si="13"/>
        <v/>
      </c>
      <c r="AW93" s="384" t="str">
        <f>IFERROR(VLOOKUP(Envoltória!$B98,Aux_Lista!$N$2:$T$7,AW$9,FALSE),"")</f>
        <v/>
      </c>
      <c r="AX93" s="384" t="str">
        <f>IFERROR(VLOOKUP(Envoltória!$B98,Aux_Lista!$N$2:$T$7,AX$9,FALSE),"")</f>
        <v/>
      </c>
      <c r="AY93" s="384" t="str">
        <f>IFERROR(VLOOKUP(Envoltória!$B98,Aux_Lista!$N$2:$T$7,AY$9,FALSE),"")</f>
        <v/>
      </c>
      <c r="AZ93" s="384" t="str">
        <f>IFERROR(VLOOKUP(Envoltória!$B98,Aux_Lista!$N$2:$T$7,AZ$9,FALSE),"")</f>
        <v/>
      </c>
      <c r="BA93" s="384" t="str">
        <f>IFERROR(VLOOKUP(Envoltória!$B98,Aux_Lista!$N$2:$T$7,BA$9,FALSE),"")</f>
        <v/>
      </c>
      <c r="BB93" s="384" t="str">
        <f>IFERROR(VLOOKUP(Envoltória!$B98,Aux_Lista!$N$2:$T$7,BB$9,FALSE),"")</f>
        <v/>
      </c>
      <c r="BC93" s="384" t="str">
        <f>IFERROR(VLOOKUP(Envoltória!$H98,Aux_Lista!$V$2:$X$3,BC$9,FALSE),"")</f>
        <v/>
      </c>
      <c r="BD93" s="384" t="str">
        <f>IFERROR(VLOOKUP(Envoltória!$H98,Aux_Lista!$V$2:$X$3,BD$9,FALSE),"")</f>
        <v/>
      </c>
      <c r="BE93" s="382">
        <f t="shared" si="11"/>
        <v>0</v>
      </c>
      <c r="BF93" s="382" t="str">
        <f>IFERROR(VLOOKUP(Envoltória!F98,CB3E_Envoltória!$BQ$18:$BR$19,2,FALSE),"")</f>
        <v/>
      </c>
      <c r="BG93" s="382" t="str">
        <f>IFERROR(VLOOKUP(Envoltória!$G98,$BQ$35:$BZ$43,BG$9,FALSE),"")</f>
        <v/>
      </c>
      <c r="BH93" s="382" t="str">
        <f>IFERROR(VLOOKUP(Envoltória!$G98,$BQ$35:$BZ$43,BH$9,FALSE),"")</f>
        <v/>
      </c>
      <c r="BI93" s="382" t="str">
        <f>IFERROR(VLOOKUP(Envoltória!$G98,$BQ$35:$BZ$43,BI$9,FALSE),"")</f>
        <v/>
      </c>
      <c r="BJ93" s="382" t="str">
        <f>IFERROR(VLOOKUP(Envoltória!$G98,$BQ$35:$BZ$43,BJ$9,FALSE),"")</f>
        <v/>
      </c>
      <c r="BK93" s="382" t="str">
        <f>IFERROR(VLOOKUP(Envoltória!$G98,$BQ$35:$BZ$43,BK$9,FALSE),"")</f>
        <v/>
      </c>
      <c r="BL93" s="382" t="str">
        <f>IFERROR(VLOOKUP(Envoltória!$G98,$BQ$35:$BZ$43,BL$9,FALSE),"")</f>
        <v/>
      </c>
      <c r="BM93" s="382" t="str">
        <f>IFERROR(VLOOKUP(Envoltória!$G98,$BQ$35:$BZ$43,BM$9,FALSE),"")</f>
        <v/>
      </c>
      <c r="BN93" s="382" t="str">
        <f>IFERROR(VLOOKUP(Envoltória!$G98,$BQ$35:$BZ$43,BN$9,FALSE),"")</f>
        <v/>
      </c>
      <c r="BO93" s="382" t="str">
        <f>IFERROR(VLOOKUP(Envoltória!$G98,$BQ$35:$BZ$43,BO$9,FALSE),"")</f>
        <v/>
      </c>
    </row>
    <row r="94" spans="1:67" x14ac:dyDescent="0.25">
      <c r="A94" s="1">
        <v>84</v>
      </c>
      <c r="B94" s="370">
        <f>Envoltória!I99</f>
        <v>0</v>
      </c>
      <c r="C94" s="371">
        <f>Envoltória!B99</f>
        <v>0</v>
      </c>
      <c r="D94" s="371">
        <f>Envoltória!C99</f>
        <v>0</v>
      </c>
      <c r="E94" s="381">
        <f>Envoltória!D99</f>
        <v>0</v>
      </c>
      <c r="F94" s="382">
        <f>Envoltória!E99</f>
        <v>0</v>
      </c>
      <c r="G94" s="382">
        <f t="shared" si="10"/>
        <v>0</v>
      </c>
      <c r="H94" s="383">
        <f>Envoltória!O99/100</f>
        <v>0</v>
      </c>
      <c r="I94" s="383">
        <f>IF(BF94=1,Envoltória!Q99,90)</f>
        <v>90</v>
      </c>
      <c r="J94" s="384" t="str">
        <f>IFERROR(VLOOKUP(Envoltória!M99,Componentes!$P:$R,2,FALSE),"")</f>
        <v/>
      </c>
      <c r="K94" s="384" t="str">
        <f>IFERROR(VLOOKUP(Envoltória!M99,Componentes!$P:$R,3,FALSE),"")</f>
        <v/>
      </c>
      <c r="L94" s="383">
        <f>IF(ISERROR(VLOOKUP(Envoltória!L99,Componentes!K:N,2,FALSE)),0,VLOOKUP(Envoltória!L99,Componentes!K:N,2,FALSE))</f>
        <v>0</v>
      </c>
      <c r="M94" s="383">
        <f>IF(ISERROR(VLOOKUP(Envoltória!L99,Componentes!K:N,3,FALSE)),0,VLOOKUP(Envoltória!L99,Componentes!K:N,3,FALSE))</f>
        <v>0</v>
      </c>
      <c r="N94" s="385" t="str">
        <f>IFERROR(IF(BB94&lt;&gt;0,VLOOKUP(Envoltória!L99,Componentes!K:N,4,FALSE),0),"")</f>
        <v/>
      </c>
      <c r="O94" s="383">
        <f>IF(BF94=1,VLOOKUP(Envoltória!J99,Componentes!B:E,2,FALSE),-6)</f>
        <v>-6</v>
      </c>
      <c r="P94" s="383">
        <f>IF(BF94=1,VLOOKUP(Envoltória!J99,Componentes!B:E,3,FALSE),-400)</f>
        <v>-400</v>
      </c>
      <c r="Q94" s="383">
        <f>IF(BF94=1,VLOOKUP(Envoltória!J99,Componentes!B:E,4,FALSE),0)</f>
        <v>0</v>
      </c>
      <c r="R94" s="384" t="str">
        <f>IFERROR(VLOOKUP(Envoltória!K99,Componentes!G:I,2,FALSE),"")</f>
        <v/>
      </c>
      <c r="S94" s="384" t="str">
        <f>IFERROR(VLOOKUP(Envoltória!K99,Componentes!G:I,3,FALSE),"")</f>
        <v/>
      </c>
      <c r="T94" s="383">
        <f>IFERROR(IF(H94&lt;&gt;0,VLOOKUP(Envoltória!N99,Componentes!T:V,3,FALSE),0),"")</f>
        <v>0</v>
      </c>
      <c r="U94" s="383">
        <f>IFERROR(IF(H94&lt;&gt;0,VLOOKUP(Envoltória!N99,Componentes!T:V,2,FALSE),0),"")</f>
        <v>0</v>
      </c>
      <c r="V94" s="384">
        <f>IFERROR(IF(AA94&lt;&gt;0,VLOOKUP(Envoltória!U99,Componentes!X:Z,2,FALSE),0),"")</f>
        <v>0</v>
      </c>
      <c r="W94" s="384">
        <f>IFERROR(IF(AA94&lt;&gt;0,VLOOKUP(Envoltória!U99,Componentes!X:Z,3,FALSE),0),"")</f>
        <v>0</v>
      </c>
      <c r="X94" s="383" t="str">
        <f>Envoltória!X99</f>
        <v/>
      </c>
      <c r="Y94" s="383">
        <f>Envoltória!V99</f>
        <v>0</v>
      </c>
      <c r="Z94" s="383" t="str">
        <f>Envoltória!W99</f>
        <v/>
      </c>
      <c r="AA94" s="386">
        <f>Envoltória!T99/100</f>
        <v>0</v>
      </c>
      <c r="AB94" s="387"/>
      <c r="AC94" s="387"/>
      <c r="AD94" s="387"/>
      <c r="AE94" s="387"/>
      <c r="AF94" s="387"/>
      <c r="AG94" s="387"/>
      <c r="AH94" s="387"/>
      <c r="AI94" s="387"/>
      <c r="AJ94" s="387"/>
      <c r="AK94" s="387"/>
      <c r="AL94" s="387"/>
      <c r="AM94" s="387"/>
      <c r="AN94" s="387"/>
      <c r="AO94" s="387"/>
      <c r="AP94" s="383">
        <f>IF(BF94=0,90,Envoltória!S99)</f>
        <v>0</v>
      </c>
      <c r="AQ94" s="383">
        <f>IF(BF94=0,90,Envoltória!R99)</f>
        <v>0</v>
      </c>
      <c r="AR94" s="383" t="str">
        <f t="shared" si="13"/>
        <v/>
      </c>
      <c r="AS94" s="383" t="str">
        <f t="shared" si="13"/>
        <v/>
      </c>
      <c r="AT94" s="383" t="str">
        <f t="shared" si="13"/>
        <v/>
      </c>
      <c r="AU94" s="383" t="str">
        <f t="shared" si="13"/>
        <v/>
      </c>
      <c r="AV94" s="383" t="str">
        <f t="shared" si="13"/>
        <v/>
      </c>
      <c r="AW94" s="384" t="str">
        <f>IFERROR(VLOOKUP(Envoltória!$B99,Aux_Lista!$N$2:$T$7,AW$9,FALSE),"")</f>
        <v/>
      </c>
      <c r="AX94" s="384" t="str">
        <f>IFERROR(VLOOKUP(Envoltória!$B99,Aux_Lista!$N$2:$T$7,AX$9,FALSE),"")</f>
        <v/>
      </c>
      <c r="AY94" s="384" t="str">
        <f>IFERROR(VLOOKUP(Envoltória!$B99,Aux_Lista!$N$2:$T$7,AY$9,FALSE),"")</f>
        <v/>
      </c>
      <c r="AZ94" s="384" t="str">
        <f>IFERROR(VLOOKUP(Envoltória!$B99,Aux_Lista!$N$2:$T$7,AZ$9,FALSE),"")</f>
        <v/>
      </c>
      <c r="BA94" s="384" t="str">
        <f>IFERROR(VLOOKUP(Envoltória!$B99,Aux_Lista!$N$2:$T$7,BA$9,FALSE),"")</f>
        <v/>
      </c>
      <c r="BB94" s="384" t="str">
        <f>IFERROR(VLOOKUP(Envoltória!$B99,Aux_Lista!$N$2:$T$7,BB$9,FALSE),"")</f>
        <v/>
      </c>
      <c r="BC94" s="384" t="str">
        <f>IFERROR(VLOOKUP(Envoltória!$H99,Aux_Lista!$V$2:$X$3,BC$9,FALSE),"")</f>
        <v/>
      </c>
      <c r="BD94" s="384" t="str">
        <f>IFERROR(VLOOKUP(Envoltória!$H99,Aux_Lista!$V$2:$X$3,BD$9,FALSE),"")</f>
        <v/>
      </c>
      <c r="BE94" s="382">
        <f t="shared" si="11"/>
        <v>0</v>
      </c>
      <c r="BF94" s="382" t="str">
        <f>IFERROR(VLOOKUP(Envoltória!F99,CB3E_Envoltória!$BQ$18:$BR$19,2,FALSE),"")</f>
        <v/>
      </c>
      <c r="BG94" s="382" t="str">
        <f>IFERROR(VLOOKUP(Envoltória!$G99,$BQ$35:$BZ$43,BG$9,FALSE),"")</f>
        <v/>
      </c>
      <c r="BH94" s="382" t="str">
        <f>IFERROR(VLOOKUP(Envoltória!$G99,$BQ$35:$BZ$43,BH$9,FALSE),"")</f>
        <v/>
      </c>
      <c r="BI94" s="382" t="str">
        <f>IFERROR(VLOOKUP(Envoltória!$G99,$BQ$35:$BZ$43,BI$9,FALSE),"")</f>
        <v/>
      </c>
      <c r="BJ94" s="382" t="str">
        <f>IFERROR(VLOOKUP(Envoltória!$G99,$BQ$35:$BZ$43,BJ$9,FALSE),"")</f>
        <v/>
      </c>
      <c r="BK94" s="382" t="str">
        <f>IFERROR(VLOOKUP(Envoltória!$G99,$BQ$35:$BZ$43,BK$9,FALSE),"")</f>
        <v/>
      </c>
      <c r="BL94" s="382" t="str">
        <f>IFERROR(VLOOKUP(Envoltória!$G99,$BQ$35:$BZ$43,BL$9,FALSE),"")</f>
        <v/>
      </c>
      <c r="BM94" s="382" t="str">
        <f>IFERROR(VLOOKUP(Envoltória!$G99,$BQ$35:$BZ$43,BM$9,FALSE),"")</f>
        <v/>
      </c>
      <c r="BN94" s="382" t="str">
        <f>IFERROR(VLOOKUP(Envoltória!$G99,$BQ$35:$BZ$43,BN$9,FALSE),"")</f>
        <v/>
      </c>
      <c r="BO94" s="382" t="str">
        <f>IFERROR(VLOOKUP(Envoltória!$G99,$BQ$35:$BZ$43,BO$9,FALSE),"")</f>
        <v/>
      </c>
    </row>
    <row r="95" spans="1:67" x14ac:dyDescent="0.25">
      <c r="A95" s="1">
        <v>85</v>
      </c>
      <c r="B95" s="370">
        <f>Envoltória!I100</f>
        <v>0</v>
      </c>
      <c r="C95" s="371">
        <f>Envoltória!B100</f>
        <v>0</v>
      </c>
      <c r="D95" s="371">
        <f>Envoltória!C100</f>
        <v>0</v>
      </c>
      <c r="E95" s="381">
        <f>Envoltória!D100</f>
        <v>0</v>
      </c>
      <c r="F95" s="382">
        <f>Envoltória!E100</f>
        <v>0</v>
      </c>
      <c r="G95" s="382">
        <f t="shared" si="10"/>
        <v>0</v>
      </c>
      <c r="H95" s="383">
        <f>Envoltória!O100/100</f>
        <v>0</v>
      </c>
      <c r="I95" s="383">
        <f>IF(BF95=1,Envoltória!Q100,90)</f>
        <v>90</v>
      </c>
      <c r="J95" s="384" t="str">
        <f>IFERROR(VLOOKUP(Envoltória!M100,Componentes!$P:$R,2,FALSE),"")</f>
        <v/>
      </c>
      <c r="K95" s="384" t="str">
        <f>IFERROR(VLOOKUP(Envoltória!M100,Componentes!$P:$R,3,FALSE),"")</f>
        <v/>
      </c>
      <c r="L95" s="383">
        <f>IF(ISERROR(VLOOKUP(Envoltória!L100,Componentes!K:N,2,FALSE)),0,VLOOKUP(Envoltória!L100,Componentes!K:N,2,FALSE))</f>
        <v>0</v>
      </c>
      <c r="M95" s="383">
        <f>IF(ISERROR(VLOOKUP(Envoltória!L100,Componentes!K:N,3,FALSE)),0,VLOOKUP(Envoltória!L100,Componentes!K:N,3,FALSE))</f>
        <v>0</v>
      </c>
      <c r="N95" s="385" t="str">
        <f>IFERROR(IF(BB95&lt;&gt;0,VLOOKUP(Envoltória!L100,Componentes!K:N,4,FALSE),0),"")</f>
        <v/>
      </c>
      <c r="O95" s="383">
        <f>IF(BF95=1,VLOOKUP(Envoltória!J100,Componentes!B:E,2,FALSE),-6)</f>
        <v>-6</v>
      </c>
      <c r="P95" s="383">
        <f>IF(BF95=1,VLOOKUP(Envoltória!J100,Componentes!B:E,3,FALSE),-400)</f>
        <v>-400</v>
      </c>
      <c r="Q95" s="383">
        <f>IF(BF95=1,VLOOKUP(Envoltória!J100,Componentes!B:E,4,FALSE),0)</f>
        <v>0</v>
      </c>
      <c r="R95" s="384" t="str">
        <f>IFERROR(VLOOKUP(Envoltória!K100,Componentes!G:I,2,FALSE),"")</f>
        <v/>
      </c>
      <c r="S95" s="384" t="str">
        <f>IFERROR(VLOOKUP(Envoltória!K100,Componentes!G:I,3,FALSE),"")</f>
        <v/>
      </c>
      <c r="T95" s="383">
        <f>IFERROR(IF(H95&lt;&gt;0,VLOOKUP(Envoltória!N100,Componentes!T:V,3,FALSE),0),"")</f>
        <v>0</v>
      </c>
      <c r="U95" s="383">
        <f>IFERROR(IF(H95&lt;&gt;0,VLOOKUP(Envoltória!N100,Componentes!T:V,2,FALSE),0),"")</f>
        <v>0</v>
      </c>
      <c r="V95" s="384">
        <f>IFERROR(IF(AA95&lt;&gt;0,VLOOKUP(Envoltória!U100,Componentes!X:Z,2,FALSE),0),"")</f>
        <v>0</v>
      </c>
      <c r="W95" s="384">
        <f>IFERROR(IF(AA95&lt;&gt;0,VLOOKUP(Envoltória!U100,Componentes!X:Z,3,FALSE),0),"")</f>
        <v>0</v>
      </c>
      <c r="X95" s="383" t="str">
        <f>Envoltória!X100</f>
        <v/>
      </c>
      <c r="Y95" s="383">
        <f>Envoltória!V100</f>
        <v>0</v>
      </c>
      <c r="Z95" s="383" t="str">
        <f>Envoltória!W100</f>
        <v/>
      </c>
      <c r="AA95" s="386">
        <f>Envoltória!T100/100</f>
        <v>0</v>
      </c>
      <c r="AB95" s="387"/>
      <c r="AC95" s="387"/>
      <c r="AD95" s="387"/>
      <c r="AE95" s="387"/>
      <c r="AF95" s="387"/>
      <c r="AG95" s="387"/>
      <c r="AH95" s="387"/>
      <c r="AI95" s="387"/>
      <c r="AJ95" s="387"/>
      <c r="AK95" s="387"/>
      <c r="AL95" s="387"/>
      <c r="AM95" s="387"/>
      <c r="AN95" s="387"/>
      <c r="AO95" s="387"/>
      <c r="AP95" s="383">
        <f>IF(BF95=0,90,Envoltória!S100)</f>
        <v>0</v>
      </c>
      <c r="AQ95" s="383">
        <f>IF(BF95=0,90,Envoltória!R100)</f>
        <v>0</v>
      </c>
      <c r="AR95" s="383" t="str">
        <f t="shared" si="13"/>
        <v/>
      </c>
      <c r="AS95" s="383" t="str">
        <f t="shared" si="13"/>
        <v/>
      </c>
      <c r="AT95" s="383" t="str">
        <f t="shared" si="13"/>
        <v/>
      </c>
      <c r="AU95" s="383" t="str">
        <f t="shared" si="13"/>
        <v/>
      </c>
      <c r="AV95" s="383" t="str">
        <f t="shared" si="13"/>
        <v/>
      </c>
      <c r="AW95" s="384" t="str">
        <f>IFERROR(VLOOKUP(Envoltória!$B100,Aux_Lista!$N$2:$T$7,AW$9,FALSE),"")</f>
        <v/>
      </c>
      <c r="AX95" s="384" t="str">
        <f>IFERROR(VLOOKUP(Envoltória!$B100,Aux_Lista!$N$2:$T$7,AX$9,FALSE),"")</f>
        <v/>
      </c>
      <c r="AY95" s="384" t="str">
        <f>IFERROR(VLOOKUP(Envoltória!$B100,Aux_Lista!$N$2:$T$7,AY$9,FALSE),"")</f>
        <v/>
      </c>
      <c r="AZ95" s="384" t="str">
        <f>IFERROR(VLOOKUP(Envoltória!$B100,Aux_Lista!$N$2:$T$7,AZ$9,FALSE),"")</f>
        <v/>
      </c>
      <c r="BA95" s="384" t="str">
        <f>IFERROR(VLOOKUP(Envoltória!$B100,Aux_Lista!$N$2:$T$7,BA$9,FALSE),"")</f>
        <v/>
      </c>
      <c r="BB95" s="384" t="str">
        <f>IFERROR(VLOOKUP(Envoltória!$B100,Aux_Lista!$N$2:$T$7,BB$9,FALSE),"")</f>
        <v/>
      </c>
      <c r="BC95" s="384" t="str">
        <f>IFERROR(VLOOKUP(Envoltória!$H100,Aux_Lista!$V$2:$X$3,BC$9,FALSE),"")</f>
        <v/>
      </c>
      <c r="BD95" s="384" t="str">
        <f>IFERROR(VLOOKUP(Envoltória!$H100,Aux_Lista!$V$2:$X$3,BD$9,FALSE),"")</f>
        <v/>
      </c>
      <c r="BE95" s="382">
        <f t="shared" si="11"/>
        <v>0</v>
      </c>
      <c r="BF95" s="382" t="str">
        <f>IFERROR(VLOOKUP(Envoltória!F100,CB3E_Envoltória!$BQ$18:$BR$19,2,FALSE),"")</f>
        <v/>
      </c>
      <c r="BG95" s="382" t="str">
        <f>IFERROR(VLOOKUP(Envoltória!$G100,$BQ$35:$BZ$43,BG$9,FALSE),"")</f>
        <v/>
      </c>
      <c r="BH95" s="382" t="str">
        <f>IFERROR(VLOOKUP(Envoltória!$G100,$BQ$35:$BZ$43,BH$9,FALSE),"")</f>
        <v/>
      </c>
      <c r="BI95" s="382" t="str">
        <f>IFERROR(VLOOKUP(Envoltória!$G100,$BQ$35:$BZ$43,BI$9,FALSE),"")</f>
        <v/>
      </c>
      <c r="BJ95" s="382" t="str">
        <f>IFERROR(VLOOKUP(Envoltória!$G100,$BQ$35:$BZ$43,BJ$9,FALSE),"")</f>
        <v/>
      </c>
      <c r="BK95" s="382" t="str">
        <f>IFERROR(VLOOKUP(Envoltória!$G100,$BQ$35:$BZ$43,BK$9,FALSE),"")</f>
        <v/>
      </c>
      <c r="BL95" s="382" t="str">
        <f>IFERROR(VLOOKUP(Envoltória!$G100,$BQ$35:$BZ$43,BL$9,FALSE),"")</f>
        <v/>
      </c>
      <c r="BM95" s="382" t="str">
        <f>IFERROR(VLOOKUP(Envoltória!$G100,$BQ$35:$BZ$43,BM$9,FALSE),"")</f>
        <v/>
      </c>
      <c r="BN95" s="382" t="str">
        <f>IFERROR(VLOOKUP(Envoltória!$G100,$BQ$35:$BZ$43,BN$9,FALSE),"")</f>
        <v/>
      </c>
      <c r="BO95" s="382" t="str">
        <f>IFERROR(VLOOKUP(Envoltória!$G100,$BQ$35:$BZ$43,BO$9,FALSE),"")</f>
        <v/>
      </c>
    </row>
    <row r="96" spans="1:67" x14ac:dyDescent="0.25">
      <c r="A96" s="1">
        <v>86</v>
      </c>
      <c r="B96" s="370">
        <f>Envoltória!I101</f>
        <v>0</v>
      </c>
      <c r="C96" s="371">
        <f>Envoltória!B101</f>
        <v>0</v>
      </c>
      <c r="D96" s="371">
        <f>Envoltória!C101</f>
        <v>0</v>
      </c>
      <c r="E96" s="381">
        <f>Envoltória!D101</f>
        <v>0</v>
      </c>
      <c r="F96" s="382">
        <f>Envoltória!E101</f>
        <v>0</v>
      </c>
      <c r="G96" s="382">
        <f t="shared" si="10"/>
        <v>0</v>
      </c>
      <c r="H96" s="383">
        <f>Envoltória!O101/100</f>
        <v>0</v>
      </c>
      <c r="I96" s="383">
        <f>IF(BF96=1,Envoltória!Q101,90)</f>
        <v>90</v>
      </c>
      <c r="J96" s="384" t="str">
        <f>IFERROR(VLOOKUP(Envoltória!M101,Componentes!$P:$R,2,FALSE),"")</f>
        <v/>
      </c>
      <c r="K96" s="384" t="str">
        <f>IFERROR(VLOOKUP(Envoltória!M101,Componentes!$P:$R,3,FALSE),"")</f>
        <v/>
      </c>
      <c r="L96" s="383">
        <f>IF(ISERROR(VLOOKUP(Envoltória!L101,Componentes!K:N,2,FALSE)),0,VLOOKUP(Envoltória!L101,Componentes!K:N,2,FALSE))</f>
        <v>0</v>
      </c>
      <c r="M96" s="383">
        <f>IF(ISERROR(VLOOKUP(Envoltória!L101,Componentes!K:N,3,FALSE)),0,VLOOKUP(Envoltória!L101,Componentes!K:N,3,FALSE))</f>
        <v>0</v>
      </c>
      <c r="N96" s="385" t="str">
        <f>IFERROR(IF(BB96&lt;&gt;0,VLOOKUP(Envoltória!L101,Componentes!K:N,4,FALSE),0),"")</f>
        <v/>
      </c>
      <c r="O96" s="383">
        <f>IF(BF96=1,VLOOKUP(Envoltória!J101,Componentes!B:E,2,FALSE),-6)</f>
        <v>-6</v>
      </c>
      <c r="P96" s="383">
        <f>IF(BF96=1,VLOOKUP(Envoltória!J101,Componentes!B:E,3,FALSE),-400)</f>
        <v>-400</v>
      </c>
      <c r="Q96" s="383">
        <f>IF(BF96=1,VLOOKUP(Envoltória!J101,Componentes!B:E,4,FALSE),0)</f>
        <v>0</v>
      </c>
      <c r="R96" s="384" t="str">
        <f>IFERROR(VLOOKUP(Envoltória!K101,Componentes!G:I,2,FALSE),"")</f>
        <v/>
      </c>
      <c r="S96" s="384" t="str">
        <f>IFERROR(VLOOKUP(Envoltória!K101,Componentes!G:I,3,FALSE),"")</f>
        <v/>
      </c>
      <c r="T96" s="383">
        <f>IFERROR(IF(H96&lt;&gt;0,VLOOKUP(Envoltória!N101,Componentes!T:V,3,FALSE),0),"")</f>
        <v>0</v>
      </c>
      <c r="U96" s="383">
        <f>IFERROR(IF(H96&lt;&gt;0,VLOOKUP(Envoltória!N101,Componentes!T:V,2,FALSE),0),"")</f>
        <v>0</v>
      </c>
      <c r="V96" s="384">
        <f>IFERROR(IF(AA96&lt;&gt;0,VLOOKUP(Envoltória!U101,Componentes!X:Z,2,FALSE),0),"")</f>
        <v>0</v>
      </c>
      <c r="W96" s="384">
        <f>IFERROR(IF(AA96&lt;&gt;0,VLOOKUP(Envoltória!U101,Componentes!X:Z,3,FALSE),0),"")</f>
        <v>0</v>
      </c>
      <c r="X96" s="383" t="str">
        <f>Envoltória!X101</f>
        <v/>
      </c>
      <c r="Y96" s="383">
        <f>Envoltória!V101</f>
        <v>0</v>
      </c>
      <c r="Z96" s="383" t="str">
        <f>Envoltória!W101</f>
        <v/>
      </c>
      <c r="AA96" s="386">
        <f>Envoltória!T101/100</f>
        <v>0</v>
      </c>
      <c r="AB96" s="387"/>
      <c r="AC96" s="387"/>
      <c r="AD96" s="387"/>
      <c r="AE96" s="387"/>
      <c r="AF96" s="387"/>
      <c r="AG96" s="387"/>
      <c r="AH96" s="387"/>
      <c r="AI96" s="387"/>
      <c r="AJ96" s="387"/>
      <c r="AK96" s="387"/>
      <c r="AL96" s="387"/>
      <c r="AM96" s="387"/>
      <c r="AN96" s="387"/>
      <c r="AO96" s="387"/>
      <c r="AP96" s="383">
        <f>IF(BF96=0,90,Envoltória!S101)</f>
        <v>0</v>
      </c>
      <c r="AQ96" s="383">
        <f>IF(BF96=0,90,Envoltória!R101)</f>
        <v>0</v>
      </c>
      <c r="AR96" s="383" t="str">
        <f t="shared" si="13"/>
        <v/>
      </c>
      <c r="AS96" s="383" t="str">
        <f t="shared" si="13"/>
        <v/>
      </c>
      <c r="AT96" s="383" t="str">
        <f t="shared" si="13"/>
        <v/>
      </c>
      <c r="AU96" s="383" t="str">
        <f t="shared" si="13"/>
        <v/>
      </c>
      <c r="AV96" s="383" t="str">
        <f t="shared" si="13"/>
        <v/>
      </c>
      <c r="AW96" s="384" t="str">
        <f>IFERROR(VLOOKUP(Envoltória!$B101,Aux_Lista!$N$2:$T$7,AW$9,FALSE),"")</f>
        <v/>
      </c>
      <c r="AX96" s="384" t="str">
        <f>IFERROR(VLOOKUP(Envoltória!$B101,Aux_Lista!$N$2:$T$7,AX$9,FALSE),"")</f>
        <v/>
      </c>
      <c r="AY96" s="384" t="str">
        <f>IFERROR(VLOOKUP(Envoltória!$B101,Aux_Lista!$N$2:$T$7,AY$9,FALSE),"")</f>
        <v/>
      </c>
      <c r="AZ96" s="384" t="str">
        <f>IFERROR(VLOOKUP(Envoltória!$B101,Aux_Lista!$N$2:$T$7,AZ$9,FALSE),"")</f>
        <v/>
      </c>
      <c r="BA96" s="384" t="str">
        <f>IFERROR(VLOOKUP(Envoltória!$B101,Aux_Lista!$N$2:$T$7,BA$9,FALSE),"")</f>
        <v/>
      </c>
      <c r="BB96" s="384" t="str">
        <f>IFERROR(VLOOKUP(Envoltória!$B101,Aux_Lista!$N$2:$T$7,BB$9,FALSE),"")</f>
        <v/>
      </c>
      <c r="BC96" s="384" t="str">
        <f>IFERROR(VLOOKUP(Envoltória!$H101,Aux_Lista!$V$2:$X$3,BC$9,FALSE),"")</f>
        <v/>
      </c>
      <c r="BD96" s="384" t="str">
        <f>IFERROR(VLOOKUP(Envoltória!$H101,Aux_Lista!$V$2:$X$3,BD$9,FALSE),"")</f>
        <v/>
      </c>
      <c r="BE96" s="382">
        <f t="shared" si="11"/>
        <v>0</v>
      </c>
      <c r="BF96" s="382" t="str">
        <f>IFERROR(VLOOKUP(Envoltória!F101,CB3E_Envoltória!$BQ$18:$BR$19,2,FALSE),"")</f>
        <v/>
      </c>
      <c r="BG96" s="382" t="str">
        <f>IFERROR(VLOOKUP(Envoltória!$G101,$BQ$35:$BZ$43,BG$9,FALSE),"")</f>
        <v/>
      </c>
      <c r="BH96" s="382" t="str">
        <f>IFERROR(VLOOKUP(Envoltória!$G101,$BQ$35:$BZ$43,BH$9,FALSE),"")</f>
        <v/>
      </c>
      <c r="BI96" s="382" t="str">
        <f>IFERROR(VLOOKUP(Envoltória!$G101,$BQ$35:$BZ$43,BI$9,FALSE),"")</f>
        <v/>
      </c>
      <c r="BJ96" s="382" t="str">
        <f>IFERROR(VLOOKUP(Envoltória!$G101,$BQ$35:$BZ$43,BJ$9,FALSE),"")</f>
        <v/>
      </c>
      <c r="BK96" s="382" t="str">
        <f>IFERROR(VLOOKUP(Envoltória!$G101,$BQ$35:$BZ$43,BK$9,FALSE),"")</f>
        <v/>
      </c>
      <c r="BL96" s="382" t="str">
        <f>IFERROR(VLOOKUP(Envoltória!$G101,$BQ$35:$BZ$43,BL$9,FALSE),"")</f>
        <v/>
      </c>
      <c r="BM96" s="382" t="str">
        <f>IFERROR(VLOOKUP(Envoltória!$G101,$BQ$35:$BZ$43,BM$9,FALSE),"")</f>
        <v/>
      </c>
      <c r="BN96" s="382" t="str">
        <f>IFERROR(VLOOKUP(Envoltória!$G101,$BQ$35:$BZ$43,BN$9,FALSE),"")</f>
        <v/>
      </c>
      <c r="BO96" s="382" t="str">
        <f>IFERROR(VLOOKUP(Envoltória!$G101,$BQ$35:$BZ$43,BO$9,FALSE),"")</f>
        <v/>
      </c>
    </row>
    <row r="97" spans="1:67" x14ac:dyDescent="0.25">
      <c r="A97" s="1">
        <v>87</v>
      </c>
      <c r="B97" s="370">
        <f>Envoltória!I102</f>
        <v>0</v>
      </c>
      <c r="C97" s="371">
        <f>Envoltória!B102</f>
        <v>0</v>
      </c>
      <c r="D97" s="371">
        <f>Envoltória!C102</f>
        <v>0</v>
      </c>
      <c r="E97" s="381">
        <f>Envoltória!D102</f>
        <v>0</v>
      </c>
      <c r="F97" s="382">
        <f>Envoltória!E102</f>
        <v>0</v>
      </c>
      <c r="G97" s="382">
        <f t="shared" si="10"/>
        <v>0</v>
      </c>
      <c r="H97" s="383">
        <f>Envoltória!O102/100</f>
        <v>0</v>
      </c>
      <c r="I97" s="383">
        <f>IF(BF97=1,Envoltória!Q102,90)</f>
        <v>90</v>
      </c>
      <c r="J97" s="384" t="str">
        <f>IFERROR(VLOOKUP(Envoltória!M102,Componentes!$P:$R,2,FALSE),"")</f>
        <v/>
      </c>
      <c r="K97" s="384" t="str">
        <f>IFERROR(VLOOKUP(Envoltória!M102,Componentes!$P:$R,3,FALSE),"")</f>
        <v/>
      </c>
      <c r="L97" s="383">
        <f>IF(ISERROR(VLOOKUP(Envoltória!L102,Componentes!K:N,2,FALSE)),0,VLOOKUP(Envoltória!L102,Componentes!K:N,2,FALSE))</f>
        <v>0</v>
      </c>
      <c r="M97" s="383">
        <f>IF(ISERROR(VLOOKUP(Envoltória!L102,Componentes!K:N,3,FALSE)),0,VLOOKUP(Envoltória!L102,Componentes!K:N,3,FALSE))</f>
        <v>0</v>
      </c>
      <c r="N97" s="385" t="str">
        <f>IFERROR(IF(BB97&lt;&gt;0,VLOOKUP(Envoltória!L102,Componentes!K:N,4,FALSE),0),"")</f>
        <v/>
      </c>
      <c r="O97" s="383">
        <f>IF(BF97=1,VLOOKUP(Envoltória!J102,Componentes!B:E,2,FALSE),-6)</f>
        <v>-6</v>
      </c>
      <c r="P97" s="383">
        <f>IF(BF97=1,VLOOKUP(Envoltória!J102,Componentes!B:E,3,FALSE),-400)</f>
        <v>-400</v>
      </c>
      <c r="Q97" s="383">
        <f>IF(BF97=1,VLOOKUP(Envoltória!J102,Componentes!B:E,4,FALSE),0)</f>
        <v>0</v>
      </c>
      <c r="R97" s="384" t="str">
        <f>IFERROR(VLOOKUP(Envoltória!K102,Componentes!G:I,2,FALSE),"")</f>
        <v/>
      </c>
      <c r="S97" s="384" t="str">
        <f>IFERROR(VLOOKUP(Envoltória!K102,Componentes!G:I,3,FALSE),"")</f>
        <v/>
      </c>
      <c r="T97" s="383">
        <f>IFERROR(IF(H97&lt;&gt;0,VLOOKUP(Envoltória!N102,Componentes!T:V,3,FALSE),0),"")</f>
        <v>0</v>
      </c>
      <c r="U97" s="383">
        <f>IFERROR(IF(H97&lt;&gt;0,VLOOKUP(Envoltória!N102,Componentes!T:V,2,FALSE),0),"")</f>
        <v>0</v>
      </c>
      <c r="V97" s="384">
        <f>IFERROR(IF(AA97&lt;&gt;0,VLOOKUP(Envoltória!U102,Componentes!X:Z,2,FALSE),0),"")</f>
        <v>0</v>
      </c>
      <c r="W97" s="384">
        <f>IFERROR(IF(AA97&lt;&gt;0,VLOOKUP(Envoltória!U102,Componentes!X:Z,3,FALSE),0),"")</f>
        <v>0</v>
      </c>
      <c r="X97" s="383" t="str">
        <f>Envoltória!X102</f>
        <v/>
      </c>
      <c r="Y97" s="383">
        <f>Envoltória!V102</f>
        <v>0</v>
      </c>
      <c r="Z97" s="383" t="str">
        <f>Envoltória!W102</f>
        <v/>
      </c>
      <c r="AA97" s="386">
        <f>Envoltória!T102/100</f>
        <v>0</v>
      </c>
      <c r="AB97" s="387"/>
      <c r="AC97" s="387"/>
      <c r="AD97" s="387"/>
      <c r="AE97" s="387"/>
      <c r="AF97" s="387"/>
      <c r="AG97" s="387"/>
      <c r="AH97" s="387"/>
      <c r="AI97" s="387"/>
      <c r="AJ97" s="387"/>
      <c r="AK97" s="387"/>
      <c r="AL97" s="387"/>
      <c r="AM97" s="387"/>
      <c r="AN97" s="387"/>
      <c r="AO97" s="387"/>
      <c r="AP97" s="383">
        <f>IF(BF97=0,90,Envoltória!S102)</f>
        <v>0</v>
      </c>
      <c r="AQ97" s="383">
        <f>IF(BF97=0,90,Envoltória!R102)</f>
        <v>0</v>
      </c>
      <c r="AR97" s="383" t="str">
        <f t="shared" si="13"/>
        <v/>
      </c>
      <c r="AS97" s="383" t="str">
        <f t="shared" si="13"/>
        <v/>
      </c>
      <c r="AT97" s="383" t="str">
        <f t="shared" si="13"/>
        <v/>
      </c>
      <c r="AU97" s="383" t="str">
        <f t="shared" si="13"/>
        <v/>
      </c>
      <c r="AV97" s="383" t="str">
        <f t="shared" si="13"/>
        <v/>
      </c>
      <c r="AW97" s="384" t="str">
        <f>IFERROR(VLOOKUP(Envoltória!$B102,Aux_Lista!$N$2:$T$7,AW$9,FALSE),"")</f>
        <v/>
      </c>
      <c r="AX97" s="384" t="str">
        <f>IFERROR(VLOOKUP(Envoltória!$B102,Aux_Lista!$N$2:$T$7,AX$9,FALSE),"")</f>
        <v/>
      </c>
      <c r="AY97" s="384" t="str">
        <f>IFERROR(VLOOKUP(Envoltória!$B102,Aux_Lista!$N$2:$T$7,AY$9,FALSE),"")</f>
        <v/>
      </c>
      <c r="AZ97" s="384" t="str">
        <f>IFERROR(VLOOKUP(Envoltória!$B102,Aux_Lista!$N$2:$T$7,AZ$9,FALSE),"")</f>
        <v/>
      </c>
      <c r="BA97" s="384" t="str">
        <f>IFERROR(VLOOKUP(Envoltória!$B102,Aux_Lista!$N$2:$T$7,BA$9,FALSE),"")</f>
        <v/>
      </c>
      <c r="BB97" s="384" t="str">
        <f>IFERROR(VLOOKUP(Envoltória!$B102,Aux_Lista!$N$2:$T$7,BB$9,FALSE),"")</f>
        <v/>
      </c>
      <c r="BC97" s="384" t="str">
        <f>IFERROR(VLOOKUP(Envoltória!$H102,Aux_Lista!$V$2:$X$3,BC$9,FALSE),"")</f>
        <v/>
      </c>
      <c r="BD97" s="384" t="str">
        <f>IFERROR(VLOOKUP(Envoltória!$H102,Aux_Lista!$V$2:$X$3,BD$9,FALSE),"")</f>
        <v/>
      </c>
      <c r="BE97" s="382">
        <f t="shared" si="11"/>
        <v>0</v>
      </c>
      <c r="BF97" s="382" t="str">
        <f>IFERROR(VLOOKUP(Envoltória!F102,CB3E_Envoltória!$BQ$18:$BR$19,2,FALSE),"")</f>
        <v/>
      </c>
      <c r="BG97" s="382" t="str">
        <f>IFERROR(VLOOKUP(Envoltória!$G102,$BQ$35:$BZ$43,BG$9,FALSE),"")</f>
        <v/>
      </c>
      <c r="BH97" s="382" t="str">
        <f>IFERROR(VLOOKUP(Envoltória!$G102,$BQ$35:$BZ$43,BH$9,FALSE),"")</f>
        <v/>
      </c>
      <c r="BI97" s="382" t="str">
        <f>IFERROR(VLOOKUP(Envoltória!$G102,$BQ$35:$BZ$43,BI$9,FALSE),"")</f>
        <v/>
      </c>
      <c r="BJ97" s="382" t="str">
        <f>IFERROR(VLOOKUP(Envoltória!$G102,$BQ$35:$BZ$43,BJ$9,FALSE),"")</f>
        <v/>
      </c>
      <c r="BK97" s="382" t="str">
        <f>IFERROR(VLOOKUP(Envoltória!$G102,$BQ$35:$BZ$43,BK$9,FALSE),"")</f>
        <v/>
      </c>
      <c r="BL97" s="382" t="str">
        <f>IFERROR(VLOOKUP(Envoltória!$G102,$BQ$35:$BZ$43,BL$9,FALSE),"")</f>
        <v/>
      </c>
      <c r="BM97" s="382" t="str">
        <f>IFERROR(VLOOKUP(Envoltória!$G102,$BQ$35:$BZ$43,BM$9,FALSE),"")</f>
        <v/>
      </c>
      <c r="BN97" s="382" t="str">
        <f>IFERROR(VLOOKUP(Envoltória!$G102,$BQ$35:$BZ$43,BN$9,FALSE),"")</f>
        <v/>
      </c>
      <c r="BO97" s="382" t="str">
        <f>IFERROR(VLOOKUP(Envoltória!$G102,$BQ$35:$BZ$43,BO$9,FALSE),"")</f>
        <v/>
      </c>
    </row>
    <row r="98" spans="1:67" x14ac:dyDescent="0.25">
      <c r="A98" s="1">
        <v>88</v>
      </c>
      <c r="B98" s="370">
        <f>Envoltória!I103</f>
        <v>0</v>
      </c>
      <c r="C98" s="371">
        <f>Envoltória!B103</f>
        <v>0</v>
      </c>
      <c r="D98" s="371">
        <f>Envoltória!C103</f>
        <v>0</v>
      </c>
      <c r="E98" s="381">
        <f>Envoltória!D103</f>
        <v>0</v>
      </c>
      <c r="F98" s="382">
        <f>Envoltória!E103</f>
        <v>0</v>
      </c>
      <c r="G98" s="382">
        <f t="shared" si="10"/>
        <v>0</v>
      </c>
      <c r="H98" s="383">
        <f>Envoltória!O103/100</f>
        <v>0</v>
      </c>
      <c r="I98" s="383">
        <f>IF(BF98=1,Envoltória!Q103,90)</f>
        <v>90</v>
      </c>
      <c r="J98" s="384" t="str">
        <f>IFERROR(VLOOKUP(Envoltória!M103,Componentes!$P:$R,2,FALSE),"")</f>
        <v/>
      </c>
      <c r="K98" s="384" t="str">
        <f>IFERROR(VLOOKUP(Envoltória!M103,Componentes!$P:$R,3,FALSE),"")</f>
        <v/>
      </c>
      <c r="L98" s="383">
        <f>IF(ISERROR(VLOOKUP(Envoltória!L103,Componentes!K:N,2,FALSE)),0,VLOOKUP(Envoltória!L103,Componentes!K:N,2,FALSE))</f>
        <v>0</v>
      </c>
      <c r="M98" s="383">
        <f>IF(ISERROR(VLOOKUP(Envoltória!L103,Componentes!K:N,3,FALSE)),0,VLOOKUP(Envoltória!L103,Componentes!K:N,3,FALSE))</f>
        <v>0</v>
      </c>
      <c r="N98" s="385" t="str">
        <f>IFERROR(IF(BB98&lt;&gt;0,VLOOKUP(Envoltória!L103,Componentes!K:N,4,FALSE),0),"")</f>
        <v/>
      </c>
      <c r="O98" s="383">
        <f>IF(BF98=1,VLOOKUP(Envoltória!J103,Componentes!B:E,2,FALSE),-6)</f>
        <v>-6</v>
      </c>
      <c r="P98" s="383">
        <f>IF(BF98=1,VLOOKUP(Envoltória!J103,Componentes!B:E,3,FALSE),-400)</f>
        <v>-400</v>
      </c>
      <c r="Q98" s="383">
        <f>IF(BF98=1,VLOOKUP(Envoltória!J103,Componentes!B:E,4,FALSE),0)</f>
        <v>0</v>
      </c>
      <c r="R98" s="384" t="str">
        <f>IFERROR(VLOOKUP(Envoltória!K103,Componentes!G:I,2,FALSE),"")</f>
        <v/>
      </c>
      <c r="S98" s="384" t="str">
        <f>IFERROR(VLOOKUP(Envoltória!K103,Componentes!G:I,3,FALSE),"")</f>
        <v/>
      </c>
      <c r="T98" s="383">
        <f>IFERROR(IF(H98&lt;&gt;0,VLOOKUP(Envoltória!N103,Componentes!T:V,3,FALSE),0),"")</f>
        <v>0</v>
      </c>
      <c r="U98" s="383">
        <f>IFERROR(IF(H98&lt;&gt;0,VLOOKUP(Envoltória!N103,Componentes!T:V,2,FALSE),0),"")</f>
        <v>0</v>
      </c>
      <c r="V98" s="384">
        <f>IFERROR(IF(AA98&lt;&gt;0,VLOOKUP(Envoltória!U103,Componentes!X:Z,2,FALSE),0),"")</f>
        <v>0</v>
      </c>
      <c r="W98" s="384">
        <f>IFERROR(IF(AA98&lt;&gt;0,VLOOKUP(Envoltória!U103,Componentes!X:Z,3,FALSE),0),"")</f>
        <v>0</v>
      </c>
      <c r="X98" s="383" t="str">
        <f>Envoltória!X103</f>
        <v/>
      </c>
      <c r="Y98" s="383">
        <f>Envoltória!V103</f>
        <v>0</v>
      </c>
      <c r="Z98" s="383" t="str">
        <f>Envoltória!W103</f>
        <v/>
      </c>
      <c r="AA98" s="386">
        <f>Envoltória!T103/100</f>
        <v>0</v>
      </c>
      <c r="AB98" s="387"/>
      <c r="AC98" s="387"/>
      <c r="AD98" s="387"/>
      <c r="AE98" s="387"/>
      <c r="AF98" s="387"/>
      <c r="AG98" s="387"/>
      <c r="AH98" s="387"/>
      <c r="AI98" s="387"/>
      <c r="AJ98" s="387"/>
      <c r="AK98" s="387"/>
      <c r="AL98" s="387"/>
      <c r="AM98" s="387"/>
      <c r="AN98" s="387"/>
      <c r="AO98" s="387"/>
      <c r="AP98" s="383">
        <f>IF(BF98=0,90,Envoltória!S103)</f>
        <v>0</v>
      </c>
      <c r="AQ98" s="383">
        <f>IF(BF98=0,90,Envoltória!R103)</f>
        <v>0</v>
      </c>
      <c r="AR98" s="383" t="str">
        <f t="shared" si="13"/>
        <v/>
      </c>
      <c r="AS98" s="383" t="str">
        <f t="shared" si="13"/>
        <v/>
      </c>
      <c r="AT98" s="383" t="str">
        <f t="shared" si="13"/>
        <v/>
      </c>
      <c r="AU98" s="383" t="str">
        <f t="shared" si="13"/>
        <v/>
      </c>
      <c r="AV98" s="383" t="str">
        <f t="shared" si="13"/>
        <v/>
      </c>
      <c r="AW98" s="384" t="str">
        <f>IFERROR(VLOOKUP(Envoltória!$B103,Aux_Lista!$N$2:$T$7,AW$9,FALSE),"")</f>
        <v/>
      </c>
      <c r="AX98" s="384" t="str">
        <f>IFERROR(VLOOKUP(Envoltória!$B103,Aux_Lista!$N$2:$T$7,AX$9,FALSE),"")</f>
        <v/>
      </c>
      <c r="AY98" s="384" t="str">
        <f>IFERROR(VLOOKUP(Envoltória!$B103,Aux_Lista!$N$2:$T$7,AY$9,FALSE),"")</f>
        <v/>
      </c>
      <c r="AZ98" s="384" t="str">
        <f>IFERROR(VLOOKUP(Envoltória!$B103,Aux_Lista!$N$2:$T$7,AZ$9,FALSE),"")</f>
        <v/>
      </c>
      <c r="BA98" s="384" t="str">
        <f>IFERROR(VLOOKUP(Envoltória!$B103,Aux_Lista!$N$2:$T$7,BA$9,FALSE),"")</f>
        <v/>
      </c>
      <c r="BB98" s="384" t="str">
        <f>IFERROR(VLOOKUP(Envoltória!$B103,Aux_Lista!$N$2:$T$7,BB$9,FALSE),"")</f>
        <v/>
      </c>
      <c r="BC98" s="384" t="str">
        <f>IFERROR(VLOOKUP(Envoltória!$H103,Aux_Lista!$V$2:$X$3,BC$9,FALSE),"")</f>
        <v/>
      </c>
      <c r="BD98" s="384" t="str">
        <f>IFERROR(VLOOKUP(Envoltória!$H103,Aux_Lista!$V$2:$X$3,BD$9,FALSE),"")</f>
        <v/>
      </c>
      <c r="BE98" s="382">
        <f t="shared" si="11"/>
        <v>0</v>
      </c>
      <c r="BF98" s="382" t="str">
        <f>IFERROR(VLOOKUP(Envoltória!F103,CB3E_Envoltória!$BQ$18:$BR$19,2,FALSE),"")</f>
        <v/>
      </c>
      <c r="BG98" s="382" t="str">
        <f>IFERROR(VLOOKUP(Envoltória!$G103,$BQ$35:$BZ$43,BG$9,FALSE),"")</f>
        <v/>
      </c>
      <c r="BH98" s="382" t="str">
        <f>IFERROR(VLOOKUP(Envoltória!$G103,$BQ$35:$BZ$43,BH$9,FALSE),"")</f>
        <v/>
      </c>
      <c r="BI98" s="382" t="str">
        <f>IFERROR(VLOOKUP(Envoltória!$G103,$BQ$35:$BZ$43,BI$9,FALSE),"")</f>
        <v/>
      </c>
      <c r="BJ98" s="382" t="str">
        <f>IFERROR(VLOOKUP(Envoltória!$G103,$BQ$35:$BZ$43,BJ$9,FALSE),"")</f>
        <v/>
      </c>
      <c r="BK98" s="382" t="str">
        <f>IFERROR(VLOOKUP(Envoltória!$G103,$BQ$35:$BZ$43,BK$9,FALSE),"")</f>
        <v/>
      </c>
      <c r="BL98" s="382" t="str">
        <f>IFERROR(VLOOKUP(Envoltória!$G103,$BQ$35:$BZ$43,BL$9,FALSE),"")</f>
        <v/>
      </c>
      <c r="BM98" s="382" t="str">
        <f>IFERROR(VLOOKUP(Envoltória!$G103,$BQ$35:$BZ$43,BM$9,FALSE),"")</f>
        <v/>
      </c>
      <c r="BN98" s="382" t="str">
        <f>IFERROR(VLOOKUP(Envoltória!$G103,$BQ$35:$BZ$43,BN$9,FALSE),"")</f>
        <v/>
      </c>
      <c r="BO98" s="382" t="str">
        <f>IFERROR(VLOOKUP(Envoltória!$G103,$BQ$35:$BZ$43,BO$9,FALSE),"")</f>
        <v/>
      </c>
    </row>
    <row r="99" spans="1:67" x14ac:dyDescent="0.25">
      <c r="A99" s="1">
        <v>89</v>
      </c>
      <c r="B99" s="370">
        <f>Envoltória!I104</f>
        <v>0</v>
      </c>
      <c r="C99" s="371">
        <f>Envoltória!B104</f>
        <v>0</v>
      </c>
      <c r="D99" s="371">
        <f>Envoltória!C104</f>
        <v>0</v>
      </c>
      <c r="E99" s="381">
        <f>Envoltória!D104</f>
        <v>0</v>
      </c>
      <c r="F99" s="382">
        <f>Envoltória!E104</f>
        <v>0</v>
      </c>
      <c r="G99" s="382">
        <f t="shared" si="10"/>
        <v>0</v>
      </c>
      <c r="H99" s="383">
        <f>Envoltória!O104/100</f>
        <v>0</v>
      </c>
      <c r="I99" s="383">
        <f>IF(BF99=1,Envoltória!Q104,90)</f>
        <v>90</v>
      </c>
      <c r="J99" s="384" t="str">
        <f>IFERROR(VLOOKUP(Envoltória!M104,Componentes!$P:$R,2,FALSE),"")</f>
        <v/>
      </c>
      <c r="K99" s="384" t="str">
        <f>IFERROR(VLOOKUP(Envoltória!M104,Componentes!$P:$R,3,FALSE),"")</f>
        <v/>
      </c>
      <c r="L99" s="383">
        <f>IF(ISERROR(VLOOKUP(Envoltória!L104,Componentes!K:N,2,FALSE)),0,VLOOKUP(Envoltória!L104,Componentes!K:N,2,FALSE))</f>
        <v>0</v>
      </c>
      <c r="M99" s="383">
        <f>IF(ISERROR(VLOOKUP(Envoltória!L104,Componentes!K:N,3,FALSE)),0,VLOOKUP(Envoltória!L104,Componentes!K:N,3,FALSE))</f>
        <v>0</v>
      </c>
      <c r="N99" s="385" t="str">
        <f>IFERROR(IF(BB99&lt;&gt;0,VLOOKUP(Envoltória!L104,Componentes!K:N,4,FALSE),0),"")</f>
        <v/>
      </c>
      <c r="O99" s="383">
        <f>IF(BF99=1,VLOOKUP(Envoltória!J104,Componentes!B:E,2,FALSE),-6)</f>
        <v>-6</v>
      </c>
      <c r="P99" s="383">
        <f>IF(BF99=1,VLOOKUP(Envoltória!J104,Componentes!B:E,3,FALSE),-400)</f>
        <v>-400</v>
      </c>
      <c r="Q99" s="383">
        <f>IF(BF99=1,VLOOKUP(Envoltória!J104,Componentes!B:E,4,FALSE),0)</f>
        <v>0</v>
      </c>
      <c r="R99" s="384" t="str">
        <f>IFERROR(VLOOKUP(Envoltória!K104,Componentes!G:I,2,FALSE),"")</f>
        <v/>
      </c>
      <c r="S99" s="384" t="str">
        <f>IFERROR(VLOOKUP(Envoltória!K104,Componentes!G:I,3,FALSE),"")</f>
        <v/>
      </c>
      <c r="T99" s="383">
        <f>IFERROR(IF(H99&lt;&gt;0,VLOOKUP(Envoltória!N104,Componentes!T:V,3,FALSE),0),"")</f>
        <v>0</v>
      </c>
      <c r="U99" s="383">
        <f>IFERROR(IF(H99&lt;&gt;0,VLOOKUP(Envoltória!N104,Componentes!T:V,2,FALSE),0),"")</f>
        <v>0</v>
      </c>
      <c r="V99" s="384">
        <f>IFERROR(IF(AA99&lt;&gt;0,VLOOKUP(Envoltória!U104,Componentes!X:Z,2,FALSE),0),"")</f>
        <v>0</v>
      </c>
      <c r="W99" s="384">
        <f>IFERROR(IF(AA99&lt;&gt;0,VLOOKUP(Envoltória!U104,Componentes!X:Z,3,FALSE),0),"")</f>
        <v>0</v>
      </c>
      <c r="X99" s="383" t="str">
        <f>Envoltória!X104</f>
        <v/>
      </c>
      <c r="Y99" s="383">
        <f>Envoltória!V104</f>
        <v>0</v>
      </c>
      <c r="Z99" s="383" t="str">
        <f>Envoltória!W104</f>
        <v/>
      </c>
      <c r="AA99" s="386">
        <f>Envoltória!T104/100</f>
        <v>0</v>
      </c>
      <c r="AB99" s="387"/>
      <c r="AC99" s="387"/>
      <c r="AD99" s="387"/>
      <c r="AE99" s="387"/>
      <c r="AF99" s="387"/>
      <c r="AG99" s="387"/>
      <c r="AH99" s="387"/>
      <c r="AI99" s="387"/>
      <c r="AJ99" s="387"/>
      <c r="AK99" s="387"/>
      <c r="AL99" s="387"/>
      <c r="AM99" s="387"/>
      <c r="AN99" s="387"/>
      <c r="AO99" s="387"/>
      <c r="AP99" s="383">
        <f>IF(BF99=0,90,Envoltória!S104)</f>
        <v>0</v>
      </c>
      <c r="AQ99" s="383">
        <f>IF(BF99=0,90,Envoltória!R104)</f>
        <v>0</v>
      </c>
      <c r="AR99" s="383" t="str">
        <f t="shared" si="13"/>
        <v/>
      </c>
      <c r="AS99" s="383" t="str">
        <f t="shared" si="13"/>
        <v/>
      </c>
      <c r="AT99" s="383" t="str">
        <f t="shared" si="13"/>
        <v/>
      </c>
      <c r="AU99" s="383" t="str">
        <f t="shared" si="13"/>
        <v/>
      </c>
      <c r="AV99" s="383" t="str">
        <f t="shared" si="13"/>
        <v/>
      </c>
      <c r="AW99" s="384" t="str">
        <f>IFERROR(VLOOKUP(Envoltória!$B104,Aux_Lista!$N$2:$T$7,AW$9,FALSE),"")</f>
        <v/>
      </c>
      <c r="AX99" s="384" t="str">
        <f>IFERROR(VLOOKUP(Envoltória!$B104,Aux_Lista!$N$2:$T$7,AX$9,FALSE),"")</f>
        <v/>
      </c>
      <c r="AY99" s="384" t="str">
        <f>IFERROR(VLOOKUP(Envoltória!$B104,Aux_Lista!$N$2:$T$7,AY$9,FALSE),"")</f>
        <v/>
      </c>
      <c r="AZ99" s="384" t="str">
        <f>IFERROR(VLOOKUP(Envoltória!$B104,Aux_Lista!$N$2:$T$7,AZ$9,FALSE),"")</f>
        <v/>
      </c>
      <c r="BA99" s="384" t="str">
        <f>IFERROR(VLOOKUP(Envoltória!$B104,Aux_Lista!$N$2:$T$7,BA$9,FALSE),"")</f>
        <v/>
      </c>
      <c r="BB99" s="384" t="str">
        <f>IFERROR(VLOOKUP(Envoltória!$B104,Aux_Lista!$N$2:$T$7,BB$9,FALSE),"")</f>
        <v/>
      </c>
      <c r="BC99" s="384" t="str">
        <f>IFERROR(VLOOKUP(Envoltória!$H104,Aux_Lista!$V$2:$X$3,BC$9,FALSE),"")</f>
        <v/>
      </c>
      <c r="BD99" s="384" t="str">
        <f>IFERROR(VLOOKUP(Envoltória!$H104,Aux_Lista!$V$2:$X$3,BD$9,FALSE),"")</f>
        <v/>
      </c>
      <c r="BE99" s="382">
        <f t="shared" si="11"/>
        <v>0</v>
      </c>
      <c r="BF99" s="382" t="str">
        <f>IFERROR(VLOOKUP(Envoltória!F104,CB3E_Envoltória!$BQ$18:$BR$19,2,FALSE),"")</f>
        <v/>
      </c>
      <c r="BG99" s="382" t="str">
        <f>IFERROR(VLOOKUP(Envoltória!$G104,$BQ$35:$BZ$43,BG$9,FALSE),"")</f>
        <v/>
      </c>
      <c r="BH99" s="382" t="str">
        <f>IFERROR(VLOOKUP(Envoltória!$G104,$BQ$35:$BZ$43,BH$9,FALSE),"")</f>
        <v/>
      </c>
      <c r="BI99" s="382" t="str">
        <f>IFERROR(VLOOKUP(Envoltória!$G104,$BQ$35:$BZ$43,BI$9,FALSE),"")</f>
        <v/>
      </c>
      <c r="BJ99" s="382" t="str">
        <f>IFERROR(VLOOKUP(Envoltória!$G104,$BQ$35:$BZ$43,BJ$9,FALSE),"")</f>
        <v/>
      </c>
      <c r="BK99" s="382" t="str">
        <f>IFERROR(VLOOKUP(Envoltória!$G104,$BQ$35:$BZ$43,BK$9,FALSE),"")</f>
        <v/>
      </c>
      <c r="BL99" s="382" t="str">
        <f>IFERROR(VLOOKUP(Envoltória!$G104,$BQ$35:$BZ$43,BL$9,FALSE),"")</f>
        <v/>
      </c>
      <c r="BM99" s="382" t="str">
        <f>IFERROR(VLOOKUP(Envoltória!$G104,$BQ$35:$BZ$43,BM$9,FALSE),"")</f>
        <v/>
      </c>
      <c r="BN99" s="382" t="str">
        <f>IFERROR(VLOOKUP(Envoltória!$G104,$BQ$35:$BZ$43,BN$9,FALSE),"")</f>
        <v/>
      </c>
      <c r="BO99" s="382" t="str">
        <f>IFERROR(VLOOKUP(Envoltória!$G104,$BQ$35:$BZ$43,BO$9,FALSE),"")</f>
        <v/>
      </c>
    </row>
    <row r="100" spans="1:67" x14ac:dyDescent="0.25">
      <c r="A100" s="1">
        <v>90</v>
      </c>
      <c r="B100" s="370">
        <f>Envoltória!I105</f>
        <v>0</v>
      </c>
      <c r="C100" s="371">
        <f>Envoltória!B105</f>
        <v>0</v>
      </c>
      <c r="D100" s="371">
        <f>Envoltória!C105</f>
        <v>0</v>
      </c>
      <c r="E100" s="381">
        <f>Envoltória!D105</f>
        <v>0</v>
      </c>
      <c r="F100" s="382">
        <f>Envoltória!E105</f>
        <v>0</v>
      </c>
      <c r="G100" s="382">
        <f t="shared" si="10"/>
        <v>0</v>
      </c>
      <c r="H100" s="383">
        <f>Envoltória!O105/100</f>
        <v>0</v>
      </c>
      <c r="I100" s="383">
        <f>IF(BF100=1,Envoltória!Q105,90)</f>
        <v>90</v>
      </c>
      <c r="J100" s="384" t="str">
        <f>IFERROR(VLOOKUP(Envoltória!M105,Componentes!$P:$R,2,FALSE),"")</f>
        <v/>
      </c>
      <c r="K100" s="384" t="str">
        <f>IFERROR(VLOOKUP(Envoltória!M105,Componentes!$P:$R,3,FALSE),"")</f>
        <v/>
      </c>
      <c r="L100" s="383">
        <f>IF(ISERROR(VLOOKUP(Envoltória!L105,Componentes!K:N,2,FALSE)),0,VLOOKUP(Envoltória!L105,Componentes!K:N,2,FALSE))</f>
        <v>0</v>
      </c>
      <c r="M100" s="383">
        <f>IF(ISERROR(VLOOKUP(Envoltória!L105,Componentes!K:N,3,FALSE)),0,VLOOKUP(Envoltória!L105,Componentes!K:N,3,FALSE))</f>
        <v>0</v>
      </c>
      <c r="N100" s="385" t="str">
        <f>IFERROR(IF(BB100&lt;&gt;0,VLOOKUP(Envoltória!L105,Componentes!K:N,4,FALSE),0),"")</f>
        <v/>
      </c>
      <c r="O100" s="383">
        <f>IF(BF100=1,VLOOKUP(Envoltória!J105,Componentes!B:E,2,FALSE),-6)</f>
        <v>-6</v>
      </c>
      <c r="P100" s="383">
        <f>IF(BF100=1,VLOOKUP(Envoltória!J105,Componentes!B:E,3,FALSE),-400)</f>
        <v>-400</v>
      </c>
      <c r="Q100" s="383">
        <f>IF(BF100=1,VLOOKUP(Envoltória!J105,Componentes!B:E,4,FALSE),0)</f>
        <v>0</v>
      </c>
      <c r="R100" s="384" t="str">
        <f>IFERROR(VLOOKUP(Envoltória!K105,Componentes!G:I,2,FALSE),"")</f>
        <v/>
      </c>
      <c r="S100" s="384" t="str">
        <f>IFERROR(VLOOKUP(Envoltória!K105,Componentes!G:I,3,FALSE),"")</f>
        <v/>
      </c>
      <c r="T100" s="383">
        <f>IFERROR(IF(H100&lt;&gt;0,VLOOKUP(Envoltória!N105,Componentes!T:V,3,FALSE),0),"")</f>
        <v>0</v>
      </c>
      <c r="U100" s="383">
        <f>IFERROR(IF(H100&lt;&gt;0,VLOOKUP(Envoltória!N105,Componentes!T:V,2,FALSE),0),"")</f>
        <v>0</v>
      </c>
      <c r="V100" s="384">
        <f>IFERROR(IF(AA100&lt;&gt;0,VLOOKUP(Envoltória!U105,Componentes!X:Z,2,FALSE),0),"")</f>
        <v>0</v>
      </c>
      <c r="W100" s="384">
        <f>IFERROR(IF(AA100&lt;&gt;0,VLOOKUP(Envoltória!U105,Componentes!X:Z,3,FALSE),0),"")</f>
        <v>0</v>
      </c>
      <c r="X100" s="383" t="str">
        <f>Envoltória!X105</f>
        <v/>
      </c>
      <c r="Y100" s="383">
        <f>Envoltória!V105</f>
        <v>0</v>
      </c>
      <c r="Z100" s="383" t="str">
        <f>Envoltória!W105</f>
        <v/>
      </c>
      <c r="AA100" s="386">
        <f>Envoltória!T105/100</f>
        <v>0</v>
      </c>
      <c r="AB100" s="387"/>
      <c r="AC100" s="387"/>
      <c r="AD100" s="387"/>
      <c r="AE100" s="387"/>
      <c r="AF100" s="387"/>
      <c r="AG100" s="387"/>
      <c r="AH100" s="387"/>
      <c r="AI100" s="387"/>
      <c r="AJ100" s="387"/>
      <c r="AK100" s="387"/>
      <c r="AL100" s="387"/>
      <c r="AM100" s="387"/>
      <c r="AN100" s="387"/>
      <c r="AO100" s="387"/>
      <c r="AP100" s="383">
        <f>IF(BF100=0,90,Envoltória!S105)</f>
        <v>0</v>
      </c>
      <c r="AQ100" s="383">
        <f>IF(BF100=0,90,Envoltória!R105)</f>
        <v>0</v>
      </c>
      <c r="AR100" s="383" t="str">
        <f t="shared" si="13"/>
        <v/>
      </c>
      <c r="AS100" s="383" t="str">
        <f t="shared" si="13"/>
        <v/>
      </c>
      <c r="AT100" s="383" t="str">
        <f t="shared" si="13"/>
        <v/>
      </c>
      <c r="AU100" s="383" t="str">
        <f t="shared" si="13"/>
        <v/>
      </c>
      <c r="AV100" s="383" t="str">
        <f t="shared" si="13"/>
        <v/>
      </c>
      <c r="AW100" s="384" t="str">
        <f>IFERROR(VLOOKUP(Envoltória!$B105,Aux_Lista!$N$2:$T$7,AW$9,FALSE),"")</f>
        <v/>
      </c>
      <c r="AX100" s="384" t="str">
        <f>IFERROR(VLOOKUP(Envoltória!$B105,Aux_Lista!$N$2:$T$7,AX$9,FALSE),"")</f>
        <v/>
      </c>
      <c r="AY100" s="384" t="str">
        <f>IFERROR(VLOOKUP(Envoltória!$B105,Aux_Lista!$N$2:$T$7,AY$9,FALSE),"")</f>
        <v/>
      </c>
      <c r="AZ100" s="384" t="str">
        <f>IFERROR(VLOOKUP(Envoltória!$B105,Aux_Lista!$N$2:$T$7,AZ$9,FALSE),"")</f>
        <v/>
      </c>
      <c r="BA100" s="384" t="str">
        <f>IFERROR(VLOOKUP(Envoltória!$B105,Aux_Lista!$N$2:$T$7,BA$9,FALSE),"")</f>
        <v/>
      </c>
      <c r="BB100" s="384" t="str">
        <f>IFERROR(VLOOKUP(Envoltória!$B105,Aux_Lista!$N$2:$T$7,BB$9,FALSE),"")</f>
        <v/>
      </c>
      <c r="BC100" s="384" t="str">
        <f>IFERROR(VLOOKUP(Envoltória!$H105,Aux_Lista!$V$2:$X$3,BC$9,FALSE),"")</f>
        <v/>
      </c>
      <c r="BD100" s="384" t="str">
        <f>IFERROR(VLOOKUP(Envoltória!$H105,Aux_Lista!$V$2:$X$3,BD$9,FALSE),"")</f>
        <v/>
      </c>
      <c r="BE100" s="382">
        <f t="shared" si="11"/>
        <v>0</v>
      </c>
      <c r="BF100" s="382" t="str">
        <f>IFERROR(VLOOKUP(Envoltória!F105,CB3E_Envoltória!$BQ$18:$BR$19,2,FALSE),"")</f>
        <v/>
      </c>
      <c r="BG100" s="382" t="str">
        <f>IFERROR(VLOOKUP(Envoltória!$G105,$BQ$35:$BZ$43,BG$9,FALSE),"")</f>
        <v/>
      </c>
      <c r="BH100" s="382" t="str">
        <f>IFERROR(VLOOKUP(Envoltória!$G105,$BQ$35:$BZ$43,BH$9,FALSE),"")</f>
        <v/>
      </c>
      <c r="BI100" s="382" t="str">
        <f>IFERROR(VLOOKUP(Envoltória!$G105,$BQ$35:$BZ$43,BI$9,FALSE),"")</f>
        <v/>
      </c>
      <c r="BJ100" s="382" t="str">
        <f>IFERROR(VLOOKUP(Envoltória!$G105,$BQ$35:$BZ$43,BJ$9,FALSE),"")</f>
        <v/>
      </c>
      <c r="BK100" s="382" t="str">
        <f>IFERROR(VLOOKUP(Envoltória!$G105,$BQ$35:$BZ$43,BK$9,FALSE),"")</f>
        <v/>
      </c>
      <c r="BL100" s="382" t="str">
        <f>IFERROR(VLOOKUP(Envoltória!$G105,$BQ$35:$BZ$43,BL$9,FALSE),"")</f>
        <v/>
      </c>
      <c r="BM100" s="382" t="str">
        <f>IFERROR(VLOOKUP(Envoltória!$G105,$BQ$35:$BZ$43,BM$9,FALSE),"")</f>
        <v/>
      </c>
      <c r="BN100" s="382" t="str">
        <f>IFERROR(VLOOKUP(Envoltória!$G105,$BQ$35:$BZ$43,BN$9,FALSE),"")</f>
        <v/>
      </c>
      <c r="BO100" s="382" t="str">
        <f>IFERROR(VLOOKUP(Envoltória!$G105,$BQ$35:$BZ$43,BO$9,FALSE),"")</f>
        <v/>
      </c>
    </row>
    <row r="101" spans="1:67" x14ac:dyDescent="0.25">
      <c r="A101" s="1">
        <v>91</v>
      </c>
      <c r="B101" s="370">
        <f>Envoltória!I106</f>
        <v>0</v>
      </c>
      <c r="C101" s="371">
        <f>Envoltória!B106</f>
        <v>0</v>
      </c>
      <c r="D101" s="371">
        <f>Envoltória!C106</f>
        <v>0</v>
      </c>
      <c r="E101" s="381">
        <f>Envoltória!D106</f>
        <v>0</v>
      </c>
      <c r="F101" s="382">
        <f>Envoltória!E106</f>
        <v>0</v>
      </c>
      <c r="G101" s="382">
        <f t="shared" si="10"/>
        <v>0</v>
      </c>
      <c r="H101" s="383">
        <f>Envoltória!O106/100</f>
        <v>0</v>
      </c>
      <c r="I101" s="383">
        <f>IF(BF101=1,Envoltória!Q106,90)</f>
        <v>90</v>
      </c>
      <c r="J101" s="384" t="str">
        <f>IFERROR(VLOOKUP(Envoltória!M106,Componentes!$P:$R,2,FALSE),"")</f>
        <v/>
      </c>
      <c r="K101" s="384" t="str">
        <f>IFERROR(VLOOKUP(Envoltória!M106,Componentes!$P:$R,3,FALSE),"")</f>
        <v/>
      </c>
      <c r="L101" s="383">
        <f>IF(ISERROR(VLOOKUP(Envoltória!L106,Componentes!K:N,2,FALSE)),0,VLOOKUP(Envoltória!L106,Componentes!K:N,2,FALSE))</f>
        <v>0</v>
      </c>
      <c r="M101" s="383">
        <f>IF(ISERROR(VLOOKUP(Envoltória!L106,Componentes!K:N,3,FALSE)),0,VLOOKUP(Envoltória!L106,Componentes!K:N,3,FALSE))</f>
        <v>0</v>
      </c>
      <c r="N101" s="385" t="str">
        <f>IFERROR(IF(BB101&lt;&gt;0,VLOOKUP(Envoltória!L106,Componentes!K:N,4,FALSE),0),"")</f>
        <v/>
      </c>
      <c r="O101" s="383">
        <f>IF(BF101=1,VLOOKUP(Envoltória!J106,Componentes!B:E,2,FALSE),-6)</f>
        <v>-6</v>
      </c>
      <c r="P101" s="383">
        <f>IF(BF101=1,VLOOKUP(Envoltória!J106,Componentes!B:E,3,FALSE),-400)</f>
        <v>-400</v>
      </c>
      <c r="Q101" s="383">
        <f>IF(BF101=1,VLOOKUP(Envoltória!J106,Componentes!B:E,4,FALSE),0)</f>
        <v>0</v>
      </c>
      <c r="R101" s="384" t="str">
        <f>IFERROR(VLOOKUP(Envoltória!K106,Componentes!G:I,2,FALSE),"")</f>
        <v/>
      </c>
      <c r="S101" s="384" t="str">
        <f>IFERROR(VLOOKUP(Envoltória!K106,Componentes!G:I,3,FALSE),"")</f>
        <v/>
      </c>
      <c r="T101" s="383">
        <f>IFERROR(IF(H101&lt;&gt;0,VLOOKUP(Envoltória!N106,Componentes!T:V,3,FALSE),0),"")</f>
        <v>0</v>
      </c>
      <c r="U101" s="383">
        <f>IFERROR(IF(H101&lt;&gt;0,VLOOKUP(Envoltória!N106,Componentes!T:V,2,FALSE),0),"")</f>
        <v>0</v>
      </c>
      <c r="V101" s="384">
        <f>IFERROR(IF(AA101&lt;&gt;0,VLOOKUP(Envoltória!U106,Componentes!X:Z,2,FALSE),0),"")</f>
        <v>0</v>
      </c>
      <c r="W101" s="384">
        <f>IFERROR(IF(AA101&lt;&gt;0,VLOOKUP(Envoltória!U106,Componentes!X:Z,3,FALSE),0),"")</f>
        <v>0</v>
      </c>
      <c r="X101" s="383" t="str">
        <f>Envoltória!X106</f>
        <v/>
      </c>
      <c r="Y101" s="383">
        <f>Envoltória!V106</f>
        <v>0</v>
      </c>
      <c r="Z101" s="383" t="str">
        <f>Envoltória!W106</f>
        <v/>
      </c>
      <c r="AA101" s="386">
        <f>Envoltória!T106/100</f>
        <v>0</v>
      </c>
      <c r="AB101" s="387"/>
      <c r="AC101" s="387"/>
      <c r="AD101" s="387"/>
      <c r="AE101" s="387"/>
      <c r="AF101" s="387"/>
      <c r="AG101" s="387"/>
      <c r="AH101" s="387"/>
      <c r="AI101" s="387"/>
      <c r="AJ101" s="387"/>
      <c r="AK101" s="387"/>
      <c r="AL101" s="387"/>
      <c r="AM101" s="387"/>
      <c r="AN101" s="387"/>
      <c r="AO101" s="387"/>
      <c r="AP101" s="383">
        <f>IF(BF101=0,90,Envoltória!S106)</f>
        <v>0</v>
      </c>
      <c r="AQ101" s="383">
        <f>IF(BF101=0,90,Envoltória!R106)</f>
        <v>0</v>
      </c>
      <c r="AR101" s="383" t="str">
        <f t="shared" ref="AR101:AV110" si="14">IFERROR(VLOOKUP($B101,$BQ$21:$BW$31,AR$9,FALSE),"")</f>
        <v/>
      </c>
      <c r="AS101" s="383" t="str">
        <f t="shared" si="14"/>
        <v/>
      </c>
      <c r="AT101" s="383" t="str">
        <f t="shared" si="14"/>
        <v/>
      </c>
      <c r="AU101" s="383" t="str">
        <f t="shared" si="14"/>
        <v/>
      </c>
      <c r="AV101" s="383" t="str">
        <f t="shared" si="14"/>
        <v/>
      </c>
      <c r="AW101" s="384" t="str">
        <f>IFERROR(VLOOKUP(Envoltória!$B106,Aux_Lista!$N$2:$T$7,AW$9,FALSE),"")</f>
        <v/>
      </c>
      <c r="AX101" s="384" t="str">
        <f>IFERROR(VLOOKUP(Envoltória!$B106,Aux_Lista!$N$2:$T$7,AX$9,FALSE),"")</f>
        <v/>
      </c>
      <c r="AY101" s="384" t="str">
        <f>IFERROR(VLOOKUP(Envoltória!$B106,Aux_Lista!$N$2:$T$7,AY$9,FALSE),"")</f>
        <v/>
      </c>
      <c r="AZ101" s="384" t="str">
        <f>IFERROR(VLOOKUP(Envoltória!$B106,Aux_Lista!$N$2:$T$7,AZ$9,FALSE),"")</f>
        <v/>
      </c>
      <c r="BA101" s="384" t="str">
        <f>IFERROR(VLOOKUP(Envoltória!$B106,Aux_Lista!$N$2:$T$7,BA$9,FALSE),"")</f>
        <v/>
      </c>
      <c r="BB101" s="384" t="str">
        <f>IFERROR(VLOOKUP(Envoltória!$B106,Aux_Lista!$N$2:$T$7,BB$9,FALSE),"")</f>
        <v/>
      </c>
      <c r="BC101" s="384" t="str">
        <f>IFERROR(VLOOKUP(Envoltória!$H106,Aux_Lista!$V$2:$X$3,BC$9,FALSE),"")</f>
        <v/>
      </c>
      <c r="BD101" s="384" t="str">
        <f>IFERROR(VLOOKUP(Envoltória!$H106,Aux_Lista!$V$2:$X$3,BD$9,FALSE),"")</f>
        <v/>
      </c>
      <c r="BE101" s="382">
        <f t="shared" si="11"/>
        <v>0</v>
      </c>
      <c r="BF101" s="382" t="str">
        <f>IFERROR(VLOOKUP(Envoltória!F106,CB3E_Envoltória!$BQ$18:$BR$19,2,FALSE),"")</f>
        <v/>
      </c>
      <c r="BG101" s="382" t="str">
        <f>IFERROR(VLOOKUP(Envoltória!$G106,$BQ$35:$BZ$43,BG$9,FALSE),"")</f>
        <v/>
      </c>
      <c r="BH101" s="382" t="str">
        <f>IFERROR(VLOOKUP(Envoltória!$G106,$BQ$35:$BZ$43,BH$9,FALSE),"")</f>
        <v/>
      </c>
      <c r="BI101" s="382" t="str">
        <f>IFERROR(VLOOKUP(Envoltória!$G106,$BQ$35:$BZ$43,BI$9,FALSE),"")</f>
        <v/>
      </c>
      <c r="BJ101" s="382" t="str">
        <f>IFERROR(VLOOKUP(Envoltória!$G106,$BQ$35:$BZ$43,BJ$9,FALSE),"")</f>
        <v/>
      </c>
      <c r="BK101" s="382" t="str">
        <f>IFERROR(VLOOKUP(Envoltória!$G106,$BQ$35:$BZ$43,BK$9,FALSE),"")</f>
        <v/>
      </c>
      <c r="BL101" s="382" t="str">
        <f>IFERROR(VLOOKUP(Envoltória!$G106,$BQ$35:$BZ$43,BL$9,FALSE),"")</f>
        <v/>
      </c>
      <c r="BM101" s="382" t="str">
        <f>IFERROR(VLOOKUP(Envoltória!$G106,$BQ$35:$BZ$43,BM$9,FALSE),"")</f>
        <v/>
      </c>
      <c r="BN101" s="382" t="str">
        <f>IFERROR(VLOOKUP(Envoltória!$G106,$BQ$35:$BZ$43,BN$9,FALSE),"")</f>
        <v/>
      </c>
      <c r="BO101" s="382" t="str">
        <f>IFERROR(VLOOKUP(Envoltória!$G106,$BQ$35:$BZ$43,BO$9,FALSE),"")</f>
        <v/>
      </c>
    </row>
    <row r="102" spans="1:67" x14ac:dyDescent="0.25">
      <c r="A102" s="1">
        <v>92</v>
      </c>
      <c r="B102" s="370">
        <f>Envoltória!I107</f>
        <v>0</v>
      </c>
      <c r="C102" s="371">
        <f>Envoltória!B107</f>
        <v>0</v>
      </c>
      <c r="D102" s="371">
        <f>Envoltória!C107</f>
        <v>0</v>
      </c>
      <c r="E102" s="381">
        <f>Envoltória!D107</f>
        <v>0</v>
      </c>
      <c r="F102" s="382">
        <f>Envoltória!E107</f>
        <v>0</v>
      </c>
      <c r="G102" s="382">
        <f t="shared" si="10"/>
        <v>0</v>
      </c>
      <c r="H102" s="383">
        <f>Envoltória!O107/100</f>
        <v>0</v>
      </c>
      <c r="I102" s="383">
        <f>IF(BF102=1,Envoltória!Q107,90)</f>
        <v>90</v>
      </c>
      <c r="J102" s="384" t="str">
        <f>IFERROR(VLOOKUP(Envoltória!M107,Componentes!$P:$R,2,FALSE),"")</f>
        <v/>
      </c>
      <c r="K102" s="384" t="str">
        <f>IFERROR(VLOOKUP(Envoltória!M107,Componentes!$P:$R,3,FALSE),"")</f>
        <v/>
      </c>
      <c r="L102" s="383">
        <f>IF(ISERROR(VLOOKUP(Envoltória!L107,Componentes!K:N,2,FALSE)),0,VLOOKUP(Envoltória!L107,Componentes!K:N,2,FALSE))</f>
        <v>0</v>
      </c>
      <c r="M102" s="383">
        <f>IF(ISERROR(VLOOKUP(Envoltória!L107,Componentes!K:N,3,FALSE)),0,VLOOKUP(Envoltória!L107,Componentes!K:N,3,FALSE))</f>
        <v>0</v>
      </c>
      <c r="N102" s="385" t="str">
        <f>IFERROR(IF(BB102&lt;&gt;0,VLOOKUP(Envoltória!L107,Componentes!K:N,4,FALSE),0),"")</f>
        <v/>
      </c>
      <c r="O102" s="383">
        <f>IF(BF102=1,VLOOKUP(Envoltória!J107,Componentes!B:E,2,FALSE),-6)</f>
        <v>-6</v>
      </c>
      <c r="P102" s="383">
        <f>IF(BF102=1,VLOOKUP(Envoltória!J107,Componentes!B:E,3,FALSE),-400)</f>
        <v>-400</v>
      </c>
      <c r="Q102" s="383">
        <f>IF(BF102=1,VLOOKUP(Envoltória!J107,Componentes!B:E,4,FALSE),0)</f>
        <v>0</v>
      </c>
      <c r="R102" s="384" t="str">
        <f>IFERROR(VLOOKUP(Envoltória!K107,Componentes!G:I,2,FALSE),"")</f>
        <v/>
      </c>
      <c r="S102" s="384" t="str">
        <f>IFERROR(VLOOKUP(Envoltória!K107,Componentes!G:I,3,FALSE),"")</f>
        <v/>
      </c>
      <c r="T102" s="383">
        <f>IFERROR(IF(H102&lt;&gt;0,VLOOKUP(Envoltória!N107,Componentes!T:V,3,FALSE),0),"")</f>
        <v>0</v>
      </c>
      <c r="U102" s="383">
        <f>IFERROR(IF(H102&lt;&gt;0,VLOOKUP(Envoltória!N107,Componentes!T:V,2,FALSE),0),"")</f>
        <v>0</v>
      </c>
      <c r="V102" s="384">
        <f>IFERROR(IF(AA102&lt;&gt;0,VLOOKUP(Envoltória!U107,Componentes!X:Z,2,FALSE),0),"")</f>
        <v>0</v>
      </c>
      <c r="W102" s="384">
        <f>IFERROR(IF(AA102&lt;&gt;0,VLOOKUP(Envoltória!U107,Componentes!X:Z,3,FALSE),0),"")</f>
        <v>0</v>
      </c>
      <c r="X102" s="383" t="str">
        <f>Envoltória!X107</f>
        <v/>
      </c>
      <c r="Y102" s="383">
        <f>Envoltória!V107</f>
        <v>0</v>
      </c>
      <c r="Z102" s="383" t="str">
        <f>Envoltória!W107</f>
        <v/>
      </c>
      <c r="AA102" s="386">
        <f>Envoltória!T107/100</f>
        <v>0</v>
      </c>
      <c r="AB102" s="387"/>
      <c r="AC102" s="387"/>
      <c r="AD102" s="387"/>
      <c r="AE102" s="387"/>
      <c r="AF102" s="387"/>
      <c r="AG102" s="387"/>
      <c r="AH102" s="387"/>
      <c r="AI102" s="387"/>
      <c r="AJ102" s="387"/>
      <c r="AK102" s="387"/>
      <c r="AL102" s="387"/>
      <c r="AM102" s="387"/>
      <c r="AN102" s="387"/>
      <c r="AO102" s="387"/>
      <c r="AP102" s="383">
        <f>IF(BF102=0,90,Envoltória!S107)</f>
        <v>0</v>
      </c>
      <c r="AQ102" s="383">
        <f>IF(BF102=0,90,Envoltória!R107)</f>
        <v>0</v>
      </c>
      <c r="AR102" s="383" t="str">
        <f t="shared" si="14"/>
        <v/>
      </c>
      <c r="AS102" s="383" t="str">
        <f t="shared" si="14"/>
        <v/>
      </c>
      <c r="AT102" s="383" t="str">
        <f t="shared" si="14"/>
        <v/>
      </c>
      <c r="AU102" s="383" t="str">
        <f t="shared" si="14"/>
        <v/>
      </c>
      <c r="AV102" s="383" t="str">
        <f t="shared" si="14"/>
        <v/>
      </c>
      <c r="AW102" s="384" t="str">
        <f>IFERROR(VLOOKUP(Envoltória!$B107,Aux_Lista!$N$2:$T$7,AW$9,FALSE),"")</f>
        <v/>
      </c>
      <c r="AX102" s="384" t="str">
        <f>IFERROR(VLOOKUP(Envoltória!$B107,Aux_Lista!$N$2:$T$7,AX$9,FALSE),"")</f>
        <v/>
      </c>
      <c r="AY102" s="384" t="str">
        <f>IFERROR(VLOOKUP(Envoltória!$B107,Aux_Lista!$N$2:$T$7,AY$9,FALSE),"")</f>
        <v/>
      </c>
      <c r="AZ102" s="384" t="str">
        <f>IFERROR(VLOOKUP(Envoltória!$B107,Aux_Lista!$N$2:$T$7,AZ$9,FALSE),"")</f>
        <v/>
      </c>
      <c r="BA102" s="384" t="str">
        <f>IFERROR(VLOOKUP(Envoltória!$B107,Aux_Lista!$N$2:$T$7,BA$9,FALSE),"")</f>
        <v/>
      </c>
      <c r="BB102" s="384" t="str">
        <f>IFERROR(VLOOKUP(Envoltória!$B107,Aux_Lista!$N$2:$T$7,BB$9,FALSE),"")</f>
        <v/>
      </c>
      <c r="BC102" s="384" t="str">
        <f>IFERROR(VLOOKUP(Envoltória!$H107,Aux_Lista!$V$2:$X$3,BC$9,FALSE),"")</f>
        <v/>
      </c>
      <c r="BD102" s="384" t="str">
        <f>IFERROR(VLOOKUP(Envoltória!$H107,Aux_Lista!$V$2:$X$3,BD$9,FALSE),"")</f>
        <v/>
      </c>
      <c r="BE102" s="382">
        <f t="shared" si="11"/>
        <v>0</v>
      </c>
      <c r="BF102" s="382" t="str">
        <f>IFERROR(VLOOKUP(Envoltória!F107,CB3E_Envoltória!$BQ$18:$BR$19,2,FALSE),"")</f>
        <v/>
      </c>
      <c r="BG102" s="382" t="str">
        <f>IFERROR(VLOOKUP(Envoltória!$G107,$BQ$35:$BZ$43,BG$9,FALSE),"")</f>
        <v/>
      </c>
      <c r="BH102" s="382" t="str">
        <f>IFERROR(VLOOKUP(Envoltória!$G107,$BQ$35:$BZ$43,BH$9,FALSE),"")</f>
        <v/>
      </c>
      <c r="BI102" s="382" t="str">
        <f>IFERROR(VLOOKUP(Envoltória!$G107,$BQ$35:$BZ$43,BI$9,FALSE),"")</f>
        <v/>
      </c>
      <c r="BJ102" s="382" t="str">
        <f>IFERROR(VLOOKUP(Envoltória!$G107,$BQ$35:$BZ$43,BJ$9,FALSE),"")</f>
        <v/>
      </c>
      <c r="BK102" s="382" t="str">
        <f>IFERROR(VLOOKUP(Envoltória!$G107,$BQ$35:$BZ$43,BK$9,FALSE),"")</f>
        <v/>
      </c>
      <c r="BL102" s="382" t="str">
        <f>IFERROR(VLOOKUP(Envoltória!$G107,$BQ$35:$BZ$43,BL$9,FALSE),"")</f>
        <v/>
      </c>
      <c r="BM102" s="382" t="str">
        <f>IFERROR(VLOOKUP(Envoltória!$G107,$BQ$35:$BZ$43,BM$9,FALSE),"")</f>
        <v/>
      </c>
      <c r="BN102" s="382" t="str">
        <f>IFERROR(VLOOKUP(Envoltória!$G107,$BQ$35:$BZ$43,BN$9,FALSE),"")</f>
        <v/>
      </c>
      <c r="BO102" s="382" t="str">
        <f>IFERROR(VLOOKUP(Envoltória!$G107,$BQ$35:$BZ$43,BO$9,FALSE),"")</f>
        <v/>
      </c>
    </row>
    <row r="103" spans="1:67" x14ac:dyDescent="0.25">
      <c r="A103" s="1">
        <v>93</v>
      </c>
      <c r="B103" s="370">
        <f>Envoltória!I108</f>
        <v>0</v>
      </c>
      <c r="C103" s="371">
        <f>Envoltória!B108</f>
        <v>0</v>
      </c>
      <c r="D103" s="371">
        <f>Envoltória!C108</f>
        <v>0</v>
      </c>
      <c r="E103" s="381">
        <f>Envoltória!D108</f>
        <v>0</v>
      </c>
      <c r="F103" s="382">
        <f>Envoltória!E108</f>
        <v>0</v>
      </c>
      <c r="G103" s="382">
        <f t="shared" si="10"/>
        <v>0</v>
      </c>
      <c r="H103" s="383">
        <f>Envoltória!O108/100</f>
        <v>0</v>
      </c>
      <c r="I103" s="383">
        <f>IF(BF103=1,Envoltória!Q108,90)</f>
        <v>90</v>
      </c>
      <c r="J103" s="384" t="str">
        <f>IFERROR(VLOOKUP(Envoltória!M108,Componentes!$P:$R,2,FALSE),"")</f>
        <v/>
      </c>
      <c r="K103" s="384" t="str">
        <f>IFERROR(VLOOKUP(Envoltória!M108,Componentes!$P:$R,3,FALSE),"")</f>
        <v/>
      </c>
      <c r="L103" s="383">
        <f>IF(ISERROR(VLOOKUP(Envoltória!L108,Componentes!K:N,2,FALSE)),0,VLOOKUP(Envoltória!L108,Componentes!K:N,2,FALSE))</f>
        <v>0</v>
      </c>
      <c r="M103" s="383">
        <f>IF(ISERROR(VLOOKUP(Envoltória!L108,Componentes!K:N,3,FALSE)),0,VLOOKUP(Envoltória!L108,Componentes!K:N,3,FALSE))</f>
        <v>0</v>
      </c>
      <c r="N103" s="385" t="str">
        <f>IFERROR(IF(BB103&lt;&gt;0,VLOOKUP(Envoltória!L108,Componentes!K:N,4,FALSE),0),"")</f>
        <v/>
      </c>
      <c r="O103" s="383">
        <f>IF(BF103=1,VLOOKUP(Envoltória!J108,Componentes!B:E,2,FALSE),-6)</f>
        <v>-6</v>
      </c>
      <c r="P103" s="383">
        <f>IF(BF103=1,VLOOKUP(Envoltória!J108,Componentes!B:E,3,FALSE),-400)</f>
        <v>-400</v>
      </c>
      <c r="Q103" s="383">
        <f>IF(BF103=1,VLOOKUP(Envoltória!J108,Componentes!B:E,4,FALSE),0)</f>
        <v>0</v>
      </c>
      <c r="R103" s="384" t="str">
        <f>IFERROR(VLOOKUP(Envoltória!K108,Componentes!G:I,2,FALSE),"")</f>
        <v/>
      </c>
      <c r="S103" s="384" t="str">
        <f>IFERROR(VLOOKUP(Envoltória!K108,Componentes!G:I,3,FALSE),"")</f>
        <v/>
      </c>
      <c r="T103" s="383">
        <f>IFERROR(IF(H103&lt;&gt;0,VLOOKUP(Envoltória!N108,Componentes!T:V,3,FALSE),0),"")</f>
        <v>0</v>
      </c>
      <c r="U103" s="383">
        <f>IFERROR(IF(H103&lt;&gt;0,VLOOKUP(Envoltória!N108,Componentes!T:V,2,FALSE),0),"")</f>
        <v>0</v>
      </c>
      <c r="V103" s="384">
        <f>IFERROR(IF(AA103&lt;&gt;0,VLOOKUP(Envoltória!U108,Componentes!X:Z,2,FALSE),0),"")</f>
        <v>0</v>
      </c>
      <c r="W103" s="384">
        <f>IFERROR(IF(AA103&lt;&gt;0,VLOOKUP(Envoltória!U108,Componentes!X:Z,3,FALSE),0),"")</f>
        <v>0</v>
      </c>
      <c r="X103" s="383" t="str">
        <f>Envoltória!X108</f>
        <v/>
      </c>
      <c r="Y103" s="383">
        <f>Envoltória!V108</f>
        <v>0</v>
      </c>
      <c r="Z103" s="383" t="str">
        <f>Envoltória!W108</f>
        <v/>
      </c>
      <c r="AA103" s="386">
        <f>Envoltória!T108/100</f>
        <v>0</v>
      </c>
      <c r="AB103" s="387"/>
      <c r="AC103" s="387"/>
      <c r="AD103" s="387"/>
      <c r="AE103" s="387"/>
      <c r="AF103" s="387"/>
      <c r="AG103" s="387"/>
      <c r="AH103" s="387"/>
      <c r="AI103" s="387"/>
      <c r="AJ103" s="387"/>
      <c r="AK103" s="387"/>
      <c r="AL103" s="387"/>
      <c r="AM103" s="387"/>
      <c r="AN103" s="387"/>
      <c r="AO103" s="387"/>
      <c r="AP103" s="383">
        <f>IF(BF103=0,90,Envoltória!S108)</f>
        <v>0</v>
      </c>
      <c r="AQ103" s="383">
        <f>IF(BF103=0,90,Envoltória!R108)</f>
        <v>0</v>
      </c>
      <c r="AR103" s="383" t="str">
        <f t="shared" si="14"/>
        <v/>
      </c>
      <c r="AS103" s="383" t="str">
        <f t="shared" si="14"/>
        <v/>
      </c>
      <c r="AT103" s="383" t="str">
        <f t="shared" si="14"/>
        <v/>
      </c>
      <c r="AU103" s="383" t="str">
        <f t="shared" si="14"/>
        <v/>
      </c>
      <c r="AV103" s="383" t="str">
        <f t="shared" si="14"/>
        <v/>
      </c>
      <c r="AW103" s="384" t="str">
        <f>IFERROR(VLOOKUP(Envoltória!$B108,Aux_Lista!$N$2:$T$7,AW$9,FALSE),"")</f>
        <v/>
      </c>
      <c r="AX103" s="384" t="str">
        <f>IFERROR(VLOOKUP(Envoltória!$B108,Aux_Lista!$N$2:$T$7,AX$9,FALSE),"")</f>
        <v/>
      </c>
      <c r="AY103" s="384" t="str">
        <f>IFERROR(VLOOKUP(Envoltória!$B108,Aux_Lista!$N$2:$T$7,AY$9,FALSE),"")</f>
        <v/>
      </c>
      <c r="AZ103" s="384" t="str">
        <f>IFERROR(VLOOKUP(Envoltória!$B108,Aux_Lista!$N$2:$T$7,AZ$9,FALSE),"")</f>
        <v/>
      </c>
      <c r="BA103" s="384" t="str">
        <f>IFERROR(VLOOKUP(Envoltória!$B108,Aux_Lista!$N$2:$T$7,BA$9,FALSE),"")</f>
        <v/>
      </c>
      <c r="BB103" s="384" t="str">
        <f>IFERROR(VLOOKUP(Envoltória!$B108,Aux_Lista!$N$2:$T$7,BB$9,FALSE),"")</f>
        <v/>
      </c>
      <c r="BC103" s="384" t="str">
        <f>IFERROR(VLOOKUP(Envoltória!$H108,Aux_Lista!$V$2:$X$3,BC$9,FALSE),"")</f>
        <v/>
      </c>
      <c r="BD103" s="384" t="str">
        <f>IFERROR(VLOOKUP(Envoltória!$H108,Aux_Lista!$V$2:$X$3,BD$9,FALSE),"")</f>
        <v/>
      </c>
      <c r="BE103" s="382">
        <f t="shared" si="11"/>
        <v>0</v>
      </c>
      <c r="BF103" s="382" t="str">
        <f>IFERROR(VLOOKUP(Envoltória!F108,CB3E_Envoltória!$BQ$18:$BR$19,2,FALSE),"")</f>
        <v/>
      </c>
      <c r="BG103" s="382" t="str">
        <f>IFERROR(VLOOKUP(Envoltória!$G108,$BQ$35:$BZ$43,BG$9,FALSE),"")</f>
        <v/>
      </c>
      <c r="BH103" s="382" t="str">
        <f>IFERROR(VLOOKUP(Envoltória!$G108,$BQ$35:$BZ$43,BH$9,FALSE),"")</f>
        <v/>
      </c>
      <c r="BI103" s="382" t="str">
        <f>IFERROR(VLOOKUP(Envoltória!$G108,$BQ$35:$BZ$43,BI$9,FALSE),"")</f>
        <v/>
      </c>
      <c r="BJ103" s="382" t="str">
        <f>IFERROR(VLOOKUP(Envoltória!$G108,$BQ$35:$BZ$43,BJ$9,FALSE),"")</f>
        <v/>
      </c>
      <c r="BK103" s="382" t="str">
        <f>IFERROR(VLOOKUP(Envoltória!$G108,$BQ$35:$BZ$43,BK$9,FALSE),"")</f>
        <v/>
      </c>
      <c r="BL103" s="382" t="str">
        <f>IFERROR(VLOOKUP(Envoltória!$G108,$BQ$35:$BZ$43,BL$9,FALSE),"")</f>
        <v/>
      </c>
      <c r="BM103" s="382" t="str">
        <f>IFERROR(VLOOKUP(Envoltória!$G108,$BQ$35:$BZ$43,BM$9,FALSE),"")</f>
        <v/>
      </c>
      <c r="BN103" s="382" t="str">
        <f>IFERROR(VLOOKUP(Envoltória!$G108,$BQ$35:$BZ$43,BN$9,FALSE),"")</f>
        <v/>
      </c>
      <c r="BO103" s="382" t="str">
        <f>IFERROR(VLOOKUP(Envoltória!$G108,$BQ$35:$BZ$43,BO$9,FALSE),"")</f>
        <v/>
      </c>
    </row>
    <row r="104" spans="1:67" x14ac:dyDescent="0.25">
      <c r="A104" s="1">
        <v>94</v>
      </c>
      <c r="B104" s="370">
        <f>Envoltória!I109</f>
        <v>0</v>
      </c>
      <c r="C104" s="371">
        <f>Envoltória!B109</f>
        <v>0</v>
      </c>
      <c r="D104" s="371">
        <f>Envoltória!C109</f>
        <v>0</v>
      </c>
      <c r="E104" s="381">
        <f>Envoltória!D109</f>
        <v>0</v>
      </c>
      <c r="F104" s="382">
        <f>Envoltória!E109</f>
        <v>0</v>
      </c>
      <c r="G104" s="382">
        <f t="shared" si="10"/>
        <v>0</v>
      </c>
      <c r="H104" s="383">
        <f>Envoltória!O109/100</f>
        <v>0</v>
      </c>
      <c r="I104" s="383">
        <f>IF(BF104=1,Envoltória!Q109,90)</f>
        <v>90</v>
      </c>
      <c r="J104" s="384" t="str">
        <f>IFERROR(VLOOKUP(Envoltória!M109,Componentes!$P:$R,2,FALSE),"")</f>
        <v/>
      </c>
      <c r="K104" s="384" t="str">
        <f>IFERROR(VLOOKUP(Envoltória!M109,Componentes!$P:$R,3,FALSE),"")</f>
        <v/>
      </c>
      <c r="L104" s="383">
        <f>IF(ISERROR(VLOOKUP(Envoltória!L109,Componentes!K:N,2,FALSE)),0,VLOOKUP(Envoltória!L109,Componentes!K:N,2,FALSE))</f>
        <v>0</v>
      </c>
      <c r="M104" s="383">
        <f>IF(ISERROR(VLOOKUP(Envoltória!L109,Componentes!K:N,3,FALSE)),0,VLOOKUP(Envoltória!L109,Componentes!K:N,3,FALSE))</f>
        <v>0</v>
      </c>
      <c r="N104" s="385" t="str">
        <f>IFERROR(IF(BB104&lt;&gt;0,VLOOKUP(Envoltória!L109,Componentes!K:N,4,FALSE),0),"")</f>
        <v/>
      </c>
      <c r="O104" s="383">
        <f>IF(BF104=1,VLOOKUP(Envoltória!J109,Componentes!B:E,2,FALSE),-6)</f>
        <v>-6</v>
      </c>
      <c r="P104" s="383">
        <f>IF(BF104=1,VLOOKUP(Envoltória!J109,Componentes!B:E,3,FALSE),-400)</f>
        <v>-400</v>
      </c>
      <c r="Q104" s="383">
        <f>IF(BF104=1,VLOOKUP(Envoltória!J109,Componentes!B:E,4,FALSE),0)</f>
        <v>0</v>
      </c>
      <c r="R104" s="384" t="str">
        <f>IFERROR(VLOOKUP(Envoltória!K109,Componentes!G:I,2,FALSE),"")</f>
        <v/>
      </c>
      <c r="S104" s="384" t="str">
        <f>IFERROR(VLOOKUP(Envoltória!K109,Componentes!G:I,3,FALSE),"")</f>
        <v/>
      </c>
      <c r="T104" s="383">
        <f>IFERROR(IF(H104&lt;&gt;0,VLOOKUP(Envoltória!N109,Componentes!T:V,3,FALSE),0),"")</f>
        <v>0</v>
      </c>
      <c r="U104" s="383">
        <f>IFERROR(IF(H104&lt;&gt;0,VLOOKUP(Envoltória!N109,Componentes!T:V,2,FALSE),0),"")</f>
        <v>0</v>
      </c>
      <c r="V104" s="384">
        <f>IFERROR(IF(AA104&lt;&gt;0,VLOOKUP(Envoltória!U109,Componentes!X:Z,2,FALSE),0),"")</f>
        <v>0</v>
      </c>
      <c r="W104" s="384">
        <f>IFERROR(IF(AA104&lt;&gt;0,VLOOKUP(Envoltória!U109,Componentes!X:Z,3,FALSE),0),"")</f>
        <v>0</v>
      </c>
      <c r="X104" s="383" t="str">
        <f>Envoltória!X109</f>
        <v/>
      </c>
      <c r="Y104" s="383">
        <f>Envoltória!V109</f>
        <v>0</v>
      </c>
      <c r="Z104" s="383" t="str">
        <f>Envoltória!W109</f>
        <v/>
      </c>
      <c r="AA104" s="386">
        <f>Envoltória!T109/100</f>
        <v>0</v>
      </c>
      <c r="AB104" s="387"/>
      <c r="AC104" s="387"/>
      <c r="AD104" s="387"/>
      <c r="AE104" s="387"/>
      <c r="AF104" s="387"/>
      <c r="AG104" s="387"/>
      <c r="AH104" s="387"/>
      <c r="AI104" s="387"/>
      <c r="AJ104" s="387"/>
      <c r="AK104" s="387"/>
      <c r="AL104" s="387"/>
      <c r="AM104" s="387"/>
      <c r="AN104" s="387"/>
      <c r="AO104" s="387"/>
      <c r="AP104" s="383">
        <f>IF(BF104=0,90,Envoltória!S109)</f>
        <v>0</v>
      </c>
      <c r="AQ104" s="383">
        <f>IF(BF104=0,90,Envoltória!R109)</f>
        <v>0</v>
      </c>
      <c r="AR104" s="383" t="str">
        <f t="shared" si="14"/>
        <v/>
      </c>
      <c r="AS104" s="383" t="str">
        <f t="shared" si="14"/>
        <v/>
      </c>
      <c r="AT104" s="383" t="str">
        <f t="shared" si="14"/>
        <v/>
      </c>
      <c r="AU104" s="383" t="str">
        <f t="shared" si="14"/>
        <v/>
      </c>
      <c r="AV104" s="383" t="str">
        <f t="shared" si="14"/>
        <v/>
      </c>
      <c r="AW104" s="384" t="str">
        <f>IFERROR(VLOOKUP(Envoltória!$B109,Aux_Lista!$N$2:$T$7,AW$9,FALSE),"")</f>
        <v/>
      </c>
      <c r="AX104" s="384" t="str">
        <f>IFERROR(VLOOKUP(Envoltória!$B109,Aux_Lista!$N$2:$T$7,AX$9,FALSE),"")</f>
        <v/>
      </c>
      <c r="AY104" s="384" t="str">
        <f>IFERROR(VLOOKUP(Envoltória!$B109,Aux_Lista!$N$2:$T$7,AY$9,FALSE),"")</f>
        <v/>
      </c>
      <c r="AZ104" s="384" t="str">
        <f>IFERROR(VLOOKUP(Envoltória!$B109,Aux_Lista!$N$2:$T$7,AZ$9,FALSE),"")</f>
        <v/>
      </c>
      <c r="BA104" s="384" t="str">
        <f>IFERROR(VLOOKUP(Envoltória!$B109,Aux_Lista!$N$2:$T$7,BA$9,FALSE),"")</f>
        <v/>
      </c>
      <c r="BB104" s="384" t="str">
        <f>IFERROR(VLOOKUP(Envoltória!$B109,Aux_Lista!$N$2:$T$7,BB$9,FALSE),"")</f>
        <v/>
      </c>
      <c r="BC104" s="384" t="str">
        <f>IFERROR(VLOOKUP(Envoltória!$H109,Aux_Lista!$V$2:$X$3,BC$9,FALSE),"")</f>
        <v/>
      </c>
      <c r="BD104" s="384" t="str">
        <f>IFERROR(VLOOKUP(Envoltória!$H109,Aux_Lista!$V$2:$X$3,BD$9,FALSE),"")</f>
        <v/>
      </c>
      <c r="BE104" s="382">
        <f t="shared" si="11"/>
        <v>0</v>
      </c>
      <c r="BF104" s="382" t="str">
        <f>IFERROR(VLOOKUP(Envoltória!F109,CB3E_Envoltória!$BQ$18:$BR$19,2,FALSE),"")</f>
        <v/>
      </c>
      <c r="BG104" s="382" t="str">
        <f>IFERROR(VLOOKUP(Envoltória!$G109,$BQ$35:$BZ$43,BG$9,FALSE),"")</f>
        <v/>
      </c>
      <c r="BH104" s="382" t="str">
        <f>IFERROR(VLOOKUP(Envoltória!$G109,$BQ$35:$BZ$43,BH$9,FALSE),"")</f>
        <v/>
      </c>
      <c r="BI104" s="382" t="str">
        <f>IFERROR(VLOOKUP(Envoltória!$G109,$BQ$35:$BZ$43,BI$9,FALSE),"")</f>
        <v/>
      </c>
      <c r="BJ104" s="382" t="str">
        <f>IFERROR(VLOOKUP(Envoltória!$G109,$BQ$35:$BZ$43,BJ$9,FALSE),"")</f>
        <v/>
      </c>
      <c r="BK104" s="382" t="str">
        <f>IFERROR(VLOOKUP(Envoltória!$G109,$BQ$35:$BZ$43,BK$9,FALSE),"")</f>
        <v/>
      </c>
      <c r="BL104" s="382" t="str">
        <f>IFERROR(VLOOKUP(Envoltória!$G109,$BQ$35:$BZ$43,BL$9,FALSE),"")</f>
        <v/>
      </c>
      <c r="BM104" s="382" t="str">
        <f>IFERROR(VLOOKUP(Envoltória!$G109,$BQ$35:$BZ$43,BM$9,FALSE),"")</f>
        <v/>
      </c>
      <c r="BN104" s="382" t="str">
        <f>IFERROR(VLOOKUP(Envoltória!$G109,$BQ$35:$BZ$43,BN$9,FALSE),"")</f>
        <v/>
      </c>
      <c r="BO104" s="382" t="str">
        <f>IFERROR(VLOOKUP(Envoltória!$G109,$BQ$35:$BZ$43,BO$9,FALSE),"")</f>
        <v/>
      </c>
    </row>
    <row r="105" spans="1:67" x14ac:dyDescent="0.25">
      <c r="A105" s="1">
        <v>95</v>
      </c>
      <c r="B105" s="370">
        <f>Envoltória!I110</f>
        <v>0</v>
      </c>
      <c r="C105" s="371">
        <f>Envoltória!B110</f>
        <v>0</v>
      </c>
      <c r="D105" s="371">
        <f>Envoltória!C110</f>
        <v>0</v>
      </c>
      <c r="E105" s="381">
        <f>Envoltória!D110</f>
        <v>0</v>
      </c>
      <c r="F105" s="382">
        <f>Envoltória!E110</f>
        <v>0</v>
      </c>
      <c r="G105" s="382">
        <f t="shared" si="10"/>
        <v>0</v>
      </c>
      <c r="H105" s="383">
        <f>Envoltória!O110/100</f>
        <v>0</v>
      </c>
      <c r="I105" s="383">
        <f>IF(BF105=1,Envoltória!Q110,90)</f>
        <v>90</v>
      </c>
      <c r="J105" s="384" t="str">
        <f>IFERROR(VLOOKUP(Envoltória!M110,Componentes!$P:$R,2,FALSE),"")</f>
        <v/>
      </c>
      <c r="K105" s="384" t="str">
        <f>IFERROR(VLOOKUP(Envoltória!M110,Componentes!$P:$R,3,FALSE),"")</f>
        <v/>
      </c>
      <c r="L105" s="383">
        <f>IF(ISERROR(VLOOKUP(Envoltória!L110,Componentes!K:N,2,FALSE)),0,VLOOKUP(Envoltória!L110,Componentes!K:N,2,FALSE))</f>
        <v>0</v>
      </c>
      <c r="M105" s="383">
        <f>IF(ISERROR(VLOOKUP(Envoltória!L110,Componentes!K:N,3,FALSE)),0,VLOOKUP(Envoltória!L110,Componentes!K:N,3,FALSE))</f>
        <v>0</v>
      </c>
      <c r="N105" s="385" t="str">
        <f>IFERROR(IF(BB105&lt;&gt;0,VLOOKUP(Envoltória!L110,Componentes!K:N,4,FALSE),0),"")</f>
        <v/>
      </c>
      <c r="O105" s="383">
        <f>IF(BF105=1,VLOOKUP(Envoltória!J110,Componentes!B:E,2,FALSE),-6)</f>
        <v>-6</v>
      </c>
      <c r="P105" s="383">
        <f>IF(BF105=1,VLOOKUP(Envoltória!J110,Componentes!B:E,3,FALSE),-400)</f>
        <v>-400</v>
      </c>
      <c r="Q105" s="383">
        <f>IF(BF105=1,VLOOKUP(Envoltória!J110,Componentes!B:E,4,FALSE),0)</f>
        <v>0</v>
      </c>
      <c r="R105" s="384" t="str">
        <f>IFERROR(VLOOKUP(Envoltória!K110,Componentes!G:I,2,FALSE),"")</f>
        <v/>
      </c>
      <c r="S105" s="384" t="str">
        <f>IFERROR(VLOOKUP(Envoltória!K110,Componentes!G:I,3,FALSE),"")</f>
        <v/>
      </c>
      <c r="T105" s="383">
        <f>IFERROR(IF(H105&lt;&gt;0,VLOOKUP(Envoltória!N110,Componentes!T:V,3,FALSE),0),"")</f>
        <v>0</v>
      </c>
      <c r="U105" s="383">
        <f>IFERROR(IF(H105&lt;&gt;0,VLOOKUP(Envoltória!N110,Componentes!T:V,2,FALSE),0),"")</f>
        <v>0</v>
      </c>
      <c r="V105" s="384">
        <f>IFERROR(IF(AA105&lt;&gt;0,VLOOKUP(Envoltória!U110,Componentes!X:Z,2,FALSE),0),"")</f>
        <v>0</v>
      </c>
      <c r="W105" s="384">
        <f>IFERROR(IF(AA105&lt;&gt;0,VLOOKUP(Envoltória!U110,Componentes!X:Z,3,FALSE),0),"")</f>
        <v>0</v>
      </c>
      <c r="X105" s="383" t="str">
        <f>Envoltória!X110</f>
        <v/>
      </c>
      <c r="Y105" s="383">
        <f>Envoltória!V110</f>
        <v>0</v>
      </c>
      <c r="Z105" s="383" t="str">
        <f>Envoltória!W110</f>
        <v/>
      </c>
      <c r="AA105" s="386">
        <f>Envoltória!T110/100</f>
        <v>0</v>
      </c>
      <c r="AB105" s="387"/>
      <c r="AC105" s="387"/>
      <c r="AD105" s="387"/>
      <c r="AE105" s="387"/>
      <c r="AF105" s="387"/>
      <c r="AG105" s="387"/>
      <c r="AH105" s="387"/>
      <c r="AI105" s="387"/>
      <c r="AJ105" s="387"/>
      <c r="AK105" s="387"/>
      <c r="AL105" s="387"/>
      <c r="AM105" s="387"/>
      <c r="AN105" s="387"/>
      <c r="AO105" s="387"/>
      <c r="AP105" s="383">
        <f>IF(BF105=0,90,Envoltória!S110)</f>
        <v>0</v>
      </c>
      <c r="AQ105" s="383">
        <f>IF(BF105=0,90,Envoltória!R110)</f>
        <v>0</v>
      </c>
      <c r="AR105" s="383" t="str">
        <f t="shared" si="14"/>
        <v/>
      </c>
      <c r="AS105" s="383" t="str">
        <f t="shared" si="14"/>
        <v/>
      </c>
      <c r="AT105" s="383" t="str">
        <f t="shared" si="14"/>
        <v/>
      </c>
      <c r="AU105" s="383" t="str">
        <f t="shared" si="14"/>
        <v/>
      </c>
      <c r="AV105" s="383" t="str">
        <f t="shared" si="14"/>
        <v/>
      </c>
      <c r="AW105" s="384" t="str">
        <f>IFERROR(VLOOKUP(Envoltória!$B110,Aux_Lista!$N$2:$T$7,AW$9,FALSE),"")</f>
        <v/>
      </c>
      <c r="AX105" s="384" t="str">
        <f>IFERROR(VLOOKUP(Envoltória!$B110,Aux_Lista!$N$2:$T$7,AX$9,FALSE),"")</f>
        <v/>
      </c>
      <c r="AY105" s="384" t="str">
        <f>IFERROR(VLOOKUP(Envoltória!$B110,Aux_Lista!$N$2:$T$7,AY$9,FALSE),"")</f>
        <v/>
      </c>
      <c r="AZ105" s="384" t="str">
        <f>IFERROR(VLOOKUP(Envoltória!$B110,Aux_Lista!$N$2:$T$7,AZ$9,FALSE),"")</f>
        <v/>
      </c>
      <c r="BA105" s="384" t="str">
        <f>IFERROR(VLOOKUP(Envoltória!$B110,Aux_Lista!$N$2:$T$7,BA$9,FALSE),"")</f>
        <v/>
      </c>
      <c r="BB105" s="384" t="str">
        <f>IFERROR(VLOOKUP(Envoltória!$B110,Aux_Lista!$N$2:$T$7,BB$9,FALSE),"")</f>
        <v/>
      </c>
      <c r="BC105" s="384" t="str">
        <f>IFERROR(VLOOKUP(Envoltória!$H110,Aux_Lista!$V$2:$X$3,BC$9,FALSE),"")</f>
        <v/>
      </c>
      <c r="BD105" s="384" t="str">
        <f>IFERROR(VLOOKUP(Envoltória!$H110,Aux_Lista!$V$2:$X$3,BD$9,FALSE),"")</f>
        <v/>
      </c>
      <c r="BE105" s="382">
        <f t="shared" si="11"/>
        <v>0</v>
      </c>
      <c r="BF105" s="382" t="str">
        <f>IFERROR(VLOOKUP(Envoltória!F110,CB3E_Envoltória!$BQ$18:$BR$19,2,FALSE),"")</f>
        <v/>
      </c>
      <c r="BG105" s="382" t="str">
        <f>IFERROR(VLOOKUP(Envoltória!$G110,$BQ$35:$BZ$43,BG$9,FALSE),"")</f>
        <v/>
      </c>
      <c r="BH105" s="382" t="str">
        <f>IFERROR(VLOOKUP(Envoltória!$G110,$BQ$35:$BZ$43,BH$9,FALSE),"")</f>
        <v/>
      </c>
      <c r="BI105" s="382" t="str">
        <f>IFERROR(VLOOKUP(Envoltória!$G110,$BQ$35:$BZ$43,BI$9,FALSE),"")</f>
        <v/>
      </c>
      <c r="BJ105" s="382" t="str">
        <f>IFERROR(VLOOKUP(Envoltória!$G110,$BQ$35:$BZ$43,BJ$9,FALSE),"")</f>
        <v/>
      </c>
      <c r="BK105" s="382" t="str">
        <f>IFERROR(VLOOKUP(Envoltória!$G110,$BQ$35:$BZ$43,BK$9,FALSE),"")</f>
        <v/>
      </c>
      <c r="BL105" s="382" t="str">
        <f>IFERROR(VLOOKUP(Envoltória!$G110,$BQ$35:$BZ$43,BL$9,FALSE),"")</f>
        <v/>
      </c>
      <c r="BM105" s="382" t="str">
        <f>IFERROR(VLOOKUP(Envoltória!$G110,$BQ$35:$BZ$43,BM$9,FALSE),"")</f>
        <v/>
      </c>
      <c r="BN105" s="382" t="str">
        <f>IFERROR(VLOOKUP(Envoltória!$G110,$BQ$35:$BZ$43,BN$9,FALSE),"")</f>
        <v/>
      </c>
      <c r="BO105" s="382" t="str">
        <f>IFERROR(VLOOKUP(Envoltória!$G110,$BQ$35:$BZ$43,BO$9,FALSE),"")</f>
        <v/>
      </c>
    </row>
    <row r="106" spans="1:67" x14ac:dyDescent="0.25">
      <c r="A106" s="1">
        <v>96</v>
      </c>
      <c r="B106" s="370">
        <f>Envoltória!I111</f>
        <v>0</v>
      </c>
      <c r="C106" s="371">
        <f>Envoltória!B111</f>
        <v>0</v>
      </c>
      <c r="D106" s="371">
        <f>Envoltória!C111</f>
        <v>0</v>
      </c>
      <c r="E106" s="381">
        <f>Envoltória!D111</f>
        <v>0</v>
      </c>
      <c r="F106" s="382">
        <f>Envoltória!E111</f>
        <v>0</v>
      </c>
      <c r="G106" s="382">
        <f t="shared" si="10"/>
        <v>0</v>
      </c>
      <c r="H106" s="383">
        <f>Envoltória!O111/100</f>
        <v>0</v>
      </c>
      <c r="I106" s="383">
        <f>IF(BF106=1,Envoltória!Q111,90)</f>
        <v>90</v>
      </c>
      <c r="J106" s="384" t="str">
        <f>IFERROR(VLOOKUP(Envoltória!M111,Componentes!$P:$R,2,FALSE),"")</f>
        <v/>
      </c>
      <c r="K106" s="384" t="str">
        <f>IFERROR(VLOOKUP(Envoltória!M111,Componentes!$P:$R,3,FALSE),"")</f>
        <v/>
      </c>
      <c r="L106" s="383">
        <f>IF(ISERROR(VLOOKUP(Envoltória!L111,Componentes!K:N,2,FALSE)),0,VLOOKUP(Envoltória!L111,Componentes!K:N,2,FALSE))</f>
        <v>0</v>
      </c>
      <c r="M106" s="383">
        <f>IF(ISERROR(VLOOKUP(Envoltória!L111,Componentes!K:N,3,FALSE)),0,VLOOKUP(Envoltória!L111,Componentes!K:N,3,FALSE))</f>
        <v>0</v>
      </c>
      <c r="N106" s="385" t="str">
        <f>IFERROR(IF(BB106&lt;&gt;0,VLOOKUP(Envoltória!L111,Componentes!K:N,4,FALSE),0),"")</f>
        <v/>
      </c>
      <c r="O106" s="383">
        <f>IF(BF106=1,VLOOKUP(Envoltória!J111,Componentes!B:E,2,FALSE),-6)</f>
        <v>-6</v>
      </c>
      <c r="P106" s="383">
        <f>IF(BF106=1,VLOOKUP(Envoltória!J111,Componentes!B:E,3,FALSE),-400)</f>
        <v>-400</v>
      </c>
      <c r="Q106" s="383">
        <f>IF(BF106=1,VLOOKUP(Envoltória!J111,Componentes!B:E,4,FALSE),0)</f>
        <v>0</v>
      </c>
      <c r="R106" s="384" t="str">
        <f>IFERROR(VLOOKUP(Envoltória!K111,Componentes!G:I,2,FALSE),"")</f>
        <v/>
      </c>
      <c r="S106" s="384" t="str">
        <f>IFERROR(VLOOKUP(Envoltória!K111,Componentes!G:I,3,FALSE),"")</f>
        <v/>
      </c>
      <c r="T106" s="383">
        <f>IFERROR(IF(H106&lt;&gt;0,VLOOKUP(Envoltória!N111,Componentes!T:V,3,FALSE),0),"")</f>
        <v>0</v>
      </c>
      <c r="U106" s="383">
        <f>IFERROR(IF(H106&lt;&gt;0,VLOOKUP(Envoltória!N111,Componentes!T:V,2,FALSE),0),"")</f>
        <v>0</v>
      </c>
      <c r="V106" s="384">
        <f>IFERROR(IF(AA106&lt;&gt;0,VLOOKUP(Envoltória!U111,Componentes!X:Z,2,FALSE),0),"")</f>
        <v>0</v>
      </c>
      <c r="W106" s="384">
        <f>IFERROR(IF(AA106&lt;&gt;0,VLOOKUP(Envoltória!U111,Componentes!X:Z,3,FALSE),0),"")</f>
        <v>0</v>
      </c>
      <c r="X106" s="383" t="str">
        <f>Envoltória!X111</f>
        <v/>
      </c>
      <c r="Y106" s="383">
        <f>Envoltória!V111</f>
        <v>0</v>
      </c>
      <c r="Z106" s="383" t="str">
        <f>Envoltória!W111</f>
        <v/>
      </c>
      <c r="AA106" s="386">
        <f>Envoltória!T111/100</f>
        <v>0</v>
      </c>
      <c r="AB106" s="387"/>
      <c r="AC106" s="387"/>
      <c r="AD106" s="387"/>
      <c r="AE106" s="387"/>
      <c r="AF106" s="387"/>
      <c r="AG106" s="387"/>
      <c r="AH106" s="387"/>
      <c r="AI106" s="387"/>
      <c r="AJ106" s="387"/>
      <c r="AK106" s="387"/>
      <c r="AL106" s="387"/>
      <c r="AM106" s="387"/>
      <c r="AN106" s="387"/>
      <c r="AO106" s="387"/>
      <c r="AP106" s="383">
        <f>IF(BF106=0,90,Envoltória!S111)</f>
        <v>0</v>
      </c>
      <c r="AQ106" s="383">
        <f>IF(BF106=0,90,Envoltória!R111)</f>
        <v>0</v>
      </c>
      <c r="AR106" s="383" t="str">
        <f t="shared" si="14"/>
        <v/>
      </c>
      <c r="AS106" s="383" t="str">
        <f t="shared" si="14"/>
        <v/>
      </c>
      <c r="AT106" s="383" t="str">
        <f t="shared" si="14"/>
        <v/>
      </c>
      <c r="AU106" s="383" t="str">
        <f t="shared" si="14"/>
        <v/>
      </c>
      <c r="AV106" s="383" t="str">
        <f t="shared" si="14"/>
        <v/>
      </c>
      <c r="AW106" s="384" t="str">
        <f>IFERROR(VLOOKUP(Envoltória!$B111,Aux_Lista!$N$2:$T$7,AW$9,FALSE),"")</f>
        <v/>
      </c>
      <c r="AX106" s="384" t="str">
        <f>IFERROR(VLOOKUP(Envoltória!$B111,Aux_Lista!$N$2:$T$7,AX$9,FALSE),"")</f>
        <v/>
      </c>
      <c r="AY106" s="384" t="str">
        <f>IFERROR(VLOOKUP(Envoltória!$B111,Aux_Lista!$N$2:$T$7,AY$9,FALSE),"")</f>
        <v/>
      </c>
      <c r="AZ106" s="384" t="str">
        <f>IFERROR(VLOOKUP(Envoltória!$B111,Aux_Lista!$N$2:$T$7,AZ$9,FALSE),"")</f>
        <v/>
      </c>
      <c r="BA106" s="384" t="str">
        <f>IFERROR(VLOOKUP(Envoltória!$B111,Aux_Lista!$N$2:$T$7,BA$9,FALSE),"")</f>
        <v/>
      </c>
      <c r="BB106" s="384" t="str">
        <f>IFERROR(VLOOKUP(Envoltória!$B111,Aux_Lista!$N$2:$T$7,BB$9,FALSE),"")</f>
        <v/>
      </c>
      <c r="BC106" s="384" t="str">
        <f>IFERROR(VLOOKUP(Envoltória!$H111,Aux_Lista!$V$2:$X$3,BC$9,FALSE),"")</f>
        <v/>
      </c>
      <c r="BD106" s="384" t="str">
        <f>IFERROR(VLOOKUP(Envoltória!$H111,Aux_Lista!$V$2:$X$3,BD$9,FALSE),"")</f>
        <v/>
      </c>
      <c r="BE106" s="382">
        <f t="shared" si="11"/>
        <v>0</v>
      </c>
      <c r="BF106" s="382" t="str">
        <f>IFERROR(VLOOKUP(Envoltória!F111,CB3E_Envoltória!$BQ$18:$BR$19,2,FALSE),"")</f>
        <v/>
      </c>
      <c r="BG106" s="382" t="str">
        <f>IFERROR(VLOOKUP(Envoltória!$G111,$BQ$35:$BZ$43,BG$9,FALSE),"")</f>
        <v/>
      </c>
      <c r="BH106" s="382" t="str">
        <f>IFERROR(VLOOKUP(Envoltória!$G111,$BQ$35:$BZ$43,BH$9,FALSE),"")</f>
        <v/>
      </c>
      <c r="BI106" s="382" t="str">
        <f>IFERROR(VLOOKUP(Envoltória!$G111,$BQ$35:$BZ$43,BI$9,FALSE),"")</f>
        <v/>
      </c>
      <c r="BJ106" s="382" t="str">
        <f>IFERROR(VLOOKUP(Envoltória!$G111,$BQ$35:$BZ$43,BJ$9,FALSE),"")</f>
        <v/>
      </c>
      <c r="BK106" s="382" t="str">
        <f>IFERROR(VLOOKUP(Envoltória!$G111,$BQ$35:$BZ$43,BK$9,FALSE),"")</f>
        <v/>
      </c>
      <c r="BL106" s="382" t="str">
        <f>IFERROR(VLOOKUP(Envoltória!$G111,$BQ$35:$BZ$43,BL$9,FALSE),"")</f>
        <v/>
      </c>
      <c r="BM106" s="382" t="str">
        <f>IFERROR(VLOOKUP(Envoltória!$G111,$BQ$35:$BZ$43,BM$9,FALSE),"")</f>
        <v/>
      </c>
      <c r="BN106" s="382" t="str">
        <f>IFERROR(VLOOKUP(Envoltória!$G111,$BQ$35:$BZ$43,BN$9,FALSE),"")</f>
        <v/>
      </c>
      <c r="BO106" s="382" t="str">
        <f>IFERROR(VLOOKUP(Envoltória!$G111,$BQ$35:$BZ$43,BO$9,FALSE),"")</f>
        <v/>
      </c>
    </row>
    <row r="107" spans="1:67" x14ac:dyDescent="0.25">
      <c r="A107" s="1">
        <v>97</v>
      </c>
      <c r="B107" s="370">
        <f>Envoltória!I112</f>
        <v>0</v>
      </c>
      <c r="C107" s="371">
        <f>Envoltória!B112</f>
        <v>0</v>
      </c>
      <c r="D107" s="371">
        <f>Envoltória!C112</f>
        <v>0</v>
      </c>
      <c r="E107" s="381">
        <f>Envoltória!D112</f>
        <v>0</v>
      </c>
      <c r="F107" s="382">
        <f>Envoltória!E112</f>
        <v>0</v>
      </c>
      <c r="G107" s="382">
        <f t="shared" si="10"/>
        <v>0</v>
      </c>
      <c r="H107" s="383">
        <f>Envoltória!O112/100</f>
        <v>0</v>
      </c>
      <c r="I107" s="383">
        <f>IF(BF107=1,Envoltória!Q112,90)</f>
        <v>90</v>
      </c>
      <c r="J107" s="384" t="str">
        <f>IFERROR(VLOOKUP(Envoltória!M112,Componentes!$P:$R,2,FALSE),"")</f>
        <v/>
      </c>
      <c r="K107" s="384" t="str">
        <f>IFERROR(VLOOKUP(Envoltória!M112,Componentes!$P:$R,3,FALSE),"")</f>
        <v/>
      </c>
      <c r="L107" s="383">
        <f>IF(ISERROR(VLOOKUP(Envoltória!L112,Componentes!K:N,2,FALSE)),0,VLOOKUP(Envoltória!L112,Componentes!K:N,2,FALSE))</f>
        <v>0</v>
      </c>
      <c r="M107" s="383">
        <f>IF(ISERROR(VLOOKUP(Envoltória!L112,Componentes!K:N,3,FALSE)),0,VLOOKUP(Envoltória!L112,Componentes!K:N,3,FALSE))</f>
        <v>0</v>
      </c>
      <c r="N107" s="385" t="str">
        <f>IFERROR(IF(BB107&lt;&gt;0,VLOOKUP(Envoltória!L112,Componentes!K:N,4,FALSE),0),"")</f>
        <v/>
      </c>
      <c r="O107" s="383">
        <f>IF(BF107=1,VLOOKUP(Envoltória!J112,Componentes!B:E,2,FALSE),-6)</f>
        <v>-6</v>
      </c>
      <c r="P107" s="383">
        <f>IF(BF107=1,VLOOKUP(Envoltória!J112,Componentes!B:E,3,FALSE),-400)</f>
        <v>-400</v>
      </c>
      <c r="Q107" s="383">
        <f>IF(BF107=1,VLOOKUP(Envoltória!J112,Componentes!B:E,4,FALSE),0)</f>
        <v>0</v>
      </c>
      <c r="R107" s="384" t="str">
        <f>IFERROR(VLOOKUP(Envoltória!K112,Componentes!G:I,2,FALSE),"")</f>
        <v/>
      </c>
      <c r="S107" s="384" t="str">
        <f>IFERROR(VLOOKUP(Envoltória!K112,Componentes!G:I,3,FALSE),"")</f>
        <v/>
      </c>
      <c r="T107" s="383">
        <f>IFERROR(IF(H107&lt;&gt;0,VLOOKUP(Envoltória!N112,Componentes!T:V,3,FALSE),0),"")</f>
        <v>0</v>
      </c>
      <c r="U107" s="383">
        <f>IFERROR(IF(H107&lt;&gt;0,VLOOKUP(Envoltória!N112,Componentes!T:V,2,FALSE),0),"")</f>
        <v>0</v>
      </c>
      <c r="V107" s="384">
        <f>IFERROR(IF(AA107&lt;&gt;0,VLOOKUP(Envoltória!U112,Componentes!X:Z,2,FALSE),0),"")</f>
        <v>0</v>
      </c>
      <c r="W107" s="384">
        <f>IFERROR(IF(AA107&lt;&gt;0,VLOOKUP(Envoltória!U112,Componentes!X:Z,3,FALSE),0),"")</f>
        <v>0</v>
      </c>
      <c r="X107" s="383" t="str">
        <f>Envoltória!X112</f>
        <v/>
      </c>
      <c r="Y107" s="383">
        <f>Envoltória!V112</f>
        <v>0</v>
      </c>
      <c r="Z107" s="383" t="str">
        <f>Envoltória!W112</f>
        <v/>
      </c>
      <c r="AA107" s="386">
        <f>Envoltória!T112/100</f>
        <v>0</v>
      </c>
      <c r="AB107" s="387"/>
      <c r="AC107" s="387"/>
      <c r="AD107" s="387"/>
      <c r="AE107" s="387"/>
      <c r="AF107" s="387"/>
      <c r="AG107" s="387"/>
      <c r="AH107" s="387"/>
      <c r="AI107" s="387"/>
      <c r="AJ107" s="387"/>
      <c r="AK107" s="387"/>
      <c r="AL107" s="387"/>
      <c r="AM107" s="387"/>
      <c r="AN107" s="387"/>
      <c r="AO107" s="387"/>
      <c r="AP107" s="383">
        <f>IF(BF107=0,90,Envoltória!S112)</f>
        <v>0</v>
      </c>
      <c r="AQ107" s="383">
        <f>IF(BF107=0,90,Envoltória!R112)</f>
        <v>0</v>
      </c>
      <c r="AR107" s="383" t="str">
        <f t="shared" si="14"/>
        <v/>
      </c>
      <c r="AS107" s="383" t="str">
        <f t="shared" si="14"/>
        <v/>
      </c>
      <c r="AT107" s="383" t="str">
        <f t="shared" si="14"/>
        <v/>
      </c>
      <c r="AU107" s="383" t="str">
        <f t="shared" si="14"/>
        <v/>
      </c>
      <c r="AV107" s="383" t="str">
        <f t="shared" si="14"/>
        <v/>
      </c>
      <c r="AW107" s="384" t="str">
        <f>IFERROR(VLOOKUP(Envoltória!$B112,Aux_Lista!$N$2:$T$7,AW$9,FALSE),"")</f>
        <v/>
      </c>
      <c r="AX107" s="384" t="str">
        <f>IFERROR(VLOOKUP(Envoltória!$B112,Aux_Lista!$N$2:$T$7,AX$9,FALSE),"")</f>
        <v/>
      </c>
      <c r="AY107" s="384" t="str">
        <f>IFERROR(VLOOKUP(Envoltória!$B112,Aux_Lista!$N$2:$T$7,AY$9,FALSE),"")</f>
        <v/>
      </c>
      <c r="AZ107" s="384" t="str">
        <f>IFERROR(VLOOKUP(Envoltória!$B112,Aux_Lista!$N$2:$T$7,AZ$9,FALSE),"")</f>
        <v/>
      </c>
      <c r="BA107" s="384" t="str">
        <f>IFERROR(VLOOKUP(Envoltória!$B112,Aux_Lista!$N$2:$T$7,BA$9,FALSE),"")</f>
        <v/>
      </c>
      <c r="BB107" s="384" t="str">
        <f>IFERROR(VLOOKUP(Envoltória!$B112,Aux_Lista!$N$2:$T$7,BB$9,FALSE),"")</f>
        <v/>
      </c>
      <c r="BC107" s="384" t="str">
        <f>IFERROR(VLOOKUP(Envoltória!$H112,Aux_Lista!$V$2:$X$3,BC$9,FALSE),"")</f>
        <v/>
      </c>
      <c r="BD107" s="384" t="str">
        <f>IFERROR(VLOOKUP(Envoltória!$H112,Aux_Lista!$V$2:$X$3,BD$9,FALSE),"")</f>
        <v/>
      </c>
      <c r="BE107" s="382">
        <f t="shared" si="11"/>
        <v>0</v>
      </c>
      <c r="BF107" s="382" t="str">
        <f>IFERROR(VLOOKUP(Envoltória!F112,CB3E_Envoltória!$BQ$18:$BR$19,2,FALSE),"")</f>
        <v/>
      </c>
      <c r="BG107" s="382" t="str">
        <f>IFERROR(VLOOKUP(Envoltória!$G112,$BQ$35:$BZ$43,BG$9,FALSE),"")</f>
        <v/>
      </c>
      <c r="BH107" s="382" t="str">
        <f>IFERROR(VLOOKUP(Envoltória!$G112,$BQ$35:$BZ$43,BH$9,FALSE),"")</f>
        <v/>
      </c>
      <c r="BI107" s="382" t="str">
        <f>IFERROR(VLOOKUP(Envoltória!$G112,$BQ$35:$BZ$43,BI$9,FALSE),"")</f>
        <v/>
      </c>
      <c r="BJ107" s="382" t="str">
        <f>IFERROR(VLOOKUP(Envoltória!$G112,$BQ$35:$BZ$43,BJ$9,FALSE),"")</f>
        <v/>
      </c>
      <c r="BK107" s="382" t="str">
        <f>IFERROR(VLOOKUP(Envoltória!$G112,$BQ$35:$BZ$43,BK$9,FALSE),"")</f>
        <v/>
      </c>
      <c r="BL107" s="382" t="str">
        <f>IFERROR(VLOOKUP(Envoltória!$G112,$BQ$35:$BZ$43,BL$9,FALSE),"")</f>
        <v/>
      </c>
      <c r="BM107" s="382" t="str">
        <f>IFERROR(VLOOKUP(Envoltória!$G112,$BQ$35:$BZ$43,BM$9,FALSE),"")</f>
        <v/>
      </c>
      <c r="BN107" s="382" t="str">
        <f>IFERROR(VLOOKUP(Envoltória!$G112,$BQ$35:$BZ$43,BN$9,FALSE),"")</f>
        <v/>
      </c>
      <c r="BO107" s="382" t="str">
        <f>IFERROR(VLOOKUP(Envoltória!$G112,$BQ$35:$BZ$43,BO$9,FALSE),"")</f>
        <v/>
      </c>
    </row>
    <row r="108" spans="1:67" x14ac:dyDescent="0.25">
      <c r="A108" s="1">
        <v>98</v>
      </c>
      <c r="B108" s="370">
        <f>Envoltória!I113</f>
        <v>0</v>
      </c>
      <c r="C108" s="371">
        <f>Envoltória!B113</f>
        <v>0</v>
      </c>
      <c r="D108" s="371">
        <f>Envoltória!C113</f>
        <v>0</v>
      </c>
      <c r="E108" s="381">
        <f>Envoltória!D113</f>
        <v>0</v>
      </c>
      <c r="F108" s="382">
        <f>Envoltória!E113</f>
        <v>0</v>
      </c>
      <c r="G108" s="382">
        <f t="shared" si="10"/>
        <v>0</v>
      </c>
      <c r="H108" s="383">
        <f>Envoltória!O113/100</f>
        <v>0</v>
      </c>
      <c r="I108" s="383">
        <f>IF(BF108=1,Envoltória!Q113,90)</f>
        <v>90</v>
      </c>
      <c r="J108" s="384" t="str">
        <f>IFERROR(VLOOKUP(Envoltória!M113,Componentes!$P:$R,2,FALSE),"")</f>
        <v/>
      </c>
      <c r="K108" s="384" t="str">
        <f>IFERROR(VLOOKUP(Envoltória!M113,Componentes!$P:$R,3,FALSE),"")</f>
        <v/>
      </c>
      <c r="L108" s="383">
        <f>IF(ISERROR(VLOOKUP(Envoltória!L113,Componentes!K:N,2,FALSE)),0,VLOOKUP(Envoltória!L113,Componentes!K:N,2,FALSE))</f>
        <v>0</v>
      </c>
      <c r="M108" s="383">
        <f>IF(ISERROR(VLOOKUP(Envoltória!L113,Componentes!K:N,3,FALSE)),0,VLOOKUP(Envoltória!L113,Componentes!K:N,3,FALSE))</f>
        <v>0</v>
      </c>
      <c r="N108" s="385" t="str">
        <f>IFERROR(IF(BB108&lt;&gt;0,VLOOKUP(Envoltória!L113,Componentes!K:N,4,FALSE),0),"")</f>
        <v/>
      </c>
      <c r="O108" s="383">
        <f>IF(BF108=1,VLOOKUP(Envoltória!J113,Componentes!B:E,2,FALSE),-6)</f>
        <v>-6</v>
      </c>
      <c r="P108" s="383">
        <f>IF(BF108=1,VLOOKUP(Envoltória!J113,Componentes!B:E,3,FALSE),-400)</f>
        <v>-400</v>
      </c>
      <c r="Q108" s="383">
        <f>IF(BF108=1,VLOOKUP(Envoltória!J113,Componentes!B:E,4,FALSE),0)</f>
        <v>0</v>
      </c>
      <c r="R108" s="384" t="str">
        <f>IFERROR(VLOOKUP(Envoltória!K113,Componentes!G:I,2,FALSE),"")</f>
        <v/>
      </c>
      <c r="S108" s="384" t="str">
        <f>IFERROR(VLOOKUP(Envoltória!K113,Componentes!G:I,3,FALSE),"")</f>
        <v/>
      </c>
      <c r="T108" s="383">
        <f>IFERROR(IF(H108&lt;&gt;0,VLOOKUP(Envoltória!N113,Componentes!T:V,3,FALSE),0),"")</f>
        <v>0</v>
      </c>
      <c r="U108" s="383">
        <f>IFERROR(IF(H108&lt;&gt;0,VLOOKUP(Envoltória!N113,Componentes!T:V,2,FALSE),0),"")</f>
        <v>0</v>
      </c>
      <c r="V108" s="384">
        <f>IFERROR(IF(AA108&lt;&gt;0,VLOOKUP(Envoltória!U113,Componentes!X:Z,2,FALSE),0),"")</f>
        <v>0</v>
      </c>
      <c r="W108" s="384">
        <f>IFERROR(IF(AA108&lt;&gt;0,VLOOKUP(Envoltória!U113,Componentes!X:Z,3,FALSE),0),"")</f>
        <v>0</v>
      </c>
      <c r="X108" s="383" t="str">
        <f>Envoltória!X113</f>
        <v/>
      </c>
      <c r="Y108" s="383">
        <f>Envoltória!V113</f>
        <v>0</v>
      </c>
      <c r="Z108" s="383" t="str">
        <f>Envoltória!W113</f>
        <v/>
      </c>
      <c r="AA108" s="386">
        <f>Envoltória!T113/100</f>
        <v>0</v>
      </c>
      <c r="AB108" s="387"/>
      <c r="AC108" s="387"/>
      <c r="AD108" s="387"/>
      <c r="AE108" s="387"/>
      <c r="AF108" s="387"/>
      <c r="AG108" s="387"/>
      <c r="AH108" s="387"/>
      <c r="AI108" s="387"/>
      <c r="AJ108" s="387"/>
      <c r="AK108" s="387"/>
      <c r="AL108" s="387"/>
      <c r="AM108" s="387"/>
      <c r="AN108" s="387"/>
      <c r="AO108" s="387"/>
      <c r="AP108" s="383">
        <f>IF(BF108=0,90,Envoltória!S113)</f>
        <v>0</v>
      </c>
      <c r="AQ108" s="383">
        <f>IF(BF108=0,90,Envoltória!R113)</f>
        <v>0</v>
      </c>
      <c r="AR108" s="383" t="str">
        <f t="shared" si="14"/>
        <v/>
      </c>
      <c r="AS108" s="383" t="str">
        <f t="shared" si="14"/>
        <v/>
      </c>
      <c r="AT108" s="383" t="str">
        <f t="shared" si="14"/>
        <v/>
      </c>
      <c r="AU108" s="383" t="str">
        <f t="shared" si="14"/>
        <v/>
      </c>
      <c r="AV108" s="383" t="str">
        <f t="shared" si="14"/>
        <v/>
      </c>
      <c r="AW108" s="384" t="str">
        <f>IFERROR(VLOOKUP(Envoltória!$B113,Aux_Lista!$N$2:$T$7,AW$9,FALSE),"")</f>
        <v/>
      </c>
      <c r="AX108" s="384" t="str">
        <f>IFERROR(VLOOKUP(Envoltória!$B113,Aux_Lista!$N$2:$T$7,AX$9,FALSE),"")</f>
        <v/>
      </c>
      <c r="AY108" s="384" t="str">
        <f>IFERROR(VLOOKUP(Envoltória!$B113,Aux_Lista!$N$2:$T$7,AY$9,FALSE),"")</f>
        <v/>
      </c>
      <c r="AZ108" s="384" t="str">
        <f>IFERROR(VLOOKUP(Envoltória!$B113,Aux_Lista!$N$2:$T$7,AZ$9,FALSE),"")</f>
        <v/>
      </c>
      <c r="BA108" s="384" t="str">
        <f>IFERROR(VLOOKUP(Envoltória!$B113,Aux_Lista!$N$2:$T$7,BA$9,FALSE),"")</f>
        <v/>
      </c>
      <c r="BB108" s="384" t="str">
        <f>IFERROR(VLOOKUP(Envoltória!$B113,Aux_Lista!$N$2:$T$7,BB$9,FALSE),"")</f>
        <v/>
      </c>
      <c r="BC108" s="384" t="str">
        <f>IFERROR(VLOOKUP(Envoltória!$H113,Aux_Lista!$V$2:$X$3,BC$9,FALSE),"")</f>
        <v/>
      </c>
      <c r="BD108" s="384" t="str">
        <f>IFERROR(VLOOKUP(Envoltória!$H113,Aux_Lista!$V$2:$X$3,BD$9,FALSE),"")</f>
        <v/>
      </c>
      <c r="BE108" s="382">
        <f t="shared" si="11"/>
        <v>0</v>
      </c>
      <c r="BF108" s="382" t="str">
        <f>IFERROR(VLOOKUP(Envoltória!F113,CB3E_Envoltória!$BQ$18:$BR$19,2,FALSE),"")</f>
        <v/>
      </c>
      <c r="BG108" s="382" t="str">
        <f>IFERROR(VLOOKUP(Envoltória!$G113,$BQ$35:$BZ$43,BG$9,FALSE),"")</f>
        <v/>
      </c>
      <c r="BH108" s="382" t="str">
        <f>IFERROR(VLOOKUP(Envoltória!$G113,$BQ$35:$BZ$43,BH$9,FALSE),"")</f>
        <v/>
      </c>
      <c r="BI108" s="382" t="str">
        <f>IFERROR(VLOOKUP(Envoltória!$G113,$BQ$35:$BZ$43,BI$9,FALSE),"")</f>
        <v/>
      </c>
      <c r="BJ108" s="382" t="str">
        <f>IFERROR(VLOOKUP(Envoltória!$G113,$BQ$35:$BZ$43,BJ$9,FALSE),"")</f>
        <v/>
      </c>
      <c r="BK108" s="382" t="str">
        <f>IFERROR(VLOOKUP(Envoltória!$G113,$BQ$35:$BZ$43,BK$9,FALSE),"")</f>
        <v/>
      </c>
      <c r="BL108" s="382" t="str">
        <f>IFERROR(VLOOKUP(Envoltória!$G113,$BQ$35:$BZ$43,BL$9,FALSE),"")</f>
        <v/>
      </c>
      <c r="BM108" s="382" t="str">
        <f>IFERROR(VLOOKUP(Envoltória!$G113,$BQ$35:$BZ$43,BM$9,FALSE),"")</f>
        <v/>
      </c>
      <c r="BN108" s="382" t="str">
        <f>IFERROR(VLOOKUP(Envoltória!$G113,$BQ$35:$BZ$43,BN$9,FALSE),"")</f>
        <v/>
      </c>
      <c r="BO108" s="382" t="str">
        <f>IFERROR(VLOOKUP(Envoltória!$G113,$BQ$35:$BZ$43,BO$9,FALSE),"")</f>
        <v/>
      </c>
    </row>
    <row r="109" spans="1:67" x14ac:dyDescent="0.25">
      <c r="A109" s="1">
        <v>99</v>
      </c>
      <c r="B109" s="370">
        <f>Envoltória!I114</f>
        <v>0</v>
      </c>
      <c r="C109" s="371">
        <f>Envoltória!B114</f>
        <v>0</v>
      </c>
      <c r="D109" s="371">
        <f>Envoltória!C114</f>
        <v>0</v>
      </c>
      <c r="E109" s="381">
        <f>Envoltória!D114</f>
        <v>0</v>
      </c>
      <c r="F109" s="382">
        <f>Envoltória!E114</f>
        <v>0</v>
      </c>
      <c r="G109" s="382">
        <f t="shared" si="10"/>
        <v>0</v>
      </c>
      <c r="H109" s="383">
        <f>Envoltória!O114/100</f>
        <v>0</v>
      </c>
      <c r="I109" s="383">
        <f>IF(BF109=1,Envoltória!Q114,90)</f>
        <v>90</v>
      </c>
      <c r="J109" s="384" t="str">
        <f>IFERROR(VLOOKUP(Envoltória!M114,Componentes!$P:$R,2,FALSE),"")</f>
        <v/>
      </c>
      <c r="K109" s="384" t="str">
        <f>IFERROR(VLOOKUP(Envoltória!M114,Componentes!$P:$R,3,FALSE),"")</f>
        <v/>
      </c>
      <c r="L109" s="383">
        <f>IF(ISERROR(VLOOKUP(Envoltória!L114,Componentes!K:N,2,FALSE)),0,VLOOKUP(Envoltória!L114,Componentes!K:N,2,FALSE))</f>
        <v>0</v>
      </c>
      <c r="M109" s="383">
        <f>IF(ISERROR(VLOOKUP(Envoltória!L114,Componentes!K:N,3,FALSE)),0,VLOOKUP(Envoltória!L114,Componentes!K:N,3,FALSE))</f>
        <v>0</v>
      </c>
      <c r="N109" s="385" t="str">
        <f>IFERROR(IF(BB109&lt;&gt;0,VLOOKUP(Envoltória!L114,Componentes!K:N,4,FALSE),0),"")</f>
        <v/>
      </c>
      <c r="O109" s="383">
        <f>IF(BF109=1,VLOOKUP(Envoltória!J114,Componentes!B:E,2,FALSE),-6)</f>
        <v>-6</v>
      </c>
      <c r="P109" s="383">
        <f>IF(BF109=1,VLOOKUP(Envoltória!J114,Componentes!B:E,3,FALSE),-400)</f>
        <v>-400</v>
      </c>
      <c r="Q109" s="383">
        <f>IF(BF109=1,VLOOKUP(Envoltória!J114,Componentes!B:E,4,FALSE),0)</f>
        <v>0</v>
      </c>
      <c r="R109" s="384" t="str">
        <f>IFERROR(VLOOKUP(Envoltória!K114,Componentes!G:I,2,FALSE),"")</f>
        <v/>
      </c>
      <c r="S109" s="384" t="str">
        <f>IFERROR(VLOOKUP(Envoltória!K114,Componentes!G:I,3,FALSE),"")</f>
        <v/>
      </c>
      <c r="T109" s="383">
        <f>IFERROR(IF(H109&lt;&gt;0,VLOOKUP(Envoltória!N114,Componentes!T:V,3,FALSE),0),"")</f>
        <v>0</v>
      </c>
      <c r="U109" s="383">
        <f>IFERROR(IF(H109&lt;&gt;0,VLOOKUP(Envoltória!N114,Componentes!T:V,2,FALSE),0),"")</f>
        <v>0</v>
      </c>
      <c r="V109" s="384">
        <f>IFERROR(IF(AA109&lt;&gt;0,VLOOKUP(Envoltória!U114,Componentes!X:Z,2,FALSE),0),"")</f>
        <v>0</v>
      </c>
      <c r="W109" s="384">
        <f>IFERROR(IF(AA109&lt;&gt;0,VLOOKUP(Envoltória!U114,Componentes!X:Z,3,FALSE),0),"")</f>
        <v>0</v>
      </c>
      <c r="X109" s="383" t="str">
        <f>Envoltória!X114</f>
        <v/>
      </c>
      <c r="Y109" s="383">
        <f>Envoltória!V114</f>
        <v>0</v>
      </c>
      <c r="Z109" s="383" t="str">
        <f>Envoltória!W114</f>
        <v/>
      </c>
      <c r="AA109" s="386">
        <f>Envoltória!T114/100</f>
        <v>0</v>
      </c>
      <c r="AB109" s="387"/>
      <c r="AC109" s="387"/>
      <c r="AD109" s="387"/>
      <c r="AE109" s="387"/>
      <c r="AF109" s="387"/>
      <c r="AG109" s="387"/>
      <c r="AH109" s="387"/>
      <c r="AI109" s="387"/>
      <c r="AJ109" s="387"/>
      <c r="AK109" s="387"/>
      <c r="AL109" s="387"/>
      <c r="AM109" s="387"/>
      <c r="AN109" s="387"/>
      <c r="AO109" s="387"/>
      <c r="AP109" s="383">
        <f>IF(BF109=0,90,Envoltória!S114)</f>
        <v>0</v>
      </c>
      <c r="AQ109" s="383">
        <f>IF(BF109=0,90,Envoltória!R114)</f>
        <v>0</v>
      </c>
      <c r="AR109" s="383" t="str">
        <f t="shared" si="14"/>
        <v/>
      </c>
      <c r="AS109" s="383" t="str">
        <f t="shared" si="14"/>
        <v/>
      </c>
      <c r="AT109" s="383" t="str">
        <f t="shared" si="14"/>
        <v/>
      </c>
      <c r="AU109" s="383" t="str">
        <f t="shared" si="14"/>
        <v/>
      </c>
      <c r="AV109" s="383" t="str">
        <f t="shared" si="14"/>
        <v/>
      </c>
      <c r="AW109" s="384" t="str">
        <f>IFERROR(VLOOKUP(Envoltória!$B114,Aux_Lista!$N$2:$T$7,AW$9,FALSE),"")</f>
        <v/>
      </c>
      <c r="AX109" s="384" t="str">
        <f>IFERROR(VLOOKUP(Envoltória!$B114,Aux_Lista!$N$2:$T$7,AX$9,FALSE),"")</f>
        <v/>
      </c>
      <c r="AY109" s="384" t="str">
        <f>IFERROR(VLOOKUP(Envoltória!$B114,Aux_Lista!$N$2:$T$7,AY$9,FALSE),"")</f>
        <v/>
      </c>
      <c r="AZ109" s="384" t="str">
        <f>IFERROR(VLOOKUP(Envoltória!$B114,Aux_Lista!$N$2:$T$7,AZ$9,FALSE),"")</f>
        <v/>
      </c>
      <c r="BA109" s="384" t="str">
        <f>IFERROR(VLOOKUP(Envoltória!$B114,Aux_Lista!$N$2:$T$7,BA$9,FALSE),"")</f>
        <v/>
      </c>
      <c r="BB109" s="384" t="str">
        <f>IFERROR(VLOOKUP(Envoltória!$B114,Aux_Lista!$N$2:$T$7,BB$9,FALSE),"")</f>
        <v/>
      </c>
      <c r="BC109" s="384" t="str">
        <f>IFERROR(VLOOKUP(Envoltória!$H114,Aux_Lista!$V$2:$X$3,BC$9,FALSE),"")</f>
        <v/>
      </c>
      <c r="BD109" s="384" t="str">
        <f>IFERROR(VLOOKUP(Envoltória!$H114,Aux_Lista!$V$2:$X$3,BD$9,FALSE),"")</f>
        <v/>
      </c>
      <c r="BE109" s="382">
        <f t="shared" si="11"/>
        <v>0</v>
      </c>
      <c r="BF109" s="382" t="str">
        <f>IFERROR(VLOOKUP(Envoltória!F114,CB3E_Envoltória!$BQ$18:$BR$19,2,FALSE),"")</f>
        <v/>
      </c>
      <c r="BG109" s="382" t="str">
        <f>IFERROR(VLOOKUP(Envoltória!$G114,$BQ$35:$BZ$43,BG$9,FALSE),"")</f>
        <v/>
      </c>
      <c r="BH109" s="382" t="str">
        <f>IFERROR(VLOOKUP(Envoltória!$G114,$BQ$35:$BZ$43,BH$9,FALSE),"")</f>
        <v/>
      </c>
      <c r="BI109" s="382" t="str">
        <f>IFERROR(VLOOKUP(Envoltória!$G114,$BQ$35:$BZ$43,BI$9,FALSE),"")</f>
        <v/>
      </c>
      <c r="BJ109" s="382" t="str">
        <f>IFERROR(VLOOKUP(Envoltória!$G114,$BQ$35:$BZ$43,BJ$9,FALSE),"")</f>
        <v/>
      </c>
      <c r="BK109" s="382" t="str">
        <f>IFERROR(VLOOKUP(Envoltória!$G114,$BQ$35:$BZ$43,BK$9,FALSE),"")</f>
        <v/>
      </c>
      <c r="BL109" s="382" t="str">
        <f>IFERROR(VLOOKUP(Envoltória!$G114,$BQ$35:$BZ$43,BL$9,FALSE),"")</f>
        <v/>
      </c>
      <c r="BM109" s="382" t="str">
        <f>IFERROR(VLOOKUP(Envoltória!$G114,$BQ$35:$BZ$43,BM$9,FALSE),"")</f>
        <v/>
      </c>
      <c r="BN109" s="382" t="str">
        <f>IFERROR(VLOOKUP(Envoltória!$G114,$BQ$35:$BZ$43,BN$9,FALSE),"")</f>
        <v/>
      </c>
      <c r="BO109" s="382" t="str">
        <f>IFERROR(VLOOKUP(Envoltória!$G114,$BQ$35:$BZ$43,BO$9,FALSE),"")</f>
        <v/>
      </c>
    </row>
    <row r="110" spans="1:67" x14ac:dyDescent="0.25">
      <c r="A110" s="1">
        <v>100</v>
      </c>
      <c r="B110" s="370">
        <f>Envoltória!I115</f>
        <v>0</v>
      </c>
      <c r="C110" s="371">
        <f>Envoltória!B115</f>
        <v>0</v>
      </c>
      <c r="D110" s="371">
        <f>Envoltória!C115</f>
        <v>0</v>
      </c>
      <c r="E110" s="381">
        <f>Envoltória!D115</f>
        <v>0</v>
      </c>
      <c r="F110" s="382">
        <f>Envoltória!E115</f>
        <v>0</v>
      </c>
      <c r="G110" s="382">
        <f t="shared" si="10"/>
        <v>0</v>
      </c>
      <c r="H110" s="383">
        <f>Envoltória!O115/100</f>
        <v>0</v>
      </c>
      <c r="I110" s="383">
        <f>IF(BF110=1,Envoltória!Q115,90)</f>
        <v>90</v>
      </c>
      <c r="J110" s="384" t="str">
        <f>IFERROR(VLOOKUP(Envoltória!M115,Componentes!$P:$R,2,FALSE),"")</f>
        <v/>
      </c>
      <c r="K110" s="384" t="str">
        <f>IFERROR(VLOOKUP(Envoltória!M115,Componentes!$P:$R,3,FALSE),"")</f>
        <v/>
      </c>
      <c r="L110" s="383">
        <f>IF(ISERROR(VLOOKUP(Envoltória!L115,Componentes!K:N,2,FALSE)),0,VLOOKUP(Envoltória!L115,Componentes!K:N,2,FALSE))</f>
        <v>0</v>
      </c>
      <c r="M110" s="383">
        <f>IF(ISERROR(VLOOKUP(Envoltória!L115,Componentes!K:N,3,FALSE)),0,VLOOKUP(Envoltória!L115,Componentes!K:N,3,FALSE))</f>
        <v>0</v>
      </c>
      <c r="N110" s="385" t="str">
        <f>IFERROR(IF(BB110&lt;&gt;0,VLOOKUP(Envoltória!L115,Componentes!K:N,4,FALSE),0),"")</f>
        <v/>
      </c>
      <c r="O110" s="383">
        <f>IF(BF110=1,VLOOKUP(Envoltória!J115,Componentes!B:E,2,FALSE),-6)</f>
        <v>-6</v>
      </c>
      <c r="P110" s="383">
        <f>IF(BF110=1,VLOOKUP(Envoltória!J115,Componentes!B:E,3,FALSE),-400)</f>
        <v>-400</v>
      </c>
      <c r="Q110" s="383">
        <f>IF(BF110=1,VLOOKUP(Envoltória!J115,Componentes!B:E,4,FALSE),0)</f>
        <v>0</v>
      </c>
      <c r="R110" s="384" t="str">
        <f>IFERROR(VLOOKUP(Envoltória!K115,Componentes!G:I,2,FALSE),"")</f>
        <v/>
      </c>
      <c r="S110" s="384" t="str">
        <f>IFERROR(VLOOKUP(Envoltória!K115,Componentes!G:I,3,FALSE),"")</f>
        <v/>
      </c>
      <c r="T110" s="383">
        <f>IFERROR(IF(H110&lt;&gt;0,VLOOKUP(Envoltória!N115,Componentes!T:V,3,FALSE),0),"")</f>
        <v>0</v>
      </c>
      <c r="U110" s="383">
        <f>IFERROR(IF(H110&lt;&gt;0,VLOOKUP(Envoltória!N115,Componentes!T:V,2,FALSE),0),"")</f>
        <v>0</v>
      </c>
      <c r="V110" s="384">
        <f>IFERROR(IF(AA110&lt;&gt;0,VLOOKUP(Envoltória!U115,Componentes!X:Z,2,FALSE),0),"")</f>
        <v>0</v>
      </c>
      <c r="W110" s="384">
        <f>IFERROR(IF(AA110&lt;&gt;0,VLOOKUP(Envoltória!U115,Componentes!X:Z,3,FALSE),0),"")</f>
        <v>0</v>
      </c>
      <c r="X110" s="383" t="str">
        <f>Envoltória!X115</f>
        <v/>
      </c>
      <c r="Y110" s="383">
        <f>Envoltória!V115</f>
        <v>0</v>
      </c>
      <c r="Z110" s="383" t="str">
        <f>Envoltória!W115</f>
        <v/>
      </c>
      <c r="AA110" s="386">
        <f>Envoltória!T115/100</f>
        <v>0</v>
      </c>
      <c r="AB110" s="387"/>
      <c r="AC110" s="387"/>
      <c r="AD110" s="387"/>
      <c r="AE110" s="387"/>
      <c r="AF110" s="387"/>
      <c r="AG110" s="387"/>
      <c r="AH110" s="387"/>
      <c r="AI110" s="387"/>
      <c r="AJ110" s="387"/>
      <c r="AK110" s="387"/>
      <c r="AL110" s="387"/>
      <c r="AM110" s="387"/>
      <c r="AN110" s="387"/>
      <c r="AO110" s="387"/>
      <c r="AP110" s="383">
        <f>IF(BF110=0,90,Envoltória!S115)</f>
        <v>0</v>
      </c>
      <c r="AQ110" s="383">
        <f>IF(BF110=0,90,Envoltória!R115)</f>
        <v>0</v>
      </c>
      <c r="AR110" s="383" t="str">
        <f t="shared" si="14"/>
        <v/>
      </c>
      <c r="AS110" s="383" t="str">
        <f t="shared" si="14"/>
        <v/>
      </c>
      <c r="AT110" s="383" t="str">
        <f t="shared" si="14"/>
        <v/>
      </c>
      <c r="AU110" s="383" t="str">
        <f t="shared" si="14"/>
        <v/>
      </c>
      <c r="AV110" s="383" t="str">
        <f t="shared" si="14"/>
        <v/>
      </c>
      <c r="AW110" s="384" t="str">
        <f>IFERROR(VLOOKUP(Envoltória!$B115,Aux_Lista!$N$2:$T$7,AW$9,FALSE),"")</f>
        <v/>
      </c>
      <c r="AX110" s="384" t="str">
        <f>IFERROR(VLOOKUP(Envoltória!$B115,Aux_Lista!$N$2:$T$7,AX$9,FALSE),"")</f>
        <v/>
      </c>
      <c r="AY110" s="384" t="str">
        <f>IFERROR(VLOOKUP(Envoltória!$B115,Aux_Lista!$N$2:$T$7,AY$9,FALSE),"")</f>
        <v/>
      </c>
      <c r="AZ110" s="384" t="str">
        <f>IFERROR(VLOOKUP(Envoltória!$B115,Aux_Lista!$N$2:$T$7,AZ$9,FALSE),"")</f>
        <v/>
      </c>
      <c r="BA110" s="384" t="str">
        <f>IFERROR(VLOOKUP(Envoltória!$B115,Aux_Lista!$N$2:$T$7,BA$9,FALSE),"")</f>
        <v/>
      </c>
      <c r="BB110" s="384" t="str">
        <f>IFERROR(VLOOKUP(Envoltória!$B115,Aux_Lista!$N$2:$T$7,BB$9,FALSE),"")</f>
        <v/>
      </c>
      <c r="BC110" s="384" t="str">
        <f>IFERROR(VLOOKUP(Envoltória!$H115,Aux_Lista!$V$2:$X$3,BC$9,FALSE),"")</f>
        <v/>
      </c>
      <c r="BD110" s="384" t="str">
        <f>IFERROR(VLOOKUP(Envoltória!$H115,Aux_Lista!$V$2:$X$3,BD$9,FALSE),"")</f>
        <v/>
      </c>
      <c r="BE110" s="382">
        <f t="shared" si="11"/>
        <v>0</v>
      </c>
      <c r="BF110" s="382" t="str">
        <f>IFERROR(VLOOKUP(Envoltória!F115,CB3E_Envoltória!$BQ$18:$BR$19,2,FALSE),"")</f>
        <v/>
      </c>
      <c r="BG110" s="382" t="str">
        <f>IFERROR(VLOOKUP(Envoltória!$G115,$BQ$35:$BZ$43,BG$9,FALSE),"")</f>
        <v/>
      </c>
      <c r="BH110" s="382" t="str">
        <f>IFERROR(VLOOKUP(Envoltória!$G115,$BQ$35:$BZ$43,BH$9,FALSE),"")</f>
        <v/>
      </c>
      <c r="BI110" s="382" t="str">
        <f>IFERROR(VLOOKUP(Envoltória!$G115,$BQ$35:$BZ$43,BI$9,FALSE),"")</f>
        <v/>
      </c>
      <c r="BJ110" s="382" t="str">
        <f>IFERROR(VLOOKUP(Envoltória!$G115,$BQ$35:$BZ$43,BJ$9,FALSE),"")</f>
        <v/>
      </c>
      <c r="BK110" s="382" t="str">
        <f>IFERROR(VLOOKUP(Envoltória!$G115,$BQ$35:$BZ$43,BK$9,FALSE),"")</f>
        <v/>
      </c>
      <c r="BL110" s="382" t="str">
        <f>IFERROR(VLOOKUP(Envoltória!$G115,$BQ$35:$BZ$43,BL$9,FALSE),"")</f>
        <v/>
      </c>
      <c r="BM110" s="382" t="str">
        <f>IFERROR(VLOOKUP(Envoltória!$G115,$BQ$35:$BZ$43,BM$9,FALSE),"")</f>
        <v/>
      </c>
      <c r="BN110" s="382" t="str">
        <f>IFERROR(VLOOKUP(Envoltória!$G115,$BQ$35:$BZ$43,BN$9,FALSE),"")</f>
        <v/>
      </c>
      <c r="BO110" s="382" t="str">
        <f>IFERROR(VLOOKUP(Envoltória!$G115,$BQ$35:$BZ$43,BO$9,FALSE),"")</f>
        <v/>
      </c>
    </row>
    <row r="111" spans="1:67" x14ac:dyDescent="0.25">
      <c r="A111" s="1"/>
    </row>
  </sheetData>
  <mergeCells count="1">
    <mergeCell ref="AB9:AO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3000000}">
          <x14:formula1>
            <xm:f>Aux_Lista!$C$2:$C$3</xm:f>
          </x14:formula1>
          <xm:sqref>BE111:BE1048576</xm:sqref>
        </x14:dataValidation>
        <x14:dataValidation type="list" allowBlank="1" showInputMessage="1" showErrorMessage="1" xr:uid="{00000000-0002-0000-0100-000002000000}">
          <x14:formula1>
            <xm:f>Aux_Lista!$A$2:$A$11</xm:f>
          </x14:formula1>
          <xm:sqref>B111:B1048576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BA7E-9534-4E32-BE04-9277472A0C00}">
  <dimension ref="A1:AA854"/>
  <sheetViews>
    <sheetView workbookViewId="0">
      <selection activeCell="Q14" sqref="Q14"/>
    </sheetView>
  </sheetViews>
  <sheetFormatPr defaultColWidth="9.140625" defaultRowHeight="15" x14ac:dyDescent="0.25"/>
  <cols>
    <col min="1" max="16384" width="9.140625" style="21"/>
  </cols>
  <sheetData>
    <row r="1" spans="1:27" x14ac:dyDescent="0.25">
      <c r="A1" s="250" t="s">
        <v>205</v>
      </c>
      <c r="B1" s="250" t="s">
        <v>1691</v>
      </c>
      <c r="C1" s="250" t="s">
        <v>206</v>
      </c>
      <c r="D1" s="250" t="s">
        <v>3979</v>
      </c>
      <c r="E1" s="250" t="s">
        <v>373</v>
      </c>
      <c r="F1" s="250" t="s">
        <v>1918</v>
      </c>
      <c r="G1" s="250" t="s">
        <v>24</v>
      </c>
      <c r="H1" s="250" t="s">
        <v>219</v>
      </c>
      <c r="I1" s="250" t="s">
        <v>1715</v>
      </c>
      <c r="J1" s="250" t="s">
        <v>3847</v>
      </c>
      <c r="K1" s="250" t="s">
        <v>249</v>
      </c>
      <c r="L1" s="250" t="s">
        <v>1953</v>
      </c>
      <c r="M1" s="250" t="s">
        <v>2160</v>
      </c>
      <c r="N1" s="250" t="s">
        <v>29</v>
      </c>
      <c r="O1" s="250" t="s">
        <v>1738</v>
      </c>
      <c r="P1" s="250" t="s">
        <v>217</v>
      </c>
      <c r="Q1" s="250" t="s">
        <v>3845</v>
      </c>
      <c r="R1" s="250" t="s">
        <v>214</v>
      </c>
      <c r="S1" s="250" t="s">
        <v>227</v>
      </c>
      <c r="T1" s="250" t="s">
        <v>1642</v>
      </c>
      <c r="U1" s="250" t="s">
        <v>2173</v>
      </c>
      <c r="V1" s="250" t="s">
        <v>1669</v>
      </c>
      <c r="W1" s="250" t="s">
        <v>207</v>
      </c>
      <c r="X1" s="250" t="s">
        <v>27</v>
      </c>
      <c r="Y1" s="250" t="s">
        <v>56</v>
      </c>
      <c r="Z1" s="250" t="s">
        <v>233</v>
      </c>
      <c r="AA1" s="250" t="s">
        <v>1951</v>
      </c>
    </row>
    <row r="2" spans="1:27" x14ac:dyDescent="0.25">
      <c r="A2" s="21" t="s">
        <v>4665</v>
      </c>
      <c r="B2" s="21" t="s">
        <v>1998</v>
      </c>
      <c r="C2" s="21" t="s">
        <v>3945</v>
      </c>
      <c r="D2" s="21" t="s">
        <v>4179</v>
      </c>
      <c r="E2" s="21" t="s">
        <v>374</v>
      </c>
      <c r="F2" s="21" t="s">
        <v>4986</v>
      </c>
      <c r="G2" s="21" t="s">
        <v>23</v>
      </c>
      <c r="H2" s="21" t="s">
        <v>3254</v>
      </c>
      <c r="I2" s="21" t="s">
        <v>2497</v>
      </c>
      <c r="J2" s="21" t="s">
        <v>4205</v>
      </c>
      <c r="K2" s="21" t="s">
        <v>3173</v>
      </c>
      <c r="L2" s="21" t="s">
        <v>3121</v>
      </c>
      <c r="M2" s="21" t="s">
        <v>5422</v>
      </c>
      <c r="N2" s="21" t="s">
        <v>3917</v>
      </c>
      <c r="O2" s="21" t="s">
        <v>1998</v>
      </c>
      <c r="P2" s="21" t="s">
        <v>3852</v>
      </c>
      <c r="Q2" s="21" t="s">
        <v>4889</v>
      </c>
      <c r="R2" s="21" t="s">
        <v>2998</v>
      </c>
      <c r="S2" s="21" t="s">
        <v>2895</v>
      </c>
      <c r="T2" s="21" t="s">
        <v>4163</v>
      </c>
      <c r="U2" s="21" t="s">
        <v>5891</v>
      </c>
      <c r="V2" s="21" t="s">
        <v>1358</v>
      </c>
      <c r="W2" s="21" t="s">
        <v>1550</v>
      </c>
      <c r="X2" s="21" t="s">
        <v>1254</v>
      </c>
      <c r="Y2" s="21" t="s">
        <v>4831</v>
      </c>
      <c r="Z2" s="21" t="s">
        <v>3824</v>
      </c>
      <c r="AA2" s="21" t="s">
        <v>5007</v>
      </c>
    </row>
    <row r="3" spans="1:27" x14ac:dyDescent="0.25">
      <c r="A3" s="21" t="s">
        <v>4597</v>
      </c>
      <c r="B3" s="21" t="s">
        <v>2511</v>
      </c>
      <c r="C3" s="21" t="s">
        <v>4279</v>
      </c>
      <c r="D3" s="21" t="s">
        <v>4029</v>
      </c>
      <c r="E3" s="21" t="s">
        <v>5166</v>
      </c>
      <c r="F3" s="21" t="s">
        <v>5892</v>
      </c>
      <c r="H3" s="21" t="s">
        <v>1667</v>
      </c>
      <c r="I3" s="21" t="s">
        <v>2646</v>
      </c>
      <c r="J3" s="21" t="s">
        <v>5105</v>
      </c>
      <c r="K3" s="21" t="s">
        <v>3163</v>
      </c>
      <c r="L3" s="21" t="s">
        <v>2186</v>
      </c>
      <c r="M3" s="21" t="s">
        <v>1874</v>
      </c>
      <c r="N3" s="21" t="s">
        <v>4212</v>
      </c>
      <c r="O3" s="21" t="s">
        <v>4960</v>
      </c>
      <c r="P3" s="21" t="s">
        <v>2314</v>
      </c>
      <c r="Q3" s="21" t="s">
        <v>4512</v>
      </c>
      <c r="R3" s="21" t="s">
        <v>3667</v>
      </c>
      <c r="S3" s="21" t="s">
        <v>3080</v>
      </c>
      <c r="T3" s="21" t="s">
        <v>4169</v>
      </c>
      <c r="U3" s="21" t="s">
        <v>5264</v>
      </c>
      <c r="V3" s="21" t="s">
        <v>1697</v>
      </c>
      <c r="W3" s="21" t="s">
        <v>1113</v>
      </c>
      <c r="X3" s="21" t="s">
        <v>1384</v>
      </c>
      <c r="Y3" s="21" t="s">
        <v>5135</v>
      </c>
      <c r="Z3" s="21" t="s">
        <v>3361</v>
      </c>
      <c r="AA3" s="21" t="s">
        <v>4794</v>
      </c>
    </row>
    <row r="4" spans="1:27" x14ac:dyDescent="0.25">
      <c r="A4" s="21" t="s">
        <v>4717</v>
      </c>
      <c r="B4" s="21" t="s">
        <v>4909</v>
      </c>
      <c r="C4" s="21" t="s">
        <v>4044</v>
      </c>
      <c r="D4" s="21" t="s">
        <v>4227</v>
      </c>
      <c r="E4" s="21" t="s">
        <v>1805</v>
      </c>
      <c r="F4" s="21" t="s">
        <v>4052</v>
      </c>
      <c r="H4" s="21" t="s">
        <v>2211</v>
      </c>
      <c r="I4" s="21" t="s">
        <v>2703</v>
      </c>
      <c r="J4" s="21" t="s">
        <v>4056</v>
      </c>
      <c r="K4" s="21" t="s">
        <v>367</v>
      </c>
      <c r="L4" s="21" t="s">
        <v>3475</v>
      </c>
      <c r="M4" s="21" t="s">
        <v>5305</v>
      </c>
      <c r="N4" s="21" t="s">
        <v>4106</v>
      </c>
      <c r="O4" s="21" t="s">
        <v>2095</v>
      </c>
      <c r="P4" s="21" t="s">
        <v>2263</v>
      </c>
      <c r="Q4" s="21" t="s">
        <v>1998</v>
      </c>
      <c r="R4" s="21" t="s">
        <v>356</v>
      </c>
      <c r="S4" s="21" t="s">
        <v>1625</v>
      </c>
      <c r="T4" s="21" t="s">
        <v>3959</v>
      </c>
      <c r="U4" s="21" t="s">
        <v>2987</v>
      </c>
      <c r="V4" s="21" t="s">
        <v>2032</v>
      </c>
      <c r="W4" s="21" t="s">
        <v>1474</v>
      </c>
      <c r="X4" s="21" t="s">
        <v>1114</v>
      </c>
      <c r="Y4" s="21" t="s">
        <v>4839</v>
      </c>
      <c r="Z4" s="21" t="s">
        <v>3522</v>
      </c>
      <c r="AA4" s="21" t="s">
        <v>4789</v>
      </c>
    </row>
    <row r="5" spans="1:27" x14ac:dyDescent="0.25">
      <c r="A5" s="21" t="s">
        <v>4232</v>
      </c>
      <c r="B5" s="21" t="s">
        <v>3101</v>
      </c>
      <c r="C5" s="21" t="s">
        <v>4058</v>
      </c>
      <c r="D5" s="21" t="s">
        <v>4248</v>
      </c>
      <c r="E5" s="21" t="s">
        <v>3270</v>
      </c>
      <c r="F5" s="21" t="s">
        <v>5030</v>
      </c>
      <c r="H5" s="21" t="s">
        <v>3334</v>
      </c>
      <c r="I5" s="21" t="s">
        <v>2699</v>
      </c>
      <c r="J5" s="21" t="s">
        <v>3887</v>
      </c>
      <c r="K5" s="21" t="s">
        <v>377</v>
      </c>
      <c r="L5" s="21" t="s">
        <v>2188</v>
      </c>
      <c r="M5" s="21" t="s">
        <v>2335</v>
      </c>
      <c r="N5" s="21" t="s">
        <v>4041</v>
      </c>
      <c r="O5" s="21" t="s">
        <v>2056</v>
      </c>
      <c r="P5" s="21" t="s">
        <v>2158</v>
      </c>
      <c r="Q5" s="21" t="s">
        <v>5261</v>
      </c>
      <c r="R5" s="21" t="s">
        <v>345</v>
      </c>
      <c r="S5" s="21" t="s">
        <v>519</v>
      </c>
      <c r="T5" s="21" t="s">
        <v>4355</v>
      </c>
      <c r="U5" s="21" t="s">
        <v>5893</v>
      </c>
      <c r="V5" s="21" t="s">
        <v>365</v>
      </c>
      <c r="W5" s="21" t="s">
        <v>275</v>
      </c>
      <c r="X5" s="21" t="s">
        <v>1107</v>
      </c>
      <c r="Y5" s="21" t="s">
        <v>2315</v>
      </c>
      <c r="Z5" s="21" t="s">
        <v>722</v>
      </c>
      <c r="AA5" s="21" t="s">
        <v>4160</v>
      </c>
    </row>
    <row r="6" spans="1:27" x14ac:dyDescent="0.25">
      <c r="A6" s="21" t="s">
        <v>4610</v>
      </c>
      <c r="B6" s="21" t="s">
        <v>4896</v>
      </c>
      <c r="C6" s="21" t="s">
        <v>4704</v>
      </c>
      <c r="D6" s="21" t="s">
        <v>4065</v>
      </c>
      <c r="E6" s="21" t="s">
        <v>1840</v>
      </c>
      <c r="F6" s="21" t="s">
        <v>4372</v>
      </c>
      <c r="H6" s="21" t="s">
        <v>1812</v>
      </c>
      <c r="I6" s="21" t="s">
        <v>2159</v>
      </c>
      <c r="J6" s="21" t="s">
        <v>4679</v>
      </c>
      <c r="K6" s="21" t="s">
        <v>2374</v>
      </c>
      <c r="L6" s="21" t="s">
        <v>3318</v>
      </c>
      <c r="M6" s="21" t="s">
        <v>4674</v>
      </c>
      <c r="N6" s="21" t="s">
        <v>4951</v>
      </c>
      <c r="O6" s="21" t="s">
        <v>2062</v>
      </c>
      <c r="P6" s="21" t="s">
        <v>5124</v>
      </c>
      <c r="Q6" s="21" t="s">
        <v>5249</v>
      </c>
      <c r="R6" s="21" t="s">
        <v>550</v>
      </c>
      <c r="S6" s="21" t="s">
        <v>5894</v>
      </c>
      <c r="T6" s="21" t="s">
        <v>4335</v>
      </c>
      <c r="U6" s="21" t="s">
        <v>4756</v>
      </c>
      <c r="V6" s="21" t="s">
        <v>4005</v>
      </c>
      <c r="W6" s="21" t="s">
        <v>2897</v>
      </c>
      <c r="X6" s="21" t="s">
        <v>1446</v>
      </c>
      <c r="Y6" s="21" t="s">
        <v>4053</v>
      </c>
      <c r="Z6" s="21" t="s">
        <v>779</v>
      </c>
      <c r="AA6" s="21" t="s">
        <v>1009</v>
      </c>
    </row>
    <row r="7" spans="1:27" x14ac:dyDescent="0.25">
      <c r="A7" s="21" t="s">
        <v>1226</v>
      </c>
      <c r="B7" s="21" t="s">
        <v>2046</v>
      </c>
      <c r="C7" s="21" t="s">
        <v>4782</v>
      </c>
      <c r="D7" s="21" t="s">
        <v>3980</v>
      </c>
      <c r="E7" s="21" t="s">
        <v>2116</v>
      </c>
      <c r="F7" s="21" t="s">
        <v>4486</v>
      </c>
      <c r="H7" s="21" t="s">
        <v>4847</v>
      </c>
      <c r="I7" s="21" t="s">
        <v>2606</v>
      </c>
      <c r="J7" s="21" t="s">
        <v>4514</v>
      </c>
      <c r="K7" s="21" t="s">
        <v>1874</v>
      </c>
      <c r="L7" s="21" t="s">
        <v>3226</v>
      </c>
      <c r="M7" s="21" t="s">
        <v>2642</v>
      </c>
      <c r="N7" s="21" t="s">
        <v>4022</v>
      </c>
      <c r="O7" s="21" t="s">
        <v>1917</v>
      </c>
      <c r="P7" s="21" t="s">
        <v>2271</v>
      </c>
      <c r="Q7" s="21" t="s">
        <v>5362</v>
      </c>
      <c r="R7" s="21" t="s">
        <v>2987</v>
      </c>
      <c r="S7" s="21" t="s">
        <v>1598</v>
      </c>
      <c r="T7" s="21" t="s">
        <v>4318</v>
      </c>
      <c r="U7" s="21" t="s">
        <v>2042</v>
      </c>
      <c r="V7" s="21" t="s">
        <v>4276</v>
      </c>
      <c r="W7" s="21" t="s">
        <v>1553</v>
      </c>
      <c r="X7" s="21" t="s">
        <v>1357</v>
      </c>
      <c r="Y7" s="21" t="s">
        <v>4840</v>
      </c>
      <c r="Z7" s="21" t="s">
        <v>1580</v>
      </c>
      <c r="AA7" s="21" t="s">
        <v>4764</v>
      </c>
    </row>
    <row r="8" spans="1:27" x14ac:dyDescent="0.25">
      <c r="A8" s="21" t="s">
        <v>4721</v>
      </c>
      <c r="B8" s="21" t="s">
        <v>4553</v>
      </c>
      <c r="C8" s="21" t="s">
        <v>4174</v>
      </c>
      <c r="D8" s="21" t="s">
        <v>4250</v>
      </c>
      <c r="E8" s="21" t="s">
        <v>4168</v>
      </c>
      <c r="F8" s="21" t="s">
        <v>4984</v>
      </c>
      <c r="H8" s="21" t="s">
        <v>1047</v>
      </c>
      <c r="I8" s="21" t="s">
        <v>2645</v>
      </c>
      <c r="J8" s="21" t="s">
        <v>4636</v>
      </c>
      <c r="K8" s="21" t="s">
        <v>2783</v>
      </c>
      <c r="L8" s="21" t="s">
        <v>3245</v>
      </c>
      <c r="M8" s="21" t="s">
        <v>5416</v>
      </c>
      <c r="N8" s="21" t="s">
        <v>4510</v>
      </c>
      <c r="O8" s="21" t="s">
        <v>2099</v>
      </c>
      <c r="P8" s="21" t="s">
        <v>2062</v>
      </c>
      <c r="Q8" s="21" t="s">
        <v>4473</v>
      </c>
      <c r="R8" s="21" t="s">
        <v>2961</v>
      </c>
      <c r="S8" s="21" t="s">
        <v>3183</v>
      </c>
      <c r="T8" s="21" t="s">
        <v>3961</v>
      </c>
      <c r="U8" s="21" t="s">
        <v>2200</v>
      </c>
      <c r="V8" s="21" t="s">
        <v>4002</v>
      </c>
      <c r="W8" s="21" t="s">
        <v>1443</v>
      </c>
      <c r="X8" s="21" t="s">
        <v>968</v>
      </c>
      <c r="Y8" s="21" t="s">
        <v>5155</v>
      </c>
      <c r="Z8" s="21" t="s">
        <v>880</v>
      </c>
      <c r="AA8" s="21" t="s">
        <v>4771</v>
      </c>
    </row>
    <row r="9" spans="1:27" x14ac:dyDescent="0.25">
      <c r="A9" s="21" t="s">
        <v>4117</v>
      </c>
      <c r="B9" s="21" t="s">
        <v>28</v>
      </c>
      <c r="C9" s="21" t="s">
        <v>4170</v>
      </c>
      <c r="D9" s="21" t="s">
        <v>4231</v>
      </c>
      <c r="E9" s="21" t="s">
        <v>1616</v>
      </c>
      <c r="F9" s="21" t="s">
        <v>5104</v>
      </c>
      <c r="H9" s="21" t="s">
        <v>3107</v>
      </c>
      <c r="I9" s="21" t="s">
        <v>2681</v>
      </c>
      <c r="J9" s="21" t="s">
        <v>4435</v>
      </c>
      <c r="K9" s="21" t="s">
        <v>2127</v>
      </c>
      <c r="L9" s="21" t="s">
        <v>3726</v>
      </c>
      <c r="M9" s="21" t="s">
        <v>2176</v>
      </c>
      <c r="N9" s="21" t="s">
        <v>4356</v>
      </c>
      <c r="O9" s="21" t="s">
        <v>4827</v>
      </c>
      <c r="P9" s="21" t="s">
        <v>4810</v>
      </c>
      <c r="Q9" s="21" t="s">
        <v>5311</v>
      </c>
      <c r="R9" s="21" t="s">
        <v>3386</v>
      </c>
      <c r="S9" s="21" t="s">
        <v>3472</v>
      </c>
      <c r="T9" s="21" t="s">
        <v>4014</v>
      </c>
      <c r="U9" s="21" t="s">
        <v>4666</v>
      </c>
      <c r="V9" s="21" t="s">
        <v>4001</v>
      </c>
      <c r="W9" s="21" t="s">
        <v>1121</v>
      </c>
      <c r="X9" s="21" t="s">
        <v>1023</v>
      </c>
      <c r="Y9" s="21" t="s">
        <v>4850</v>
      </c>
      <c r="Z9" s="21" t="s">
        <v>3350</v>
      </c>
      <c r="AA9" s="21" t="s">
        <v>4220</v>
      </c>
    </row>
    <row r="10" spans="1:27" x14ac:dyDescent="0.25">
      <c r="A10" s="21" t="s">
        <v>5101</v>
      </c>
      <c r="B10" s="21" t="s">
        <v>5129</v>
      </c>
      <c r="C10" s="21" t="s">
        <v>5006</v>
      </c>
      <c r="D10" s="21" t="s">
        <v>4255</v>
      </c>
      <c r="E10" s="21" t="s">
        <v>1973</v>
      </c>
      <c r="F10" s="21" t="s">
        <v>4097</v>
      </c>
      <c r="H10" s="21" t="s">
        <v>1612</v>
      </c>
      <c r="I10" s="21" t="s">
        <v>2644</v>
      </c>
      <c r="J10" s="21" t="s">
        <v>4774</v>
      </c>
      <c r="K10" s="21" t="s">
        <v>1706</v>
      </c>
      <c r="L10" s="21" t="s">
        <v>2190</v>
      </c>
      <c r="M10" s="21" t="s">
        <v>4796</v>
      </c>
      <c r="N10" s="21" t="s">
        <v>3907</v>
      </c>
      <c r="O10" s="21" t="s">
        <v>886</v>
      </c>
      <c r="P10" s="21" t="s">
        <v>2169</v>
      </c>
      <c r="Q10" s="21" t="s">
        <v>4503</v>
      </c>
      <c r="R10" s="21" t="s">
        <v>3381</v>
      </c>
      <c r="S10" s="21" t="s">
        <v>3213</v>
      </c>
      <c r="T10" s="21" t="s">
        <v>4331</v>
      </c>
      <c r="U10" s="21" t="s">
        <v>4778</v>
      </c>
      <c r="V10" s="21" t="s">
        <v>3995</v>
      </c>
      <c r="W10" s="21" t="s">
        <v>1385</v>
      </c>
      <c r="X10" s="21" t="s">
        <v>931</v>
      </c>
      <c r="Y10" s="21" t="s">
        <v>2282</v>
      </c>
      <c r="Z10" s="21" t="s">
        <v>1562</v>
      </c>
      <c r="AA10" s="21" t="s">
        <v>4661</v>
      </c>
    </row>
    <row r="11" spans="1:27" x14ac:dyDescent="0.25">
      <c r="A11" s="21" t="s">
        <v>4354</v>
      </c>
      <c r="B11" s="21" t="s">
        <v>5204</v>
      </c>
      <c r="C11" s="21" t="s">
        <v>4268</v>
      </c>
      <c r="D11" s="21" t="s">
        <v>4464</v>
      </c>
      <c r="E11" s="21" t="s">
        <v>1746</v>
      </c>
      <c r="F11" s="21" t="s">
        <v>4371</v>
      </c>
      <c r="H11" s="21" t="s">
        <v>5895</v>
      </c>
      <c r="I11" s="21" t="s">
        <v>2430</v>
      </c>
      <c r="J11" s="21" t="s">
        <v>3982</v>
      </c>
      <c r="K11" s="21" t="s">
        <v>2649</v>
      </c>
      <c r="L11" s="21" t="s">
        <v>3295</v>
      </c>
      <c r="M11" s="21" t="s">
        <v>5464</v>
      </c>
      <c r="N11" s="21" t="s">
        <v>3916</v>
      </c>
      <c r="O11" s="21" t="s">
        <v>3458</v>
      </c>
      <c r="P11" s="21" t="s">
        <v>5120</v>
      </c>
      <c r="Q11" s="21" t="s">
        <v>4489</v>
      </c>
      <c r="R11" s="21" t="s">
        <v>3583</v>
      </c>
      <c r="S11" s="21" t="s">
        <v>335</v>
      </c>
      <c r="T11" s="21" t="s">
        <v>5108</v>
      </c>
      <c r="U11" s="21" t="s">
        <v>5299</v>
      </c>
      <c r="V11" s="21" t="s">
        <v>1670</v>
      </c>
      <c r="W11" s="21" t="s">
        <v>1358</v>
      </c>
      <c r="X11" s="21" t="s">
        <v>1430</v>
      </c>
      <c r="Y11" s="21" t="s">
        <v>5150</v>
      </c>
      <c r="Z11" s="21" t="s">
        <v>3342</v>
      </c>
      <c r="AA11" s="21" t="s">
        <v>5056</v>
      </c>
    </row>
    <row r="12" spans="1:27" x14ac:dyDescent="0.25">
      <c r="A12" s="21" t="s">
        <v>4198</v>
      </c>
      <c r="B12" s="21" t="s">
        <v>5216</v>
      </c>
      <c r="C12" s="21" t="s">
        <v>4051</v>
      </c>
      <c r="D12" s="21" t="s">
        <v>4251</v>
      </c>
      <c r="E12" s="21" t="s">
        <v>2026</v>
      </c>
      <c r="F12" s="21" t="s">
        <v>4159</v>
      </c>
      <c r="H12" s="21" t="s">
        <v>4864</v>
      </c>
      <c r="I12" s="21" t="s">
        <v>2168</v>
      </c>
      <c r="J12" s="21" t="s">
        <v>4240</v>
      </c>
      <c r="K12" s="21" t="s">
        <v>4875</v>
      </c>
      <c r="L12" s="21" t="s">
        <v>2139</v>
      </c>
      <c r="M12" s="21" t="s">
        <v>2738</v>
      </c>
      <c r="N12" s="21" t="s">
        <v>4167</v>
      </c>
      <c r="O12" s="21" t="s">
        <v>4939</v>
      </c>
      <c r="P12" s="21" t="s">
        <v>2170</v>
      </c>
      <c r="Q12" s="21" t="s">
        <v>5445</v>
      </c>
      <c r="R12" s="21" t="s">
        <v>3018</v>
      </c>
      <c r="S12" s="21" t="s">
        <v>3166</v>
      </c>
      <c r="T12" s="21" t="s">
        <v>4053</v>
      </c>
      <c r="U12" s="21" t="s">
        <v>4243</v>
      </c>
      <c r="V12" s="21" t="s">
        <v>1780</v>
      </c>
      <c r="W12" s="21" t="s">
        <v>1030</v>
      </c>
      <c r="X12" s="21" t="s">
        <v>1047</v>
      </c>
      <c r="Y12" s="21" t="s">
        <v>5189</v>
      </c>
      <c r="Z12" s="21" t="s">
        <v>2640</v>
      </c>
      <c r="AA12" s="21" t="s">
        <v>4938</v>
      </c>
    </row>
    <row r="13" spans="1:27" x14ac:dyDescent="0.25">
      <c r="A13" s="21" t="s">
        <v>5059</v>
      </c>
      <c r="B13" s="21" t="s">
        <v>2365</v>
      </c>
      <c r="C13" s="21" t="s">
        <v>5067</v>
      </c>
      <c r="D13" s="21" t="s">
        <v>4229</v>
      </c>
      <c r="E13" s="21" t="s">
        <v>1850</v>
      </c>
      <c r="F13" s="21" t="s">
        <v>3920</v>
      </c>
      <c r="H13" s="21" t="s">
        <v>1663</v>
      </c>
      <c r="I13" s="21" t="s">
        <v>2058</v>
      </c>
      <c r="J13" s="21" t="s">
        <v>4398</v>
      </c>
      <c r="K13" s="21" t="s">
        <v>378</v>
      </c>
      <c r="L13" s="21" t="s">
        <v>3349</v>
      </c>
      <c r="M13" s="21" t="s">
        <v>5386</v>
      </c>
      <c r="N13" s="21" t="s">
        <v>3963</v>
      </c>
      <c r="O13" s="21" t="s">
        <v>2085</v>
      </c>
      <c r="P13" s="21" t="s">
        <v>3923</v>
      </c>
      <c r="Q13" s="21" t="s">
        <v>5093</v>
      </c>
      <c r="R13" s="21" t="s">
        <v>1466</v>
      </c>
      <c r="S13" s="21" t="s">
        <v>1597</v>
      </c>
      <c r="T13" s="21" t="s">
        <v>3888</v>
      </c>
      <c r="U13" s="21" t="s">
        <v>4531</v>
      </c>
      <c r="V13" s="21" t="s">
        <v>3955</v>
      </c>
      <c r="W13" s="21" t="s">
        <v>1009</v>
      </c>
      <c r="X13" s="21" t="s">
        <v>1001</v>
      </c>
      <c r="Y13" s="21" t="s">
        <v>2302</v>
      </c>
      <c r="Z13" s="21" t="s">
        <v>3698</v>
      </c>
      <c r="AA13" s="21" t="s">
        <v>4773</v>
      </c>
    </row>
    <row r="14" spans="1:27" x14ac:dyDescent="0.25">
      <c r="A14" s="21" t="s">
        <v>4593</v>
      </c>
      <c r="B14" s="21" t="s">
        <v>2401</v>
      </c>
      <c r="C14" s="21" t="s">
        <v>4691</v>
      </c>
      <c r="D14" s="21" t="s">
        <v>4241</v>
      </c>
      <c r="E14" s="21" t="s">
        <v>2269</v>
      </c>
      <c r="F14" s="21" t="s">
        <v>4104</v>
      </c>
      <c r="H14" s="21" t="s">
        <v>394</v>
      </c>
      <c r="I14" s="21" t="s">
        <v>2378</v>
      </c>
      <c r="J14" s="21" t="s">
        <v>5074</v>
      </c>
      <c r="K14" s="21" t="s">
        <v>379</v>
      </c>
      <c r="L14" s="21" t="s">
        <v>5896</v>
      </c>
      <c r="M14" s="21" t="s">
        <v>5432</v>
      </c>
      <c r="N14" s="21" t="s">
        <v>4164</v>
      </c>
      <c r="O14" s="21" t="s">
        <v>1752</v>
      </c>
      <c r="P14" s="21" t="s">
        <v>2429</v>
      </c>
      <c r="Q14" s="21" t="s">
        <v>5356</v>
      </c>
      <c r="R14" s="21" t="s">
        <v>2944</v>
      </c>
      <c r="S14" s="21" t="s">
        <v>302</v>
      </c>
      <c r="T14" s="21" t="s">
        <v>4289</v>
      </c>
      <c r="U14" s="21" t="s">
        <v>4245</v>
      </c>
      <c r="V14" s="21" t="s">
        <v>3989</v>
      </c>
      <c r="W14" s="21" t="s">
        <v>1110</v>
      </c>
      <c r="X14" s="21" t="s">
        <v>1270</v>
      </c>
      <c r="Y14" s="21" t="s">
        <v>3314</v>
      </c>
      <c r="Z14" s="21" t="s">
        <v>1358</v>
      </c>
      <c r="AA14" s="21" t="s">
        <v>4387</v>
      </c>
    </row>
    <row r="15" spans="1:27" x14ac:dyDescent="0.25">
      <c r="A15" s="21" t="s">
        <v>4612</v>
      </c>
      <c r="B15" s="21" t="s">
        <v>803</v>
      </c>
      <c r="C15" s="21" t="s">
        <v>4956</v>
      </c>
      <c r="D15" s="21" t="s">
        <v>5005</v>
      </c>
      <c r="E15" s="21" t="s">
        <v>2266</v>
      </c>
      <c r="F15" s="21" t="s">
        <v>4185</v>
      </c>
      <c r="H15" s="21" t="s">
        <v>3165</v>
      </c>
      <c r="I15" s="21" t="s">
        <v>2676</v>
      </c>
      <c r="J15" s="21" t="s">
        <v>3857</v>
      </c>
      <c r="K15" s="21" t="s">
        <v>838</v>
      </c>
      <c r="L15" s="21" t="s">
        <v>3160</v>
      </c>
      <c r="M15" s="21" t="s">
        <v>5221</v>
      </c>
      <c r="N15" s="21" t="s">
        <v>4154</v>
      </c>
      <c r="O15" s="21" t="s">
        <v>2138</v>
      </c>
      <c r="P15" s="21" t="s">
        <v>2198</v>
      </c>
      <c r="Q15" s="21" t="s">
        <v>5323</v>
      </c>
      <c r="R15" s="21" t="s">
        <v>3420</v>
      </c>
      <c r="S15" s="21" t="s">
        <v>3320</v>
      </c>
      <c r="T15" s="21" t="s">
        <v>3886</v>
      </c>
      <c r="U15" s="21" t="s">
        <v>4237</v>
      </c>
      <c r="V15" s="21" t="s">
        <v>3966</v>
      </c>
      <c r="W15" s="21" t="s">
        <v>1402</v>
      </c>
      <c r="X15" s="21" t="s">
        <v>903</v>
      </c>
      <c r="Y15" s="21" t="s">
        <v>5151</v>
      </c>
      <c r="Z15" s="21" t="s">
        <v>833</v>
      </c>
      <c r="AA15" s="21" t="s">
        <v>4587</v>
      </c>
    </row>
    <row r="16" spans="1:27" x14ac:dyDescent="0.25">
      <c r="A16" s="21" t="s">
        <v>3992</v>
      </c>
      <c r="B16" s="21" t="s">
        <v>526</v>
      </c>
      <c r="C16" s="21" t="s">
        <v>4046</v>
      </c>
      <c r="D16" s="21" t="s">
        <v>4254</v>
      </c>
      <c r="E16" s="21" t="s">
        <v>5025</v>
      </c>
      <c r="F16" s="21" t="s">
        <v>4481</v>
      </c>
      <c r="H16" s="21" t="s">
        <v>3246</v>
      </c>
      <c r="I16" s="21" t="s">
        <v>2775</v>
      </c>
      <c r="J16" s="21" t="s">
        <v>4387</v>
      </c>
      <c r="K16" s="21" t="s">
        <v>3422</v>
      </c>
      <c r="L16" s="21" t="s">
        <v>3345</v>
      </c>
      <c r="M16" s="21" t="s">
        <v>5409</v>
      </c>
      <c r="N16" s="21" t="s">
        <v>3930</v>
      </c>
      <c r="O16" s="21" t="s">
        <v>1974</v>
      </c>
      <c r="P16" s="21" t="s">
        <v>2216</v>
      </c>
      <c r="Q16" s="21" t="s">
        <v>5404</v>
      </c>
      <c r="R16" s="21" t="s">
        <v>3143</v>
      </c>
      <c r="S16" s="21" t="s">
        <v>2917</v>
      </c>
      <c r="T16" s="21" t="s">
        <v>2090</v>
      </c>
      <c r="U16" s="21" t="s">
        <v>2195</v>
      </c>
      <c r="V16" s="21" t="s">
        <v>1685</v>
      </c>
      <c r="W16" s="21" t="s">
        <v>983</v>
      </c>
      <c r="X16" s="21" t="s">
        <v>386</v>
      </c>
      <c r="Y16" s="21" t="s">
        <v>4876</v>
      </c>
      <c r="Z16" s="21" t="s">
        <v>2797</v>
      </c>
      <c r="AA16" s="21" t="s">
        <v>4203</v>
      </c>
    </row>
    <row r="17" spans="1:27" x14ac:dyDescent="0.25">
      <c r="A17" s="21" t="s">
        <v>4569</v>
      </c>
      <c r="B17" s="21" t="s">
        <v>2156</v>
      </c>
      <c r="C17" s="21" t="s">
        <v>4189</v>
      </c>
      <c r="D17" s="21" t="s">
        <v>3985</v>
      </c>
      <c r="E17" s="21" t="s">
        <v>5376</v>
      </c>
      <c r="F17" s="21" t="s">
        <v>2012</v>
      </c>
      <c r="H17" s="21" t="s">
        <v>2946</v>
      </c>
      <c r="I17" s="21" t="s">
        <v>2495</v>
      </c>
      <c r="J17" s="21" t="s">
        <v>4145</v>
      </c>
      <c r="K17" s="21" t="s">
        <v>380</v>
      </c>
      <c r="L17" s="21" t="s">
        <v>1818</v>
      </c>
      <c r="M17" s="21" t="s">
        <v>5473</v>
      </c>
      <c r="N17" s="21" t="s">
        <v>4011</v>
      </c>
      <c r="O17" s="21" t="s">
        <v>2066</v>
      </c>
      <c r="P17" s="21" t="s">
        <v>5130</v>
      </c>
      <c r="Q17" s="21" t="s">
        <v>5109</v>
      </c>
      <c r="R17" s="21" t="s">
        <v>3075</v>
      </c>
      <c r="S17" s="21" t="s">
        <v>600</v>
      </c>
      <c r="T17" s="21" t="s">
        <v>4899</v>
      </c>
      <c r="U17" s="21" t="s">
        <v>4242</v>
      </c>
      <c r="W17" s="21" t="s">
        <v>1250</v>
      </c>
      <c r="X17" s="21" t="s">
        <v>1174</v>
      </c>
      <c r="Y17" s="21" t="s">
        <v>2303</v>
      </c>
      <c r="Z17" s="21" t="s">
        <v>3303</v>
      </c>
      <c r="AA17" s="21" t="s">
        <v>4401</v>
      </c>
    </row>
    <row r="18" spans="1:27" x14ac:dyDescent="0.25">
      <c r="A18" s="21" t="s">
        <v>4323</v>
      </c>
      <c r="B18" s="21" t="s">
        <v>2367</v>
      </c>
      <c r="C18" s="21" t="s">
        <v>4269</v>
      </c>
      <c r="E18" s="21" t="s">
        <v>3297</v>
      </c>
      <c r="F18" s="21" t="s">
        <v>4180</v>
      </c>
      <c r="H18" s="21" t="s">
        <v>1666</v>
      </c>
      <c r="I18" s="21" t="s">
        <v>2119</v>
      </c>
      <c r="J18" s="21" t="s">
        <v>4183</v>
      </c>
      <c r="K18" s="21" t="s">
        <v>381</v>
      </c>
      <c r="L18" s="21" t="s">
        <v>3707</v>
      </c>
      <c r="M18" s="21" t="s">
        <v>5467</v>
      </c>
      <c r="N18" s="21" t="s">
        <v>5021</v>
      </c>
      <c r="O18" s="21" t="s">
        <v>2023</v>
      </c>
      <c r="P18" s="21" t="s">
        <v>4910</v>
      </c>
      <c r="Q18" s="21" t="s">
        <v>3846</v>
      </c>
      <c r="R18" s="21" t="s">
        <v>1424</v>
      </c>
      <c r="S18" s="21" t="s">
        <v>2900</v>
      </c>
      <c r="T18" s="21" t="s">
        <v>3926</v>
      </c>
      <c r="U18" s="21" t="s">
        <v>5461</v>
      </c>
      <c r="W18" s="21" t="s">
        <v>977</v>
      </c>
      <c r="X18" s="21" t="s">
        <v>546</v>
      </c>
      <c r="Y18" s="21" t="s">
        <v>2362</v>
      </c>
      <c r="Z18" s="21" t="s">
        <v>2735</v>
      </c>
      <c r="AA18" s="21" t="s">
        <v>4620</v>
      </c>
    </row>
    <row r="19" spans="1:27" x14ac:dyDescent="0.25">
      <c r="A19" s="21" t="s">
        <v>4236</v>
      </c>
      <c r="B19" s="21" t="s">
        <v>2302</v>
      </c>
      <c r="C19" s="21" t="s">
        <v>4076</v>
      </c>
      <c r="E19" s="21" t="s">
        <v>3292</v>
      </c>
      <c r="F19" s="21" t="s">
        <v>4369</v>
      </c>
      <c r="H19" s="21" t="s">
        <v>3059</v>
      </c>
      <c r="I19" s="21" t="s">
        <v>2664</v>
      </c>
      <c r="J19" s="21" t="s">
        <v>4454</v>
      </c>
      <c r="K19" s="21" t="s">
        <v>4959</v>
      </c>
      <c r="L19" s="21" t="s">
        <v>3135</v>
      </c>
      <c r="M19" s="21" t="s">
        <v>4652</v>
      </c>
      <c r="N19" s="21" t="s">
        <v>3893</v>
      </c>
      <c r="O19" s="21" t="s">
        <v>1979</v>
      </c>
      <c r="P19" s="21" t="s">
        <v>2323</v>
      </c>
      <c r="Q19" s="21" t="s">
        <v>4040</v>
      </c>
      <c r="R19" s="21" t="s">
        <v>1748</v>
      </c>
      <c r="S19" s="21" t="s">
        <v>2982</v>
      </c>
      <c r="T19" s="21" t="s">
        <v>4102</v>
      </c>
      <c r="U19" s="21" t="s">
        <v>4559</v>
      </c>
      <c r="W19" s="21" t="s">
        <v>984</v>
      </c>
      <c r="X19" s="21" t="s">
        <v>2859</v>
      </c>
      <c r="Y19" s="21" t="s">
        <v>5146</v>
      </c>
      <c r="Z19" s="21" t="s">
        <v>3484</v>
      </c>
      <c r="AA19" s="21" t="s">
        <v>4281</v>
      </c>
    </row>
    <row r="20" spans="1:27" x14ac:dyDescent="0.25">
      <c r="A20" s="21" t="s">
        <v>4522</v>
      </c>
      <c r="B20" s="21" t="s">
        <v>2423</v>
      </c>
      <c r="C20" s="21" t="s">
        <v>4059</v>
      </c>
      <c r="E20" s="21" t="s">
        <v>2096</v>
      </c>
      <c r="F20" s="21" t="s">
        <v>4972</v>
      </c>
      <c r="H20" s="21" t="s">
        <v>1611</v>
      </c>
      <c r="I20" s="21" t="s">
        <v>2515</v>
      </c>
      <c r="J20" s="21" t="s">
        <v>3925</v>
      </c>
      <c r="K20" s="21" t="s">
        <v>2382</v>
      </c>
      <c r="L20" s="21" t="s">
        <v>2098</v>
      </c>
      <c r="M20" s="21" t="s">
        <v>4689</v>
      </c>
      <c r="N20" s="21" t="s">
        <v>28</v>
      </c>
      <c r="O20" s="21" t="s">
        <v>3892</v>
      </c>
      <c r="P20" s="21" t="s">
        <v>2274</v>
      </c>
      <c r="Q20" s="21" t="s">
        <v>5897</v>
      </c>
      <c r="R20" s="21" t="s">
        <v>630</v>
      </c>
      <c r="S20" s="21" t="s">
        <v>3416</v>
      </c>
      <c r="T20" s="21" t="s">
        <v>1318</v>
      </c>
      <c r="U20" s="21" t="s">
        <v>5898</v>
      </c>
      <c r="W20" s="21" t="s">
        <v>1008</v>
      </c>
      <c r="X20" s="21" t="s">
        <v>1225</v>
      </c>
      <c r="Y20" s="21" t="s">
        <v>5212</v>
      </c>
      <c r="Z20" s="21" t="s">
        <v>3692</v>
      </c>
      <c r="AA20" s="21" t="s">
        <v>4662</v>
      </c>
    </row>
    <row r="21" spans="1:27" x14ac:dyDescent="0.25">
      <c r="A21" s="21" t="s">
        <v>4594</v>
      </c>
      <c r="B21" s="21" t="s">
        <v>2402</v>
      </c>
      <c r="C21" s="21" t="s">
        <v>4098</v>
      </c>
      <c r="E21" s="21" t="s">
        <v>2157</v>
      </c>
      <c r="F21" s="21" t="s">
        <v>1129</v>
      </c>
      <c r="H21" s="21" t="s">
        <v>1608</v>
      </c>
      <c r="I21" s="21" t="s">
        <v>2810</v>
      </c>
      <c r="J21" s="21" t="s">
        <v>4644</v>
      </c>
      <c r="K21" s="21" t="s">
        <v>382</v>
      </c>
      <c r="L21" s="21" t="s">
        <v>2156</v>
      </c>
      <c r="M21" s="21" t="s">
        <v>5414</v>
      </c>
      <c r="N21" s="21" t="s">
        <v>4049</v>
      </c>
      <c r="O21" s="21" t="s">
        <v>2074</v>
      </c>
      <c r="P21" s="21" t="s">
        <v>5279</v>
      </c>
      <c r="Q21" s="21" t="s">
        <v>4574</v>
      </c>
      <c r="R21" s="21" t="s">
        <v>639</v>
      </c>
      <c r="S21" s="21" t="s">
        <v>2914</v>
      </c>
      <c r="T21" s="21" t="s">
        <v>2626</v>
      </c>
      <c r="U21" s="21" t="s">
        <v>4536</v>
      </c>
      <c r="W21" s="21" t="s">
        <v>545</v>
      </c>
      <c r="X21" s="21" t="s">
        <v>911</v>
      </c>
      <c r="Y21" s="21" t="s">
        <v>2345</v>
      </c>
      <c r="Z21" s="21" t="s">
        <v>3545</v>
      </c>
      <c r="AA21" s="21" t="s">
        <v>4761</v>
      </c>
    </row>
    <row r="22" spans="1:27" x14ac:dyDescent="0.25">
      <c r="A22" s="21" t="s">
        <v>4466</v>
      </c>
      <c r="B22" s="21" t="s">
        <v>2237</v>
      </c>
      <c r="C22" s="21" t="s">
        <v>4054</v>
      </c>
      <c r="E22" s="21" t="s">
        <v>1827</v>
      </c>
      <c r="F22" s="21" t="s">
        <v>5233</v>
      </c>
      <c r="H22" s="21" t="s">
        <v>376</v>
      </c>
      <c r="I22" s="21" t="s">
        <v>2817</v>
      </c>
      <c r="J22" s="21" t="s">
        <v>4017</v>
      </c>
      <c r="K22" s="21" t="s">
        <v>383</v>
      </c>
      <c r="L22" s="21" t="s">
        <v>3091</v>
      </c>
      <c r="M22" s="21" t="s">
        <v>4762</v>
      </c>
      <c r="N22" s="21" t="s">
        <v>3973</v>
      </c>
      <c r="O22" s="21" t="s">
        <v>2090</v>
      </c>
      <c r="P22" s="21" t="s">
        <v>1781</v>
      </c>
      <c r="Q22" s="21" t="s">
        <v>4994</v>
      </c>
      <c r="R22" s="21" t="s">
        <v>569</v>
      </c>
      <c r="S22" s="21" t="s">
        <v>520</v>
      </c>
      <c r="T22" s="21" t="s">
        <v>3895</v>
      </c>
      <c r="U22" s="21" t="s">
        <v>2501</v>
      </c>
      <c r="W22" s="21" t="s">
        <v>1232</v>
      </c>
      <c r="X22" s="21" t="s">
        <v>1284</v>
      </c>
      <c r="Y22" s="21" t="s">
        <v>2275</v>
      </c>
      <c r="Z22" s="21" t="s">
        <v>3362</v>
      </c>
      <c r="AA22" s="21" t="s">
        <v>4211</v>
      </c>
    </row>
    <row r="23" spans="1:27" x14ac:dyDescent="0.25">
      <c r="A23" s="21" t="s">
        <v>4751</v>
      </c>
      <c r="B23" s="21" t="s">
        <v>5168</v>
      </c>
      <c r="C23" s="21" t="s">
        <v>4296</v>
      </c>
      <c r="E23" s="21" t="s">
        <v>1986</v>
      </c>
      <c r="F23" s="21" t="s">
        <v>5045</v>
      </c>
      <c r="H23" s="21" t="s">
        <v>3283</v>
      </c>
      <c r="I23" s="21" t="s">
        <v>2592</v>
      </c>
      <c r="J23" s="21" t="s">
        <v>3939</v>
      </c>
      <c r="K23" s="21" t="s">
        <v>737</v>
      </c>
      <c r="L23" s="21" t="s">
        <v>2835</v>
      </c>
      <c r="M23" s="21" t="s">
        <v>2201</v>
      </c>
      <c r="N23" s="21" t="s">
        <v>4208</v>
      </c>
      <c r="O23" s="21" t="s">
        <v>2101</v>
      </c>
      <c r="P23" s="21" t="s">
        <v>5165</v>
      </c>
      <c r="Q23" s="21" t="s">
        <v>4526</v>
      </c>
      <c r="R23" s="21" t="s">
        <v>1752</v>
      </c>
      <c r="S23" s="21" t="s">
        <v>2876</v>
      </c>
      <c r="T23" s="21" t="s">
        <v>3977</v>
      </c>
      <c r="U23" s="21" t="s">
        <v>4244</v>
      </c>
      <c r="W23" s="21" t="s">
        <v>987</v>
      </c>
      <c r="X23" s="21" t="s">
        <v>271</v>
      </c>
      <c r="Y23" s="21" t="s">
        <v>5167</v>
      </c>
      <c r="Z23" s="21" t="s">
        <v>886</v>
      </c>
      <c r="AA23" s="21" t="s">
        <v>4557</v>
      </c>
    </row>
    <row r="24" spans="1:27" x14ac:dyDescent="0.25">
      <c r="B24" s="21" t="s">
        <v>4897</v>
      </c>
      <c r="C24" s="21" t="s">
        <v>4312</v>
      </c>
      <c r="E24" s="21" t="s">
        <v>5899</v>
      </c>
      <c r="F24" s="21" t="s">
        <v>5096</v>
      </c>
      <c r="H24" s="21" t="s">
        <v>2260</v>
      </c>
      <c r="I24" s="21" t="s">
        <v>5466</v>
      </c>
      <c r="J24" s="21" t="s">
        <v>4093</v>
      </c>
      <c r="K24" s="21" t="s">
        <v>730</v>
      </c>
      <c r="L24" s="21" t="s">
        <v>2187</v>
      </c>
      <c r="M24" s="21" t="s">
        <v>2192</v>
      </c>
      <c r="N24" s="21" t="s">
        <v>1818</v>
      </c>
      <c r="O24" s="21" t="s">
        <v>1832</v>
      </c>
      <c r="P24" s="21" t="s">
        <v>2234</v>
      </c>
      <c r="Q24" s="21" t="s">
        <v>4553</v>
      </c>
      <c r="R24" s="21" t="s">
        <v>314</v>
      </c>
      <c r="S24" s="21" t="s">
        <v>3030</v>
      </c>
      <c r="T24" s="21" t="s">
        <v>5327</v>
      </c>
      <c r="U24" s="21" t="s">
        <v>5072</v>
      </c>
      <c r="W24" s="21" t="s">
        <v>1095</v>
      </c>
      <c r="X24" s="21" t="s">
        <v>1195</v>
      </c>
      <c r="Y24" s="21" t="s">
        <v>5152</v>
      </c>
      <c r="Z24" s="21" t="s">
        <v>761</v>
      </c>
      <c r="AA24" s="21" t="s">
        <v>5014</v>
      </c>
    </row>
    <row r="25" spans="1:27" x14ac:dyDescent="0.25">
      <c r="B25" s="21" t="s">
        <v>4870</v>
      </c>
      <c r="C25" s="21" t="s">
        <v>3938</v>
      </c>
      <c r="E25" s="21" t="s">
        <v>2333</v>
      </c>
      <c r="F25" s="21" t="s">
        <v>4080</v>
      </c>
      <c r="H25" s="21" t="s">
        <v>3289</v>
      </c>
      <c r="I25" s="21" t="s">
        <v>2447</v>
      </c>
      <c r="J25" s="21" t="s">
        <v>4705</v>
      </c>
      <c r="K25" s="21" t="s">
        <v>384</v>
      </c>
      <c r="L25" s="21" t="s">
        <v>2725</v>
      </c>
      <c r="M25" s="21" t="s">
        <v>2189</v>
      </c>
      <c r="N25" s="21" t="s">
        <v>3998</v>
      </c>
      <c r="O25" s="21" t="s">
        <v>2046</v>
      </c>
      <c r="P25" s="21" t="s">
        <v>335</v>
      </c>
      <c r="Q25" s="21" t="s">
        <v>4390</v>
      </c>
      <c r="R25" s="21" t="s">
        <v>572</v>
      </c>
      <c r="S25" s="21" t="s">
        <v>3082</v>
      </c>
      <c r="T25" s="21" t="s">
        <v>4962</v>
      </c>
      <c r="U25" s="21" t="s">
        <v>2437</v>
      </c>
      <c r="W25" s="21" t="s">
        <v>1399</v>
      </c>
      <c r="X25" s="21" t="s">
        <v>1136</v>
      </c>
      <c r="Y25" s="21" t="s">
        <v>2353</v>
      </c>
      <c r="Z25" s="21" t="s">
        <v>3832</v>
      </c>
      <c r="AA25" s="21" t="s">
        <v>4206</v>
      </c>
    </row>
    <row r="26" spans="1:27" x14ac:dyDescent="0.25">
      <c r="B26" s="21" t="s">
        <v>5123</v>
      </c>
      <c r="C26" s="21" t="s">
        <v>4377</v>
      </c>
      <c r="E26" s="21" t="s">
        <v>2030</v>
      </c>
      <c r="F26" s="21" t="s">
        <v>1919</v>
      </c>
      <c r="H26" s="21" t="s">
        <v>1710</v>
      </c>
      <c r="I26" s="21" t="s">
        <v>2589</v>
      </c>
      <c r="J26" s="21" t="s">
        <v>5062</v>
      </c>
      <c r="K26" s="21" t="s">
        <v>1797</v>
      </c>
      <c r="L26" s="21" t="s">
        <v>3440</v>
      </c>
      <c r="M26" s="21" t="s">
        <v>4671</v>
      </c>
      <c r="N26" s="21" t="s">
        <v>4131</v>
      </c>
      <c r="O26" s="21" t="s">
        <v>4817</v>
      </c>
      <c r="P26" s="21" t="s">
        <v>1818</v>
      </c>
      <c r="Q26" s="21" t="s">
        <v>5244</v>
      </c>
      <c r="R26" s="21" t="s">
        <v>3232</v>
      </c>
      <c r="S26" s="21" t="s">
        <v>3098</v>
      </c>
      <c r="T26" s="21" t="s">
        <v>3913</v>
      </c>
      <c r="U26" s="21" t="s">
        <v>5900</v>
      </c>
      <c r="W26" s="21" t="s">
        <v>913</v>
      </c>
      <c r="X26" s="21" t="s">
        <v>1129</v>
      </c>
      <c r="Y26" s="21" t="s">
        <v>4914</v>
      </c>
      <c r="Z26" s="21" t="s">
        <v>824</v>
      </c>
      <c r="AA26" s="21" t="s">
        <v>4208</v>
      </c>
    </row>
    <row r="27" spans="1:27" x14ac:dyDescent="0.25">
      <c r="B27" s="21" t="s">
        <v>2424</v>
      </c>
      <c r="C27" s="21" t="s">
        <v>2968</v>
      </c>
      <c r="E27" s="21" t="s">
        <v>4071</v>
      </c>
      <c r="F27" s="21" t="s">
        <v>4467</v>
      </c>
      <c r="H27" s="21" t="s">
        <v>1657</v>
      </c>
      <c r="I27" s="21" t="s">
        <v>2811</v>
      </c>
      <c r="J27" s="21" t="s">
        <v>4596</v>
      </c>
      <c r="K27" s="21" t="s">
        <v>300</v>
      </c>
      <c r="L27" s="21" t="s">
        <v>2846</v>
      </c>
      <c r="M27" s="21" t="s">
        <v>2350</v>
      </c>
      <c r="N27" s="21" t="s">
        <v>4611</v>
      </c>
      <c r="O27" s="21" t="s">
        <v>28</v>
      </c>
      <c r="P27" s="21" t="s">
        <v>2217</v>
      </c>
      <c r="Q27" s="21" t="s">
        <v>4608</v>
      </c>
      <c r="R27" s="21" t="s">
        <v>3056</v>
      </c>
      <c r="S27" s="21" t="s">
        <v>2954</v>
      </c>
      <c r="T27" s="21" t="s">
        <v>1985</v>
      </c>
      <c r="U27" s="21" t="s">
        <v>4710</v>
      </c>
      <c r="W27" s="21" t="s">
        <v>1185</v>
      </c>
      <c r="X27" s="21" t="s">
        <v>1224</v>
      </c>
      <c r="Y27" s="21" t="s">
        <v>5162</v>
      </c>
      <c r="Z27" s="21" t="s">
        <v>790</v>
      </c>
      <c r="AA27" s="21" t="s">
        <v>4226</v>
      </c>
    </row>
    <row r="28" spans="1:27" x14ac:dyDescent="0.25">
      <c r="B28" s="21" t="s">
        <v>2400</v>
      </c>
      <c r="C28" s="21" t="s">
        <v>5035</v>
      </c>
      <c r="E28" s="21" t="s">
        <v>1705</v>
      </c>
      <c r="F28" s="21" t="s">
        <v>2146</v>
      </c>
      <c r="H28" s="21" t="s">
        <v>2882</v>
      </c>
      <c r="I28" s="21" t="s">
        <v>5428</v>
      </c>
      <c r="J28" s="21" t="s">
        <v>3867</v>
      </c>
      <c r="K28" s="21" t="s">
        <v>706</v>
      </c>
      <c r="L28" s="21" t="s">
        <v>2149</v>
      </c>
      <c r="M28" s="21" t="s">
        <v>4256</v>
      </c>
      <c r="N28" s="21" t="s">
        <v>4019</v>
      </c>
      <c r="O28" s="21" t="s">
        <v>4292</v>
      </c>
      <c r="P28" s="21" t="s">
        <v>2626</v>
      </c>
      <c r="Q28" s="21" t="s">
        <v>5330</v>
      </c>
      <c r="R28" s="21" t="s">
        <v>3432</v>
      </c>
      <c r="S28" s="21" t="s">
        <v>321</v>
      </c>
      <c r="T28" s="21" t="s">
        <v>4326</v>
      </c>
      <c r="U28" s="21" t="s">
        <v>4426</v>
      </c>
      <c r="W28" s="21" t="s">
        <v>1276</v>
      </c>
      <c r="X28" s="21" t="s">
        <v>2871</v>
      </c>
      <c r="Y28" s="21" t="s">
        <v>4820</v>
      </c>
      <c r="Z28" s="21" t="s">
        <v>3449</v>
      </c>
      <c r="AA28" s="21" t="s">
        <v>4757</v>
      </c>
    </row>
    <row r="29" spans="1:27" x14ac:dyDescent="0.25">
      <c r="B29" s="21" t="s">
        <v>1721</v>
      </c>
      <c r="C29" s="21" t="s">
        <v>5170</v>
      </c>
      <c r="E29" s="21" t="s">
        <v>1848</v>
      </c>
      <c r="F29" s="21" t="s">
        <v>3896</v>
      </c>
      <c r="H29" s="21" t="s">
        <v>3315</v>
      </c>
      <c r="I29" s="21" t="s">
        <v>2743</v>
      </c>
      <c r="J29" s="21" t="s">
        <v>4533</v>
      </c>
      <c r="K29" s="21" t="s">
        <v>353</v>
      </c>
      <c r="L29" s="21" t="s">
        <v>4987</v>
      </c>
      <c r="M29" s="21" t="s">
        <v>4730</v>
      </c>
      <c r="N29" s="21" t="s">
        <v>3999</v>
      </c>
      <c r="O29" s="21" t="s">
        <v>4304</v>
      </c>
      <c r="P29" s="21" t="s">
        <v>2241</v>
      </c>
      <c r="Q29" s="21" t="s">
        <v>5196</v>
      </c>
      <c r="R29" s="21" t="s">
        <v>3101</v>
      </c>
      <c r="S29" s="21" t="s">
        <v>1635</v>
      </c>
      <c r="T29" s="21" t="s">
        <v>3997</v>
      </c>
      <c r="U29" s="21" t="s">
        <v>4654</v>
      </c>
      <c r="W29" s="21" t="s">
        <v>2868</v>
      </c>
      <c r="X29" s="21" t="s">
        <v>1188</v>
      </c>
      <c r="Y29" s="21" t="s">
        <v>4948</v>
      </c>
      <c r="Z29" s="21" t="s">
        <v>3458</v>
      </c>
      <c r="AA29" s="21" t="s">
        <v>4558</v>
      </c>
    </row>
    <row r="30" spans="1:27" x14ac:dyDescent="0.25">
      <c r="B30" s="21" t="s">
        <v>2361</v>
      </c>
      <c r="C30" s="21" t="s">
        <v>4085</v>
      </c>
      <c r="E30" s="21" t="s">
        <v>1932</v>
      </c>
      <c r="F30" s="21" t="s">
        <v>4121</v>
      </c>
      <c r="H30" s="21" t="s">
        <v>1719</v>
      </c>
      <c r="I30" s="21" t="s">
        <v>2627</v>
      </c>
      <c r="J30" s="21" t="s">
        <v>5177</v>
      </c>
      <c r="K30" s="21" t="s">
        <v>818</v>
      </c>
      <c r="L30" s="21" t="s">
        <v>3161</v>
      </c>
      <c r="M30" s="21" t="s">
        <v>5020</v>
      </c>
      <c r="N30" s="21" t="s">
        <v>4078</v>
      </c>
      <c r="O30" s="21" t="s">
        <v>5193</v>
      </c>
      <c r="P30" s="21" t="s">
        <v>4811</v>
      </c>
      <c r="Q30" s="21" t="s">
        <v>4562</v>
      </c>
      <c r="R30" s="21" t="s">
        <v>268</v>
      </c>
      <c r="S30" s="21" t="s">
        <v>279</v>
      </c>
      <c r="T30" s="21" t="s">
        <v>3901</v>
      </c>
      <c r="U30" s="21" t="s">
        <v>5901</v>
      </c>
      <c r="W30" s="21" t="s">
        <v>1463</v>
      </c>
      <c r="X30" s="21" t="s">
        <v>1222</v>
      </c>
      <c r="Y30" s="21" t="s">
        <v>5160</v>
      </c>
      <c r="Z30" s="21" t="s">
        <v>5902</v>
      </c>
      <c r="AA30" s="21" t="s">
        <v>1067</v>
      </c>
    </row>
    <row r="31" spans="1:27" x14ac:dyDescent="0.25">
      <c r="B31" s="21" t="s">
        <v>4843</v>
      </c>
      <c r="C31" s="21" t="s">
        <v>4429</v>
      </c>
      <c r="E31" s="21" t="s">
        <v>4525</v>
      </c>
      <c r="F31" s="21" t="s">
        <v>5012</v>
      </c>
      <c r="H31" s="21" t="s">
        <v>3216</v>
      </c>
      <c r="I31" s="21" t="s">
        <v>5470</v>
      </c>
      <c r="J31" s="21" t="s">
        <v>5022</v>
      </c>
      <c r="K31" s="21" t="s">
        <v>385</v>
      </c>
      <c r="L31" s="21" t="s">
        <v>3280</v>
      </c>
      <c r="M31" s="21" t="s">
        <v>4731</v>
      </c>
      <c r="N31" s="21" t="s">
        <v>3842</v>
      </c>
      <c r="O31" s="21" t="s">
        <v>2032</v>
      </c>
      <c r="P31" s="21" t="s">
        <v>2651</v>
      </c>
      <c r="Q31" s="21" t="s">
        <v>3499</v>
      </c>
      <c r="R31" s="21" t="s">
        <v>2139</v>
      </c>
      <c r="S31" s="21" t="s">
        <v>2889</v>
      </c>
      <c r="T31" s="21" t="s">
        <v>4115</v>
      </c>
      <c r="U31" s="21" t="s">
        <v>4421</v>
      </c>
      <c r="W31" s="21" t="s">
        <v>1558</v>
      </c>
      <c r="X31" s="21" t="s">
        <v>2942</v>
      </c>
      <c r="Y31" s="21" t="s">
        <v>5903</v>
      </c>
      <c r="Z31" s="21" t="s">
        <v>1588</v>
      </c>
      <c r="AA31" s="21" t="s">
        <v>4332</v>
      </c>
    </row>
    <row r="32" spans="1:27" x14ac:dyDescent="0.25">
      <c r="B32" s="21" t="s">
        <v>5180</v>
      </c>
      <c r="C32" s="21" t="s">
        <v>3397</v>
      </c>
      <c r="E32" s="21" t="s">
        <v>1994</v>
      </c>
      <c r="F32" s="21" t="s">
        <v>5273</v>
      </c>
      <c r="H32" s="21" t="s">
        <v>1614</v>
      </c>
      <c r="I32" s="21" t="s">
        <v>2301</v>
      </c>
      <c r="J32" s="21" t="s">
        <v>4079</v>
      </c>
      <c r="K32" s="21" t="s">
        <v>1846</v>
      </c>
      <c r="L32" s="21" t="s">
        <v>2989</v>
      </c>
      <c r="M32" s="21" t="s">
        <v>4432</v>
      </c>
      <c r="N32" s="21" t="s">
        <v>4037</v>
      </c>
      <c r="O32" s="21" t="s">
        <v>1318</v>
      </c>
      <c r="P32" s="21" t="s">
        <v>5142</v>
      </c>
      <c r="Q32" s="21" t="s">
        <v>1318</v>
      </c>
      <c r="R32" s="21" t="s">
        <v>2953</v>
      </c>
      <c r="S32" s="21" t="s">
        <v>3026</v>
      </c>
      <c r="T32" s="21" t="s">
        <v>2027</v>
      </c>
      <c r="U32" s="21" t="s">
        <v>2499</v>
      </c>
      <c r="W32" s="21" t="s">
        <v>1061</v>
      </c>
      <c r="X32" s="21" t="s">
        <v>5904</v>
      </c>
      <c r="Y32" s="21" t="s">
        <v>5174</v>
      </c>
      <c r="Z32" s="21" t="s">
        <v>860</v>
      </c>
      <c r="AA32" s="21" t="s">
        <v>4800</v>
      </c>
    </row>
    <row r="33" spans="2:27" x14ac:dyDescent="0.25">
      <c r="B33" s="21" t="s">
        <v>5208</v>
      </c>
      <c r="C33" s="21" t="s">
        <v>3406</v>
      </c>
      <c r="E33" s="21" t="s">
        <v>3326</v>
      </c>
      <c r="F33" s="21" t="s">
        <v>4140</v>
      </c>
      <c r="H33" s="21" t="s">
        <v>3279</v>
      </c>
      <c r="I33" s="21" t="s">
        <v>2508</v>
      </c>
      <c r="J33" s="21" t="s">
        <v>4653</v>
      </c>
      <c r="K33" s="21" t="s">
        <v>386</v>
      </c>
      <c r="L33" s="21" t="s">
        <v>3310</v>
      </c>
      <c r="M33" s="21" t="s">
        <v>4678</v>
      </c>
      <c r="N33" s="21" t="s">
        <v>3988</v>
      </c>
      <c r="O33" s="21" t="s">
        <v>398</v>
      </c>
      <c r="P33" s="21" t="s">
        <v>5037</v>
      </c>
      <c r="Q33" s="21" t="s">
        <v>4476</v>
      </c>
      <c r="R33" s="21" t="s">
        <v>3410</v>
      </c>
      <c r="S33" s="21" t="s">
        <v>3072</v>
      </c>
      <c r="T33" s="21" t="s">
        <v>4352</v>
      </c>
      <c r="U33" s="21" t="s">
        <v>4515</v>
      </c>
      <c r="W33" s="21" t="s">
        <v>1303</v>
      </c>
      <c r="X33" s="21" t="s">
        <v>1183</v>
      </c>
      <c r="Y33" s="21" t="s">
        <v>4844</v>
      </c>
      <c r="Z33" s="21" t="s">
        <v>3524</v>
      </c>
      <c r="AA33" s="21" t="s">
        <v>4738</v>
      </c>
    </row>
    <row r="34" spans="2:27" x14ac:dyDescent="0.25">
      <c r="B34" s="21" t="s">
        <v>2371</v>
      </c>
      <c r="C34" s="21" t="s">
        <v>4020</v>
      </c>
      <c r="E34" s="21" t="s">
        <v>5384</v>
      </c>
      <c r="F34" s="21" t="s">
        <v>5046</v>
      </c>
      <c r="H34" s="21" t="s">
        <v>1750</v>
      </c>
      <c r="I34" s="21" t="s">
        <v>5455</v>
      </c>
      <c r="J34" s="21" t="s">
        <v>4016</v>
      </c>
      <c r="K34" s="21" t="s">
        <v>1644</v>
      </c>
      <c r="L34" s="21" t="s">
        <v>2870</v>
      </c>
      <c r="M34" s="21" t="s">
        <v>4646</v>
      </c>
      <c r="N34" s="21" t="s">
        <v>4128</v>
      </c>
      <c r="O34" s="21" t="s">
        <v>2377</v>
      </c>
      <c r="P34" s="21" t="s">
        <v>1067</v>
      </c>
      <c r="Q34" s="21" t="s">
        <v>5451</v>
      </c>
      <c r="R34" s="21" t="s">
        <v>1170</v>
      </c>
      <c r="S34" s="21" t="s">
        <v>3115</v>
      </c>
      <c r="T34" s="21" t="s">
        <v>4339</v>
      </c>
      <c r="U34" s="21" t="s">
        <v>5282</v>
      </c>
      <c r="W34" s="21" t="s">
        <v>1520</v>
      </c>
      <c r="X34" s="21" t="s">
        <v>1169</v>
      </c>
      <c r="Y34" s="21" t="s">
        <v>5134</v>
      </c>
      <c r="Z34" s="21" t="s">
        <v>703</v>
      </c>
      <c r="AA34" s="21" t="s">
        <v>4577</v>
      </c>
    </row>
    <row r="35" spans="2:27" x14ac:dyDescent="0.25">
      <c r="B35" s="21" t="s">
        <v>2397</v>
      </c>
      <c r="C35" s="21" t="s">
        <v>4042</v>
      </c>
      <c r="E35" s="21" t="s">
        <v>625</v>
      </c>
      <c r="F35" s="21" t="s">
        <v>4194</v>
      </c>
      <c r="H35" s="21" t="s">
        <v>3262</v>
      </c>
      <c r="I35" s="21" t="s">
        <v>3155</v>
      </c>
      <c r="J35" s="21" t="s">
        <v>335</v>
      </c>
      <c r="K35" s="21" t="s">
        <v>3092</v>
      </c>
      <c r="L35" s="21" t="s">
        <v>3139</v>
      </c>
      <c r="M35" s="21" t="s">
        <v>2854</v>
      </c>
      <c r="N35" s="21" t="s">
        <v>3106</v>
      </c>
      <c r="O35" s="21" t="s">
        <v>2822</v>
      </c>
      <c r="P35" s="21" t="s">
        <v>218</v>
      </c>
      <c r="Q35" s="21" t="s">
        <v>4568</v>
      </c>
      <c r="R35" s="21" t="s">
        <v>5905</v>
      </c>
      <c r="S35" s="21" t="s">
        <v>629</v>
      </c>
      <c r="T35" s="21" t="s">
        <v>4362</v>
      </c>
      <c r="U35" s="21" t="s">
        <v>5039</v>
      </c>
      <c r="W35" s="21" t="s">
        <v>939</v>
      </c>
      <c r="X35" s="21" t="s">
        <v>2890</v>
      </c>
      <c r="Y35" s="21" t="s">
        <v>5173</v>
      </c>
      <c r="Z35" s="21" t="s">
        <v>3662</v>
      </c>
      <c r="AA35" s="21" t="s">
        <v>4585</v>
      </c>
    </row>
    <row r="36" spans="2:27" x14ac:dyDescent="0.25">
      <c r="B36" s="21" t="s">
        <v>5176</v>
      </c>
      <c r="C36" s="21" t="s">
        <v>4498</v>
      </c>
      <c r="E36" s="21" t="s">
        <v>2105</v>
      </c>
      <c r="F36" s="21" t="s">
        <v>4187</v>
      </c>
      <c r="H36" s="21" t="s">
        <v>2341</v>
      </c>
      <c r="I36" s="21" t="s">
        <v>2557</v>
      </c>
      <c r="J36" s="21" t="s">
        <v>4177</v>
      </c>
      <c r="K36" s="21" t="s">
        <v>2635</v>
      </c>
      <c r="L36" s="21" t="s">
        <v>2153</v>
      </c>
      <c r="M36" s="21" t="s">
        <v>4690</v>
      </c>
      <c r="N36" s="21" t="s">
        <v>4087</v>
      </c>
      <c r="O36" s="21" t="s">
        <v>2075</v>
      </c>
      <c r="P36" s="21" t="s">
        <v>1798</v>
      </c>
      <c r="Q36" s="21" t="s">
        <v>4633</v>
      </c>
      <c r="R36" s="21" t="s">
        <v>1595</v>
      </c>
      <c r="S36" s="21" t="s">
        <v>2952</v>
      </c>
      <c r="T36" s="21" t="s">
        <v>4392</v>
      </c>
      <c r="U36" s="21" t="s">
        <v>4729</v>
      </c>
      <c r="W36" s="21" t="s">
        <v>3396</v>
      </c>
      <c r="X36" s="21" t="s">
        <v>1524</v>
      </c>
      <c r="Y36" s="21" t="s">
        <v>2297</v>
      </c>
      <c r="Z36" s="21" t="s">
        <v>762</v>
      </c>
      <c r="AA36" s="21" t="s">
        <v>1486</v>
      </c>
    </row>
    <row r="37" spans="2:27" x14ac:dyDescent="0.25">
      <c r="B37" s="21" t="s">
        <v>2405</v>
      </c>
      <c r="C37" s="21" t="s">
        <v>4068</v>
      </c>
      <c r="E37" s="21" t="s">
        <v>2327</v>
      </c>
      <c r="F37" s="21" t="s">
        <v>2117</v>
      </c>
      <c r="H37" s="21" t="s">
        <v>1674</v>
      </c>
      <c r="I37" s="21" t="s">
        <v>4263</v>
      </c>
      <c r="J37" s="21" t="s">
        <v>4601</v>
      </c>
      <c r="K37" s="21" t="s">
        <v>387</v>
      </c>
      <c r="L37" s="21" t="s">
        <v>3071</v>
      </c>
      <c r="M37" s="21" t="s">
        <v>5906</v>
      </c>
      <c r="N37" s="21" t="s">
        <v>4129</v>
      </c>
      <c r="O37" s="21" t="s">
        <v>4293</v>
      </c>
      <c r="P37" s="21" t="s">
        <v>3081</v>
      </c>
      <c r="Q37" s="21" t="s">
        <v>4397</v>
      </c>
      <c r="R37" s="21" t="s">
        <v>612</v>
      </c>
      <c r="S37" s="21" t="s">
        <v>3074</v>
      </c>
      <c r="T37" s="21" t="s">
        <v>4383</v>
      </c>
      <c r="U37" s="21" t="s">
        <v>5078</v>
      </c>
      <c r="W37" s="21" t="s">
        <v>1547</v>
      </c>
      <c r="X37" s="21" t="s">
        <v>1192</v>
      </c>
      <c r="Y37" s="21" t="s">
        <v>4821</v>
      </c>
      <c r="Z37" s="21" t="s">
        <v>3430</v>
      </c>
      <c r="AA37" s="21" t="s">
        <v>4584</v>
      </c>
    </row>
    <row r="38" spans="2:27" x14ac:dyDescent="0.25">
      <c r="B38" s="21" t="s">
        <v>5200</v>
      </c>
      <c r="C38" s="21" t="s">
        <v>4047</v>
      </c>
      <c r="E38" s="21" t="s">
        <v>5077</v>
      </c>
      <c r="F38" s="21" t="s">
        <v>4509</v>
      </c>
      <c r="H38" s="21" t="s">
        <v>3457</v>
      </c>
      <c r="I38" s="21" t="s">
        <v>2648</v>
      </c>
      <c r="J38" s="21" t="s">
        <v>5353</v>
      </c>
      <c r="K38" s="21" t="s">
        <v>5195</v>
      </c>
      <c r="L38" s="21" t="s">
        <v>3241</v>
      </c>
      <c r="M38" s="21" t="s">
        <v>4795</v>
      </c>
      <c r="N38" s="21" t="s">
        <v>3904</v>
      </c>
      <c r="O38" s="21" t="s">
        <v>4315</v>
      </c>
      <c r="P38" s="21" t="s">
        <v>4867</v>
      </c>
      <c r="Q38" s="21" t="s">
        <v>4456</v>
      </c>
      <c r="R38" s="21" t="s">
        <v>394</v>
      </c>
      <c r="S38" s="21" t="s">
        <v>2999</v>
      </c>
      <c r="T38" s="21" t="s">
        <v>1967</v>
      </c>
      <c r="U38" s="21" t="s">
        <v>4247</v>
      </c>
      <c r="W38" s="21" t="s">
        <v>969</v>
      </c>
      <c r="X38" s="21" t="s">
        <v>1184</v>
      </c>
      <c r="Y38" s="21" t="s">
        <v>5144</v>
      </c>
      <c r="Z38" s="21" t="s">
        <v>3558</v>
      </c>
      <c r="AA38" s="21" t="s">
        <v>5017</v>
      </c>
    </row>
    <row r="39" spans="2:27" x14ac:dyDescent="0.25">
      <c r="B39" s="21" t="s">
        <v>5169</v>
      </c>
      <c r="C39" s="21" t="s">
        <v>4099</v>
      </c>
      <c r="E39" s="21" t="s">
        <v>5474</v>
      </c>
      <c r="F39" s="21" t="s">
        <v>5013</v>
      </c>
      <c r="H39" s="21" t="s">
        <v>3199</v>
      </c>
      <c r="I39" s="21" t="s">
        <v>5439</v>
      </c>
      <c r="J39" s="21" t="s">
        <v>4204</v>
      </c>
      <c r="K39" s="21" t="s">
        <v>2122</v>
      </c>
      <c r="L39" s="21" t="s">
        <v>2920</v>
      </c>
      <c r="M39" s="21" t="s">
        <v>5380</v>
      </c>
      <c r="N39" s="21" t="s">
        <v>3864</v>
      </c>
      <c r="O39" s="21" t="s">
        <v>4807</v>
      </c>
      <c r="P39" s="21" t="s">
        <v>2179</v>
      </c>
      <c r="Q39" s="21" t="s">
        <v>5110</v>
      </c>
      <c r="R39" s="21" t="s">
        <v>2935</v>
      </c>
      <c r="S39" s="21" t="s">
        <v>2988</v>
      </c>
      <c r="T39" s="21" t="s">
        <v>4890</v>
      </c>
      <c r="U39" s="21" t="s">
        <v>4122</v>
      </c>
      <c r="W39" s="21" t="s">
        <v>260</v>
      </c>
      <c r="X39" s="21" t="s">
        <v>289</v>
      </c>
      <c r="Y39" s="21" t="s">
        <v>5138</v>
      </c>
      <c r="Z39" s="21" t="s">
        <v>3507</v>
      </c>
      <c r="AA39" s="21" t="s">
        <v>4207</v>
      </c>
    </row>
    <row r="40" spans="2:27" x14ac:dyDescent="0.25">
      <c r="B40" s="21" t="s">
        <v>4884</v>
      </c>
      <c r="C40" s="21" t="s">
        <v>4343</v>
      </c>
      <c r="E40" s="21" t="s">
        <v>2301</v>
      </c>
      <c r="F40" s="21" t="s">
        <v>5284</v>
      </c>
      <c r="H40" s="21" t="s">
        <v>1668</v>
      </c>
      <c r="I40" s="21" t="s">
        <v>2698</v>
      </c>
      <c r="J40" s="21" t="s">
        <v>5100</v>
      </c>
      <c r="K40" s="21" t="s">
        <v>388</v>
      </c>
      <c r="L40" s="21" t="s">
        <v>2600</v>
      </c>
      <c r="M40" s="21" t="s">
        <v>5438</v>
      </c>
      <c r="N40" s="21" t="s">
        <v>5053</v>
      </c>
      <c r="O40" s="21" t="s">
        <v>4985</v>
      </c>
      <c r="P40" s="21" t="s">
        <v>4805</v>
      </c>
      <c r="Q40" s="21" t="s">
        <v>4433</v>
      </c>
      <c r="R40" s="21" t="s">
        <v>551</v>
      </c>
      <c r="S40" s="21" t="s">
        <v>348</v>
      </c>
      <c r="T40" s="21" t="s">
        <v>3991</v>
      </c>
      <c r="U40" s="21" t="s">
        <v>4680</v>
      </c>
      <c r="W40" s="21" t="s">
        <v>1149</v>
      </c>
      <c r="X40" s="21" t="s">
        <v>2864</v>
      </c>
      <c r="Y40" s="21" t="s">
        <v>2308</v>
      </c>
      <c r="Z40" s="21" t="s">
        <v>3815</v>
      </c>
      <c r="AA40" s="21" t="s">
        <v>4221</v>
      </c>
    </row>
    <row r="41" spans="2:27" x14ac:dyDescent="0.25">
      <c r="B41" s="21" t="s">
        <v>5184</v>
      </c>
      <c r="C41" s="21" t="s">
        <v>4024</v>
      </c>
      <c r="E41" s="21" t="s">
        <v>1836</v>
      </c>
      <c r="F41" s="21" t="s">
        <v>4148</v>
      </c>
      <c r="H41" s="21" t="s">
        <v>3211</v>
      </c>
      <c r="I41" s="21" t="s">
        <v>4521</v>
      </c>
      <c r="J41" s="21" t="s">
        <v>4712</v>
      </c>
      <c r="K41" s="21" t="s">
        <v>3111</v>
      </c>
      <c r="L41" s="21" t="s">
        <v>3323</v>
      </c>
      <c r="M41" s="21" t="s">
        <v>5435</v>
      </c>
      <c r="N41" s="21" t="s">
        <v>4155</v>
      </c>
      <c r="O41" s="21" t="s">
        <v>3862</v>
      </c>
      <c r="P41" s="21" t="s">
        <v>2250</v>
      </c>
      <c r="Q41" s="21" t="s">
        <v>5450</v>
      </c>
      <c r="R41" s="21" t="s">
        <v>2910</v>
      </c>
      <c r="S41" s="21" t="s">
        <v>1762</v>
      </c>
      <c r="T41" s="21" t="s">
        <v>5099</v>
      </c>
      <c r="U41" s="21" t="s">
        <v>4734</v>
      </c>
      <c r="W41" s="21" t="s">
        <v>1170</v>
      </c>
      <c r="X41" s="21" t="s">
        <v>1004</v>
      </c>
      <c r="Y41" s="21" t="s">
        <v>2326</v>
      </c>
      <c r="Z41" s="21" t="s">
        <v>3331</v>
      </c>
      <c r="AA41" s="21" t="s">
        <v>4299</v>
      </c>
    </row>
    <row r="42" spans="2:27" x14ac:dyDescent="0.25">
      <c r="B42" s="21" t="s">
        <v>4828</v>
      </c>
      <c r="C42" s="21" t="s">
        <v>4246</v>
      </c>
      <c r="E42" s="21" t="s">
        <v>3278</v>
      </c>
      <c r="F42" s="21" t="s">
        <v>259</v>
      </c>
      <c r="H42" s="21" t="s">
        <v>1602</v>
      </c>
      <c r="I42" s="21" t="s">
        <v>2490</v>
      </c>
      <c r="J42" s="21" t="s">
        <v>4200</v>
      </c>
      <c r="K42" s="21" t="s">
        <v>2769</v>
      </c>
      <c r="L42" s="21" t="s">
        <v>3424</v>
      </c>
      <c r="M42" s="21" t="s">
        <v>5418</v>
      </c>
      <c r="N42" s="21" t="s">
        <v>5050</v>
      </c>
      <c r="O42" s="21" t="s">
        <v>5226</v>
      </c>
      <c r="P42" s="21" t="s">
        <v>262</v>
      </c>
      <c r="Q42" s="21" t="s">
        <v>4484</v>
      </c>
      <c r="R42" s="21" t="s">
        <v>216</v>
      </c>
      <c r="S42" s="21" t="s">
        <v>1650</v>
      </c>
      <c r="T42" s="21" t="s">
        <v>4026</v>
      </c>
      <c r="U42" s="21" t="s">
        <v>4616</v>
      </c>
      <c r="W42" s="21" t="s">
        <v>1377</v>
      </c>
      <c r="X42" s="21" t="s">
        <v>226</v>
      </c>
      <c r="Y42" s="21" t="s">
        <v>4842</v>
      </c>
      <c r="Z42" s="21" t="s">
        <v>670</v>
      </c>
      <c r="AA42" s="21" t="s">
        <v>4419</v>
      </c>
    </row>
    <row r="43" spans="2:27" x14ac:dyDescent="0.25">
      <c r="B43" s="21" t="s">
        <v>2396</v>
      </c>
      <c r="C43" s="21" t="s">
        <v>4940</v>
      </c>
      <c r="E43" s="21" t="s">
        <v>1192</v>
      </c>
      <c r="F43" s="21" t="s">
        <v>4997</v>
      </c>
      <c r="H43" s="21" t="s">
        <v>3436</v>
      </c>
      <c r="I43" s="21" t="s">
        <v>2154</v>
      </c>
      <c r="J43" s="21" t="s">
        <v>4639</v>
      </c>
      <c r="K43" s="21" t="s">
        <v>1833</v>
      </c>
      <c r="L43" s="21" t="s">
        <v>3205</v>
      </c>
      <c r="M43" s="21" t="s">
        <v>2202</v>
      </c>
      <c r="N43" s="21" t="s">
        <v>4230</v>
      </c>
      <c r="O43" s="21" t="s">
        <v>4946</v>
      </c>
      <c r="P43" s="21" t="s">
        <v>5191</v>
      </c>
      <c r="Q43" s="21" t="s">
        <v>5252</v>
      </c>
      <c r="R43" s="21" t="s">
        <v>1038</v>
      </c>
      <c r="S43" s="21" t="s">
        <v>3031</v>
      </c>
      <c r="T43" s="21" t="s">
        <v>4341</v>
      </c>
      <c r="U43" s="21" t="s">
        <v>5907</v>
      </c>
      <c r="W43" s="21" t="s">
        <v>1450</v>
      </c>
      <c r="X43" s="21" t="s">
        <v>1318</v>
      </c>
      <c r="Y43" s="21" t="s">
        <v>5136</v>
      </c>
      <c r="Z43" s="21" t="s">
        <v>822</v>
      </c>
      <c r="AA43" s="21" t="s">
        <v>5877</v>
      </c>
    </row>
    <row r="44" spans="2:27" x14ac:dyDescent="0.25">
      <c r="B44" s="21" t="s">
        <v>4872</v>
      </c>
      <c r="C44" s="21" t="s">
        <v>4172</v>
      </c>
      <c r="E44" s="21" t="s">
        <v>2363</v>
      </c>
      <c r="F44" s="21" t="s">
        <v>4450</v>
      </c>
      <c r="H44" s="21" t="s">
        <v>1677</v>
      </c>
      <c r="I44" s="21" t="s">
        <v>2727</v>
      </c>
      <c r="J44" s="21" t="s">
        <v>3968</v>
      </c>
      <c r="K44" s="21" t="s">
        <v>3710</v>
      </c>
      <c r="L44" s="21" t="s">
        <v>2872</v>
      </c>
      <c r="M44" s="21" t="s">
        <v>4767</v>
      </c>
      <c r="N44" s="21" t="s">
        <v>4923</v>
      </c>
      <c r="O44" s="21" t="s">
        <v>2068</v>
      </c>
      <c r="P44" s="21" t="s">
        <v>2312</v>
      </c>
      <c r="Q44" s="21" t="s">
        <v>4548</v>
      </c>
      <c r="R44" s="21" t="s">
        <v>398</v>
      </c>
      <c r="S44" s="21" t="s">
        <v>2336</v>
      </c>
      <c r="T44" s="21" t="s">
        <v>4357</v>
      </c>
      <c r="U44" s="21" t="s">
        <v>5908</v>
      </c>
      <c r="W44" s="21" t="s">
        <v>1122</v>
      </c>
      <c r="X44" s="21" t="s">
        <v>944</v>
      </c>
      <c r="Y44" s="21" t="s">
        <v>2304</v>
      </c>
      <c r="Z44" s="21" t="s">
        <v>3743</v>
      </c>
      <c r="AA44" s="21" t="s">
        <v>4609</v>
      </c>
    </row>
    <row r="45" spans="2:27" x14ac:dyDescent="0.25">
      <c r="B45" s="21" t="s">
        <v>2488</v>
      </c>
      <c r="C45" s="21" t="s">
        <v>4072</v>
      </c>
      <c r="E45" s="21" t="s">
        <v>1970</v>
      </c>
      <c r="F45" s="21" t="s">
        <v>3940</v>
      </c>
      <c r="H45" s="21" t="s">
        <v>1708</v>
      </c>
      <c r="I45" s="21" t="s">
        <v>2762</v>
      </c>
      <c r="J45" s="21" t="s">
        <v>4094</v>
      </c>
      <c r="K45" s="21" t="s">
        <v>2001</v>
      </c>
      <c r="L45" s="21" t="s">
        <v>2118</v>
      </c>
      <c r="M45" s="21" t="s">
        <v>5909</v>
      </c>
      <c r="N45" s="21" t="s">
        <v>4012</v>
      </c>
      <c r="O45" s="21" t="s">
        <v>1928</v>
      </c>
      <c r="P45" s="21" t="s">
        <v>1641</v>
      </c>
      <c r="Q45" s="21" t="s">
        <v>4271</v>
      </c>
      <c r="R45" s="21" t="s">
        <v>605</v>
      </c>
      <c r="S45" s="21" t="s">
        <v>2906</v>
      </c>
      <c r="T45" s="21" t="s">
        <v>4324</v>
      </c>
      <c r="U45" s="21" t="s">
        <v>5086</v>
      </c>
      <c r="W45" s="21" t="s">
        <v>1150</v>
      </c>
      <c r="X45" s="21" t="s">
        <v>956</v>
      </c>
      <c r="Y45" s="21" t="s">
        <v>2288</v>
      </c>
      <c r="Z45" s="21" t="s">
        <v>3512</v>
      </c>
      <c r="AA45" s="21" t="s">
        <v>4772</v>
      </c>
    </row>
    <row r="46" spans="2:27" x14ac:dyDescent="0.25">
      <c r="B46" s="21" t="s">
        <v>2410</v>
      </c>
      <c r="C46" s="21" t="s">
        <v>4945</v>
      </c>
      <c r="E46" s="21" t="s">
        <v>2407</v>
      </c>
      <c r="F46" s="21" t="s">
        <v>4385</v>
      </c>
      <c r="H46" s="21" t="s">
        <v>5910</v>
      </c>
      <c r="I46" s="21" t="s">
        <v>2569</v>
      </c>
      <c r="J46" s="21" t="s">
        <v>4452</v>
      </c>
      <c r="K46" s="21" t="s">
        <v>867</v>
      </c>
      <c r="L46" s="21" t="s">
        <v>3239</v>
      </c>
      <c r="M46" s="21" t="s">
        <v>4728</v>
      </c>
      <c r="N46" s="21" t="s">
        <v>3856</v>
      </c>
      <c r="O46" s="21" t="s">
        <v>1476</v>
      </c>
      <c r="P46" s="21" t="s">
        <v>2185</v>
      </c>
      <c r="Q46" s="21" t="s">
        <v>5269</v>
      </c>
      <c r="R46" s="21" t="s">
        <v>2955</v>
      </c>
      <c r="S46" s="21" t="s">
        <v>3039</v>
      </c>
      <c r="T46" s="21" t="s">
        <v>3949</v>
      </c>
      <c r="U46" s="21" t="s">
        <v>5209</v>
      </c>
      <c r="W46" s="21" t="s">
        <v>2940</v>
      </c>
      <c r="X46" s="21" t="s">
        <v>1173</v>
      </c>
      <c r="Y46" s="21" t="s">
        <v>2346</v>
      </c>
      <c r="Z46" s="21" t="s">
        <v>671</v>
      </c>
      <c r="AA46" s="21" t="s">
        <v>4790</v>
      </c>
    </row>
    <row r="47" spans="2:27" x14ac:dyDescent="0.25">
      <c r="B47" s="21" t="s">
        <v>2224</v>
      </c>
      <c r="C47" s="21" t="s">
        <v>4964</v>
      </c>
      <c r="E47" s="21" t="s">
        <v>5159</v>
      </c>
      <c r="F47" s="21" t="s">
        <v>4516</v>
      </c>
      <c r="H47" s="21" t="s">
        <v>2261</v>
      </c>
      <c r="I47" s="21" t="s">
        <v>2779</v>
      </c>
      <c r="J47" s="21" t="s">
        <v>4735</v>
      </c>
      <c r="K47" s="21" t="s">
        <v>2656</v>
      </c>
      <c r="L47" s="21" t="s">
        <v>3058</v>
      </c>
      <c r="M47" s="21" t="s">
        <v>1552</v>
      </c>
      <c r="N47" s="21" t="s">
        <v>4386</v>
      </c>
      <c r="O47" s="21" t="s">
        <v>5231</v>
      </c>
      <c r="P47" s="21" t="s">
        <v>2565</v>
      </c>
      <c r="Q47" s="21" t="s">
        <v>5402</v>
      </c>
      <c r="R47" s="21" t="s">
        <v>553</v>
      </c>
      <c r="S47" s="21" t="s">
        <v>3426</v>
      </c>
      <c r="T47" s="21" t="s">
        <v>3933</v>
      </c>
      <c r="U47" s="21" t="s">
        <v>4983</v>
      </c>
      <c r="W47" s="21" t="s">
        <v>1434</v>
      </c>
      <c r="X47" s="21" t="s">
        <v>1026</v>
      </c>
      <c r="Y47" s="21" t="s">
        <v>2309</v>
      </c>
      <c r="Z47" s="21" t="s">
        <v>3664</v>
      </c>
      <c r="AA47" s="21" t="s">
        <v>1952</v>
      </c>
    </row>
    <row r="48" spans="2:27" x14ac:dyDescent="0.25">
      <c r="B48" s="21" t="s">
        <v>4928</v>
      </c>
      <c r="C48" s="21" t="s">
        <v>4463</v>
      </c>
      <c r="E48" s="21" t="s">
        <v>5344</v>
      </c>
      <c r="F48" s="21" t="s">
        <v>4381</v>
      </c>
      <c r="H48" s="21" t="s">
        <v>2913</v>
      </c>
      <c r="I48" s="21" t="s">
        <v>2205</v>
      </c>
      <c r="J48" s="21" t="s">
        <v>3909</v>
      </c>
      <c r="K48" s="21" t="s">
        <v>389</v>
      </c>
      <c r="L48" s="21" t="s">
        <v>3296</v>
      </c>
      <c r="M48" s="21" t="s">
        <v>5911</v>
      </c>
      <c r="N48" s="21" t="s">
        <v>4670</v>
      </c>
      <c r="O48" s="21" t="s">
        <v>5219</v>
      </c>
      <c r="P48" s="21" t="s">
        <v>4908</v>
      </c>
      <c r="Q48" s="21" t="s">
        <v>5319</v>
      </c>
      <c r="R48" s="21" t="s">
        <v>2925</v>
      </c>
      <c r="S48" s="21" t="s">
        <v>3325</v>
      </c>
      <c r="T48" s="21" t="s">
        <v>4438</v>
      </c>
      <c r="U48" s="21" t="s">
        <v>5268</v>
      </c>
      <c r="W48" s="21" t="s">
        <v>1437</v>
      </c>
      <c r="X48" s="21" t="s">
        <v>1334</v>
      </c>
      <c r="Y48" s="21" t="s">
        <v>5148</v>
      </c>
      <c r="Z48" s="21" t="s">
        <v>1593</v>
      </c>
      <c r="AA48" s="21" t="s">
        <v>5002</v>
      </c>
    </row>
    <row r="49" spans="2:27" x14ac:dyDescent="0.25">
      <c r="B49" s="21" t="s">
        <v>2360</v>
      </c>
      <c r="C49" s="21" t="s">
        <v>4253</v>
      </c>
      <c r="E49" s="21" t="s">
        <v>2293</v>
      </c>
      <c r="F49" s="21" t="s">
        <v>4000</v>
      </c>
      <c r="H49" s="21" t="s">
        <v>3102</v>
      </c>
      <c r="I49" s="21" t="s">
        <v>2425</v>
      </c>
      <c r="J49" s="21" t="s">
        <v>4458</v>
      </c>
      <c r="K49" s="21" t="s">
        <v>3447</v>
      </c>
      <c r="L49" s="21" t="s">
        <v>2330</v>
      </c>
      <c r="M49" s="21" t="s">
        <v>4781</v>
      </c>
      <c r="N49" s="21" t="s">
        <v>4941</v>
      </c>
      <c r="O49" s="21" t="s">
        <v>4885</v>
      </c>
      <c r="P49" s="21" t="s">
        <v>4385</v>
      </c>
      <c r="Q49" s="21" t="s">
        <v>5332</v>
      </c>
      <c r="R49" s="21" t="s">
        <v>3452</v>
      </c>
      <c r="S49" s="21" t="s">
        <v>1810</v>
      </c>
      <c r="T49" s="21" t="s">
        <v>4070</v>
      </c>
      <c r="U49" s="21" t="s">
        <v>5336</v>
      </c>
      <c r="W49" s="21" t="s">
        <v>1288</v>
      </c>
      <c r="X49" s="21" t="s">
        <v>1062</v>
      </c>
      <c r="Y49" s="21" t="s">
        <v>3962</v>
      </c>
      <c r="Z49" s="21" t="s">
        <v>878</v>
      </c>
      <c r="AA49" s="21" t="s">
        <v>5042</v>
      </c>
    </row>
    <row r="50" spans="2:27" x14ac:dyDescent="0.25">
      <c r="B50" s="21" t="s">
        <v>2368</v>
      </c>
      <c r="C50" s="21" t="s">
        <v>5154</v>
      </c>
      <c r="E50" s="21" t="s">
        <v>2352</v>
      </c>
      <c r="F50" s="21" t="s">
        <v>4462</v>
      </c>
      <c r="H50" s="21" t="s">
        <v>2279</v>
      </c>
      <c r="I50" s="21" t="s">
        <v>2555</v>
      </c>
      <c r="J50" s="21" t="s">
        <v>4688</v>
      </c>
      <c r="K50" s="21" t="s">
        <v>1880</v>
      </c>
      <c r="L50" s="21" t="s">
        <v>3243</v>
      </c>
      <c r="M50" s="21" t="s">
        <v>5457</v>
      </c>
      <c r="N50" s="21" t="s">
        <v>5047</v>
      </c>
      <c r="O50" s="21" t="s">
        <v>2036</v>
      </c>
      <c r="P50" s="21" t="s">
        <v>4030</v>
      </c>
      <c r="Q50" s="21" t="s">
        <v>4448</v>
      </c>
      <c r="R50" s="21" t="s">
        <v>2973</v>
      </c>
      <c r="S50" s="21" t="s">
        <v>341</v>
      </c>
      <c r="T50" s="21" t="s">
        <v>3967</v>
      </c>
      <c r="U50" s="21" t="s">
        <v>4977</v>
      </c>
      <c r="W50" s="21" t="s">
        <v>1318</v>
      </c>
      <c r="X50" s="21" t="s">
        <v>948</v>
      </c>
      <c r="Y50" s="21" t="s">
        <v>5158</v>
      </c>
      <c r="Z50" s="21" t="s">
        <v>3805</v>
      </c>
      <c r="AA50" s="21" t="s">
        <v>4780</v>
      </c>
    </row>
    <row r="51" spans="2:27" x14ac:dyDescent="0.25">
      <c r="B51" s="21" t="s">
        <v>5206</v>
      </c>
      <c r="C51" s="21" t="s">
        <v>3996</v>
      </c>
      <c r="E51" s="21" t="s">
        <v>1818</v>
      </c>
      <c r="F51" s="21" t="s">
        <v>5068</v>
      </c>
      <c r="H51" s="21" t="s">
        <v>2381</v>
      </c>
      <c r="I51" s="21" t="s">
        <v>2560</v>
      </c>
      <c r="J51" s="21" t="s">
        <v>4715</v>
      </c>
      <c r="K51" s="21" t="s">
        <v>5372</v>
      </c>
      <c r="L51" s="21" t="s">
        <v>3208</v>
      </c>
      <c r="M51" s="21" t="s">
        <v>5350</v>
      </c>
      <c r="N51" s="21" t="s">
        <v>4084</v>
      </c>
      <c r="O51" s="21" t="s">
        <v>2106</v>
      </c>
      <c r="P51" s="21" t="s">
        <v>2238</v>
      </c>
      <c r="Q51" s="21" t="s">
        <v>4643</v>
      </c>
      <c r="R51" s="21" t="s">
        <v>3390</v>
      </c>
      <c r="S51" s="21" t="s">
        <v>3109</v>
      </c>
      <c r="T51" s="21" t="s">
        <v>4835</v>
      </c>
      <c r="U51" s="21" t="s">
        <v>5326</v>
      </c>
      <c r="W51" s="21" t="s">
        <v>975</v>
      </c>
      <c r="X51" s="21" t="s">
        <v>1018</v>
      </c>
      <c r="Y51" s="21" t="s">
        <v>2331</v>
      </c>
      <c r="Z51" s="21" t="s">
        <v>3655</v>
      </c>
      <c r="AA51" s="21" t="s">
        <v>4530</v>
      </c>
    </row>
    <row r="52" spans="2:27" x14ac:dyDescent="0.25">
      <c r="B52" s="21" t="s">
        <v>1035</v>
      </c>
      <c r="C52" s="21" t="s">
        <v>4060</v>
      </c>
      <c r="E52" s="21" t="s">
        <v>2531</v>
      </c>
      <c r="F52" s="21" t="s">
        <v>5052</v>
      </c>
      <c r="H52" s="21" t="s">
        <v>1879</v>
      </c>
      <c r="I52" s="21" t="s">
        <v>2623</v>
      </c>
      <c r="J52" s="21" t="s">
        <v>3872</v>
      </c>
      <c r="K52" s="21" t="s">
        <v>3481</v>
      </c>
      <c r="L52" s="21" t="s">
        <v>5459</v>
      </c>
      <c r="M52" s="21" t="s">
        <v>2197</v>
      </c>
      <c r="N52" s="21" t="s">
        <v>4035</v>
      </c>
      <c r="O52" s="21" t="s">
        <v>3975</v>
      </c>
      <c r="P52" s="21" t="s">
        <v>4300</v>
      </c>
      <c r="Q52" s="21" t="s">
        <v>4267</v>
      </c>
      <c r="R52" s="21" t="s">
        <v>3044</v>
      </c>
      <c r="S52" s="21" t="s">
        <v>2992</v>
      </c>
      <c r="T52" s="21" t="s">
        <v>4112</v>
      </c>
      <c r="U52" s="21" t="s">
        <v>5300</v>
      </c>
      <c r="W52" s="21" t="s">
        <v>1469</v>
      </c>
      <c r="X52" s="21" t="s">
        <v>1454</v>
      </c>
      <c r="Y52" s="21" t="s">
        <v>628</v>
      </c>
      <c r="Z52" s="21" t="s">
        <v>3730</v>
      </c>
      <c r="AA52" s="21" t="s">
        <v>3306</v>
      </c>
    </row>
    <row r="53" spans="2:27" x14ac:dyDescent="0.25">
      <c r="B53" s="21" t="s">
        <v>1755</v>
      </c>
      <c r="C53" s="21" t="s">
        <v>3927</v>
      </c>
      <c r="E53" s="21" t="s">
        <v>2472</v>
      </c>
      <c r="F53" s="21" t="s">
        <v>4424</v>
      </c>
      <c r="H53" s="21" t="s">
        <v>3099</v>
      </c>
      <c r="I53" s="21" t="s">
        <v>2458</v>
      </c>
      <c r="J53" s="21" t="s">
        <v>4703</v>
      </c>
      <c r="K53" s="21" t="s">
        <v>1785</v>
      </c>
      <c r="L53" s="21" t="s">
        <v>1983</v>
      </c>
      <c r="M53" s="21" t="s">
        <v>5912</v>
      </c>
      <c r="N53" s="21" t="s">
        <v>4057</v>
      </c>
      <c r="O53" s="21" t="s">
        <v>1985</v>
      </c>
      <c r="P53" s="21" t="s">
        <v>2249</v>
      </c>
      <c r="Q53" s="21" t="s">
        <v>3091</v>
      </c>
      <c r="R53" s="21" t="s">
        <v>2393</v>
      </c>
      <c r="S53" s="21" t="s">
        <v>521</v>
      </c>
      <c r="T53" s="21" t="s">
        <v>5270</v>
      </c>
      <c r="U53" s="21" t="s">
        <v>2174</v>
      </c>
      <c r="W53" s="21" t="s">
        <v>542</v>
      </c>
      <c r="X53" s="21" t="s">
        <v>1397</v>
      </c>
      <c r="Y53" s="21" t="s">
        <v>4803</v>
      </c>
      <c r="Z53" s="21" t="s">
        <v>529</v>
      </c>
      <c r="AA53" s="21" t="s">
        <v>4785</v>
      </c>
    </row>
    <row r="54" spans="2:27" x14ac:dyDescent="0.25">
      <c r="B54" s="21" t="s">
        <v>2207</v>
      </c>
      <c r="C54" s="21" t="s">
        <v>4048</v>
      </c>
      <c r="E54" s="21" t="s">
        <v>1622</v>
      </c>
      <c r="F54" s="21" t="s">
        <v>4086</v>
      </c>
      <c r="H54" s="21" t="s">
        <v>4903</v>
      </c>
      <c r="I54" s="21" t="s">
        <v>2460</v>
      </c>
      <c r="J54" s="21" t="s">
        <v>3553</v>
      </c>
      <c r="K54" s="21" t="s">
        <v>3170</v>
      </c>
      <c r="L54" s="21" t="s">
        <v>2921</v>
      </c>
      <c r="M54" s="21" t="s">
        <v>4685</v>
      </c>
      <c r="N54" s="21" t="s">
        <v>4007</v>
      </c>
      <c r="O54" s="21" t="s">
        <v>5211</v>
      </c>
      <c r="P54" s="21" t="s">
        <v>4919</v>
      </c>
      <c r="Q54" s="21" t="s">
        <v>4534</v>
      </c>
      <c r="R54" s="21" t="s">
        <v>3547</v>
      </c>
      <c r="S54" s="21" t="s">
        <v>5871</v>
      </c>
      <c r="T54" s="21" t="s">
        <v>2824</v>
      </c>
      <c r="W54" s="21" t="s">
        <v>1299</v>
      </c>
      <c r="X54" s="21" t="s">
        <v>270</v>
      </c>
      <c r="Y54" s="21" t="s">
        <v>2313</v>
      </c>
      <c r="Z54" s="21" t="s">
        <v>3603</v>
      </c>
      <c r="AA54" s="21" t="s">
        <v>2143</v>
      </c>
    </row>
    <row r="55" spans="2:27" x14ac:dyDescent="0.25">
      <c r="B55" s="21" t="s">
        <v>2658</v>
      </c>
      <c r="C55" s="21" t="s">
        <v>5041</v>
      </c>
      <c r="E55" s="21" t="s">
        <v>5224</v>
      </c>
      <c r="F55" s="21" t="s">
        <v>4181</v>
      </c>
      <c r="H55" s="21" t="s">
        <v>5115</v>
      </c>
      <c r="I55" s="21" t="s">
        <v>2563</v>
      </c>
      <c r="J55" s="21" t="s">
        <v>4043</v>
      </c>
      <c r="K55" s="21" t="s">
        <v>749</v>
      </c>
      <c r="L55" s="21" t="s">
        <v>3287</v>
      </c>
      <c r="M55" s="21" t="s">
        <v>2182</v>
      </c>
      <c r="N55" s="21" t="s">
        <v>3976</v>
      </c>
      <c r="O55" s="21" t="s">
        <v>2079</v>
      </c>
      <c r="P55" s="21" t="s">
        <v>1656</v>
      </c>
      <c r="Q55" s="21" t="s">
        <v>5215</v>
      </c>
      <c r="R55" s="21" t="s">
        <v>2972</v>
      </c>
      <c r="S55" s="21" t="s">
        <v>2907</v>
      </c>
      <c r="T55" s="21" t="s">
        <v>4322</v>
      </c>
      <c r="W55" s="21" t="s">
        <v>1475</v>
      </c>
      <c r="X55" s="21" t="s">
        <v>1158</v>
      </c>
      <c r="Y55" s="21" t="s">
        <v>3302</v>
      </c>
      <c r="Z55" s="21" t="s">
        <v>3353</v>
      </c>
      <c r="AA55" s="21" t="s">
        <v>5478</v>
      </c>
    </row>
    <row r="56" spans="2:27" x14ac:dyDescent="0.25">
      <c r="B56" s="21" t="s">
        <v>5182</v>
      </c>
      <c r="C56" s="21" t="s">
        <v>4153</v>
      </c>
      <c r="E56" s="21" t="s">
        <v>2549</v>
      </c>
      <c r="F56" s="21" t="s">
        <v>4394</v>
      </c>
      <c r="H56" s="21" t="s">
        <v>1658</v>
      </c>
      <c r="I56" s="21" t="s">
        <v>4368</v>
      </c>
      <c r="J56" s="21" t="s">
        <v>4114</v>
      </c>
      <c r="K56" s="21" t="s">
        <v>2580</v>
      </c>
      <c r="L56" s="21" t="s">
        <v>3501</v>
      </c>
      <c r="M56" s="21" t="s">
        <v>2203</v>
      </c>
      <c r="N56" s="21" t="s">
        <v>4111</v>
      </c>
      <c r="O56" s="21" t="s">
        <v>5203</v>
      </c>
      <c r="P56" s="21" t="s">
        <v>1999</v>
      </c>
      <c r="Q56" s="21" t="s">
        <v>5479</v>
      </c>
      <c r="R56" s="21" t="s">
        <v>547</v>
      </c>
      <c r="S56" s="21" t="s">
        <v>646</v>
      </c>
      <c r="T56" s="21" t="s">
        <v>2017</v>
      </c>
      <c r="W56" s="21" t="s">
        <v>2912</v>
      </c>
      <c r="X56" s="21" t="s">
        <v>526</v>
      </c>
      <c r="Y56" s="21" t="s">
        <v>5137</v>
      </c>
      <c r="Z56" s="21" t="s">
        <v>3798</v>
      </c>
      <c r="AA56" s="21" t="s">
        <v>4629</v>
      </c>
    </row>
    <row r="57" spans="2:27" x14ac:dyDescent="0.25">
      <c r="B57" s="21" t="s">
        <v>5171</v>
      </c>
      <c r="C57" s="21" t="s">
        <v>3624</v>
      </c>
      <c r="E57" s="21" t="s">
        <v>2191</v>
      </c>
      <c r="F57" s="21" t="s">
        <v>3906</v>
      </c>
      <c r="H57" s="21" t="s">
        <v>2209</v>
      </c>
      <c r="I57" s="21" t="s">
        <v>2392</v>
      </c>
      <c r="J57" s="21" t="s">
        <v>4073</v>
      </c>
      <c r="K57" s="21" t="s">
        <v>2453</v>
      </c>
      <c r="L57" s="21" t="s">
        <v>3212</v>
      </c>
      <c r="M57" s="21" t="s">
        <v>5443</v>
      </c>
      <c r="N57" s="21" t="s">
        <v>4201</v>
      </c>
      <c r="O57" s="21" t="s">
        <v>4303</v>
      </c>
      <c r="P57" s="21" t="s">
        <v>2376</v>
      </c>
      <c r="Q57" s="21" t="s">
        <v>4538</v>
      </c>
      <c r="R57" s="21" t="s">
        <v>554</v>
      </c>
      <c r="S57" s="21" t="s">
        <v>3471</v>
      </c>
      <c r="T57" s="21" t="s">
        <v>1624</v>
      </c>
      <c r="W57" s="21" t="s">
        <v>1515</v>
      </c>
      <c r="X57" s="21" t="s">
        <v>1268</v>
      </c>
      <c r="Y57" s="21" t="s">
        <v>4958</v>
      </c>
      <c r="Z57" s="21" t="s">
        <v>3493</v>
      </c>
      <c r="AA57" s="21" t="s">
        <v>5058</v>
      </c>
    </row>
    <row r="58" spans="2:27" x14ac:dyDescent="0.25">
      <c r="B58" s="21" t="s">
        <v>2230</v>
      </c>
      <c r="C58" s="21" t="s">
        <v>4935</v>
      </c>
      <c r="E58" s="21" t="s">
        <v>1728</v>
      </c>
      <c r="F58" s="21" t="s">
        <v>5001</v>
      </c>
      <c r="H58" s="21" t="s">
        <v>1756</v>
      </c>
      <c r="I58" s="21" t="s">
        <v>4566</v>
      </c>
      <c r="J58" s="21" t="s">
        <v>5095</v>
      </c>
      <c r="K58" s="21" t="s">
        <v>4906</v>
      </c>
      <c r="L58" s="21" t="s">
        <v>3003</v>
      </c>
      <c r="M58" s="21" t="s">
        <v>5071</v>
      </c>
      <c r="N58" s="21" t="s">
        <v>4130</v>
      </c>
      <c r="O58" s="21" t="s">
        <v>2255</v>
      </c>
      <c r="P58" s="21" t="s">
        <v>2286</v>
      </c>
      <c r="Q58" s="21" t="s">
        <v>4496</v>
      </c>
      <c r="R58" s="21" t="s">
        <v>253</v>
      </c>
      <c r="S58" s="21" t="s">
        <v>3185</v>
      </c>
      <c r="T58" s="21" t="s">
        <v>4302</v>
      </c>
      <c r="W58" s="21" t="s">
        <v>1257</v>
      </c>
      <c r="X58" s="21" t="s">
        <v>261</v>
      </c>
      <c r="Y58" s="21" t="s">
        <v>2340</v>
      </c>
      <c r="Z58" s="21" t="s">
        <v>814</v>
      </c>
      <c r="AA58" s="21" t="s">
        <v>4499</v>
      </c>
    </row>
    <row r="59" spans="2:27" x14ac:dyDescent="0.25">
      <c r="B59" s="21" t="s">
        <v>5201</v>
      </c>
      <c r="C59" s="21" t="s">
        <v>3954</v>
      </c>
      <c r="E59" s="21" t="s">
        <v>5387</v>
      </c>
      <c r="F59" s="21" t="s">
        <v>4589</v>
      </c>
      <c r="H59" s="21" t="s">
        <v>2325</v>
      </c>
      <c r="I59" s="21" t="s">
        <v>2483</v>
      </c>
      <c r="J59" s="21" t="s">
        <v>4583</v>
      </c>
      <c r="K59" s="21" t="s">
        <v>390</v>
      </c>
      <c r="L59" s="21" t="s">
        <v>5913</v>
      </c>
      <c r="M59" s="21" t="s">
        <v>4797</v>
      </c>
      <c r="N59" s="21" t="s">
        <v>4191</v>
      </c>
      <c r="O59" s="21" t="s">
        <v>4943</v>
      </c>
      <c r="P59" s="21" t="s">
        <v>4822</v>
      </c>
      <c r="Q59" s="21" t="s">
        <v>5379</v>
      </c>
      <c r="R59" s="21" t="s">
        <v>555</v>
      </c>
      <c r="S59" s="21" t="s">
        <v>3146</v>
      </c>
      <c r="T59" s="21" t="s">
        <v>4841</v>
      </c>
      <c r="W59" s="21" t="s">
        <v>940</v>
      </c>
      <c r="X59" s="21" t="s">
        <v>1331</v>
      </c>
      <c r="Y59" s="21" t="s">
        <v>3952</v>
      </c>
      <c r="Z59" s="21" t="s">
        <v>3669</v>
      </c>
      <c r="AA59" s="21" t="s">
        <v>4624</v>
      </c>
    </row>
    <row r="60" spans="2:27" x14ac:dyDescent="0.25">
      <c r="B60" s="21" t="s">
        <v>5197</v>
      </c>
      <c r="C60" s="21" t="s">
        <v>4062</v>
      </c>
      <c r="E60" s="21" t="s">
        <v>2076</v>
      </c>
      <c r="F60" s="21" t="s">
        <v>3902</v>
      </c>
      <c r="H60" s="21" t="s">
        <v>2962</v>
      </c>
      <c r="I60" s="21" t="s">
        <v>2113</v>
      </c>
      <c r="J60" s="21" t="s">
        <v>4659</v>
      </c>
      <c r="K60" s="21" t="s">
        <v>2070</v>
      </c>
      <c r="L60" s="21" t="s">
        <v>5343</v>
      </c>
      <c r="M60" s="21" t="s">
        <v>4257</v>
      </c>
      <c r="N60" s="21" t="s">
        <v>4190</v>
      </c>
      <c r="O60" s="21" t="s">
        <v>4300</v>
      </c>
      <c r="P60" s="21" t="s">
        <v>5266</v>
      </c>
      <c r="Q60" s="21" t="s">
        <v>4469</v>
      </c>
      <c r="R60" s="21" t="s">
        <v>1537</v>
      </c>
      <c r="S60" s="21" t="s">
        <v>3277</v>
      </c>
      <c r="T60" s="21" t="s">
        <v>1886</v>
      </c>
      <c r="W60" s="21" t="s">
        <v>1217</v>
      </c>
      <c r="X60" s="21" t="s">
        <v>1100</v>
      </c>
      <c r="Y60" s="21" t="s">
        <v>2306</v>
      </c>
      <c r="Z60" s="21" t="s">
        <v>3324</v>
      </c>
      <c r="AA60" s="21" t="s">
        <v>5487</v>
      </c>
    </row>
    <row r="61" spans="2:27" x14ac:dyDescent="0.25">
      <c r="B61" s="21" t="s">
        <v>5164</v>
      </c>
      <c r="C61" s="21" t="s">
        <v>3964</v>
      </c>
      <c r="E61" s="21" t="s">
        <v>1969</v>
      </c>
      <c r="F61" s="21" t="s">
        <v>4031</v>
      </c>
      <c r="H61" s="21" t="s">
        <v>2208</v>
      </c>
      <c r="I61" s="21" t="s">
        <v>2572</v>
      </c>
      <c r="J61" s="21" t="s">
        <v>5361</v>
      </c>
      <c r="K61" s="21" t="s">
        <v>3005</v>
      </c>
      <c r="L61" s="21" t="s">
        <v>3053</v>
      </c>
      <c r="M61" s="21" t="s">
        <v>4786</v>
      </c>
      <c r="N61" s="21" t="s">
        <v>5223</v>
      </c>
      <c r="O61" s="21" t="s">
        <v>4806</v>
      </c>
      <c r="P61" s="21" t="s">
        <v>2345</v>
      </c>
      <c r="Q61" s="21" t="s">
        <v>4535</v>
      </c>
      <c r="R61" s="21" t="s">
        <v>288</v>
      </c>
      <c r="S61" s="21" t="s">
        <v>3261</v>
      </c>
      <c r="T61" s="21" t="s">
        <v>3941</v>
      </c>
      <c r="W61" s="21" t="s">
        <v>1527</v>
      </c>
      <c r="X61" s="21" t="s">
        <v>1493</v>
      </c>
      <c r="Y61" s="21" t="s">
        <v>5139</v>
      </c>
      <c r="Z61" s="21" t="s">
        <v>1169</v>
      </c>
      <c r="AA61" s="21" t="s">
        <v>4422</v>
      </c>
    </row>
    <row r="62" spans="2:27" x14ac:dyDescent="0.25">
      <c r="B62" s="21" t="s">
        <v>5914</v>
      </c>
      <c r="C62" s="21" t="s">
        <v>5054</v>
      </c>
      <c r="E62" s="21" t="s">
        <v>4929</v>
      </c>
      <c r="F62" s="21" t="s">
        <v>4402</v>
      </c>
      <c r="H62" s="21" t="s">
        <v>1645</v>
      </c>
      <c r="I62" s="21" t="s">
        <v>2175</v>
      </c>
      <c r="J62" s="21" t="s">
        <v>1239</v>
      </c>
      <c r="K62" s="21" t="s">
        <v>391</v>
      </c>
      <c r="L62" s="21" t="s">
        <v>5481</v>
      </c>
      <c r="M62" s="21" t="s">
        <v>5111</v>
      </c>
      <c r="N62" s="21" t="s">
        <v>4126</v>
      </c>
      <c r="O62" s="21" t="s">
        <v>2021</v>
      </c>
      <c r="P62" s="21" t="s">
        <v>5915</v>
      </c>
      <c r="Q62" s="21" t="s">
        <v>4520</v>
      </c>
      <c r="R62" s="21" t="s">
        <v>336</v>
      </c>
      <c r="S62" s="21" t="s">
        <v>2931</v>
      </c>
      <c r="T62" s="21" t="s">
        <v>4953</v>
      </c>
      <c r="W62" s="21" t="s">
        <v>1533</v>
      </c>
      <c r="X62" s="21" t="s">
        <v>1275</v>
      </c>
      <c r="Y62" s="21" t="s">
        <v>2300</v>
      </c>
      <c r="Z62" s="21" t="s">
        <v>793</v>
      </c>
      <c r="AA62" s="21" t="s">
        <v>4193</v>
      </c>
    </row>
    <row r="63" spans="2:27" x14ac:dyDescent="0.25">
      <c r="B63" s="21" t="s">
        <v>5916</v>
      </c>
      <c r="C63" s="21" t="s">
        <v>4171</v>
      </c>
      <c r="E63" s="21" t="s">
        <v>1770</v>
      </c>
      <c r="F63" s="21" t="s">
        <v>4166</v>
      </c>
      <c r="H63" s="21" t="s">
        <v>220</v>
      </c>
      <c r="I63" s="21" t="s">
        <v>4564</v>
      </c>
      <c r="J63" s="21" t="s">
        <v>4550</v>
      </c>
      <c r="K63" s="21" t="s">
        <v>330</v>
      </c>
      <c r="L63" s="21" t="s">
        <v>3313</v>
      </c>
      <c r="M63" s="21" t="s">
        <v>5917</v>
      </c>
      <c r="N63" s="21" t="s">
        <v>4067</v>
      </c>
      <c r="O63" s="21" t="s">
        <v>5232</v>
      </c>
      <c r="P63" s="21" t="s">
        <v>3873</v>
      </c>
      <c r="Q63" s="21" t="s">
        <v>5452</v>
      </c>
      <c r="R63" s="21" t="s">
        <v>606</v>
      </c>
      <c r="S63" s="21" t="s">
        <v>1631</v>
      </c>
      <c r="T63" s="21" t="s">
        <v>4378</v>
      </c>
      <c r="W63" s="21" t="s">
        <v>1067</v>
      </c>
      <c r="X63" s="21" t="s">
        <v>239</v>
      </c>
      <c r="Y63" s="21" t="s">
        <v>5186</v>
      </c>
      <c r="Z63" s="21" t="s">
        <v>3492</v>
      </c>
      <c r="AA63" s="21" t="s">
        <v>4701</v>
      </c>
    </row>
    <row r="64" spans="2:27" x14ac:dyDescent="0.25">
      <c r="B64" s="21" t="s">
        <v>5918</v>
      </c>
      <c r="E64" s="21" t="s">
        <v>2121</v>
      </c>
      <c r="F64" s="21" t="s">
        <v>4165</v>
      </c>
      <c r="H64" s="21" t="s">
        <v>221</v>
      </c>
      <c r="I64" s="21" t="s">
        <v>2587</v>
      </c>
      <c r="J64" s="21" t="s">
        <v>4619</v>
      </c>
      <c r="K64" s="21" t="s">
        <v>392</v>
      </c>
      <c r="L64" s="21" t="s">
        <v>5328</v>
      </c>
      <c r="M64" s="21" t="s">
        <v>4742</v>
      </c>
      <c r="N64" s="21" t="s">
        <v>3915</v>
      </c>
      <c r="O64" s="21" t="s">
        <v>2084</v>
      </c>
      <c r="P64" s="21" t="s">
        <v>2322</v>
      </c>
      <c r="Q64" s="21" t="s">
        <v>4389</v>
      </c>
      <c r="R64" s="21" t="s">
        <v>3097</v>
      </c>
      <c r="S64" s="21" t="s">
        <v>2140</v>
      </c>
      <c r="T64" s="21" t="s">
        <v>3885</v>
      </c>
      <c r="W64" s="21" t="s">
        <v>1423</v>
      </c>
      <c r="X64" s="21" t="s">
        <v>921</v>
      </c>
      <c r="Y64" s="21" t="s">
        <v>901</v>
      </c>
      <c r="Z64" s="21" t="s">
        <v>2581</v>
      </c>
      <c r="AA64" s="21" t="s">
        <v>4214</v>
      </c>
    </row>
    <row r="65" spans="2:27" x14ac:dyDescent="0.25">
      <c r="B65" s="21" t="s">
        <v>2412</v>
      </c>
      <c r="E65" s="21" t="s">
        <v>2229</v>
      </c>
      <c r="F65" s="21" t="s">
        <v>4411</v>
      </c>
      <c r="H65" s="21" t="s">
        <v>223</v>
      </c>
      <c r="I65" s="21" t="s">
        <v>2530</v>
      </c>
      <c r="J65" s="21" t="s">
        <v>3934</v>
      </c>
      <c r="K65" s="21" t="s">
        <v>250</v>
      </c>
      <c r="L65" s="21" t="s">
        <v>1954</v>
      </c>
      <c r="M65" s="21" t="s">
        <v>5919</v>
      </c>
      <c r="N65" s="21" t="s">
        <v>4161</v>
      </c>
      <c r="O65" s="21" t="s">
        <v>4837</v>
      </c>
      <c r="P65" s="21" t="s">
        <v>3100</v>
      </c>
      <c r="Q65" s="21" t="s">
        <v>4546</v>
      </c>
      <c r="R65" s="21" t="s">
        <v>599</v>
      </c>
      <c r="S65" s="21" t="s">
        <v>1682</v>
      </c>
      <c r="T65" s="21" t="s">
        <v>4313</v>
      </c>
      <c r="W65" s="21" t="s">
        <v>2915</v>
      </c>
      <c r="X65" s="21" t="s">
        <v>258</v>
      </c>
      <c r="Y65" s="21" t="s">
        <v>5132</v>
      </c>
      <c r="Z65" s="21" t="s">
        <v>3536</v>
      </c>
      <c r="AA65" s="21" t="s">
        <v>4228</v>
      </c>
    </row>
    <row r="66" spans="2:27" x14ac:dyDescent="0.25">
      <c r="B66" s="21" t="s">
        <v>347</v>
      </c>
      <c r="E66" s="21" t="s">
        <v>1820</v>
      </c>
      <c r="F66" s="21" t="s">
        <v>5283</v>
      </c>
      <c r="H66" s="21" t="s">
        <v>2218</v>
      </c>
      <c r="I66" s="21" t="s">
        <v>2583</v>
      </c>
      <c r="J66" s="21" t="s">
        <v>2380</v>
      </c>
      <c r="K66" s="21" t="s">
        <v>352</v>
      </c>
      <c r="L66" s="21" t="s">
        <v>3645</v>
      </c>
      <c r="M66" s="21" t="s">
        <v>4660</v>
      </c>
      <c r="N66" s="21" t="s">
        <v>3860</v>
      </c>
      <c r="O66" s="21" t="s">
        <v>1925</v>
      </c>
      <c r="P66" s="21" t="s">
        <v>2289</v>
      </c>
      <c r="Q66" s="21" t="s">
        <v>5294</v>
      </c>
      <c r="R66" s="21" t="s">
        <v>600</v>
      </c>
      <c r="S66" s="21" t="s">
        <v>3442</v>
      </c>
      <c r="T66" s="21" t="s">
        <v>4348</v>
      </c>
      <c r="W66" s="21" t="s">
        <v>1476</v>
      </c>
      <c r="X66" s="21" t="s">
        <v>1376</v>
      </c>
      <c r="Y66" s="21" t="s">
        <v>5156</v>
      </c>
      <c r="Z66" s="21" t="s">
        <v>530</v>
      </c>
      <c r="AA66" s="21" t="s">
        <v>4749</v>
      </c>
    </row>
    <row r="67" spans="2:27" x14ac:dyDescent="0.25">
      <c r="B67" s="21" t="s">
        <v>3699</v>
      </c>
      <c r="E67" s="21" t="s">
        <v>1819</v>
      </c>
      <c r="F67" s="21" t="s">
        <v>4543</v>
      </c>
      <c r="H67" s="21" t="s">
        <v>2215</v>
      </c>
      <c r="I67" s="21" t="s">
        <v>2790</v>
      </c>
      <c r="J67" s="21" t="s">
        <v>4716</v>
      </c>
      <c r="K67" s="21" t="s">
        <v>2057</v>
      </c>
      <c r="L67" s="21" t="s">
        <v>1460</v>
      </c>
      <c r="M67" s="21" t="s">
        <v>4777</v>
      </c>
      <c r="N67" s="21" t="s">
        <v>4213</v>
      </c>
      <c r="O67" s="21" t="s">
        <v>2034</v>
      </c>
      <c r="P67" s="21" t="s">
        <v>5127</v>
      </c>
      <c r="Q67" s="21" t="s">
        <v>4455</v>
      </c>
      <c r="R67" s="21" t="s">
        <v>3106</v>
      </c>
      <c r="S67" s="21" t="s">
        <v>3286</v>
      </c>
      <c r="T67" s="21" t="s">
        <v>4290</v>
      </c>
      <c r="W67" s="21" t="s">
        <v>1181</v>
      </c>
      <c r="X67" s="21" t="s">
        <v>1341</v>
      </c>
      <c r="Y67" s="21" t="s">
        <v>5181</v>
      </c>
      <c r="Z67" s="21" t="s">
        <v>3827</v>
      </c>
      <c r="AA67" s="21" t="s">
        <v>5051</v>
      </c>
    </row>
    <row r="68" spans="2:27" x14ac:dyDescent="0.25">
      <c r="B68" s="21" t="s">
        <v>5103</v>
      </c>
      <c r="E68" s="21" t="s">
        <v>1897</v>
      </c>
      <c r="F68" s="21" t="s">
        <v>3971</v>
      </c>
      <c r="H68" s="21" t="s">
        <v>3233</v>
      </c>
      <c r="I68" s="21" t="s">
        <v>2172</v>
      </c>
      <c r="J68" s="21" t="s">
        <v>5357</v>
      </c>
      <c r="K68" s="21" t="s">
        <v>2281</v>
      </c>
      <c r="L68" s="21" t="s">
        <v>2825</v>
      </c>
      <c r="M68" s="21" t="s">
        <v>5920</v>
      </c>
      <c r="N68" s="21" t="s">
        <v>3865</v>
      </c>
      <c r="O68" s="21" t="s">
        <v>4028</v>
      </c>
      <c r="P68" s="21" t="s">
        <v>2199</v>
      </c>
      <c r="Q68" s="21" t="s">
        <v>5092</v>
      </c>
      <c r="R68" s="21" t="s">
        <v>3001</v>
      </c>
      <c r="S68" s="21" t="s">
        <v>2880</v>
      </c>
      <c r="T68" s="21" t="s">
        <v>4872</v>
      </c>
      <c r="W68" s="21" t="s">
        <v>1330</v>
      </c>
      <c r="X68" s="21" t="s">
        <v>1259</v>
      </c>
      <c r="Y68" s="21" t="s">
        <v>1287</v>
      </c>
      <c r="Z68" s="21" t="s">
        <v>3621</v>
      </c>
      <c r="AA68" s="21" t="s">
        <v>5084</v>
      </c>
    </row>
    <row r="69" spans="2:27" x14ac:dyDescent="0.25">
      <c r="B69" s="21" t="s">
        <v>5321</v>
      </c>
      <c r="E69" s="21" t="s">
        <v>2094</v>
      </c>
      <c r="F69" s="21" t="s">
        <v>4405</v>
      </c>
      <c r="H69" s="21" t="s">
        <v>3158</v>
      </c>
      <c r="I69" s="21" t="s">
        <v>5341</v>
      </c>
      <c r="J69" s="21" t="s">
        <v>4673</v>
      </c>
      <c r="K69" s="21" t="s">
        <v>370</v>
      </c>
      <c r="L69" s="21" t="s">
        <v>2697</v>
      </c>
      <c r="M69" s="21" t="s">
        <v>5396</v>
      </c>
      <c r="N69" s="21" t="s">
        <v>3853</v>
      </c>
      <c r="O69" s="21" t="s">
        <v>4970</v>
      </c>
      <c r="P69" s="21" t="s">
        <v>4849</v>
      </c>
      <c r="Q69" s="21" t="s">
        <v>4264</v>
      </c>
      <c r="R69" s="21" t="s">
        <v>650</v>
      </c>
      <c r="S69" s="21" t="s">
        <v>2866</v>
      </c>
      <c r="T69" s="21" t="s">
        <v>5921</v>
      </c>
      <c r="W69" s="21" t="s">
        <v>1006</v>
      </c>
      <c r="X69" s="21" t="s">
        <v>1088</v>
      </c>
      <c r="Y69" s="21" t="s">
        <v>2736</v>
      </c>
      <c r="Z69" s="21" t="s">
        <v>2573</v>
      </c>
      <c r="AA69" s="21" t="s">
        <v>4176</v>
      </c>
    </row>
    <row r="70" spans="2:27" x14ac:dyDescent="0.25">
      <c r="B70" s="21" t="s">
        <v>1768</v>
      </c>
      <c r="E70" s="21" t="s">
        <v>1687</v>
      </c>
      <c r="F70" s="21" t="s">
        <v>2132</v>
      </c>
      <c r="H70" s="21" t="s">
        <v>1619</v>
      </c>
      <c r="I70" s="21" t="s">
        <v>2746</v>
      </c>
      <c r="J70" s="21" t="s">
        <v>4793</v>
      </c>
      <c r="K70" s="21" t="s">
        <v>2496</v>
      </c>
      <c r="L70" s="21" t="s">
        <v>3319</v>
      </c>
      <c r="M70" s="21" t="s">
        <v>5427</v>
      </c>
      <c r="N70" s="21" t="s">
        <v>3918</v>
      </c>
      <c r="O70" s="21" t="s">
        <v>4034</v>
      </c>
      <c r="P70" s="21" t="s">
        <v>4862</v>
      </c>
      <c r="Q70" s="21" t="s">
        <v>5423</v>
      </c>
      <c r="R70" s="21" t="s">
        <v>802</v>
      </c>
      <c r="S70" s="21" t="s">
        <v>235</v>
      </c>
      <c r="T70" s="21" t="s">
        <v>4838</v>
      </c>
      <c r="W70" s="21" t="s">
        <v>964</v>
      </c>
      <c r="X70" s="21" t="s">
        <v>1368</v>
      </c>
      <c r="Y70" s="21" t="s">
        <v>5153</v>
      </c>
      <c r="Z70" s="21" t="s">
        <v>3785</v>
      </c>
      <c r="AA70" s="21" t="s">
        <v>1228</v>
      </c>
    </row>
    <row r="71" spans="2:27" x14ac:dyDescent="0.25">
      <c r="B71" s="21" t="s">
        <v>4911</v>
      </c>
      <c r="E71" s="21" t="s">
        <v>4101</v>
      </c>
      <c r="F71" s="21" t="s">
        <v>1793</v>
      </c>
      <c r="H71" s="21" t="s">
        <v>1676</v>
      </c>
      <c r="I71" s="21" t="s">
        <v>2585</v>
      </c>
      <c r="J71" s="21" t="s">
        <v>4745</v>
      </c>
      <c r="K71" s="21" t="s">
        <v>2545</v>
      </c>
      <c r="L71" s="21" t="s">
        <v>2752</v>
      </c>
      <c r="M71" s="21" t="s">
        <v>5454</v>
      </c>
      <c r="N71" s="21" t="s">
        <v>4137</v>
      </c>
      <c r="O71" s="21" t="s">
        <v>5237</v>
      </c>
      <c r="P71" s="21" t="s">
        <v>2290</v>
      </c>
      <c r="Q71" s="21" t="s">
        <v>5192</v>
      </c>
      <c r="R71" s="21" t="s">
        <v>259</v>
      </c>
      <c r="S71" s="21" t="s">
        <v>3067</v>
      </c>
      <c r="T71" s="21" t="s">
        <v>4898</v>
      </c>
      <c r="W71" s="21" t="s">
        <v>2929</v>
      </c>
      <c r="X71" s="21" t="s">
        <v>1205</v>
      </c>
      <c r="Y71" s="21" t="s">
        <v>2370</v>
      </c>
      <c r="Z71" s="21" t="s">
        <v>3625</v>
      </c>
      <c r="AA71" s="21" t="s">
        <v>4288</v>
      </c>
    </row>
    <row r="72" spans="2:27" x14ac:dyDescent="0.25">
      <c r="B72" s="21" t="s">
        <v>2372</v>
      </c>
      <c r="E72" s="21" t="s">
        <v>4853</v>
      </c>
      <c r="F72" s="21" t="s">
        <v>3946</v>
      </c>
      <c r="H72" s="21" t="s">
        <v>1607</v>
      </c>
      <c r="I72" s="21" t="s">
        <v>1802</v>
      </c>
      <c r="J72" s="21" t="s">
        <v>4603</v>
      </c>
      <c r="K72" s="21" t="s">
        <v>1639</v>
      </c>
      <c r="L72" s="21" t="s">
        <v>3562</v>
      </c>
      <c r="M72" s="21" t="s">
        <v>4798</v>
      </c>
      <c r="N72" s="21" t="s">
        <v>4015</v>
      </c>
      <c r="O72" s="21" t="s">
        <v>1993</v>
      </c>
      <c r="P72" s="21" t="s">
        <v>2221</v>
      </c>
      <c r="Q72" s="21" t="s">
        <v>4615</v>
      </c>
      <c r="R72" s="21" t="s">
        <v>513</v>
      </c>
      <c r="S72" s="21" t="s">
        <v>2951</v>
      </c>
      <c r="T72" s="21" t="s">
        <v>4142</v>
      </c>
      <c r="W72" s="21" t="s">
        <v>1508</v>
      </c>
      <c r="X72" s="21" t="s">
        <v>592</v>
      </c>
      <c r="Y72" s="21" t="s">
        <v>5157</v>
      </c>
      <c r="Z72" s="21" t="s">
        <v>1583</v>
      </c>
      <c r="AA72" s="21" t="s">
        <v>4096</v>
      </c>
    </row>
    <row r="73" spans="2:27" x14ac:dyDescent="0.25">
      <c r="B73" s="21" t="s">
        <v>2386</v>
      </c>
      <c r="E73" s="21" t="s">
        <v>5363</v>
      </c>
      <c r="F73" s="21" t="s">
        <v>4391</v>
      </c>
      <c r="H73" s="21" t="s">
        <v>1735</v>
      </c>
      <c r="I73" s="21" t="s">
        <v>2632</v>
      </c>
      <c r="J73" s="21" t="s">
        <v>4677</v>
      </c>
      <c r="K73" s="21" t="s">
        <v>3184</v>
      </c>
      <c r="L73" s="21" t="s">
        <v>3112</v>
      </c>
      <c r="M73" s="21" t="s">
        <v>2794</v>
      </c>
      <c r="N73" s="21" t="s">
        <v>4008</v>
      </c>
      <c r="O73" s="21" t="s">
        <v>1912</v>
      </c>
      <c r="P73" s="21" t="s">
        <v>2223</v>
      </c>
      <c r="Q73" s="21" t="s">
        <v>4651</v>
      </c>
      <c r="R73" s="21" t="s">
        <v>258</v>
      </c>
      <c r="S73" s="21" t="s">
        <v>1869</v>
      </c>
      <c r="T73" s="21" t="s">
        <v>4829</v>
      </c>
      <c r="W73" s="21" t="s">
        <v>2928</v>
      </c>
      <c r="X73" s="21" t="s">
        <v>1024</v>
      </c>
      <c r="Y73" s="21" t="s">
        <v>4904</v>
      </c>
      <c r="Z73" s="21" t="s">
        <v>3037</v>
      </c>
      <c r="AA73" s="21" t="s">
        <v>4741</v>
      </c>
    </row>
    <row r="74" spans="2:27" x14ac:dyDescent="0.25">
      <c r="B74" s="21" t="s">
        <v>5131</v>
      </c>
      <c r="E74" s="21" t="s">
        <v>2152</v>
      </c>
      <c r="F74" s="21" t="s">
        <v>4133</v>
      </c>
      <c r="H74" s="21" t="s">
        <v>696</v>
      </c>
      <c r="I74" s="21" t="s">
        <v>2307</v>
      </c>
      <c r="J74" s="21" t="s">
        <v>4700</v>
      </c>
      <c r="K74" s="21" t="s">
        <v>393</v>
      </c>
      <c r="L74" s="21" t="s">
        <v>3192</v>
      </c>
      <c r="M74" s="21" t="s">
        <v>4638</v>
      </c>
      <c r="N74" s="21" t="s">
        <v>3978</v>
      </c>
      <c r="O74" s="21" t="s">
        <v>5187</v>
      </c>
      <c r="P74" s="21" t="s">
        <v>5394</v>
      </c>
      <c r="Q74" s="21" t="s">
        <v>4453</v>
      </c>
      <c r="R74" s="21" t="s">
        <v>3466</v>
      </c>
      <c r="S74" s="21" t="s">
        <v>1783</v>
      </c>
      <c r="T74" s="21" t="s">
        <v>3990</v>
      </c>
      <c r="W74" s="21" t="s">
        <v>1532</v>
      </c>
      <c r="X74" s="21" t="s">
        <v>990</v>
      </c>
      <c r="Y74" s="21" t="s">
        <v>1659</v>
      </c>
      <c r="Z74" s="21" t="s">
        <v>3696</v>
      </c>
      <c r="AA74" s="21" t="s">
        <v>5032</v>
      </c>
    </row>
    <row r="75" spans="2:27" x14ac:dyDescent="0.25">
      <c r="B75" s="21" t="s">
        <v>4818</v>
      </c>
      <c r="E75" s="21" t="s">
        <v>2793</v>
      </c>
      <c r="F75" s="21" t="s">
        <v>4474</v>
      </c>
      <c r="H75" s="21" t="s">
        <v>3383</v>
      </c>
      <c r="I75" s="21" t="s">
        <v>2510</v>
      </c>
      <c r="J75" s="21" t="s">
        <v>4758</v>
      </c>
      <c r="K75" s="21" t="s">
        <v>3247</v>
      </c>
      <c r="L75" s="21" t="s">
        <v>2196</v>
      </c>
      <c r="M75" s="21" t="s">
        <v>4720</v>
      </c>
      <c r="N75" s="21" t="s">
        <v>5922</v>
      </c>
      <c r="O75" s="21" t="s">
        <v>1863</v>
      </c>
      <c r="P75" s="21" t="s">
        <v>2102</v>
      </c>
      <c r="Q75" s="21" t="s">
        <v>5349</v>
      </c>
      <c r="R75" s="21" t="s">
        <v>3085</v>
      </c>
      <c r="S75" s="21" t="s">
        <v>1742</v>
      </c>
      <c r="T75" s="21" t="s">
        <v>4965</v>
      </c>
      <c r="W75" s="21" t="s">
        <v>1360</v>
      </c>
      <c r="X75" s="21" t="s">
        <v>902</v>
      </c>
      <c r="Y75" s="21" t="s">
        <v>2305</v>
      </c>
      <c r="Z75" s="21" t="s">
        <v>3661</v>
      </c>
      <c r="AA75" s="21" t="s">
        <v>3929</v>
      </c>
    </row>
    <row r="76" spans="2:27" x14ac:dyDescent="0.25">
      <c r="B76" s="21" t="s">
        <v>2025</v>
      </c>
      <c r="E76" s="21" t="s">
        <v>2350</v>
      </c>
      <c r="F76" s="21" t="s">
        <v>4109</v>
      </c>
      <c r="H76" s="21" t="s">
        <v>1654</v>
      </c>
      <c r="I76" s="21" t="s">
        <v>2115</v>
      </c>
      <c r="J76" s="21" t="s">
        <v>3897</v>
      </c>
      <c r="K76" s="21" t="s">
        <v>2408</v>
      </c>
      <c r="L76" s="21" t="s">
        <v>3108</v>
      </c>
      <c r="M76" s="21" t="s">
        <v>5449</v>
      </c>
      <c r="N76" s="21" t="s">
        <v>3987</v>
      </c>
      <c r="O76" s="21" t="s">
        <v>1940</v>
      </c>
      <c r="P76" s="21" t="s">
        <v>5149</v>
      </c>
      <c r="Q76" s="21" t="s">
        <v>4272</v>
      </c>
      <c r="R76" s="21" t="s">
        <v>621</v>
      </c>
      <c r="S76" s="21" t="s">
        <v>3214</v>
      </c>
      <c r="T76" s="21" t="s">
        <v>4334</v>
      </c>
      <c r="W76" s="21" t="s">
        <v>1445</v>
      </c>
      <c r="X76" s="21" t="s">
        <v>926</v>
      </c>
      <c r="Y76" s="21" t="s">
        <v>2349</v>
      </c>
      <c r="Z76" s="21" t="s">
        <v>619</v>
      </c>
      <c r="AA76" s="21" t="s">
        <v>4709</v>
      </c>
    </row>
    <row r="77" spans="2:27" x14ac:dyDescent="0.25">
      <c r="B77" s="21" t="s">
        <v>2235</v>
      </c>
      <c r="E77" s="21" t="s">
        <v>1649</v>
      </c>
      <c r="F77" s="21" t="s">
        <v>4954</v>
      </c>
      <c r="H77" s="21" t="s">
        <v>2212</v>
      </c>
      <c r="I77" s="21" t="s">
        <v>2465</v>
      </c>
      <c r="J77" s="21" t="s">
        <v>4739</v>
      </c>
      <c r="K77" s="21" t="s">
        <v>394</v>
      </c>
      <c r="L77" s="21" t="s">
        <v>3123</v>
      </c>
      <c r="M77" s="21" t="s">
        <v>4698</v>
      </c>
      <c r="N77" s="21" t="s">
        <v>3868</v>
      </c>
      <c r="O77" s="21" t="s">
        <v>5199</v>
      </c>
      <c r="P77" s="21" t="s">
        <v>2318</v>
      </c>
      <c r="Q77" s="21" t="s">
        <v>4490</v>
      </c>
      <c r="R77" s="21" t="s">
        <v>577</v>
      </c>
      <c r="S77" s="21" t="s">
        <v>3152</v>
      </c>
      <c r="T77" s="21" t="s">
        <v>4336</v>
      </c>
      <c r="W77" s="21" t="s">
        <v>2886</v>
      </c>
      <c r="X77" s="21" t="s">
        <v>337</v>
      </c>
      <c r="Z77" s="21" t="s">
        <v>3538</v>
      </c>
      <c r="AA77" s="21" t="s">
        <v>4234</v>
      </c>
    </row>
    <row r="78" spans="2:27" x14ac:dyDescent="0.25">
      <c r="B78" s="21" t="s">
        <v>2819</v>
      </c>
      <c r="E78" s="21" t="s">
        <v>3260</v>
      </c>
      <c r="F78" s="21" t="s">
        <v>561</v>
      </c>
      <c r="H78" s="21" t="s">
        <v>1852</v>
      </c>
      <c r="I78" s="21" t="s">
        <v>2588</v>
      </c>
      <c r="J78" s="21" t="s">
        <v>4722</v>
      </c>
      <c r="K78" s="21" t="s">
        <v>395</v>
      </c>
      <c r="L78" s="21" t="s">
        <v>2134</v>
      </c>
      <c r="M78" s="21" t="s">
        <v>5458</v>
      </c>
      <c r="N78" s="21" t="s">
        <v>4124</v>
      </c>
      <c r="O78" s="21" t="s">
        <v>2089</v>
      </c>
      <c r="P78" s="21" t="s">
        <v>3851</v>
      </c>
      <c r="Q78" s="21" t="s">
        <v>5375</v>
      </c>
      <c r="R78" s="21" t="s">
        <v>607</v>
      </c>
      <c r="S78" s="21" t="s">
        <v>522</v>
      </c>
      <c r="T78" s="21" t="s">
        <v>4342</v>
      </c>
      <c r="W78" s="21" t="s">
        <v>1213</v>
      </c>
      <c r="X78" s="21" t="s">
        <v>1130</v>
      </c>
      <c r="Z78" s="21" t="s">
        <v>3499</v>
      </c>
      <c r="AA78" s="21" t="s">
        <v>4210</v>
      </c>
    </row>
    <row r="79" spans="2:27" x14ac:dyDescent="0.25">
      <c r="B79" s="21" t="s">
        <v>2390</v>
      </c>
      <c r="E79" s="21" t="s">
        <v>2151</v>
      </c>
      <c r="F79" s="21" t="s">
        <v>2919</v>
      </c>
      <c r="H79" s="21" t="s">
        <v>3150</v>
      </c>
      <c r="I79" s="21" t="s">
        <v>2380</v>
      </c>
      <c r="J79" s="21" t="s">
        <v>4696</v>
      </c>
      <c r="K79" s="21" t="s">
        <v>1958</v>
      </c>
      <c r="L79" s="21" t="s">
        <v>3346</v>
      </c>
      <c r="M79" s="21" t="s">
        <v>4792</v>
      </c>
      <c r="N79" s="21" t="s">
        <v>4188</v>
      </c>
      <c r="O79" s="21" t="s">
        <v>2031</v>
      </c>
      <c r="P79" s="21" t="s">
        <v>2239</v>
      </c>
      <c r="Q79" s="21" t="s">
        <v>4556</v>
      </c>
      <c r="R79" s="21" t="s">
        <v>3045</v>
      </c>
      <c r="S79" s="21" t="s">
        <v>2884</v>
      </c>
      <c r="T79" s="21" t="s">
        <v>4119</v>
      </c>
      <c r="W79" s="21" t="s">
        <v>1105</v>
      </c>
      <c r="X79" s="21" t="s">
        <v>1391</v>
      </c>
      <c r="Z79" s="21" t="s">
        <v>666</v>
      </c>
      <c r="AA79" s="21" t="s">
        <v>4681</v>
      </c>
    </row>
    <row r="80" spans="2:27" x14ac:dyDescent="0.25">
      <c r="B80" s="21" t="s">
        <v>4874</v>
      </c>
      <c r="E80" s="21" t="s">
        <v>4932</v>
      </c>
      <c r="F80" s="21" t="s">
        <v>4475</v>
      </c>
      <c r="I80" s="21" t="s">
        <v>5406</v>
      </c>
      <c r="J80" s="21" t="s">
        <v>4755</v>
      </c>
      <c r="K80" s="21" t="s">
        <v>3706</v>
      </c>
      <c r="L80" s="21" t="s">
        <v>3133</v>
      </c>
      <c r="M80" s="21" t="s">
        <v>4727</v>
      </c>
      <c r="N80" s="21" t="s">
        <v>4074</v>
      </c>
      <c r="O80" s="21" t="s">
        <v>4310</v>
      </c>
      <c r="P80" s="21" t="s">
        <v>2457</v>
      </c>
      <c r="Q80" s="21" t="s">
        <v>4530</v>
      </c>
      <c r="R80" s="21" t="s">
        <v>1352</v>
      </c>
      <c r="S80" s="21" t="s">
        <v>247</v>
      </c>
      <c r="T80" s="21" t="s">
        <v>4330</v>
      </c>
      <c r="W80" s="21" t="s">
        <v>1101</v>
      </c>
      <c r="X80" s="21" t="s">
        <v>1365</v>
      </c>
      <c r="Z80" s="21" t="s">
        <v>1564</v>
      </c>
      <c r="AA80" s="21" t="s">
        <v>4979</v>
      </c>
    </row>
    <row r="81" spans="2:27" x14ac:dyDescent="0.25">
      <c r="B81" s="21" t="s">
        <v>4878</v>
      </c>
      <c r="E81" s="21" t="s">
        <v>2505</v>
      </c>
      <c r="F81" s="21" t="s">
        <v>5228</v>
      </c>
      <c r="I81" s="21" t="s">
        <v>4027</v>
      </c>
      <c r="J81" s="21" t="s">
        <v>4746</v>
      </c>
      <c r="K81" s="21" t="s">
        <v>396</v>
      </c>
      <c r="M81" s="21" t="s">
        <v>4635</v>
      </c>
      <c r="N81" s="21" t="s">
        <v>4472</v>
      </c>
      <c r="O81" s="21" t="s">
        <v>2073</v>
      </c>
      <c r="P81" s="21" t="s">
        <v>3844</v>
      </c>
      <c r="Q81" s="21" t="s">
        <v>5340</v>
      </c>
      <c r="R81" s="21" t="s">
        <v>252</v>
      </c>
      <c r="S81" s="21" t="s">
        <v>523</v>
      </c>
      <c r="T81" s="21" t="s">
        <v>4347</v>
      </c>
      <c r="W81" s="21" t="s">
        <v>1428</v>
      </c>
      <c r="X81" s="21" t="s">
        <v>1175</v>
      </c>
      <c r="Z81" s="21" t="s">
        <v>858</v>
      </c>
      <c r="AA81" s="21" t="s">
        <v>4631</v>
      </c>
    </row>
    <row r="82" spans="2:27" x14ac:dyDescent="0.25">
      <c r="B82" s="21" t="s">
        <v>4846</v>
      </c>
      <c r="E82" s="21" t="s">
        <v>5008</v>
      </c>
      <c r="F82" s="21" t="s">
        <v>4408</v>
      </c>
      <c r="I82" s="21" t="s">
        <v>2828</v>
      </c>
      <c r="J82" s="21" t="s">
        <v>4414</v>
      </c>
      <c r="K82" s="21" t="s">
        <v>397</v>
      </c>
      <c r="M82" s="21" t="s">
        <v>2976</v>
      </c>
      <c r="N82" s="21" t="s">
        <v>4150</v>
      </c>
      <c r="O82" s="21" t="s">
        <v>4990</v>
      </c>
      <c r="P82" s="21" t="s">
        <v>2332</v>
      </c>
      <c r="Q82" s="21" t="s">
        <v>4470</v>
      </c>
      <c r="R82" s="21" t="s">
        <v>1382</v>
      </c>
      <c r="S82" s="21" t="s">
        <v>1634</v>
      </c>
      <c r="T82" s="21" t="s">
        <v>4346</v>
      </c>
      <c r="W82" s="21" t="s">
        <v>1248</v>
      </c>
      <c r="X82" s="21" t="s">
        <v>1190</v>
      </c>
      <c r="Z82" s="21" t="s">
        <v>713</v>
      </c>
      <c r="AA82" s="21" t="s">
        <v>3426</v>
      </c>
    </row>
    <row r="83" spans="2:27" x14ac:dyDescent="0.25">
      <c r="B83" s="21" t="s">
        <v>2329</v>
      </c>
      <c r="E83" s="21" t="s">
        <v>1982</v>
      </c>
      <c r="F83" s="21" t="s">
        <v>4422</v>
      </c>
      <c r="I83" s="21" t="s">
        <v>2561</v>
      </c>
      <c r="J83" s="21" t="s">
        <v>4069</v>
      </c>
      <c r="K83" s="21" t="s">
        <v>2480</v>
      </c>
      <c r="M83" s="21" t="s">
        <v>4672</v>
      </c>
      <c r="N83" s="21" t="s">
        <v>4025</v>
      </c>
      <c r="O83" s="21" t="s">
        <v>4912</v>
      </c>
      <c r="P83" s="21" t="s">
        <v>2228</v>
      </c>
      <c r="Q83" s="21" t="s">
        <v>5351</v>
      </c>
      <c r="R83" s="21" t="s">
        <v>1946</v>
      </c>
      <c r="S83" s="21" t="s">
        <v>2939</v>
      </c>
      <c r="T83" s="21" t="s">
        <v>3928</v>
      </c>
      <c r="W83" s="21" t="s">
        <v>1011</v>
      </c>
      <c r="X83" s="21" t="s">
        <v>1138</v>
      </c>
      <c r="Z83" s="21" t="s">
        <v>3835</v>
      </c>
      <c r="AA83" s="21" t="s">
        <v>1849</v>
      </c>
    </row>
    <row r="84" spans="2:27" x14ac:dyDescent="0.25">
      <c r="B84" s="21" t="s">
        <v>5172</v>
      </c>
      <c r="E84" s="21" t="s">
        <v>2045</v>
      </c>
      <c r="F84" s="21" t="s">
        <v>4001</v>
      </c>
      <c r="I84" s="21" t="s">
        <v>2596</v>
      </c>
      <c r="J84" s="21" t="s">
        <v>4763</v>
      </c>
      <c r="K84" s="21" t="s">
        <v>1878</v>
      </c>
      <c r="M84" s="21" t="s">
        <v>5482</v>
      </c>
      <c r="N84" s="21" t="s">
        <v>4877</v>
      </c>
      <c r="O84" s="21" t="s">
        <v>1962</v>
      </c>
      <c r="P84" s="21" t="s">
        <v>5448</v>
      </c>
      <c r="Q84" s="21" t="s">
        <v>5063</v>
      </c>
      <c r="R84" s="21" t="s">
        <v>3103</v>
      </c>
      <c r="S84" s="21" t="s">
        <v>2902</v>
      </c>
      <c r="T84" s="21" t="s">
        <v>4301</v>
      </c>
      <c r="W84" s="21" t="s">
        <v>971</v>
      </c>
      <c r="X84" s="21" t="s">
        <v>1007</v>
      </c>
      <c r="Z84" s="21" t="s">
        <v>3305</v>
      </c>
      <c r="AA84" s="21" t="s">
        <v>4239</v>
      </c>
    </row>
    <row r="85" spans="2:27" x14ac:dyDescent="0.25">
      <c r="B85" s="21" t="s">
        <v>4813</v>
      </c>
      <c r="E85" s="21" t="s">
        <v>4989</v>
      </c>
      <c r="F85" s="21" t="s">
        <v>4162</v>
      </c>
      <c r="I85" s="21" t="s">
        <v>2436</v>
      </c>
      <c r="J85" s="21" t="s">
        <v>4637</v>
      </c>
      <c r="K85" s="21" t="s">
        <v>693</v>
      </c>
      <c r="M85" s="21" t="s">
        <v>5486</v>
      </c>
      <c r="N85" s="21" t="s">
        <v>4063</v>
      </c>
      <c r="O85" s="21" t="s">
        <v>5185</v>
      </c>
      <c r="P85" s="21" t="s">
        <v>2088</v>
      </c>
      <c r="Q85" s="21" t="s">
        <v>5393</v>
      </c>
      <c r="R85" s="21" t="s">
        <v>274</v>
      </c>
      <c r="S85" s="21" t="s">
        <v>3125</v>
      </c>
      <c r="T85" s="21" t="s">
        <v>4900</v>
      </c>
      <c r="W85" s="21" t="s">
        <v>1269</v>
      </c>
      <c r="X85" s="21" t="s">
        <v>1176</v>
      </c>
      <c r="Z85" s="21" t="s">
        <v>2075</v>
      </c>
      <c r="AA85" s="21" t="s">
        <v>4641</v>
      </c>
    </row>
    <row r="86" spans="2:27" x14ac:dyDescent="0.25">
      <c r="B86" s="21" t="s">
        <v>1692</v>
      </c>
      <c r="E86" s="21" t="s">
        <v>2267</v>
      </c>
      <c r="F86" s="21" t="s">
        <v>4156</v>
      </c>
      <c r="I86" s="21" t="s">
        <v>2403</v>
      </c>
      <c r="J86" s="21" t="s">
        <v>3931</v>
      </c>
      <c r="K86" s="21" t="s">
        <v>398</v>
      </c>
      <c r="M86" s="21" t="s">
        <v>5437</v>
      </c>
      <c r="N86" s="21" t="s">
        <v>4108</v>
      </c>
      <c r="O86" s="21" t="s">
        <v>4937</v>
      </c>
      <c r="P86" s="21" t="s">
        <v>2351</v>
      </c>
      <c r="Q86" s="21" t="s">
        <v>5368</v>
      </c>
      <c r="R86" s="21" t="s">
        <v>276</v>
      </c>
      <c r="S86" s="21" t="s">
        <v>263</v>
      </c>
      <c r="T86" s="21" t="s">
        <v>3987</v>
      </c>
      <c r="W86" s="21" t="s">
        <v>941</v>
      </c>
      <c r="X86" s="21" t="s">
        <v>980</v>
      </c>
      <c r="Z86" s="21" t="s">
        <v>817</v>
      </c>
      <c r="AA86" s="21" t="s">
        <v>4186</v>
      </c>
    </row>
    <row r="87" spans="2:27" x14ac:dyDescent="0.25">
      <c r="B87" s="21" t="s">
        <v>2414</v>
      </c>
      <c r="E87" s="21" t="s">
        <v>4825</v>
      </c>
      <c r="F87" s="21" t="s">
        <v>3924</v>
      </c>
      <c r="I87" s="21" t="s">
        <v>5347</v>
      </c>
      <c r="J87" s="21" t="s">
        <v>5116</v>
      </c>
      <c r="K87" s="21" t="s">
        <v>365</v>
      </c>
      <c r="M87" s="21" t="s">
        <v>4770</v>
      </c>
      <c r="N87" s="21" t="s">
        <v>5019</v>
      </c>
      <c r="O87" s="21" t="s">
        <v>1834</v>
      </c>
      <c r="P87" s="21" t="s">
        <v>4891</v>
      </c>
      <c r="Q87" s="21" t="s">
        <v>5242</v>
      </c>
      <c r="R87" s="21" t="s">
        <v>3069</v>
      </c>
      <c r="S87" s="21" t="s">
        <v>524</v>
      </c>
      <c r="T87" s="21" t="s">
        <v>1690</v>
      </c>
      <c r="W87" s="21" t="s">
        <v>965</v>
      </c>
      <c r="X87" s="21" t="s">
        <v>1215</v>
      </c>
      <c r="Z87" s="21" t="s">
        <v>2532</v>
      </c>
      <c r="AA87" s="21" t="s">
        <v>4286</v>
      </c>
    </row>
    <row r="88" spans="2:27" x14ac:dyDescent="0.25">
      <c r="B88" s="21" t="s">
        <v>2391</v>
      </c>
      <c r="E88" s="21" t="s">
        <v>1684</v>
      </c>
      <c r="F88" s="21" t="s">
        <v>5923</v>
      </c>
      <c r="I88" s="21" t="s">
        <v>2728</v>
      </c>
      <c r="J88" s="21" t="s">
        <v>3908</v>
      </c>
      <c r="K88" s="21" t="s">
        <v>2469</v>
      </c>
      <c r="M88" s="21" t="s">
        <v>4542</v>
      </c>
      <c r="N88" s="21" t="s">
        <v>4216</v>
      </c>
      <c r="O88" s="21" t="s">
        <v>4309</v>
      </c>
      <c r="P88" s="21" t="s">
        <v>4809</v>
      </c>
      <c r="Q88" s="21" t="s">
        <v>5271</v>
      </c>
      <c r="R88" s="21" t="s">
        <v>552</v>
      </c>
      <c r="S88" s="21" t="s">
        <v>228</v>
      </c>
      <c r="T88" s="21" t="s">
        <v>4966</v>
      </c>
      <c r="W88" s="21" t="s">
        <v>1238</v>
      </c>
      <c r="X88" s="21" t="s">
        <v>231</v>
      </c>
      <c r="Z88" s="21" t="s">
        <v>868</v>
      </c>
      <c r="AA88" s="21" t="s">
        <v>1975</v>
      </c>
    </row>
    <row r="89" spans="2:27" x14ac:dyDescent="0.25">
      <c r="B89" s="21" t="s">
        <v>4942</v>
      </c>
      <c r="E89" s="21" t="s">
        <v>5346</v>
      </c>
      <c r="F89" s="21" t="s">
        <v>4920</v>
      </c>
      <c r="I89" s="21" t="s">
        <v>2125</v>
      </c>
      <c r="J89" s="21" t="s">
        <v>4524</v>
      </c>
      <c r="K89" s="21" t="s">
        <v>2533</v>
      </c>
      <c r="M89" s="21" t="s">
        <v>5480</v>
      </c>
      <c r="N89" s="21" t="s">
        <v>4613</v>
      </c>
      <c r="O89" s="21" t="s">
        <v>4820</v>
      </c>
      <c r="P89" s="21" t="s">
        <v>5147</v>
      </c>
      <c r="Q89" s="21" t="s">
        <v>5277</v>
      </c>
      <c r="R89" s="21" t="s">
        <v>589</v>
      </c>
      <c r="S89" s="21" t="s">
        <v>525</v>
      </c>
      <c r="T89" s="21" t="s">
        <v>4120</v>
      </c>
      <c r="W89" s="21" t="s">
        <v>924</v>
      </c>
      <c r="X89" s="21" t="s">
        <v>245</v>
      </c>
      <c r="Z89" s="21" t="s">
        <v>3756</v>
      </c>
      <c r="AA89" s="21" t="s">
        <v>4693</v>
      </c>
    </row>
    <row r="90" spans="2:27" x14ac:dyDescent="0.25">
      <c r="B90" s="21" t="s">
        <v>2357</v>
      </c>
      <c r="E90" s="21" t="s">
        <v>5114</v>
      </c>
      <c r="F90" s="21" t="s">
        <v>4178</v>
      </c>
      <c r="I90" s="21" t="s">
        <v>2163</v>
      </c>
      <c r="J90" s="21" t="s">
        <v>4640</v>
      </c>
      <c r="K90" s="21" t="s">
        <v>729</v>
      </c>
      <c r="M90" s="21" t="s">
        <v>4618</v>
      </c>
      <c r="N90" s="21" t="s">
        <v>4545</v>
      </c>
      <c r="O90" s="21" t="s">
        <v>1566</v>
      </c>
      <c r="P90" s="21" t="s">
        <v>4814</v>
      </c>
      <c r="Q90" s="21" t="s">
        <v>5303</v>
      </c>
      <c r="R90" s="21" t="s">
        <v>2969</v>
      </c>
      <c r="S90" s="21" t="s">
        <v>2081</v>
      </c>
      <c r="T90" s="21" t="s">
        <v>3878</v>
      </c>
      <c r="W90" s="21" t="s">
        <v>5924</v>
      </c>
      <c r="X90" s="21" t="s">
        <v>1134</v>
      </c>
      <c r="Z90" s="21" t="s">
        <v>3741</v>
      </c>
      <c r="AA90" s="21" t="s">
        <v>1438</v>
      </c>
    </row>
    <row r="91" spans="2:27" x14ac:dyDescent="0.25">
      <c r="B91" s="21" t="s">
        <v>5202</v>
      </c>
      <c r="E91" s="21" t="s">
        <v>1838</v>
      </c>
      <c r="F91" s="21" t="s">
        <v>4036</v>
      </c>
      <c r="I91" s="21" t="s">
        <v>2633</v>
      </c>
      <c r="J91" s="21" t="s">
        <v>4684</v>
      </c>
      <c r="K91" s="21" t="s">
        <v>399</v>
      </c>
      <c r="M91" s="21" t="s">
        <v>2855</v>
      </c>
      <c r="N91" s="21" t="s">
        <v>4091</v>
      </c>
      <c r="O91" s="21" t="s">
        <v>4003</v>
      </c>
      <c r="P91" s="21" t="s">
        <v>2629</v>
      </c>
      <c r="Q91" s="21" t="s">
        <v>5010</v>
      </c>
      <c r="R91" s="21" t="s">
        <v>281</v>
      </c>
      <c r="S91" s="21" t="s">
        <v>3201</v>
      </c>
      <c r="T91" s="21" t="s">
        <v>5302</v>
      </c>
      <c r="W91" s="21" t="s">
        <v>1098</v>
      </c>
      <c r="X91" s="21" t="s">
        <v>26</v>
      </c>
      <c r="Z91" s="21" t="s">
        <v>3618</v>
      </c>
      <c r="AA91" s="21" t="s">
        <v>4202</v>
      </c>
    </row>
    <row r="92" spans="2:27" x14ac:dyDescent="0.25">
      <c r="B92" s="21" t="s">
        <v>4927</v>
      </c>
      <c r="E92" s="21" t="s">
        <v>2816</v>
      </c>
      <c r="F92" s="21" t="s">
        <v>4451</v>
      </c>
      <c r="I92" s="21" t="s">
        <v>2714</v>
      </c>
      <c r="J92" s="21" t="s">
        <v>4197</v>
      </c>
      <c r="K92" s="21" t="s">
        <v>2489</v>
      </c>
      <c r="M92" s="21" t="s">
        <v>3922</v>
      </c>
      <c r="N92" s="21" t="s">
        <v>5925</v>
      </c>
      <c r="O92" s="21" t="s">
        <v>1914</v>
      </c>
      <c r="P92" s="21" t="s">
        <v>4750</v>
      </c>
      <c r="Q92" s="21" t="s">
        <v>4552</v>
      </c>
      <c r="R92" s="21" t="s">
        <v>1517</v>
      </c>
      <c r="S92" s="21" t="s">
        <v>3034</v>
      </c>
      <c r="T92" s="21" t="s">
        <v>5926</v>
      </c>
      <c r="W92" s="21" t="s">
        <v>1329</v>
      </c>
      <c r="X92" s="21" t="s">
        <v>918</v>
      </c>
      <c r="Z92" s="21" t="s">
        <v>3612</v>
      </c>
      <c r="AA92" s="21" t="s">
        <v>4799</v>
      </c>
    </row>
    <row r="93" spans="2:27" x14ac:dyDescent="0.25">
      <c r="B93" s="21" t="s">
        <v>5183</v>
      </c>
      <c r="E93" s="21" t="s">
        <v>1713</v>
      </c>
      <c r="F93" s="21" t="s">
        <v>5075</v>
      </c>
      <c r="I93" s="21" t="s">
        <v>2506</v>
      </c>
      <c r="J93" s="21" t="s">
        <v>4393</v>
      </c>
      <c r="K93" s="21" t="s">
        <v>400</v>
      </c>
      <c r="M93" s="21" t="s">
        <v>4769</v>
      </c>
      <c r="N93" s="21" t="s">
        <v>4064</v>
      </c>
      <c r="O93" s="21" t="s">
        <v>4032</v>
      </c>
      <c r="P93" s="21" t="s">
        <v>1633</v>
      </c>
      <c r="Q93" s="21" t="s">
        <v>5320</v>
      </c>
      <c r="R93" s="21" t="s">
        <v>2993</v>
      </c>
      <c r="S93" s="21" t="s">
        <v>3293</v>
      </c>
      <c r="T93" s="21" t="s">
        <v>347</v>
      </c>
      <c r="W93" s="21" t="s">
        <v>1444</v>
      </c>
      <c r="X93" s="21" t="s">
        <v>3019</v>
      </c>
      <c r="Z93" s="21" t="s">
        <v>798</v>
      </c>
      <c r="AA93" s="21" t="s">
        <v>5453</v>
      </c>
    </row>
    <row r="94" spans="2:27" x14ac:dyDescent="0.25">
      <c r="B94" s="21" t="s">
        <v>5205</v>
      </c>
      <c r="E94" s="21" t="s">
        <v>2443</v>
      </c>
      <c r="F94" s="21" t="s">
        <v>5098</v>
      </c>
      <c r="I94" s="21" t="s">
        <v>2130</v>
      </c>
      <c r="J94" s="21" t="s">
        <v>4399</v>
      </c>
      <c r="K94" s="21" t="s">
        <v>1678</v>
      </c>
      <c r="M94" s="21" t="s">
        <v>2815</v>
      </c>
      <c r="N94" s="21" t="s">
        <v>4675</v>
      </c>
      <c r="O94" s="21" t="s">
        <v>4316</v>
      </c>
      <c r="P94" s="21" t="s">
        <v>2278</v>
      </c>
      <c r="Q94" s="21" t="s">
        <v>4505</v>
      </c>
      <c r="R94" s="21" t="s">
        <v>1226</v>
      </c>
      <c r="T94" s="21" t="s">
        <v>4328</v>
      </c>
      <c r="W94" s="21" t="s">
        <v>1335</v>
      </c>
      <c r="X94" s="21" t="s">
        <v>1425</v>
      </c>
      <c r="Z94" s="21" t="s">
        <v>3806</v>
      </c>
      <c r="AA94" s="21" t="s">
        <v>5031</v>
      </c>
    </row>
    <row r="95" spans="2:27" x14ac:dyDescent="0.25">
      <c r="B95" s="21" t="s">
        <v>2576</v>
      </c>
      <c r="E95" s="21" t="s">
        <v>2406</v>
      </c>
      <c r="F95" s="21" t="s">
        <v>5102</v>
      </c>
      <c r="I95" s="21" t="s">
        <v>5352</v>
      </c>
      <c r="J95" s="21" t="s">
        <v>4750</v>
      </c>
      <c r="K95" s="21" t="s">
        <v>2827</v>
      </c>
      <c r="M95" s="21" t="s">
        <v>5442</v>
      </c>
      <c r="N95" s="21" t="s">
        <v>4249</v>
      </c>
      <c r="O95" s="21" t="s">
        <v>4808</v>
      </c>
      <c r="P95" s="21" t="s">
        <v>269</v>
      </c>
      <c r="Q95" s="21" t="s">
        <v>4144</v>
      </c>
      <c r="R95" s="21" t="s">
        <v>2991</v>
      </c>
      <c r="T95" s="21" t="s">
        <v>4274</v>
      </c>
      <c r="W95" s="21" t="s">
        <v>1093</v>
      </c>
      <c r="X95" s="21" t="s">
        <v>1115</v>
      </c>
      <c r="Z95" s="21" t="s">
        <v>3721</v>
      </c>
      <c r="AA95" s="21" t="s">
        <v>4801</v>
      </c>
    </row>
    <row r="96" spans="2:27" x14ac:dyDescent="0.25">
      <c r="B96" s="21" t="s">
        <v>4802</v>
      </c>
      <c r="E96" s="21" t="s">
        <v>5122</v>
      </c>
      <c r="F96" s="21" t="s">
        <v>4225</v>
      </c>
      <c r="I96" s="21" t="s">
        <v>2586</v>
      </c>
      <c r="J96" s="21" t="s">
        <v>4217</v>
      </c>
      <c r="K96" s="21" t="s">
        <v>695</v>
      </c>
      <c r="M96" s="21" t="s">
        <v>5476</v>
      </c>
      <c r="N96" s="21" t="s">
        <v>3849</v>
      </c>
      <c r="O96" s="21" t="s">
        <v>5927</v>
      </c>
      <c r="P96" s="21" t="s">
        <v>1716</v>
      </c>
      <c r="Q96" s="21" t="s">
        <v>5348</v>
      </c>
      <c r="R96" s="21" t="s">
        <v>514</v>
      </c>
      <c r="T96" s="21" t="s">
        <v>3850</v>
      </c>
      <c r="W96" s="21" t="s">
        <v>2887</v>
      </c>
      <c r="X96" s="21" t="s">
        <v>899</v>
      </c>
      <c r="Z96" s="21" t="s">
        <v>3734</v>
      </c>
      <c r="AA96" s="21" t="s">
        <v>5925</v>
      </c>
    </row>
    <row r="97" spans="2:27" x14ac:dyDescent="0.25">
      <c r="B97" s="21" t="s">
        <v>2399</v>
      </c>
      <c r="E97" s="21" t="s">
        <v>3312</v>
      </c>
      <c r="F97" s="21" t="s">
        <v>3239</v>
      </c>
      <c r="I97" s="21" t="s">
        <v>2620</v>
      </c>
      <c r="J97" s="21" t="s">
        <v>4658</v>
      </c>
      <c r="K97" s="21" t="s">
        <v>2411</v>
      </c>
      <c r="M97" s="21" t="s">
        <v>2796</v>
      </c>
      <c r="N97" s="21" t="s">
        <v>4006</v>
      </c>
      <c r="O97" s="21" t="s">
        <v>1942</v>
      </c>
      <c r="P97" s="21" t="s">
        <v>1712</v>
      </c>
      <c r="Q97" s="21" t="s">
        <v>5370</v>
      </c>
      <c r="R97" s="21" t="s">
        <v>332</v>
      </c>
      <c r="T97" s="21" t="s">
        <v>4364</v>
      </c>
      <c r="W97" s="21" t="s">
        <v>1077</v>
      </c>
      <c r="X97" s="21" t="s">
        <v>222</v>
      </c>
      <c r="Z97" s="21" t="s">
        <v>855</v>
      </c>
      <c r="AA97" s="21" t="s">
        <v>4760</v>
      </c>
    </row>
    <row r="98" spans="2:27" x14ac:dyDescent="0.25">
      <c r="B98" s="21" t="s">
        <v>5928</v>
      </c>
      <c r="E98" s="21" t="s">
        <v>5260</v>
      </c>
      <c r="F98" s="21" t="s">
        <v>5263</v>
      </c>
      <c r="I98" s="21" t="s">
        <v>4495</v>
      </c>
      <c r="J98" s="21" t="s">
        <v>4682</v>
      </c>
      <c r="K98" s="21" t="s">
        <v>401</v>
      </c>
      <c r="M98" s="21" t="s">
        <v>5329</v>
      </c>
      <c r="N98" s="21" t="s">
        <v>4039</v>
      </c>
      <c r="O98" s="21" t="s">
        <v>1930</v>
      </c>
      <c r="P98" s="21" t="s">
        <v>4819</v>
      </c>
      <c r="Q98" s="21" t="s">
        <v>4457</v>
      </c>
      <c r="R98" s="21" t="s">
        <v>3203</v>
      </c>
      <c r="T98" s="21" t="s">
        <v>2299</v>
      </c>
      <c r="W98" s="21" t="s">
        <v>1486</v>
      </c>
      <c r="X98" s="21" t="s">
        <v>272</v>
      </c>
      <c r="Z98" s="21" t="s">
        <v>717</v>
      </c>
      <c r="AA98" s="21" t="s">
        <v>4744</v>
      </c>
    </row>
    <row r="99" spans="2:27" x14ac:dyDescent="0.25">
      <c r="B99" s="21" t="s">
        <v>2214</v>
      </c>
      <c r="E99" s="21" t="s">
        <v>1972</v>
      </c>
      <c r="F99" s="21" t="s">
        <v>4038</v>
      </c>
      <c r="I99" s="21" t="s">
        <v>2502</v>
      </c>
      <c r="J99" s="21" t="s">
        <v>4021</v>
      </c>
      <c r="K99" s="21" t="s">
        <v>697</v>
      </c>
      <c r="M99" s="21" t="s">
        <v>4686</v>
      </c>
      <c r="N99" s="21" t="s">
        <v>4055</v>
      </c>
      <c r="O99" s="21" t="s">
        <v>1966</v>
      </c>
      <c r="P99" s="21" t="s">
        <v>4832</v>
      </c>
      <c r="Q99" s="21" t="s">
        <v>5304</v>
      </c>
      <c r="R99" s="21" t="s">
        <v>575</v>
      </c>
      <c r="T99" s="21" t="s">
        <v>1653</v>
      </c>
      <c r="W99" s="21" t="s">
        <v>1070</v>
      </c>
      <c r="X99" s="21" t="s">
        <v>2863</v>
      </c>
      <c r="Z99" s="21" t="s">
        <v>3444</v>
      </c>
      <c r="AA99" s="21" t="s">
        <v>5061</v>
      </c>
    </row>
    <row r="100" spans="2:27" x14ac:dyDescent="0.25">
      <c r="B100" s="21" t="s">
        <v>2355</v>
      </c>
      <c r="E100" s="21" t="s">
        <v>2694</v>
      </c>
      <c r="F100" s="21" t="s">
        <v>5070</v>
      </c>
      <c r="I100" s="21" t="s">
        <v>2503</v>
      </c>
      <c r="J100" s="21" t="s">
        <v>4572</v>
      </c>
      <c r="K100" s="21" t="s">
        <v>1860</v>
      </c>
      <c r="M100" s="21" t="s">
        <v>2575</v>
      </c>
      <c r="N100" s="21" t="s">
        <v>4010</v>
      </c>
      <c r="O100" s="21" t="s">
        <v>4804</v>
      </c>
      <c r="P100" s="21" t="s">
        <v>2210</v>
      </c>
      <c r="Q100" s="21" t="s">
        <v>4493</v>
      </c>
      <c r="R100" s="21" t="s">
        <v>5929</v>
      </c>
      <c r="T100" s="21" t="s">
        <v>4291</v>
      </c>
      <c r="W100" s="21" t="s">
        <v>1447</v>
      </c>
      <c r="X100" s="21" t="s">
        <v>1109</v>
      </c>
      <c r="Z100" s="21" t="s">
        <v>739</v>
      </c>
      <c r="AA100" s="21" t="s">
        <v>4477</v>
      </c>
    </row>
    <row r="101" spans="2:27" x14ac:dyDescent="0.25">
      <c r="B101" s="21" t="s">
        <v>5210</v>
      </c>
      <c r="E101" s="21" t="s">
        <v>1924</v>
      </c>
      <c r="F101" s="21" t="s">
        <v>4975</v>
      </c>
      <c r="I101" s="21" t="s">
        <v>2479</v>
      </c>
      <c r="J101" s="21" t="s">
        <v>4599</v>
      </c>
      <c r="K101" s="21" t="s">
        <v>2296</v>
      </c>
      <c r="M101" s="21" t="s">
        <v>5374</v>
      </c>
      <c r="N101" s="21" t="s">
        <v>4013</v>
      </c>
      <c r="O101" s="21" t="s">
        <v>5276</v>
      </c>
      <c r="P101" s="21" t="s">
        <v>1741</v>
      </c>
      <c r="Q101" s="21" t="s">
        <v>4924</v>
      </c>
      <c r="R101" s="21" t="s">
        <v>1530</v>
      </c>
      <c r="T101" s="21" t="s">
        <v>4306</v>
      </c>
      <c r="W101" s="21" t="s">
        <v>1502</v>
      </c>
      <c r="X101" s="21" t="s">
        <v>917</v>
      </c>
      <c r="Z101" s="21" t="s">
        <v>2973</v>
      </c>
      <c r="AA101" s="21" t="s">
        <v>4759</v>
      </c>
    </row>
    <row r="102" spans="2:27" x14ac:dyDescent="0.25">
      <c r="B102" s="21" t="s">
        <v>5214</v>
      </c>
      <c r="E102" s="21" t="s">
        <v>1883</v>
      </c>
      <c r="F102" s="21" t="s">
        <v>5257</v>
      </c>
      <c r="I102" s="21" t="s">
        <v>2591</v>
      </c>
      <c r="J102" s="21" t="s">
        <v>4607</v>
      </c>
      <c r="K102" s="21" t="s">
        <v>2042</v>
      </c>
      <c r="M102" s="21" t="s">
        <v>5485</v>
      </c>
      <c r="N102" s="21" t="s">
        <v>4082</v>
      </c>
      <c r="O102" s="21" t="s">
        <v>4320</v>
      </c>
      <c r="P102" s="21" t="s">
        <v>1921</v>
      </c>
      <c r="Q102" s="21" t="s">
        <v>5267</v>
      </c>
      <c r="R102" s="21" t="s">
        <v>2989</v>
      </c>
      <c r="T102" s="21" t="s">
        <v>4360</v>
      </c>
      <c r="W102" s="21" t="s">
        <v>1027</v>
      </c>
      <c r="X102" s="21" t="s">
        <v>962</v>
      </c>
      <c r="Z102" s="21" t="s">
        <v>3611</v>
      </c>
      <c r="AA102" s="21" t="s">
        <v>5079</v>
      </c>
    </row>
    <row r="103" spans="2:27" x14ac:dyDescent="0.25">
      <c r="B103" s="21" t="s">
        <v>512</v>
      </c>
      <c r="E103" s="21" t="s">
        <v>2091</v>
      </c>
      <c r="F103" s="21" t="s">
        <v>4576</v>
      </c>
      <c r="I103" s="21" t="s">
        <v>1890</v>
      </c>
      <c r="J103" s="21" t="s">
        <v>4579</v>
      </c>
      <c r="K103" s="21" t="s">
        <v>2747</v>
      </c>
      <c r="M103" s="21" t="s">
        <v>5484</v>
      </c>
      <c r="N103" s="21" t="s">
        <v>5029</v>
      </c>
      <c r="O103" s="21" t="s">
        <v>4089</v>
      </c>
      <c r="P103" s="21" t="s">
        <v>1727</v>
      </c>
      <c r="Q103" s="21" t="s">
        <v>4501</v>
      </c>
      <c r="R103" s="21" t="s">
        <v>3095</v>
      </c>
      <c r="T103" s="21" t="s">
        <v>3861</v>
      </c>
      <c r="W103" s="21" t="s">
        <v>2937</v>
      </c>
      <c r="X103" s="21" t="s">
        <v>970</v>
      </c>
      <c r="Z103" s="21" t="s">
        <v>531</v>
      </c>
      <c r="AA103" s="21" t="s">
        <v>4353</v>
      </c>
    </row>
    <row r="104" spans="2:27" x14ac:dyDescent="0.25">
      <c r="E104" s="21" t="s">
        <v>2078</v>
      </c>
      <c r="F104" s="21" t="s">
        <v>4440</v>
      </c>
      <c r="I104" s="21" t="s">
        <v>2791</v>
      </c>
      <c r="J104" s="21" t="s">
        <v>4634</v>
      </c>
      <c r="K104" s="21" t="s">
        <v>2657</v>
      </c>
      <c r="M104" s="21" t="s">
        <v>2851</v>
      </c>
      <c r="N104" s="21" t="s">
        <v>4547</v>
      </c>
      <c r="O104" s="21" t="s">
        <v>2065</v>
      </c>
      <c r="P104" s="21" t="s">
        <v>1620</v>
      </c>
      <c r="Q104" s="21" t="s">
        <v>5405</v>
      </c>
      <c r="R104" s="21" t="s">
        <v>660</v>
      </c>
      <c r="T104" s="21" t="s">
        <v>3922</v>
      </c>
      <c r="W104" s="21" t="s">
        <v>1145</v>
      </c>
      <c r="X104" s="21" t="s">
        <v>362</v>
      </c>
      <c r="Z104" s="21" t="s">
        <v>3702</v>
      </c>
      <c r="AA104" s="21" t="s">
        <v>4192</v>
      </c>
    </row>
    <row r="105" spans="2:27" x14ac:dyDescent="0.25">
      <c r="E105" s="21" t="s">
        <v>4806</v>
      </c>
      <c r="F105" s="21" t="s">
        <v>3943</v>
      </c>
      <c r="I105" s="21" t="s">
        <v>2660</v>
      </c>
      <c r="J105" s="21" t="s">
        <v>4223</v>
      </c>
      <c r="K105" s="21" t="s">
        <v>694</v>
      </c>
      <c r="M105" s="21" t="s">
        <v>4724</v>
      </c>
      <c r="N105" s="21" t="s">
        <v>5004</v>
      </c>
      <c r="O105" s="21" t="s">
        <v>4358</v>
      </c>
      <c r="P105" s="21" t="s">
        <v>4845</v>
      </c>
      <c r="Q105" s="21" t="s">
        <v>5080</v>
      </c>
      <c r="R105" s="21" t="s">
        <v>1473</v>
      </c>
      <c r="T105" s="21" t="s">
        <v>3951</v>
      </c>
      <c r="W105" s="21" t="s">
        <v>1278</v>
      </c>
      <c r="X105" s="21" t="s">
        <v>2923</v>
      </c>
      <c r="Z105" s="21" t="s">
        <v>806</v>
      </c>
      <c r="AA105" s="21" t="s">
        <v>4134</v>
      </c>
    </row>
    <row r="106" spans="2:27" x14ac:dyDescent="0.25">
      <c r="E106" s="21" t="s">
        <v>1648</v>
      </c>
      <c r="F106" s="21" t="s">
        <v>3969</v>
      </c>
      <c r="I106" s="21" t="s">
        <v>1793</v>
      </c>
      <c r="J106" s="21" t="s">
        <v>4736</v>
      </c>
      <c r="K106" s="21" t="s">
        <v>2724</v>
      </c>
      <c r="M106" s="21" t="s">
        <v>5358</v>
      </c>
      <c r="N106" s="21" t="s">
        <v>3894</v>
      </c>
      <c r="O106" s="21" t="s">
        <v>1853</v>
      </c>
      <c r="P106" s="21" t="s">
        <v>4857</v>
      </c>
      <c r="Q106" s="21" t="s">
        <v>4283</v>
      </c>
      <c r="R106" s="21" t="s">
        <v>3011</v>
      </c>
      <c r="T106" s="21" t="s">
        <v>4879</v>
      </c>
      <c r="W106" s="21" t="s">
        <v>1478</v>
      </c>
      <c r="X106" s="21" t="s">
        <v>1117</v>
      </c>
      <c r="Z106" s="21" t="s">
        <v>3592</v>
      </c>
      <c r="AA106" s="21" t="s">
        <v>4737</v>
      </c>
    </row>
    <row r="107" spans="2:27" x14ac:dyDescent="0.25">
      <c r="E107" s="21" t="s">
        <v>2252</v>
      </c>
      <c r="F107" s="21" t="s">
        <v>4138</v>
      </c>
      <c r="I107" s="21" t="s">
        <v>2829</v>
      </c>
      <c r="J107" s="21" t="s">
        <v>4668</v>
      </c>
      <c r="K107" s="21" t="s">
        <v>741</v>
      </c>
      <c r="M107" s="21" t="s">
        <v>4650</v>
      </c>
      <c r="N107" s="21" t="s">
        <v>3921</v>
      </c>
      <c r="O107" s="21" t="s">
        <v>1955</v>
      </c>
      <c r="P107" s="21" t="s">
        <v>2527</v>
      </c>
      <c r="Q107" s="21" t="s">
        <v>5398</v>
      </c>
      <c r="R107" s="21" t="s">
        <v>2996</v>
      </c>
      <c r="T107" s="21" t="s">
        <v>3936</v>
      </c>
      <c r="W107" s="21" t="s">
        <v>1506</v>
      </c>
      <c r="X107" s="21" t="s">
        <v>5930</v>
      </c>
      <c r="Z107" s="21" t="s">
        <v>3622</v>
      </c>
      <c r="AA107" s="21" t="s">
        <v>4625</v>
      </c>
    </row>
    <row r="108" spans="2:27" x14ac:dyDescent="0.25">
      <c r="E108" s="21" t="s">
        <v>2000</v>
      </c>
      <c r="F108" s="21" t="s">
        <v>4425</v>
      </c>
      <c r="I108" s="21" t="s">
        <v>1960</v>
      </c>
      <c r="J108" s="21" t="s">
        <v>4107</v>
      </c>
      <c r="K108" s="21" t="s">
        <v>2456</v>
      </c>
      <c r="M108" s="21" t="s">
        <v>2833</v>
      </c>
      <c r="N108" s="21" t="s">
        <v>3910</v>
      </c>
      <c r="O108" s="21" t="s">
        <v>3858</v>
      </c>
      <c r="P108" s="21" t="s">
        <v>2246</v>
      </c>
      <c r="Q108" s="21" t="s">
        <v>5390</v>
      </c>
      <c r="R108" s="21" t="s">
        <v>3384</v>
      </c>
      <c r="T108" s="21" t="s">
        <v>2080</v>
      </c>
      <c r="W108" s="21" t="s">
        <v>1106</v>
      </c>
      <c r="X108" s="21" t="s">
        <v>5931</v>
      </c>
      <c r="Z108" s="21" t="s">
        <v>890</v>
      </c>
      <c r="AA108" s="21" t="s">
        <v>2962</v>
      </c>
    </row>
    <row r="109" spans="2:27" x14ac:dyDescent="0.25">
      <c r="E109" s="21" t="s">
        <v>1651</v>
      </c>
      <c r="F109" s="21" t="s">
        <v>4483</v>
      </c>
      <c r="I109" s="21" t="s">
        <v>2462</v>
      </c>
      <c r="J109" s="21" t="s">
        <v>3882</v>
      </c>
      <c r="K109" s="21" t="s">
        <v>2569</v>
      </c>
      <c r="M109" s="21" t="s">
        <v>4569</v>
      </c>
      <c r="N109" s="21" t="s">
        <v>3841</v>
      </c>
      <c r="O109" s="21" t="s">
        <v>5932</v>
      </c>
      <c r="P109" s="21" t="s">
        <v>2373</v>
      </c>
      <c r="Q109" s="21" t="s">
        <v>5161</v>
      </c>
      <c r="R109" s="21" t="s">
        <v>3008</v>
      </c>
      <c r="T109" s="21" t="s">
        <v>3899</v>
      </c>
      <c r="W109" s="21" t="s">
        <v>1142</v>
      </c>
      <c r="X109" s="21" t="s">
        <v>1256</v>
      </c>
      <c r="Z109" s="21" t="s">
        <v>836</v>
      </c>
      <c r="AA109" s="21" t="s">
        <v>4578</v>
      </c>
    </row>
    <row r="110" spans="2:27" x14ac:dyDescent="0.25">
      <c r="E110" s="21" t="s">
        <v>2705</v>
      </c>
      <c r="F110" s="21" t="s">
        <v>1937</v>
      </c>
      <c r="I110" s="21" t="s">
        <v>2641</v>
      </c>
      <c r="J110" s="21" t="s">
        <v>5381</v>
      </c>
      <c r="K110" s="21" t="s">
        <v>2678</v>
      </c>
      <c r="M110" s="21" t="s">
        <v>4567</v>
      </c>
      <c r="N110" s="21" t="s">
        <v>5933</v>
      </c>
      <c r="O110" s="21" t="s">
        <v>4588</v>
      </c>
      <c r="P110" s="21" t="s">
        <v>2298</v>
      </c>
      <c r="Q110" s="21" t="s">
        <v>5456</v>
      </c>
      <c r="R110" s="21" t="s">
        <v>2963</v>
      </c>
      <c r="T110" s="21" t="s">
        <v>4363</v>
      </c>
      <c r="W110" s="21" t="s">
        <v>1078</v>
      </c>
      <c r="X110" s="21" t="s">
        <v>1312</v>
      </c>
      <c r="Z110" s="21" t="s">
        <v>3476</v>
      </c>
      <c r="AA110" s="21" t="s">
        <v>4081</v>
      </c>
    </row>
    <row r="111" spans="2:27" x14ac:dyDescent="0.25">
      <c r="E111" s="21" t="s">
        <v>3206</v>
      </c>
      <c r="F111" s="21" t="s">
        <v>4508</v>
      </c>
      <c r="I111" s="21" t="s">
        <v>2526</v>
      </c>
      <c r="J111" s="21" t="s">
        <v>4066</v>
      </c>
      <c r="K111" s="21" t="s">
        <v>1943</v>
      </c>
      <c r="M111" s="21" t="s">
        <v>5475</v>
      </c>
      <c r="N111" s="21" t="s">
        <v>4100</v>
      </c>
      <c r="O111" s="21" t="s">
        <v>3956</v>
      </c>
      <c r="P111" s="21" t="s">
        <v>4848</v>
      </c>
      <c r="Q111" s="21" t="s">
        <v>4282</v>
      </c>
      <c r="R111" s="21" t="s">
        <v>3021</v>
      </c>
      <c r="T111" s="21" t="s">
        <v>3981</v>
      </c>
      <c r="W111" s="21" t="s">
        <v>1427</v>
      </c>
      <c r="X111" s="21" t="s">
        <v>1120</v>
      </c>
      <c r="Z111" s="21" t="s">
        <v>861</v>
      </c>
      <c r="AA111" s="21" t="s">
        <v>4768</v>
      </c>
    </row>
    <row r="112" spans="2:27" x14ac:dyDescent="0.25">
      <c r="E112" s="21" t="s">
        <v>2852</v>
      </c>
      <c r="F112" s="21" t="s">
        <v>2231</v>
      </c>
      <c r="I112" s="21" t="s">
        <v>2765</v>
      </c>
      <c r="J112" s="21" t="s">
        <v>4199</v>
      </c>
      <c r="K112" s="21" t="s">
        <v>3257</v>
      </c>
      <c r="M112" s="21" t="s">
        <v>5421</v>
      </c>
      <c r="N112" s="21" t="s">
        <v>4224</v>
      </c>
      <c r="O112" s="21" t="s">
        <v>2104</v>
      </c>
      <c r="P112" s="21" t="s">
        <v>4881</v>
      </c>
      <c r="Q112" s="21" t="s">
        <v>1712</v>
      </c>
      <c r="R112" s="21" t="s">
        <v>312</v>
      </c>
      <c r="T112" s="21" t="s">
        <v>3843</v>
      </c>
      <c r="W112" s="21" t="s">
        <v>1239</v>
      </c>
      <c r="X112" s="21" t="s">
        <v>1198</v>
      </c>
      <c r="Z112" s="21" t="s">
        <v>532</v>
      </c>
      <c r="AA112" s="21" t="s">
        <v>4077</v>
      </c>
    </row>
    <row r="113" spans="5:27" x14ac:dyDescent="0.25">
      <c r="E113" s="21" t="s">
        <v>4273</v>
      </c>
      <c r="F113" s="21" t="s">
        <v>4175</v>
      </c>
      <c r="I113" s="21" t="s">
        <v>2830</v>
      </c>
      <c r="J113" s="21" t="s">
        <v>4095</v>
      </c>
      <c r="K113" s="21" t="s">
        <v>3159</v>
      </c>
      <c r="M113" s="21" t="s">
        <v>5417</v>
      </c>
      <c r="N113" s="21" t="s">
        <v>4090</v>
      </c>
      <c r="O113" s="21" t="s">
        <v>3911</v>
      </c>
      <c r="P113" s="21" t="s">
        <v>4812</v>
      </c>
      <c r="Q113" s="21" t="s">
        <v>5295</v>
      </c>
      <c r="R113" s="21" t="s">
        <v>2984</v>
      </c>
      <c r="T113" s="21" t="s">
        <v>4345</v>
      </c>
      <c r="W113" s="21" t="s">
        <v>1382</v>
      </c>
      <c r="X113" s="21" t="s">
        <v>2932</v>
      </c>
      <c r="Z113" s="21" t="s">
        <v>3598</v>
      </c>
      <c r="AA113" s="21" t="s">
        <v>4614</v>
      </c>
    </row>
    <row r="114" spans="5:27" x14ac:dyDescent="0.25">
      <c r="E114" s="21" t="s">
        <v>1652</v>
      </c>
      <c r="F114" s="21" t="s">
        <v>4173</v>
      </c>
      <c r="I114" s="21" t="s">
        <v>2768</v>
      </c>
      <c r="J114" s="21" t="s">
        <v>5057</v>
      </c>
      <c r="K114" s="21" t="s">
        <v>884</v>
      </c>
      <c r="M114" s="21" t="s">
        <v>4779</v>
      </c>
      <c r="N114" s="21" t="s">
        <v>4598</v>
      </c>
      <c r="O114" s="21" t="s">
        <v>4892</v>
      </c>
      <c r="P114" s="21" t="s">
        <v>2466</v>
      </c>
      <c r="Q114" s="21" t="s">
        <v>5408</v>
      </c>
      <c r="R114" s="21" t="s">
        <v>611</v>
      </c>
      <c r="T114" s="21" t="s">
        <v>4325</v>
      </c>
      <c r="W114" s="21" t="s">
        <v>1501</v>
      </c>
      <c r="X114" s="21" t="s">
        <v>896</v>
      </c>
      <c r="Z114" s="21" t="s">
        <v>3686</v>
      </c>
      <c r="AA114" s="21" t="s">
        <v>4575</v>
      </c>
    </row>
    <row r="115" spans="5:27" x14ac:dyDescent="0.25">
      <c r="E115" s="21" t="s">
        <v>1881</v>
      </c>
      <c r="F115" s="21" t="s">
        <v>5036</v>
      </c>
      <c r="I115" s="21" t="s">
        <v>5365</v>
      </c>
      <c r="J115" s="21" t="s">
        <v>4418</v>
      </c>
      <c r="K115" s="21" t="s">
        <v>2666</v>
      </c>
      <c r="M115" s="21" t="s">
        <v>5073</v>
      </c>
      <c r="N115" s="21" t="s">
        <v>4009</v>
      </c>
      <c r="O115" s="21" t="s">
        <v>5281</v>
      </c>
      <c r="P115" s="21" t="s">
        <v>4907</v>
      </c>
      <c r="Q115" s="21" t="s">
        <v>4265</v>
      </c>
      <c r="R115" s="21" t="s">
        <v>363</v>
      </c>
      <c r="T115" s="21" t="s">
        <v>4349</v>
      </c>
      <c r="W115" s="21" t="s">
        <v>1513</v>
      </c>
      <c r="X115" s="21" t="s">
        <v>210</v>
      </c>
      <c r="Z115" s="21" t="s">
        <v>3446</v>
      </c>
      <c r="AA115" s="21" t="s">
        <v>4606</v>
      </c>
    </row>
    <row r="116" spans="5:27" x14ac:dyDescent="0.25">
      <c r="E116" s="21" t="s">
        <v>4417</v>
      </c>
      <c r="F116" s="21" t="s">
        <v>4152</v>
      </c>
      <c r="I116" s="21" t="s">
        <v>2733</v>
      </c>
      <c r="J116" s="21" t="s">
        <v>4676</v>
      </c>
      <c r="K116" s="21" t="s">
        <v>648</v>
      </c>
      <c r="M116" s="21" t="s">
        <v>4591</v>
      </c>
      <c r="N116" s="21" t="s">
        <v>3935</v>
      </c>
      <c r="O116" s="21" t="s">
        <v>2060</v>
      </c>
      <c r="P116" s="21" t="s">
        <v>4936</v>
      </c>
      <c r="Q116" s="21" t="s">
        <v>4648</v>
      </c>
      <c r="R116" s="21" t="s">
        <v>938</v>
      </c>
      <c r="T116" s="21" t="s">
        <v>4338</v>
      </c>
      <c r="W116" s="21" t="s">
        <v>1237</v>
      </c>
      <c r="X116" s="21" t="s">
        <v>1072</v>
      </c>
      <c r="Z116" s="21" t="s">
        <v>3441</v>
      </c>
      <c r="AA116" s="21" t="s">
        <v>5044</v>
      </c>
    </row>
    <row r="117" spans="5:27" x14ac:dyDescent="0.25">
      <c r="E117" s="21" t="s">
        <v>2013</v>
      </c>
      <c r="F117" s="21" t="s">
        <v>4449</v>
      </c>
      <c r="I117" s="21" t="s">
        <v>2682</v>
      </c>
      <c r="J117" s="21" t="s">
        <v>4479</v>
      </c>
      <c r="K117" s="21" t="s">
        <v>402</v>
      </c>
      <c r="M117" s="21" t="s">
        <v>1289</v>
      </c>
      <c r="N117" s="21" t="s">
        <v>3972</v>
      </c>
      <c r="O117" s="21" t="s">
        <v>3948</v>
      </c>
      <c r="P117" s="21" t="s">
        <v>4883</v>
      </c>
      <c r="Q117" s="21" t="s">
        <v>5325</v>
      </c>
      <c r="R117" s="21" t="s">
        <v>3088</v>
      </c>
      <c r="T117" s="21" t="s">
        <v>3952</v>
      </c>
      <c r="W117" s="21" t="s">
        <v>1127</v>
      </c>
      <c r="X117" s="21" t="s">
        <v>1178</v>
      </c>
      <c r="Z117" s="21" t="s">
        <v>3639</v>
      </c>
      <c r="AA117" s="21" t="s">
        <v>4238</v>
      </c>
    </row>
    <row r="118" spans="5:27" x14ac:dyDescent="0.25">
      <c r="E118" s="21" t="s">
        <v>2242</v>
      </c>
      <c r="F118" s="21" t="s">
        <v>5107</v>
      </c>
      <c r="I118" s="21" t="s">
        <v>2690</v>
      </c>
      <c r="J118" s="21" t="s">
        <v>5371</v>
      </c>
      <c r="K118" s="21" t="s">
        <v>678</v>
      </c>
      <c r="M118" s="21" t="s">
        <v>5425</v>
      </c>
      <c r="N118" s="21" t="s">
        <v>3863</v>
      </c>
      <c r="O118" s="21" t="s">
        <v>2067</v>
      </c>
      <c r="P118" s="21" t="s">
        <v>1786</v>
      </c>
      <c r="Q118" s="21" t="s">
        <v>4502</v>
      </c>
      <c r="R118" s="21" t="s">
        <v>3100</v>
      </c>
      <c r="T118" s="21" t="s">
        <v>3905</v>
      </c>
      <c r="W118" s="21" t="s">
        <v>3379</v>
      </c>
      <c r="X118" s="21" t="s">
        <v>1279</v>
      </c>
      <c r="Z118" s="21" t="s">
        <v>3560</v>
      </c>
      <c r="AA118" s="21" t="s">
        <v>4529</v>
      </c>
    </row>
    <row r="119" spans="5:27" x14ac:dyDescent="0.25">
      <c r="E119" s="21" t="s">
        <v>5003</v>
      </c>
      <c r="F119" s="21" t="s">
        <v>4446</v>
      </c>
      <c r="I119" s="21" t="s">
        <v>2824</v>
      </c>
      <c r="J119" s="21" t="s">
        <v>2986</v>
      </c>
      <c r="K119" s="21" t="s">
        <v>1736</v>
      </c>
      <c r="M119" s="21" t="s">
        <v>2838</v>
      </c>
      <c r="N119" s="21" t="s">
        <v>4581</v>
      </c>
      <c r="O119" s="21" t="s">
        <v>4294</v>
      </c>
      <c r="P119" s="21" t="s">
        <v>1882</v>
      </c>
      <c r="Q119" s="21" t="s">
        <v>5097</v>
      </c>
      <c r="R119" s="21" t="s">
        <v>3579</v>
      </c>
      <c r="T119" s="21" t="s">
        <v>4404</v>
      </c>
      <c r="W119" s="21" t="s">
        <v>1187</v>
      </c>
      <c r="X119" s="21" t="s">
        <v>294</v>
      </c>
      <c r="Z119" s="21" t="s">
        <v>835</v>
      </c>
      <c r="AA119" s="21" t="s">
        <v>4725</v>
      </c>
    </row>
    <row r="120" spans="5:27" x14ac:dyDescent="0.25">
      <c r="E120" s="21" t="s">
        <v>5934</v>
      </c>
      <c r="F120" s="21" t="s">
        <v>2850</v>
      </c>
      <c r="I120" s="21" t="s">
        <v>2856</v>
      </c>
      <c r="J120" s="21" t="s">
        <v>4468</v>
      </c>
      <c r="K120" s="21" t="s">
        <v>773</v>
      </c>
      <c r="M120" s="21" t="s">
        <v>5468</v>
      </c>
      <c r="N120" s="21" t="s">
        <v>4135</v>
      </c>
      <c r="O120" s="21" t="s">
        <v>2463</v>
      </c>
      <c r="P120" s="21" t="s">
        <v>1655</v>
      </c>
      <c r="Q120" s="21" t="s">
        <v>4396</v>
      </c>
      <c r="R120" s="21" t="s">
        <v>3124</v>
      </c>
      <c r="T120" s="21" t="s">
        <v>2049</v>
      </c>
      <c r="W120" s="21" t="s">
        <v>1306</v>
      </c>
      <c r="X120" s="21" t="s">
        <v>1498</v>
      </c>
      <c r="Z120" s="21" t="s">
        <v>1557</v>
      </c>
      <c r="AA120" s="21" t="s">
        <v>4699</v>
      </c>
    </row>
    <row r="121" spans="5:27" x14ac:dyDescent="0.25">
      <c r="E121" s="21" t="s">
        <v>2442</v>
      </c>
      <c r="F121" s="21" t="s">
        <v>4416</v>
      </c>
      <c r="I121" s="21" t="s">
        <v>5310</v>
      </c>
      <c r="J121" s="21" t="s">
        <v>3974</v>
      </c>
      <c r="K121" s="21" t="s">
        <v>803</v>
      </c>
      <c r="M121" s="21" t="s">
        <v>4590</v>
      </c>
      <c r="N121" s="21" t="s">
        <v>5112</v>
      </c>
      <c r="O121" s="21" t="s">
        <v>4894</v>
      </c>
      <c r="P121" s="21" t="s">
        <v>2299</v>
      </c>
      <c r="Q121" s="21" t="s">
        <v>5383</v>
      </c>
      <c r="R121" s="21" t="s">
        <v>3013</v>
      </c>
      <c r="T121" s="21" t="s">
        <v>2291</v>
      </c>
      <c r="W121" s="21" t="s">
        <v>1320</v>
      </c>
      <c r="X121" s="21" t="s">
        <v>1344</v>
      </c>
      <c r="Z121" s="21" t="s">
        <v>3719</v>
      </c>
      <c r="AA121" s="21" t="s">
        <v>4500</v>
      </c>
    </row>
    <row r="122" spans="5:27" x14ac:dyDescent="0.25">
      <c r="E122" s="21" t="s">
        <v>1859</v>
      </c>
      <c r="F122" s="21" t="s">
        <v>2133</v>
      </c>
      <c r="I122" s="21" t="s">
        <v>2615</v>
      </c>
      <c r="J122" s="21" t="s">
        <v>4487</v>
      </c>
      <c r="K122" s="21" t="s">
        <v>2792</v>
      </c>
      <c r="M122" s="21" t="s">
        <v>5463</v>
      </c>
      <c r="N122" s="21" t="s">
        <v>4050</v>
      </c>
      <c r="O122" s="21" t="s">
        <v>2011</v>
      </c>
      <c r="P122" s="21" t="s">
        <v>5126</v>
      </c>
      <c r="Q122" s="21" t="s">
        <v>5378</v>
      </c>
      <c r="R122" s="21" t="s">
        <v>3380</v>
      </c>
      <c r="T122" s="21" t="s">
        <v>1551</v>
      </c>
      <c r="W122" s="21" t="s">
        <v>1146</v>
      </c>
      <c r="X122" s="21" t="s">
        <v>256</v>
      </c>
      <c r="Z122" s="21" t="s">
        <v>3417</v>
      </c>
      <c r="AA122" s="21" t="s">
        <v>4783</v>
      </c>
    </row>
    <row r="123" spans="5:27" x14ac:dyDescent="0.25">
      <c r="E123" s="21" t="s">
        <v>1779</v>
      </c>
      <c r="F123" s="21" t="s">
        <v>4239</v>
      </c>
      <c r="I123" s="21" t="s">
        <v>2814</v>
      </c>
      <c r="J123" s="21" t="s">
        <v>4683</v>
      </c>
      <c r="K123" s="21" t="s">
        <v>2842</v>
      </c>
      <c r="M123" s="21" t="s">
        <v>5483</v>
      </c>
      <c r="N123" s="21" t="s">
        <v>4706</v>
      </c>
      <c r="O123" s="21" t="s">
        <v>2375</v>
      </c>
      <c r="P123" s="21" t="s">
        <v>4866</v>
      </c>
      <c r="Q123" s="21" t="s">
        <v>5318</v>
      </c>
      <c r="R123" s="21" t="s">
        <v>594</v>
      </c>
      <c r="T123" s="21" t="s">
        <v>4278</v>
      </c>
      <c r="W123" s="21" t="s">
        <v>2924</v>
      </c>
      <c r="X123" s="21" t="s">
        <v>1457</v>
      </c>
      <c r="Z123" s="21" t="s">
        <v>355</v>
      </c>
      <c r="AA123" s="21" t="s">
        <v>4667</v>
      </c>
    </row>
    <row r="124" spans="5:27" x14ac:dyDescent="0.25">
      <c r="E124" s="21" t="s">
        <v>1948</v>
      </c>
      <c r="F124" s="21" t="s">
        <v>4400</v>
      </c>
      <c r="I124" s="21" t="s">
        <v>2597</v>
      </c>
      <c r="J124" s="21" t="s">
        <v>3953</v>
      </c>
      <c r="K124" s="21" t="s">
        <v>2114</v>
      </c>
      <c r="M124" s="21" t="s">
        <v>5091</v>
      </c>
      <c r="N124" s="21" t="s">
        <v>3871</v>
      </c>
      <c r="O124" s="21" t="s">
        <v>2184</v>
      </c>
      <c r="P124" s="21" t="s">
        <v>4287</v>
      </c>
      <c r="Q124" s="21" t="s">
        <v>5236</v>
      </c>
      <c r="R124" s="21" t="s">
        <v>3389</v>
      </c>
      <c r="T124" s="21" t="s">
        <v>4337</v>
      </c>
      <c r="W124" s="21" t="s">
        <v>1103</v>
      </c>
      <c r="X124" s="21" t="s">
        <v>585</v>
      </c>
      <c r="Z124" s="21" t="s">
        <v>3369</v>
      </c>
      <c r="AA124" s="21" t="s">
        <v>3984</v>
      </c>
    </row>
    <row r="125" spans="5:27" x14ac:dyDescent="0.25">
      <c r="E125" s="21" t="s">
        <v>980</v>
      </c>
      <c r="F125" s="21" t="s">
        <v>5090</v>
      </c>
      <c r="I125" s="21" t="s">
        <v>2742</v>
      </c>
      <c r="J125" s="21" t="s">
        <v>4379</v>
      </c>
      <c r="K125" s="21" t="s">
        <v>403</v>
      </c>
      <c r="M125" s="21" t="s">
        <v>5411</v>
      </c>
      <c r="N125" s="21" t="s">
        <v>3881</v>
      </c>
      <c r="O125" s="21" t="s">
        <v>2133</v>
      </c>
      <c r="P125" s="21" t="s">
        <v>2283</v>
      </c>
      <c r="Q125" s="21" t="s">
        <v>5094</v>
      </c>
      <c r="R125" s="21" t="s">
        <v>597</v>
      </c>
      <c r="T125" s="21" t="s">
        <v>4893</v>
      </c>
      <c r="W125" s="21" t="s">
        <v>1471</v>
      </c>
      <c r="X125" s="21" t="s">
        <v>907</v>
      </c>
      <c r="Z125" s="21" t="s">
        <v>2128</v>
      </c>
      <c r="AA125" s="21" t="s">
        <v>4687</v>
      </c>
    </row>
    <row r="126" spans="5:27" x14ac:dyDescent="0.25">
      <c r="E126" s="21" t="s">
        <v>2426</v>
      </c>
      <c r="F126" s="21" t="s">
        <v>4116</v>
      </c>
      <c r="I126" s="21" t="s">
        <v>2751</v>
      </c>
      <c r="J126" s="21" t="s">
        <v>4726</v>
      </c>
      <c r="K126" s="21" t="s">
        <v>2552</v>
      </c>
      <c r="M126" s="21" t="s">
        <v>2204</v>
      </c>
      <c r="N126" s="21" t="s">
        <v>4219</v>
      </c>
      <c r="O126" s="21" t="s">
        <v>4886</v>
      </c>
      <c r="P126" s="21" t="s">
        <v>2007</v>
      </c>
      <c r="Q126" s="21" t="s">
        <v>5259</v>
      </c>
      <c r="R126" s="21" t="s">
        <v>1552</v>
      </c>
      <c r="T126" s="21" t="s">
        <v>3876</v>
      </c>
      <c r="W126" s="21" t="s">
        <v>1539</v>
      </c>
      <c r="X126" s="21" t="s">
        <v>1483</v>
      </c>
      <c r="Z126" s="21" t="s">
        <v>885</v>
      </c>
      <c r="AA126" s="21" t="s">
        <v>4787</v>
      </c>
    </row>
    <row r="127" spans="5:27" x14ac:dyDescent="0.25">
      <c r="E127" s="21" t="s">
        <v>1745</v>
      </c>
      <c r="F127" s="21" t="s">
        <v>4963</v>
      </c>
      <c r="I127" s="21" t="s">
        <v>2708</v>
      </c>
      <c r="J127" s="21" t="s">
        <v>4600</v>
      </c>
      <c r="K127" s="21" t="s">
        <v>1931</v>
      </c>
      <c r="M127" s="21" t="s">
        <v>4233</v>
      </c>
      <c r="N127" s="21" t="s">
        <v>4132</v>
      </c>
      <c r="O127" s="21" t="s">
        <v>5217</v>
      </c>
      <c r="P127" s="21" t="s">
        <v>1132</v>
      </c>
      <c r="Q127" s="21" t="s">
        <v>5415</v>
      </c>
      <c r="R127" s="21" t="s">
        <v>2936</v>
      </c>
      <c r="T127" s="21" t="s">
        <v>2018</v>
      </c>
      <c r="W127" s="21" t="s">
        <v>1491</v>
      </c>
      <c r="X127" s="21" t="s">
        <v>2938</v>
      </c>
      <c r="Z127" s="21" t="s">
        <v>3728</v>
      </c>
      <c r="AA127" s="21" t="s">
        <v>4563</v>
      </c>
    </row>
    <row r="128" spans="5:27" x14ac:dyDescent="0.25">
      <c r="E128" s="21" t="s">
        <v>3341</v>
      </c>
      <c r="F128" s="21" t="s">
        <v>3944</v>
      </c>
      <c r="I128" s="21" t="s">
        <v>2716</v>
      </c>
      <c r="J128" s="21" t="s">
        <v>4380</v>
      </c>
      <c r="K128" s="21" t="s">
        <v>404</v>
      </c>
      <c r="M128" s="21" t="s">
        <v>4645</v>
      </c>
      <c r="N128" s="21" t="s">
        <v>4880</v>
      </c>
      <c r="O128" s="21" t="s">
        <v>2016</v>
      </c>
      <c r="P128" s="21" t="s">
        <v>4999</v>
      </c>
      <c r="Q128" s="21" t="s">
        <v>5355</v>
      </c>
      <c r="R128" s="21" t="s">
        <v>3063</v>
      </c>
      <c r="T128" s="21" t="s">
        <v>5301</v>
      </c>
      <c r="W128" s="21" t="s">
        <v>1226</v>
      </c>
      <c r="X128" s="21" t="s">
        <v>1389</v>
      </c>
      <c r="Z128" s="21" t="s">
        <v>3298</v>
      </c>
      <c r="AA128" s="21" t="s">
        <v>4711</v>
      </c>
    </row>
    <row r="129" spans="5:27" x14ac:dyDescent="0.25">
      <c r="E129" s="21" t="s">
        <v>3027</v>
      </c>
      <c r="F129" s="21" t="s">
        <v>3962</v>
      </c>
      <c r="I129" s="21" t="s">
        <v>2853</v>
      </c>
      <c r="J129" s="21" t="s">
        <v>5935</v>
      </c>
      <c r="K129" s="21" t="s">
        <v>2047</v>
      </c>
      <c r="M129" s="21" t="s">
        <v>4788</v>
      </c>
      <c r="N129" s="21" t="s">
        <v>523</v>
      </c>
      <c r="O129" s="21" t="s">
        <v>4239</v>
      </c>
      <c r="P129" s="21" t="s">
        <v>1920</v>
      </c>
      <c r="Q129" s="21" t="s">
        <v>4561</v>
      </c>
      <c r="R129" s="21" t="s">
        <v>574</v>
      </c>
      <c r="T129" s="21" t="s">
        <v>4367</v>
      </c>
      <c r="W129" s="21" t="s">
        <v>1059</v>
      </c>
      <c r="X129" s="21" t="s">
        <v>3016</v>
      </c>
      <c r="Z129" s="21" t="s">
        <v>3462</v>
      </c>
      <c r="AA129" s="21" t="s">
        <v>4708</v>
      </c>
    </row>
    <row r="130" spans="5:27" x14ac:dyDescent="0.25">
      <c r="E130" s="21" t="s">
        <v>3306</v>
      </c>
      <c r="F130" s="21" t="s">
        <v>2148</v>
      </c>
      <c r="I130" s="21" t="s">
        <v>5367</v>
      </c>
      <c r="J130" s="21" t="s">
        <v>4407</v>
      </c>
      <c r="K130" s="21" t="s">
        <v>3120</v>
      </c>
      <c r="M130" s="21" t="s">
        <v>4766</v>
      </c>
      <c r="N130" s="21" t="s">
        <v>4088</v>
      </c>
      <c r="O130" s="21" t="s">
        <v>1987</v>
      </c>
      <c r="P130" s="21" t="s">
        <v>2262</v>
      </c>
      <c r="Q130" s="21" t="s">
        <v>5410</v>
      </c>
      <c r="R130" s="21" t="s">
        <v>3401</v>
      </c>
      <c r="T130" s="21" t="s">
        <v>4018</v>
      </c>
      <c r="W130" s="21" t="s">
        <v>3392</v>
      </c>
      <c r="X130" s="21" t="s">
        <v>1171</v>
      </c>
      <c r="Z130" s="21" t="s">
        <v>3553</v>
      </c>
      <c r="AA130" s="21" t="s">
        <v>4692</v>
      </c>
    </row>
    <row r="131" spans="5:27" x14ac:dyDescent="0.25">
      <c r="E131" s="21" t="s">
        <v>2789</v>
      </c>
      <c r="F131" s="21" t="s">
        <v>4403</v>
      </c>
      <c r="I131" s="21" t="s">
        <v>2685</v>
      </c>
      <c r="J131" s="21" t="s">
        <v>3866</v>
      </c>
      <c r="K131" s="21" t="s">
        <v>2793</v>
      </c>
      <c r="M131" s="21" t="s">
        <v>4694</v>
      </c>
      <c r="N131" s="21" t="s">
        <v>3914</v>
      </c>
      <c r="O131" s="21" t="s">
        <v>5936</v>
      </c>
      <c r="P131" s="21" t="s">
        <v>4010</v>
      </c>
      <c r="Q131" s="21" t="s">
        <v>4592</v>
      </c>
      <c r="R131" s="21" t="s">
        <v>2901</v>
      </c>
      <c r="T131" s="21" t="s">
        <v>4952</v>
      </c>
      <c r="W131" s="21" t="s">
        <v>3193</v>
      </c>
      <c r="X131" s="21" t="s">
        <v>3397</v>
      </c>
      <c r="Z131" s="21" t="s">
        <v>839</v>
      </c>
      <c r="AA131" s="21" t="s">
        <v>4791</v>
      </c>
    </row>
    <row r="132" spans="5:27" x14ac:dyDescent="0.25">
      <c r="E132" s="21" t="s">
        <v>5088</v>
      </c>
      <c r="F132" s="21" t="s">
        <v>4061</v>
      </c>
      <c r="I132" s="21" t="s">
        <v>2570</v>
      </c>
      <c r="J132" s="21" t="s">
        <v>4147</v>
      </c>
      <c r="K132" s="21" t="s">
        <v>2151</v>
      </c>
      <c r="M132" s="21" t="s">
        <v>5076</v>
      </c>
      <c r="N132" s="21" t="s">
        <v>4092</v>
      </c>
      <c r="O132" s="21" t="s">
        <v>2014</v>
      </c>
      <c r="P132" s="21" t="s">
        <v>2251</v>
      </c>
      <c r="Q132" s="21" t="s">
        <v>5265</v>
      </c>
      <c r="R132" s="21" t="s">
        <v>3012</v>
      </c>
      <c r="T132" s="21" t="s">
        <v>3890</v>
      </c>
      <c r="W132" s="21" t="s">
        <v>1521</v>
      </c>
      <c r="X132" s="21" t="s">
        <v>527</v>
      </c>
      <c r="Z132" s="21" t="s">
        <v>1571</v>
      </c>
      <c r="AA132" s="21" t="s">
        <v>4317</v>
      </c>
    </row>
    <row r="133" spans="5:27" x14ac:dyDescent="0.25">
      <c r="E133" s="21" t="s">
        <v>2143</v>
      </c>
      <c r="F133" s="21" t="s">
        <v>2126</v>
      </c>
      <c r="I133" s="21" t="s">
        <v>2384</v>
      </c>
      <c r="J133" s="21" t="s">
        <v>4647</v>
      </c>
      <c r="K133" s="21" t="s">
        <v>600</v>
      </c>
      <c r="M133" s="21" t="s">
        <v>2161</v>
      </c>
      <c r="N133" s="21" t="s">
        <v>3983</v>
      </c>
      <c r="O133" s="21" t="s">
        <v>2432</v>
      </c>
      <c r="P133" s="21" t="s">
        <v>5280</v>
      </c>
      <c r="Q133" s="21" t="s">
        <v>5028</v>
      </c>
      <c r="R133" s="21" t="s">
        <v>1507</v>
      </c>
      <c r="T133" s="21" t="s">
        <v>1694</v>
      </c>
      <c r="W133" s="21" t="s">
        <v>1050</v>
      </c>
      <c r="X133" s="21" t="s">
        <v>1144</v>
      </c>
      <c r="Z133" s="21" t="s">
        <v>1560</v>
      </c>
      <c r="AA133" s="21" t="s">
        <v>4376</v>
      </c>
    </row>
    <row r="134" spans="5:27" x14ac:dyDescent="0.25">
      <c r="E134" s="21" t="s">
        <v>4944</v>
      </c>
      <c r="F134" s="21" t="s">
        <v>3919</v>
      </c>
      <c r="I134" s="21" t="s">
        <v>1991</v>
      </c>
      <c r="J134" s="21" t="s">
        <v>4623</v>
      </c>
      <c r="K134" s="21" t="s">
        <v>746</v>
      </c>
      <c r="M134" s="21" t="s">
        <v>4714</v>
      </c>
      <c r="N134" s="21" t="s">
        <v>4931</v>
      </c>
      <c r="O134" s="21" t="s">
        <v>2003</v>
      </c>
      <c r="P134" s="21" t="s">
        <v>3903</v>
      </c>
      <c r="Q134" s="21" t="s">
        <v>4869</v>
      </c>
      <c r="R134" s="21" t="s">
        <v>3187</v>
      </c>
      <c r="T134" s="21" t="s">
        <v>4311</v>
      </c>
      <c r="W134" s="21" t="s">
        <v>1160</v>
      </c>
      <c r="X134" s="21" t="s">
        <v>232</v>
      </c>
      <c r="Z134" s="21" t="s">
        <v>851</v>
      </c>
      <c r="AA134" s="21" t="s">
        <v>4621</v>
      </c>
    </row>
    <row r="135" spans="5:27" x14ac:dyDescent="0.25">
      <c r="E135" s="21" t="s">
        <v>1956</v>
      </c>
      <c r="F135" s="21" t="s">
        <v>3957</v>
      </c>
      <c r="I135" s="21" t="s">
        <v>2771</v>
      </c>
      <c r="J135" s="21" t="s">
        <v>4669</v>
      </c>
      <c r="K135" s="21" t="s">
        <v>405</v>
      </c>
      <c r="M135" s="21" t="s">
        <v>2847</v>
      </c>
      <c r="N135" s="21" t="s">
        <v>4459</v>
      </c>
      <c r="O135" s="21" t="s">
        <v>4291</v>
      </c>
      <c r="P135" s="21" t="s">
        <v>2256</v>
      </c>
      <c r="Q135" s="21" t="s">
        <v>5436</v>
      </c>
      <c r="R135" s="21" t="s">
        <v>2980</v>
      </c>
      <c r="T135" s="21" t="s">
        <v>4375</v>
      </c>
      <c r="W135" s="21" t="s">
        <v>1253</v>
      </c>
      <c r="X135" s="21" t="s">
        <v>1191</v>
      </c>
      <c r="Z135" s="21" t="s">
        <v>3658</v>
      </c>
      <c r="AA135" s="21" t="s">
        <v>4235</v>
      </c>
    </row>
    <row r="136" spans="5:27" x14ac:dyDescent="0.25">
      <c r="E136" s="21" t="s">
        <v>4555</v>
      </c>
      <c r="F136" s="21" t="s">
        <v>2071</v>
      </c>
      <c r="I136" s="21" t="s">
        <v>1888</v>
      </c>
      <c r="J136" s="21" t="s">
        <v>4617</v>
      </c>
      <c r="K136" s="21" t="s">
        <v>406</v>
      </c>
      <c r="M136" s="21" t="s">
        <v>5471</v>
      </c>
      <c r="N136" s="21" t="s">
        <v>4423</v>
      </c>
      <c r="O136" s="21" t="s">
        <v>5083</v>
      </c>
      <c r="P136" s="21" t="s">
        <v>5128</v>
      </c>
      <c r="Q136" s="21" t="s">
        <v>5342</v>
      </c>
      <c r="R136" s="21" t="s">
        <v>2675</v>
      </c>
      <c r="T136" s="21" t="s">
        <v>3912</v>
      </c>
      <c r="W136" s="21" t="s">
        <v>1135</v>
      </c>
      <c r="X136" s="21" t="s">
        <v>1091</v>
      </c>
      <c r="Z136" s="21" t="s">
        <v>3793</v>
      </c>
      <c r="AA136" s="21" t="s">
        <v>4754</v>
      </c>
    </row>
    <row r="137" spans="5:27" x14ac:dyDescent="0.25">
      <c r="E137" s="21" t="s">
        <v>1936</v>
      </c>
      <c r="F137" s="21" t="s">
        <v>4146</v>
      </c>
      <c r="I137" s="21" t="s">
        <v>2509</v>
      </c>
      <c r="J137" s="21" t="s">
        <v>3870</v>
      </c>
      <c r="K137" s="21" t="s">
        <v>2680</v>
      </c>
      <c r="M137" s="21" t="s">
        <v>4695</v>
      </c>
      <c r="N137" s="21" t="s">
        <v>4184</v>
      </c>
      <c r="O137" s="21" t="s">
        <v>4287</v>
      </c>
      <c r="P137" s="21" t="s">
        <v>4836</v>
      </c>
      <c r="Q137" s="21" t="s">
        <v>5399</v>
      </c>
      <c r="R137" s="21" t="s">
        <v>562</v>
      </c>
      <c r="T137" s="21" t="s">
        <v>4859</v>
      </c>
      <c r="W137" s="21" t="s">
        <v>1563</v>
      </c>
      <c r="X137" s="21" t="s">
        <v>2930</v>
      </c>
      <c r="Z137" s="21" t="s">
        <v>3550</v>
      </c>
      <c r="AA137" s="21" t="s">
        <v>4747</v>
      </c>
    </row>
    <row r="138" spans="5:27" x14ac:dyDescent="0.25">
      <c r="E138" s="21" t="s">
        <v>4988</v>
      </c>
      <c r="F138" s="21" t="s">
        <v>4992</v>
      </c>
      <c r="I138" s="21" t="s">
        <v>1902</v>
      </c>
      <c r="J138" s="21" t="s">
        <v>4541</v>
      </c>
      <c r="K138" s="21" t="s">
        <v>2566</v>
      </c>
      <c r="M138" s="21" t="s">
        <v>5065</v>
      </c>
      <c r="N138" s="21" t="s">
        <v>5033</v>
      </c>
      <c r="O138" s="21" t="s">
        <v>4992</v>
      </c>
      <c r="P138" s="21" t="s">
        <v>1900</v>
      </c>
      <c r="Q138" s="21" t="s">
        <v>4732</v>
      </c>
      <c r="R138" s="21" t="s">
        <v>230</v>
      </c>
      <c r="T138" s="21" t="s">
        <v>889</v>
      </c>
      <c r="W138" s="21" t="s">
        <v>1165</v>
      </c>
      <c r="X138" s="21" t="s">
        <v>922</v>
      </c>
      <c r="Z138" s="21" t="s">
        <v>2553</v>
      </c>
      <c r="AA138" s="21" t="s">
        <v>4215</v>
      </c>
    </row>
    <row r="139" spans="5:27" x14ac:dyDescent="0.25">
      <c r="E139" s="21" t="s">
        <v>2498</v>
      </c>
      <c r="F139" s="21" t="s">
        <v>2379</v>
      </c>
      <c r="I139" s="21" t="s">
        <v>2422</v>
      </c>
      <c r="J139" s="21" t="s">
        <v>4655</v>
      </c>
      <c r="K139" s="21" t="s">
        <v>2630</v>
      </c>
      <c r="M139" s="21" t="s">
        <v>5407</v>
      </c>
      <c r="N139" s="21" t="s">
        <v>4023</v>
      </c>
      <c r="O139" s="21" t="s">
        <v>1981</v>
      </c>
      <c r="P139" s="21" t="s">
        <v>1766</v>
      </c>
      <c r="Q139" s="21" t="s">
        <v>5315</v>
      </c>
      <c r="R139" s="21" t="s">
        <v>2861</v>
      </c>
      <c r="T139" s="21" t="s">
        <v>3960</v>
      </c>
      <c r="W139" s="21" t="s">
        <v>1477</v>
      </c>
      <c r="X139" s="21" t="s">
        <v>1500</v>
      </c>
      <c r="Z139" s="21" t="s">
        <v>3544</v>
      </c>
      <c r="AA139" s="21" t="s">
        <v>4784</v>
      </c>
    </row>
    <row r="140" spans="5:27" x14ac:dyDescent="0.25">
      <c r="E140" s="21" t="s">
        <v>5018</v>
      </c>
      <c r="F140" s="21" t="s">
        <v>4752</v>
      </c>
      <c r="I140" s="21" t="s">
        <v>2541</v>
      </c>
      <c r="J140" s="21" t="s">
        <v>4413</v>
      </c>
      <c r="K140" s="21" t="s">
        <v>1791</v>
      </c>
      <c r="M140" s="21" t="s">
        <v>5460</v>
      </c>
      <c r="N140" s="21" t="s">
        <v>5254</v>
      </c>
      <c r="O140" s="21" t="s">
        <v>5133</v>
      </c>
      <c r="P140" s="21" t="s">
        <v>2320</v>
      </c>
      <c r="Q140" s="21" t="s">
        <v>5391</v>
      </c>
      <c r="R140" s="21" t="s">
        <v>2918</v>
      </c>
      <c r="T140" s="21" t="s">
        <v>3404</v>
      </c>
      <c r="W140" s="21" t="s">
        <v>2894</v>
      </c>
      <c r="X140" s="21" t="s">
        <v>1753</v>
      </c>
      <c r="Z140" s="21" t="s">
        <v>733</v>
      </c>
      <c r="AA140" s="21" t="s">
        <v>4707</v>
      </c>
    </row>
    <row r="141" spans="5:27" x14ac:dyDescent="0.25">
      <c r="E141" s="21" t="s">
        <v>4974</v>
      </c>
      <c r="F141" s="21" t="s">
        <v>5009</v>
      </c>
      <c r="I141" s="21" t="s">
        <v>2631</v>
      </c>
      <c r="J141" s="21" t="s">
        <v>4442</v>
      </c>
      <c r="K141" s="21" t="s">
        <v>2604</v>
      </c>
      <c r="M141" s="21" t="s">
        <v>5469</v>
      </c>
      <c r="N141" s="21" t="s">
        <v>4209</v>
      </c>
      <c r="O141" s="21" t="s">
        <v>4033</v>
      </c>
      <c r="P141" s="21" t="s">
        <v>1623</v>
      </c>
      <c r="Q141" s="21" t="s">
        <v>1005</v>
      </c>
      <c r="R141" s="21" t="s">
        <v>548</v>
      </c>
      <c r="T141" s="21" t="s">
        <v>2892</v>
      </c>
      <c r="W141" s="21" t="s">
        <v>1235</v>
      </c>
      <c r="X141" s="21" t="s">
        <v>1097</v>
      </c>
      <c r="Z141" s="21" t="s">
        <v>3465</v>
      </c>
    </row>
    <row r="142" spans="5:27" x14ac:dyDescent="0.25">
      <c r="E142" s="21" t="s">
        <v>4922</v>
      </c>
      <c r="F142" s="21" t="s">
        <v>3884</v>
      </c>
      <c r="I142" s="21" t="s">
        <v>2550</v>
      </c>
      <c r="J142" s="21" t="s">
        <v>4125</v>
      </c>
      <c r="K142" s="21" t="s">
        <v>3244</v>
      </c>
      <c r="M142" s="21" t="s">
        <v>5049</v>
      </c>
      <c r="N142" s="21" t="s">
        <v>3859</v>
      </c>
      <c r="O142" s="21" t="s">
        <v>4934</v>
      </c>
      <c r="P142" s="21" t="s">
        <v>2285</v>
      </c>
      <c r="Q142" s="21" t="s">
        <v>5385</v>
      </c>
      <c r="R142" s="21" t="s">
        <v>515</v>
      </c>
      <c r="T142" s="21" t="s">
        <v>4826</v>
      </c>
      <c r="W142" s="21" t="s">
        <v>929</v>
      </c>
      <c r="X142" s="21" t="s">
        <v>897</v>
      </c>
      <c r="Z142" s="21" t="s">
        <v>3709</v>
      </c>
    </row>
    <row r="143" spans="5:27" x14ac:dyDescent="0.25">
      <c r="E143" s="21" t="s">
        <v>1806</v>
      </c>
      <c r="F143" s="21" t="s">
        <v>4139</v>
      </c>
      <c r="I143" s="21" t="s">
        <v>2689</v>
      </c>
      <c r="J143" s="21" t="s">
        <v>4657</v>
      </c>
      <c r="K143" s="21" t="s">
        <v>407</v>
      </c>
      <c r="N143" s="21" t="s">
        <v>3889</v>
      </c>
      <c r="O143" s="21" t="s">
        <v>1995</v>
      </c>
      <c r="P143" s="21" t="s">
        <v>2291</v>
      </c>
      <c r="Q143" s="21" t="s">
        <v>4542</v>
      </c>
      <c r="R143" s="21" t="s">
        <v>265</v>
      </c>
      <c r="T143" s="21" t="s">
        <v>3879</v>
      </c>
      <c r="W143" s="21" t="s">
        <v>1247</v>
      </c>
      <c r="X143" s="21" t="s">
        <v>248</v>
      </c>
      <c r="Z143" s="21" t="s">
        <v>1572</v>
      </c>
    </row>
    <row r="144" spans="5:27" x14ac:dyDescent="0.25">
      <c r="E144" s="21" t="s">
        <v>4950</v>
      </c>
      <c r="F144" s="21" t="s">
        <v>4412</v>
      </c>
      <c r="I144" s="21" t="s">
        <v>2759</v>
      </c>
      <c r="J144" s="21" t="s">
        <v>4518</v>
      </c>
      <c r="K144" s="21" t="s">
        <v>2395</v>
      </c>
      <c r="N144" s="21" t="s">
        <v>4105</v>
      </c>
      <c r="O144" s="21" t="s">
        <v>2025</v>
      </c>
      <c r="P144" s="21" t="s">
        <v>2556</v>
      </c>
      <c r="Q144" s="21" t="s">
        <v>5477</v>
      </c>
      <c r="R144" s="21" t="s">
        <v>3817</v>
      </c>
      <c r="T144" s="21" t="s">
        <v>5937</v>
      </c>
      <c r="W144" s="21" t="s">
        <v>1199</v>
      </c>
      <c r="X144" s="21" t="s">
        <v>954</v>
      </c>
      <c r="Z144" s="21" t="s">
        <v>3542</v>
      </c>
    </row>
    <row r="145" spans="5:26" x14ac:dyDescent="0.25">
      <c r="E145" s="21" t="s">
        <v>1610</v>
      </c>
      <c r="F145" s="21" t="s">
        <v>4497</v>
      </c>
      <c r="I145" s="21" t="s">
        <v>2849</v>
      </c>
      <c r="J145" s="21" t="s">
        <v>4445</v>
      </c>
      <c r="K145" s="21" t="s">
        <v>408</v>
      </c>
      <c r="N145" s="21" t="s">
        <v>5016</v>
      </c>
      <c r="O145" s="21" t="s">
        <v>2080</v>
      </c>
      <c r="P145" s="21" t="s">
        <v>2222</v>
      </c>
      <c r="Q145" s="21" t="s">
        <v>5938</v>
      </c>
      <c r="R145" s="21" t="s">
        <v>3167</v>
      </c>
      <c r="T145" s="21" t="s">
        <v>1643</v>
      </c>
      <c r="W145" s="21" t="s">
        <v>1504</v>
      </c>
      <c r="X145" s="21" t="s">
        <v>892</v>
      </c>
      <c r="Z145" s="21" t="s">
        <v>3534</v>
      </c>
    </row>
    <row r="146" spans="5:26" x14ac:dyDescent="0.25">
      <c r="E146" s="21" t="s">
        <v>3308</v>
      </c>
      <c r="F146" s="21" t="s">
        <v>5278</v>
      </c>
      <c r="I146" s="21" t="s">
        <v>2755</v>
      </c>
      <c r="J146" s="21" t="s">
        <v>4554</v>
      </c>
      <c r="K146" s="21" t="s">
        <v>409</v>
      </c>
      <c r="O146" s="21" t="s">
        <v>2024</v>
      </c>
      <c r="P146" s="21" t="s">
        <v>4775</v>
      </c>
      <c r="Q146" s="21" t="s">
        <v>5248</v>
      </c>
      <c r="R146" s="21" t="s">
        <v>3153</v>
      </c>
      <c r="T146" s="21" t="s">
        <v>4004</v>
      </c>
      <c r="W146" s="21" t="s">
        <v>1465</v>
      </c>
      <c r="X146" s="21" t="s">
        <v>1002</v>
      </c>
      <c r="Z146" s="21" t="s">
        <v>3360</v>
      </c>
    </row>
    <row r="147" spans="5:26" x14ac:dyDescent="0.25">
      <c r="E147" s="21" t="s">
        <v>1792</v>
      </c>
      <c r="F147" s="21" t="s">
        <v>2072</v>
      </c>
      <c r="I147" s="21" t="s">
        <v>4441</v>
      </c>
      <c r="J147" s="21" t="s">
        <v>4485</v>
      </c>
      <c r="K147" s="21" t="s">
        <v>3250</v>
      </c>
      <c r="O147" s="21" t="s">
        <v>4949</v>
      </c>
      <c r="P147" s="21" t="s">
        <v>2287</v>
      </c>
      <c r="Q147" s="21" t="s">
        <v>4444</v>
      </c>
      <c r="R147" s="21" t="s">
        <v>561</v>
      </c>
      <c r="T147" s="21" t="s">
        <v>4365</v>
      </c>
      <c r="W147" s="21" t="s">
        <v>1291</v>
      </c>
      <c r="X147" s="21" t="s">
        <v>1092</v>
      </c>
      <c r="Z147" s="21" t="s">
        <v>663</v>
      </c>
    </row>
    <row r="148" spans="5:26" x14ac:dyDescent="0.25">
      <c r="E148" s="21" t="s">
        <v>1803</v>
      </c>
      <c r="F148" s="21" t="s">
        <v>5082</v>
      </c>
      <c r="I148" s="21" t="s">
        <v>5424</v>
      </c>
      <c r="J148" s="21" t="s">
        <v>4622</v>
      </c>
      <c r="K148" s="21" t="s">
        <v>1911</v>
      </c>
      <c r="O148" s="21" t="s">
        <v>3874</v>
      </c>
      <c r="P148" s="21" t="s">
        <v>2240</v>
      </c>
      <c r="Q148" s="21" t="s">
        <v>4437</v>
      </c>
      <c r="R148" s="21" t="s">
        <v>642</v>
      </c>
      <c r="T148" s="21" t="s">
        <v>3300</v>
      </c>
      <c r="W148" s="21" t="s">
        <v>1526</v>
      </c>
      <c r="X148" s="21" t="s">
        <v>1403</v>
      </c>
      <c r="Z148" s="21" t="s">
        <v>3582</v>
      </c>
    </row>
    <row r="149" spans="5:26" x14ac:dyDescent="0.25">
      <c r="E149" s="21" t="s">
        <v>1892</v>
      </c>
      <c r="F149" s="21" t="s">
        <v>5060</v>
      </c>
      <c r="I149" s="21" t="s">
        <v>2820</v>
      </c>
      <c r="J149" s="21" t="s">
        <v>4753</v>
      </c>
      <c r="K149" s="21" t="s">
        <v>2639</v>
      </c>
      <c r="O149" s="21" t="s">
        <v>2041</v>
      </c>
      <c r="P149" s="21" t="s">
        <v>1289</v>
      </c>
      <c r="Q149" s="21" t="s">
        <v>5066</v>
      </c>
      <c r="R149" s="21" t="s">
        <v>613</v>
      </c>
      <c r="T149" s="21" t="s">
        <v>4350</v>
      </c>
      <c r="W149" s="21" t="s">
        <v>1535</v>
      </c>
      <c r="X149" s="21" t="s">
        <v>1541</v>
      </c>
      <c r="Z149" s="21" t="s">
        <v>891</v>
      </c>
    </row>
    <row r="150" spans="5:26" x14ac:dyDescent="0.25">
      <c r="E150" s="21" t="s">
        <v>2321</v>
      </c>
      <c r="F150" s="21" t="s">
        <v>4305</v>
      </c>
      <c r="I150" s="21" t="s">
        <v>5413</v>
      </c>
      <c r="J150" s="21" t="s">
        <v>3883</v>
      </c>
      <c r="K150" s="21" t="s">
        <v>784</v>
      </c>
      <c r="O150" s="21" t="s">
        <v>4319</v>
      </c>
      <c r="P150" s="21" t="s">
        <v>2244</v>
      </c>
      <c r="Q150" s="21" t="s">
        <v>4528</v>
      </c>
      <c r="R150" s="21" t="s">
        <v>1201</v>
      </c>
      <c r="T150" s="21" t="s">
        <v>4431</v>
      </c>
      <c r="W150" s="21" t="s">
        <v>1045</v>
      </c>
      <c r="X150" s="21" t="s">
        <v>1010</v>
      </c>
      <c r="Z150" s="21" t="s">
        <v>3837</v>
      </c>
    </row>
    <row r="151" spans="5:26" x14ac:dyDescent="0.25">
      <c r="E151" s="21" t="s">
        <v>2035</v>
      </c>
      <c r="F151" s="21" t="s">
        <v>5081</v>
      </c>
      <c r="I151" s="21" t="s">
        <v>2850</v>
      </c>
      <c r="J151" s="21" t="s">
        <v>2394</v>
      </c>
      <c r="K151" s="21" t="s">
        <v>2258</v>
      </c>
      <c r="O151" s="21" t="s">
        <v>4284</v>
      </c>
      <c r="P151" s="21" t="s">
        <v>2225</v>
      </c>
      <c r="Q151" s="21" t="s">
        <v>5377</v>
      </c>
      <c r="R151" s="21" t="s">
        <v>2239</v>
      </c>
      <c r="T151" s="21" t="s">
        <v>4663</v>
      </c>
      <c r="W151" s="21" t="s">
        <v>1395</v>
      </c>
      <c r="X151" s="21" t="s">
        <v>570</v>
      </c>
      <c r="Z151" s="21" t="s">
        <v>3450</v>
      </c>
    </row>
    <row r="152" spans="5:26" x14ac:dyDescent="0.25">
      <c r="E152" s="21" t="s">
        <v>2354</v>
      </c>
      <c r="F152" s="21" t="s">
        <v>5064</v>
      </c>
      <c r="I152" s="21" t="s">
        <v>2574</v>
      </c>
      <c r="J152" s="21" t="s">
        <v>2500</v>
      </c>
      <c r="K152" s="21" t="s">
        <v>3463</v>
      </c>
      <c r="O152" s="21" t="s">
        <v>4298</v>
      </c>
      <c r="P152" s="21" t="s">
        <v>2659</v>
      </c>
      <c r="Q152" s="21" t="s">
        <v>5272</v>
      </c>
      <c r="R152" s="21" t="s">
        <v>2599</v>
      </c>
      <c r="T152" s="21" t="s">
        <v>4359</v>
      </c>
      <c r="W152" s="21" t="s">
        <v>1133</v>
      </c>
      <c r="X152" s="21" t="s">
        <v>1085</v>
      </c>
      <c r="Z152" s="21" t="s">
        <v>2888</v>
      </c>
    </row>
    <row r="153" spans="5:26" x14ac:dyDescent="0.25">
      <c r="E153" s="21" t="s">
        <v>2486</v>
      </c>
      <c r="F153" s="21" t="s">
        <v>4488</v>
      </c>
      <c r="I153" s="21" t="s">
        <v>4507</v>
      </c>
      <c r="J153" s="21" t="s">
        <v>4122</v>
      </c>
      <c r="K153" s="21" t="s">
        <v>410</v>
      </c>
      <c r="O153" s="21" t="s">
        <v>1965</v>
      </c>
      <c r="P153" s="21" t="s">
        <v>581</v>
      </c>
      <c r="Q153" s="21" t="s">
        <v>5000</v>
      </c>
      <c r="R153" s="21" t="s">
        <v>631</v>
      </c>
      <c r="T153" s="21" t="s">
        <v>3898</v>
      </c>
      <c r="W153" s="21" t="s">
        <v>1280</v>
      </c>
      <c r="X153" s="21" t="s">
        <v>2865</v>
      </c>
      <c r="Z153" s="21" t="s">
        <v>684</v>
      </c>
    </row>
    <row r="154" spans="5:26" x14ac:dyDescent="0.25">
      <c r="E154" s="21" t="s">
        <v>5145</v>
      </c>
      <c r="F154" s="21" t="s">
        <v>4082</v>
      </c>
      <c r="I154" s="21" t="s">
        <v>5274</v>
      </c>
      <c r="J154" s="21" t="s">
        <v>4410</v>
      </c>
      <c r="K154" s="21" t="s">
        <v>716</v>
      </c>
      <c r="O154" s="21" t="s">
        <v>2385</v>
      </c>
      <c r="P154" s="21" t="s">
        <v>1675</v>
      </c>
      <c r="Q154" s="21" t="s">
        <v>4539</v>
      </c>
      <c r="R154" s="21" t="s">
        <v>3403</v>
      </c>
      <c r="T154" s="21" t="s">
        <v>1261</v>
      </c>
      <c r="W154" s="21" t="s">
        <v>2926</v>
      </c>
      <c r="X154" s="21" t="s">
        <v>1408</v>
      </c>
      <c r="Z154" s="21" t="s">
        <v>1579</v>
      </c>
    </row>
    <row r="155" spans="5:26" x14ac:dyDescent="0.25">
      <c r="E155" s="21" t="s">
        <v>4969</v>
      </c>
      <c r="F155" s="21" t="s">
        <v>4447</v>
      </c>
      <c r="I155" s="21" t="s">
        <v>1983</v>
      </c>
      <c r="J155" s="21" t="s">
        <v>4366</v>
      </c>
      <c r="K155" s="21" t="s">
        <v>811</v>
      </c>
      <c r="O155" s="21" t="s">
        <v>2002</v>
      </c>
      <c r="P155" s="21" t="s">
        <v>3875</v>
      </c>
      <c r="Q155" s="21" t="s">
        <v>5250</v>
      </c>
      <c r="R155" s="21" t="s">
        <v>3038</v>
      </c>
      <c r="T155" s="21" t="s">
        <v>4351</v>
      </c>
      <c r="W155" s="21" t="s">
        <v>1025</v>
      </c>
      <c r="X155" s="21" t="s">
        <v>1367</v>
      </c>
      <c r="Z155" s="21" t="s">
        <v>241</v>
      </c>
    </row>
    <row r="156" spans="5:26" x14ac:dyDescent="0.25">
      <c r="E156" s="21" t="s">
        <v>1757</v>
      </c>
      <c r="F156" s="21" t="s">
        <v>4406</v>
      </c>
      <c r="I156" s="21" t="s">
        <v>5175</v>
      </c>
      <c r="J156" s="21" t="s">
        <v>5117</v>
      </c>
      <c r="K156" s="21" t="s">
        <v>3189</v>
      </c>
      <c r="O156" s="21" t="s">
        <v>1923</v>
      </c>
      <c r="P156" s="21" t="s">
        <v>5258</v>
      </c>
      <c r="Q156" s="21" t="s">
        <v>5939</v>
      </c>
      <c r="R156" s="21" t="s">
        <v>907</v>
      </c>
      <c r="T156" s="21" t="s">
        <v>4329</v>
      </c>
      <c r="W156" s="21" t="s">
        <v>1518</v>
      </c>
      <c r="X156" s="21" t="s">
        <v>1461</v>
      </c>
      <c r="Z156" s="21" t="s">
        <v>3634</v>
      </c>
    </row>
    <row r="157" spans="5:26" x14ac:dyDescent="0.25">
      <c r="E157" s="21" t="s">
        <v>2177</v>
      </c>
      <c r="F157" s="21" t="s">
        <v>4384</v>
      </c>
      <c r="I157" s="21" t="s">
        <v>2662</v>
      </c>
      <c r="J157" s="21" t="s">
        <v>3848</v>
      </c>
      <c r="K157" s="21" t="s">
        <v>1908</v>
      </c>
      <c r="O157" s="21" t="s">
        <v>4968</v>
      </c>
      <c r="P157" s="21" t="s">
        <v>2337</v>
      </c>
      <c r="Q157" s="21" t="s">
        <v>4915</v>
      </c>
      <c r="R157" s="21" t="s">
        <v>2948</v>
      </c>
      <c r="T157" s="21" t="s">
        <v>4110</v>
      </c>
      <c r="W157" s="21" t="s">
        <v>1034</v>
      </c>
      <c r="X157" s="21" t="s">
        <v>1019</v>
      </c>
      <c r="Z157" s="21" t="s">
        <v>754</v>
      </c>
    </row>
    <row r="158" spans="5:26" x14ac:dyDescent="0.25">
      <c r="E158" s="21" t="s">
        <v>2448</v>
      </c>
      <c r="F158" s="21" t="s">
        <v>2507</v>
      </c>
      <c r="I158" s="21" t="s">
        <v>2609</v>
      </c>
      <c r="J158" s="21" t="s">
        <v>1740</v>
      </c>
      <c r="K158" s="21" t="s">
        <v>411</v>
      </c>
      <c r="O158" s="21" t="s">
        <v>2082</v>
      </c>
      <c r="P158" s="21" t="s">
        <v>4868</v>
      </c>
      <c r="Q158" s="21" t="s">
        <v>4511</v>
      </c>
      <c r="R158" s="21" t="s">
        <v>3483</v>
      </c>
      <c r="T158" s="21" t="s">
        <v>3880</v>
      </c>
      <c r="W158" s="21" t="s">
        <v>1020</v>
      </c>
      <c r="X158" s="21" t="s">
        <v>1210</v>
      </c>
      <c r="Z158" s="21" t="s">
        <v>3704</v>
      </c>
    </row>
    <row r="159" spans="5:26" x14ac:dyDescent="0.25">
      <c r="E159" s="21" t="s">
        <v>2389</v>
      </c>
      <c r="F159" s="21" t="s">
        <v>4491</v>
      </c>
      <c r="I159" s="21" t="s">
        <v>2181</v>
      </c>
      <c r="J159" s="21" t="s">
        <v>4713</v>
      </c>
      <c r="K159" s="21" t="s">
        <v>412</v>
      </c>
      <c r="O159" s="21" t="s">
        <v>1740</v>
      </c>
      <c r="P159" s="21" t="s">
        <v>4388</v>
      </c>
      <c r="Q159" s="21" t="s">
        <v>4627</v>
      </c>
      <c r="R159" s="21" t="s">
        <v>3388</v>
      </c>
      <c r="T159" s="21" t="s">
        <v>4978</v>
      </c>
      <c r="W159" s="21" t="s">
        <v>1227</v>
      </c>
      <c r="X159" s="21" t="s">
        <v>1214</v>
      </c>
      <c r="Z159" s="21" t="s">
        <v>3532</v>
      </c>
    </row>
    <row r="160" spans="5:26" x14ac:dyDescent="0.25">
      <c r="E160" s="21" t="s">
        <v>5360</v>
      </c>
      <c r="F160" s="21" t="s">
        <v>4436</v>
      </c>
      <c r="I160" s="21" t="s">
        <v>2785</v>
      </c>
      <c r="J160" s="21" t="s">
        <v>3994</v>
      </c>
      <c r="K160" s="21" t="s">
        <v>2781</v>
      </c>
      <c r="O160" s="21" t="s">
        <v>2022</v>
      </c>
      <c r="P160" s="21" t="s">
        <v>5069</v>
      </c>
      <c r="Q160" s="21" t="s">
        <v>4280</v>
      </c>
      <c r="R160" s="21" t="s">
        <v>3488</v>
      </c>
      <c r="T160" s="21" t="s">
        <v>3942</v>
      </c>
      <c r="W160" s="21" t="s">
        <v>1361</v>
      </c>
      <c r="X160" s="21" t="s">
        <v>1035</v>
      </c>
      <c r="Z160" s="21" t="s">
        <v>2802</v>
      </c>
    </row>
    <row r="161" spans="5:26" x14ac:dyDescent="0.25">
      <c r="E161" s="21" t="s">
        <v>2064</v>
      </c>
      <c r="F161" s="21" t="s">
        <v>4976</v>
      </c>
      <c r="I161" s="21" t="s">
        <v>2582</v>
      </c>
      <c r="J161" s="21" t="s">
        <v>4157</v>
      </c>
      <c r="K161" s="21" t="s">
        <v>413</v>
      </c>
      <c r="O161" s="21" t="s">
        <v>4858</v>
      </c>
      <c r="P161" s="21" t="s">
        <v>2280</v>
      </c>
      <c r="Q161" s="21" t="s">
        <v>5316</v>
      </c>
      <c r="R161" s="21" t="s">
        <v>2088</v>
      </c>
      <c r="T161" s="21" t="s">
        <v>4275</v>
      </c>
      <c r="W161" s="21" t="s">
        <v>1273</v>
      </c>
      <c r="X161" s="21" t="s">
        <v>989</v>
      </c>
      <c r="Z161" s="21" t="s">
        <v>3526</v>
      </c>
    </row>
    <row r="162" spans="5:26" x14ac:dyDescent="0.25">
      <c r="E162" s="21" t="s">
        <v>2450</v>
      </c>
      <c r="F162" s="21" t="s">
        <v>4123</v>
      </c>
      <c r="I162" s="21" t="s">
        <v>4261</v>
      </c>
      <c r="J162" s="21" t="s">
        <v>4748</v>
      </c>
      <c r="K162" s="21" t="s">
        <v>782</v>
      </c>
      <c r="O162" s="21" t="s">
        <v>1868</v>
      </c>
      <c r="P162" s="21" t="s">
        <v>2284</v>
      </c>
      <c r="Q162" s="21" t="s">
        <v>5324</v>
      </c>
      <c r="R162" s="21" t="s">
        <v>5940</v>
      </c>
      <c r="T162" s="21" t="s">
        <v>4361</v>
      </c>
      <c r="W162" s="21" t="s">
        <v>1309</v>
      </c>
      <c r="X162" s="21" t="s">
        <v>2060</v>
      </c>
      <c r="Z162" s="21" t="s">
        <v>3820</v>
      </c>
    </row>
    <row r="163" spans="5:26" x14ac:dyDescent="0.25">
      <c r="E163" s="21" t="s">
        <v>4882</v>
      </c>
      <c r="F163" s="21" t="s">
        <v>4018</v>
      </c>
      <c r="I163" s="21" t="s">
        <v>5462</v>
      </c>
      <c r="J163" s="21" t="s">
        <v>1505</v>
      </c>
      <c r="K163" s="21" t="s">
        <v>414</v>
      </c>
      <c r="O163" s="21" t="s">
        <v>4297</v>
      </c>
      <c r="P163" s="21" t="s">
        <v>4861</v>
      </c>
      <c r="Q163" s="21" t="s">
        <v>4981</v>
      </c>
      <c r="R163" s="21" t="s">
        <v>287</v>
      </c>
      <c r="T163" s="21" t="s">
        <v>4307</v>
      </c>
      <c r="W163" s="21" t="s">
        <v>1102</v>
      </c>
      <c r="X163" s="21" t="s">
        <v>313</v>
      </c>
      <c r="Z163" s="21" t="s">
        <v>3718</v>
      </c>
    </row>
    <row r="164" spans="5:26" x14ac:dyDescent="0.25">
      <c r="E164" s="21" t="s">
        <v>2044</v>
      </c>
      <c r="F164" s="21" t="s">
        <v>5106</v>
      </c>
      <c r="I164" s="21" t="s">
        <v>2454</v>
      </c>
      <c r="J164" s="21" t="s">
        <v>1613</v>
      </c>
      <c r="K164" s="21" t="s">
        <v>415</v>
      </c>
      <c r="O164" s="21" t="s">
        <v>3932</v>
      </c>
      <c r="P164" s="21" t="s">
        <v>5314</v>
      </c>
      <c r="Q164" s="21" t="s">
        <v>4540</v>
      </c>
      <c r="R164" s="21" t="s">
        <v>3180</v>
      </c>
      <c r="T164" s="21" t="s">
        <v>4327</v>
      </c>
      <c r="W164" s="21" t="s">
        <v>1489</v>
      </c>
      <c r="X164" s="21" t="s">
        <v>1202</v>
      </c>
      <c r="Z164" s="21" t="s">
        <v>3554</v>
      </c>
    </row>
    <row r="165" spans="5:26" x14ac:dyDescent="0.25">
      <c r="E165" s="21" t="s">
        <v>1749</v>
      </c>
      <c r="F165" s="21" t="s">
        <v>4151</v>
      </c>
      <c r="I165" s="21" t="s">
        <v>2136</v>
      </c>
      <c r="J165" s="21" t="s">
        <v>1664</v>
      </c>
      <c r="K165" s="21" t="s">
        <v>2470</v>
      </c>
      <c r="O165" s="21" t="s">
        <v>1766</v>
      </c>
      <c r="P165" s="21" t="s">
        <v>5015</v>
      </c>
      <c r="Q165" s="21" t="s">
        <v>5440</v>
      </c>
      <c r="R165" s="21" t="s">
        <v>1548</v>
      </c>
      <c r="T165" s="21" t="s">
        <v>4333</v>
      </c>
      <c r="W165" s="21" t="s">
        <v>1432</v>
      </c>
      <c r="X165" s="21" t="s">
        <v>946</v>
      </c>
      <c r="Z165" s="21" t="s">
        <v>698</v>
      </c>
    </row>
    <row r="166" spans="5:26" x14ac:dyDescent="0.25">
      <c r="E166" s="21" t="s">
        <v>1826</v>
      </c>
      <c r="F166" s="21" t="s">
        <v>4103</v>
      </c>
      <c r="I166" s="21" t="s">
        <v>273</v>
      </c>
      <c r="J166" s="21" t="s">
        <v>4143</v>
      </c>
      <c r="K166" s="21" t="s">
        <v>2702</v>
      </c>
      <c r="O166" s="21" t="s">
        <v>4860</v>
      </c>
      <c r="P166" s="21" t="s">
        <v>2054</v>
      </c>
      <c r="Q166" s="21" t="s">
        <v>5388</v>
      </c>
      <c r="R166" s="21" t="s">
        <v>1441</v>
      </c>
      <c r="T166" s="21" t="s">
        <v>1413</v>
      </c>
      <c r="W166" s="21" t="s">
        <v>208</v>
      </c>
      <c r="X166" s="21" t="s">
        <v>959</v>
      </c>
      <c r="Z166" s="21" t="s">
        <v>2870</v>
      </c>
    </row>
    <row r="167" spans="5:26" x14ac:dyDescent="0.25">
      <c r="E167" s="21" t="s">
        <v>2100</v>
      </c>
      <c r="F167" s="21" t="s">
        <v>4430</v>
      </c>
      <c r="I167" s="21" t="s">
        <v>5333</v>
      </c>
      <c r="J167" s="21" t="s">
        <v>5364</v>
      </c>
      <c r="K167" s="21" t="s">
        <v>3251</v>
      </c>
      <c r="O167" s="21" t="s">
        <v>1366</v>
      </c>
      <c r="P167" s="21" t="s">
        <v>2359</v>
      </c>
      <c r="Q167" s="21" t="s">
        <v>4560</v>
      </c>
      <c r="R167" s="21" t="s">
        <v>3049</v>
      </c>
      <c r="T167" s="21" t="s">
        <v>512</v>
      </c>
      <c r="W167" s="21" t="s">
        <v>996</v>
      </c>
      <c r="X167" s="21" t="s">
        <v>1417</v>
      </c>
      <c r="Z167" s="21" t="s">
        <v>3677</v>
      </c>
    </row>
    <row r="168" spans="5:26" x14ac:dyDescent="0.25">
      <c r="E168" s="21" t="s">
        <v>5087</v>
      </c>
      <c r="F168" s="21" t="s">
        <v>4544</v>
      </c>
      <c r="I168" s="21" t="s">
        <v>2568</v>
      </c>
      <c r="J168" s="21" t="s">
        <v>3947</v>
      </c>
      <c r="K168" s="21" t="s">
        <v>416</v>
      </c>
      <c r="O168" s="21" t="s">
        <v>2291</v>
      </c>
      <c r="P168" s="21" t="s">
        <v>2272</v>
      </c>
      <c r="Q168" s="21" t="s">
        <v>5373</v>
      </c>
      <c r="R168" s="21" t="s">
        <v>3076</v>
      </c>
      <c r="T168" s="21" t="s">
        <v>3891</v>
      </c>
      <c r="W168" s="21" t="s">
        <v>1049</v>
      </c>
      <c r="X168" s="21" t="s">
        <v>910</v>
      </c>
      <c r="Z168" s="21" t="s">
        <v>3541</v>
      </c>
    </row>
    <row r="169" spans="5:26" x14ac:dyDescent="0.25">
      <c r="E169" s="21" t="s">
        <v>5243</v>
      </c>
      <c r="F169" s="21" t="s">
        <v>5038</v>
      </c>
      <c r="I169" s="21" t="s">
        <v>4285</v>
      </c>
      <c r="J169" s="21" t="s">
        <v>4370</v>
      </c>
      <c r="K169" s="21" t="s">
        <v>366</v>
      </c>
      <c r="O169" s="21" t="s">
        <v>1505</v>
      </c>
      <c r="P169" s="21" t="s">
        <v>3854</v>
      </c>
      <c r="Q169" s="21" t="s">
        <v>4262</v>
      </c>
      <c r="R169" s="21" t="s">
        <v>359</v>
      </c>
      <c r="W169" s="21" t="s">
        <v>1503</v>
      </c>
      <c r="X169" s="21" t="s">
        <v>1177</v>
      </c>
      <c r="Z169" s="21" t="s">
        <v>3351</v>
      </c>
    </row>
    <row r="170" spans="5:26" x14ac:dyDescent="0.25">
      <c r="E170" s="21" t="s">
        <v>2536</v>
      </c>
      <c r="F170" s="21" t="s">
        <v>4604</v>
      </c>
      <c r="I170" s="21" t="s">
        <v>2709</v>
      </c>
      <c r="J170" s="21" t="s">
        <v>4815</v>
      </c>
      <c r="K170" s="21" t="s">
        <v>1808</v>
      </c>
      <c r="O170" s="21" t="s">
        <v>1613</v>
      </c>
      <c r="P170" s="21" t="s">
        <v>2607</v>
      </c>
      <c r="Q170" s="21" t="s">
        <v>5043</v>
      </c>
      <c r="R170" s="21" t="s">
        <v>3427</v>
      </c>
      <c r="W170" s="21" t="s">
        <v>1353</v>
      </c>
      <c r="X170" s="21" t="s">
        <v>1200</v>
      </c>
      <c r="Z170" s="21" t="s">
        <v>5941</v>
      </c>
    </row>
    <row r="171" spans="5:26" x14ac:dyDescent="0.25">
      <c r="E171" s="21" t="s">
        <v>2383</v>
      </c>
      <c r="F171" s="21" t="s">
        <v>4434</v>
      </c>
      <c r="I171" s="21" t="s">
        <v>2598</v>
      </c>
      <c r="J171" s="21" t="s">
        <v>4702</v>
      </c>
      <c r="K171" s="21" t="s">
        <v>5179</v>
      </c>
      <c r="O171" s="21" t="s">
        <v>1664</v>
      </c>
      <c r="P171" s="21" t="s">
        <v>2213</v>
      </c>
      <c r="Q171" s="21" t="s">
        <v>4519</v>
      </c>
      <c r="R171" s="21" t="s">
        <v>3485</v>
      </c>
      <c r="W171" s="21" t="s">
        <v>1193</v>
      </c>
      <c r="X171" s="21" t="s">
        <v>333</v>
      </c>
      <c r="Z171" s="21" t="s">
        <v>533</v>
      </c>
    </row>
    <row r="172" spans="5:26" x14ac:dyDescent="0.25">
      <c r="E172" s="21" t="s">
        <v>2257</v>
      </c>
      <c r="F172" s="21" t="s">
        <v>4973</v>
      </c>
      <c r="I172" s="21" t="s">
        <v>1945</v>
      </c>
      <c r="J172" s="21" t="s">
        <v>5229</v>
      </c>
      <c r="K172" s="21" t="s">
        <v>772</v>
      </c>
      <c r="O172" s="21" t="s">
        <v>3947</v>
      </c>
      <c r="P172" s="21" t="s">
        <v>1830</v>
      </c>
      <c r="Q172" s="21" t="s">
        <v>5285</v>
      </c>
      <c r="R172" s="21" t="s">
        <v>644</v>
      </c>
      <c r="W172" s="21" t="s">
        <v>1234</v>
      </c>
      <c r="X172" s="21" t="s">
        <v>3017</v>
      </c>
      <c r="Z172" s="21" t="s">
        <v>3620</v>
      </c>
    </row>
    <row r="173" spans="5:26" x14ac:dyDescent="0.25">
      <c r="E173" s="21" t="s">
        <v>2247</v>
      </c>
      <c r="F173" s="21" t="s">
        <v>5089</v>
      </c>
      <c r="I173" s="21" t="s">
        <v>2719</v>
      </c>
      <c r="J173" s="21" t="s">
        <v>4136</v>
      </c>
      <c r="K173" s="21" t="s">
        <v>2518</v>
      </c>
      <c r="O173" s="21" t="s">
        <v>1829</v>
      </c>
      <c r="P173" s="21" t="s">
        <v>2292</v>
      </c>
      <c r="Q173" s="21" t="s">
        <v>4480</v>
      </c>
      <c r="R173" s="21" t="s">
        <v>2994</v>
      </c>
      <c r="W173" s="21" t="s">
        <v>1401</v>
      </c>
      <c r="X173" s="21" t="s">
        <v>976</v>
      </c>
      <c r="Z173" s="21" t="s">
        <v>3496</v>
      </c>
    </row>
    <row r="174" spans="5:26" x14ac:dyDescent="0.25">
      <c r="E174" s="21" t="s">
        <v>1851</v>
      </c>
      <c r="F174" s="21" t="s">
        <v>4158</v>
      </c>
      <c r="I174" s="21" t="s">
        <v>2808</v>
      </c>
      <c r="J174" s="21" t="s">
        <v>5331</v>
      </c>
      <c r="K174" s="21" t="s">
        <v>1688</v>
      </c>
      <c r="O174" s="21" t="s">
        <v>5230</v>
      </c>
      <c r="P174" s="21" t="s">
        <v>2005</v>
      </c>
      <c r="Q174" s="21" t="s">
        <v>4083</v>
      </c>
      <c r="R174" s="21" t="s">
        <v>2957</v>
      </c>
      <c r="W174" s="21" t="s">
        <v>1485</v>
      </c>
      <c r="X174" s="21" t="s">
        <v>986</v>
      </c>
      <c r="Z174" s="21" t="s">
        <v>866</v>
      </c>
    </row>
    <row r="175" spans="5:26" x14ac:dyDescent="0.25">
      <c r="E175" s="21" t="s">
        <v>2476</v>
      </c>
      <c r="F175" s="21" t="s">
        <v>4395</v>
      </c>
      <c r="I175" s="21" t="s">
        <v>2722</v>
      </c>
      <c r="J175" s="21" t="s">
        <v>4182</v>
      </c>
      <c r="K175" s="21" t="s">
        <v>2773</v>
      </c>
      <c r="O175" s="21" t="s">
        <v>5198</v>
      </c>
      <c r="P175" s="21" t="s">
        <v>5140</v>
      </c>
      <c r="Q175" s="21" t="s">
        <v>4494</v>
      </c>
      <c r="R175" s="21" t="s">
        <v>516</v>
      </c>
      <c r="W175" s="21" t="s">
        <v>1315</v>
      </c>
      <c r="X175" s="21" t="s">
        <v>1032</v>
      </c>
      <c r="Z175" s="21" t="s">
        <v>3688</v>
      </c>
    </row>
    <row r="176" spans="5:26" x14ac:dyDescent="0.25">
      <c r="E176" s="21" t="s">
        <v>1601</v>
      </c>
      <c r="F176" s="21" t="s">
        <v>3950</v>
      </c>
      <c r="I176" s="21" t="s">
        <v>2696</v>
      </c>
      <c r="J176" s="21" t="s">
        <v>4776</v>
      </c>
      <c r="K176" s="21" t="s">
        <v>3255</v>
      </c>
      <c r="O176" s="21" t="s">
        <v>236</v>
      </c>
      <c r="P176" s="21" t="s">
        <v>2516</v>
      </c>
      <c r="Q176" s="21" t="s">
        <v>5392</v>
      </c>
      <c r="R176" s="21" t="s">
        <v>3406</v>
      </c>
      <c r="W176" s="21" t="s">
        <v>3089</v>
      </c>
      <c r="X176" s="21" t="s">
        <v>273</v>
      </c>
      <c r="Z176" s="21" t="s">
        <v>3530</v>
      </c>
    </row>
    <row r="177" spans="5:26" x14ac:dyDescent="0.25">
      <c r="E177" s="21" t="s">
        <v>4971</v>
      </c>
      <c r="F177" s="21" t="s">
        <v>4045</v>
      </c>
      <c r="I177" s="21" t="s">
        <v>2732</v>
      </c>
      <c r="J177" s="21" t="s">
        <v>4118</v>
      </c>
      <c r="K177" s="21" t="s">
        <v>3234</v>
      </c>
      <c r="O177" s="21" t="s">
        <v>4295</v>
      </c>
      <c r="P177" s="21" t="s">
        <v>1245</v>
      </c>
      <c r="Q177" s="21" t="s">
        <v>5395</v>
      </c>
      <c r="R177" s="21" t="s">
        <v>603</v>
      </c>
      <c r="W177" s="21" t="s">
        <v>1452</v>
      </c>
      <c r="X177" s="21" t="s">
        <v>914</v>
      </c>
      <c r="Z177" s="21" t="s">
        <v>2436</v>
      </c>
    </row>
    <row r="178" spans="5:26" x14ac:dyDescent="0.25">
      <c r="E178" s="21" t="s">
        <v>1761</v>
      </c>
      <c r="F178" s="21" t="s">
        <v>4149</v>
      </c>
      <c r="I178" s="21" t="s">
        <v>2544</v>
      </c>
      <c r="J178" s="21" t="s">
        <v>4218</v>
      </c>
      <c r="K178" s="21" t="s">
        <v>2567</v>
      </c>
      <c r="O178" s="21" t="s">
        <v>4136</v>
      </c>
      <c r="P178" s="21" t="s">
        <v>2731</v>
      </c>
      <c r="Q178" s="21" t="s">
        <v>4775</v>
      </c>
      <c r="R178" s="21" t="s">
        <v>3307</v>
      </c>
      <c r="W178" s="21" t="s">
        <v>209</v>
      </c>
      <c r="X178" s="21" t="s">
        <v>1410</v>
      </c>
      <c r="Z178" s="21" t="s">
        <v>5942</v>
      </c>
    </row>
    <row r="179" spans="5:26" x14ac:dyDescent="0.25">
      <c r="E179" s="21" t="s">
        <v>4834</v>
      </c>
      <c r="F179" s="21" t="s">
        <v>5238</v>
      </c>
      <c r="I179" s="21" t="s">
        <v>2677</v>
      </c>
      <c r="J179" s="21" t="s">
        <v>4504</v>
      </c>
      <c r="K179" s="21" t="s">
        <v>2004</v>
      </c>
      <c r="O179" s="21" t="s">
        <v>5240</v>
      </c>
      <c r="P179" s="21" t="s">
        <v>2671</v>
      </c>
      <c r="Q179" s="21" t="s">
        <v>5359</v>
      </c>
      <c r="R179" s="21" t="s">
        <v>3595</v>
      </c>
      <c r="W179" s="21" t="s">
        <v>1380</v>
      </c>
      <c r="X179" s="21" t="s">
        <v>963</v>
      </c>
      <c r="Z179" s="21" t="s">
        <v>3238</v>
      </c>
    </row>
    <row r="180" spans="5:26" x14ac:dyDescent="0.25">
      <c r="E180" s="21" t="s">
        <v>2254</v>
      </c>
      <c r="F180" s="21" t="s">
        <v>4141</v>
      </c>
      <c r="I180" s="21" t="s">
        <v>2776</v>
      </c>
      <c r="J180" s="21" t="s">
        <v>1083</v>
      </c>
      <c r="K180" s="21" t="s">
        <v>417</v>
      </c>
      <c r="O180" s="21" t="s">
        <v>2086</v>
      </c>
      <c r="P180" s="21" t="s">
        <v>2259</v>
      </c>
      <c r="Q180" s="21" t="s">
        <v>5465</v>
      </c>
      <c r="R180" s="21" t="s">
        <v>3035</v>
      </c>
      <c r="W180" s="21" t="s">
        <v>1522</v>
      </c>
      <c r="X180" s="21" t="s">
        <v>240</v>
      </c>
      <c r="Z180" s="21" t="s">
        <v>865</v>
      </c>
    </row>
    <row r="181" spans="5:26" x14ac:dyDescent="0.25">
      <c r="E181" s="21" t="s">
        <v>2435</v>
      </c>
      <c r="F181" s="21" t="s">
        <v>4075</v>
      </c>
      <c r="I181" s="21" t="s">
        <v>2848</v>
      </c>
      <c r="J181" s="21" t="s">
        <v>4415</v>
      </c>
      <c r="K181" s="21" t="s">
        <v>418</v>
      </c>
      <c r="O181" s="21" t="s">
        <v>2736</v>
      </c>
      <c r="P181" s="21" t="s">
        <v>3048</v>
      </c>
      <c r="Q181" s="21" t="s">
        <v>5317</v>
      </c>
      <c r="R181" s="21" t="s">
        <v>3340</v>
      </c>
      <c r="W181" s="21" t="s">
        <v>2860</v>
      </c>
      <c r="X181" s="21" t="s">
        <v>1337</v>
      </c>
      <c r="Z181" s="21" t="s">
        <v>3705</v>
      </c>
    </row>
    <row r="182" spans="5:26" x14ac:dyDescent="0.25">
      <c r="E182" s="21" t="s">
        <v>5055</v>
      </c>
      <c r="F182" s="21" t="s">
        <v>4428</v>
      </c>
      <c r="I182" s="21" t="s">
        <v>2628</v>
      </c>
      <c r="J182" s="21" t="s">
        <v>1801</v>
      </c>
      <c r="K182" s="21" t="s">
        <v>859</v>
      </c>
      <c r="O182" s="21" t="s">
        <v>2051</v>
      </c>
      <c r="P182" s="21" t="s">
        <v>5234</v>
      </c>
      <c r="Q182" s="21" t="s">
        <v>5289</v>
      </c>
      <c r="R182" s="21" t="s">
        <v>3015</v>
      </c>
      <c r="W182" s="21" t="s">
        <v>932</v>
      </c>
      <c r="X182" s="21" t="s">
        <v>257</v>
      </c>
      <c r="Z182" s="21" t="s">
        <v>3836</v>
      </c>
    </row>
    <row r="183" spans="5:26" x14ac:dyDescent="0.25">
      <c r="E183" s="21" t="s">
        <v>1627</v>
      </c>
      <c r="F183" s="21" t="s">
        <v>4465</v>
      </c>
      <c r="I183" s="21" t="s">
        <v>2845</v>
      </c>
      <c r="J183" s="21" t="s">
        <v>4719</v>
      </c>
      <c r="K183" s="21" t="s">
        <v>2594</v>
      </c>
      <c r="O183" s="21" t="s">
        <v>5235</v>
      </c>
      <c r="P183" s="21" t="s">
        <v>2264</v>
      </c>
      <c r="Q183" s="21" t="s">
        <v>4482</v>
      </c>
      <c r="R183" s="21" t="s">
        <v>558</v>
      </c>
      <c r="W183" s="21" t="s">
        <v>1096</v>
      </c>
      <c r="X183" s="21" t="s">
        <v>949</v>
      </c>
      <c r="Z183" s="21" t="s">
        <v>3733</v>
      </c>
    </row>
    <row r="184" spans="5:26" x14ac:dyDescent="0.25">
      <c r="E184" s="21" t="s">
        <v>2421</v>
      </c>
      <c r="F184" s="21" t="s">
        <v>4982</v>
      </c>
      <c r="I184" s="21" t="s">
        <v>2601</v>
      </c>
      <c r="J184" s="21" t="s">
        <v>4605</v>
      </c>
      <c r="K184" s="21" t="s">
        <v>2529</v>
      </c>
      <c r="O184" s="21" t="s">
        <v>2069</v>
      </c>
      <c r="P184" s="21" t="s">
        <v>4816</v>
      </c>
      <c r="Q184" s="21" t="s">
        <v>5382</v>
      </c>
      <c r="R184" s="21" t="s">
        <v>2384</v>
      </c>
      <c r="W184" s="21" t="s">
        <v>1453</v>
      </c>
      <c r="X184" s="21" t="s">
        <v>278</v>
      </c>
      <c r="Z184" s="21" t="s">
        <v>616</v>
      </c>
    </row>
    <row r="185" spans="5:26" x14ac:dyDescent="0.25">
      <c r="E185" s="21" t="s">
        <v>1841</v>
      </c>
      <c r="F185" s="21" t="s">
        <v>4443</v>
      </c>
      <c r="I185" s="21" t="s">
        <v>2819</v>
      </c>
      <c r="J185" s="21" t="s">
        <v>3855</v>
      </c>
      <c r="K185" s="21" t="s">
        <v>3156</v>
      </c>
      <c r="O185" s="21" t="s">
        <v>5220</v>
      </c>
      <c r="P185" s="21" t="s">
        <v>5119</v>
      </c>
      <c r="Q185" s="21" t="s">
        <v>5447</v>
      </c>
      <c r="R185" s="21" t="s">
        <v>2970</v>
      </c>
      <c r="W185" s="21" t="s">
        <v>1342</v>
      </c>
      <c r="X185" s="21" t="s">
        <v>225</v>
      </c>
      <c r="Z185" s="21" t="s">
        <v>3642</v>
      </c>
    </row>
    <row r="186" spans="5:26" x14ac:dyDescent="0.25">
      <c r="E186" s="21" t="s">
        <v>1873</v>
      </c>
      <c r="I186" s="21" t="s">
        <v>2805</v>
      </c>
      <c r="J186" s="21" t="s">
        <v>4697</v>
      </c>
      <c r="K186" s="21" t="s">
        <v>3264</v>
      </c>
      <c r="O186" s="21" t="s">
        <v>2155</v>
      </c>
      <c r="P186" s="21" t="s">
        <v>5121</v>
      </c>
      <c r="Q186" s="21" t="s">
        <v>5366</v>
      </c>
      <c r="R186" s="21" t="s">
        <v>322</v>
      </c>
      <c r="W186" s="21" t="s">
        <v>1022</v>
      </c>
      <c r="X186" s="21" t="s">
        <v>596</v>
      </c>
      <c r="Z186" s="21" t="s">
        <v>3757</v>
      </c>
    </row>
    <row r="187" spans="5:26" x14ac:dyDescent="0.25">
      <c r="E187" s="21" t="s">
        <v>1604</v>
      </c>
      <c r="I187" s="21" t="s">
        <v>2734</v>
      </c>
      <c r="J187" s="21" t="s">
        <v>3877</v>
      </c>
      <c r="K187" s="21" t="s">
        <v>2521</v>
      </c>
      <c r="O187" s="21" t="s">
        <v>4308</v>
      </c>
      <c r="Q187" s="21" t="s">
        <v>4277</v>
      </c>
      <c r="R187" s="21" t="s">
        <v>588</v>
      </c>
      <c r="W187" s="21" t="s">
        <v>993</v>
      </c>
      <c r="X187" s="21" t="s">
        <v>1383</v>
      </c>
      <c r="Z187" s="21" t="s">
        <v>3744</v>
      </c>
    </row>
    <row r="188" spans="5:26" x14ac:dyDescent="0.25">
      <c r="E188" s="21" t="s">
        <v>1968</v>
      </c>
      <c r="I188" s="21" t="s">
        <v>2621</v>
      </c>
      <c r="J188" s="21" t="s">
        <v>4649</v>
      </c>
      <c r="K188" s="21" t="s">
        <v>2474</v>
      </c>
      <c r="O188" s="21" t="s">
        <v>5207</v>
      </c>
      <c r="Q188" s="21" t="s">
        <v>5403</v>
      </c>
      <c r="R188" s="21" t="s">
        <v>584</v>
      </c>
      <c r="W188" s="21" t="s">
        <v>1090</v>
      </c>
      <c r="X188" s="21" t="s">
        <v>1519</v>
      </c>
      <c r="Z188" s="21" t="s">
        <v>3421</v>
      </c>
    </row>
    <row r="189" spans="5:26" x14ac:dyDescent="0.25">
      <c r="E189" s="21" t="s">
        <v>2088</v>
      </c>
      <c r="I189" s="21" t="s">
        <v>2654</v>
      </c>
      <c r="J189" s="21" t="s">
        <v>4602</v>
      </c>
      <c r="K189" s="21" t="s">
        <v>419</v>
      </c>
      <c r="O189" s="21" t="s">
        <v>2019</v>
      </c>
      <c r="Q189" s="21" t="s">
        <v>4980</v>
      </c>
      <c r="R189" s="21" t="s">
        <v>3413</v>
      </c>
      <c r="W189" s="21" t="s">
        <v>1263</v>
      </c>
      <c r="X189" s="21" t="s">
        <v>1156</v>
      </c>
      <c r="Z189" s="21" t="s">
        <v>2008</v>
      </c>
    </row>
    <row r="190" spans="5:26" x14ac:dyDescent="0.25">
      <c r="E190" s="21" t="s">
        <v>3869</v>
      </c>
      <c r="I190" s="21" t="s">
        <v>5194</v>
      </c>
      <c r="J190" s="21" t="s">
        <v>4222</v>
      </c>
      <c r="K190" s="21" t="s">
        <v>420</v>
      </c>
      <c r="O190" s="21" t="s">
        <v>1896</v>
      </c>
      <c r="Q190" s="21" t="s">
        <v>4478</v>
      </c>
      <c r="R190" s="21" t="s">
        <v>2966</v>
      </c>
      <c r="W190" s="21" t="s">
        <v>2867</v>
      </c>
      <c r="X190" s="21" t="s">
        <v>1208</v>
      </c>
      <c r="Z190" s="21" t="s">
        <v>807</v>
      </c>
    </row>
    <row r="191" spans="5:26" x14ac:dyDescent="0.25">
      <c r="E191" s="21" t="s">
        <v>1647</v>
      </c>
      <c r="I191" s="21" t="s">
        <v>2538</v>
      </c>
      <c r="J191" s="21" t="s">
        <v>4740</v>
      </c>
      <c r="K191" s="21" t="s">
        <v>2729</v>
      </c>
      <c r="O191" s="21" t="s">
        <v>5241</v>
      </c>
      <c r="Q191" s="21" t="s">
        <v>5292</v>
      </c>
      <c r="R191" s="21" t="s">
        <v>560</v>
      </c>
      <c r="W191" s="21" t="s">
        <v>1294</v>
      </c>
      <c r="X191" s="21" t="s">
        <v>563</v>
      </c>
      <c r="Z191" s="21" t="s">
        <v>534</v>
      </c>
    </row>
    <row r="192" spans="5:26" x14ac:dyDescent="0.25">
      <c r="E192" s="21" t="s">
        <v>4887</v>
      </c>
      <c r="I192" s="21" t="s">
        <v>2836</v>
      </c>
      <c r="J192" s="21" t="s">
        <v>4195</v>
      </c>
      <c r="K192" s="21" t="s">
        <v>813</v>
      </c>
      <c r="O192" s="21" t="s">
        <v>4344</v>
      </c>
      <c r="Q192" s="21" t="s">
        <v>4427</v>
      </c>
      <c r="R192" s="21" t="s">
        <v>3077</v>
      </c>
      <c r="W192" s="21" t="s">
        <v>1203</v>
      </c>
      <c r="X192" s="21" t="s">
        <v>224</v>
      </c>
      <c r="Z192" s="21" t="s">
        <v>3813</v>
      </c>
    </row>
    <row r="193" spans="5:26" x14ac:dyDescent="0.25">
      <c r="E193" s="21" t="s">
        <v>1825</v>
      </c>
      <c r="I193" s="21" t="s">
        <v>1867</v>
      </c>
      <c r="J193" s="21" t="s">
        <v>4626</v>
      </c>
      <c r="K193" s="21" t="s">
        <v>3200</v>
      </c>
      <c r="O193" s="21" t="s">
        <v>1935</v>
      </c>
      <c r="Q193" s="21" t="s">
        <v>5431</v>
      </c>
      <c r="R193" s="21" t="s">
        <v>3117</v>
      </c>
      <c r="W193" s="21" t="s">
        <v>1343</v>
      </c>
      <c r="X193" s="21" t="s">
        <v>1116</v>
      </c>
      <c r="Z193" s="21" t="s">
        <v>1587</v>
      </c>
    </row>
    <row r="194" spans="5:26" x14ac:dyDescent="0.25">
      <c r="E194" s="21" t="s">
        <v>1636</v>
      </c>
      <c r="I194" s="21" t="s">
        <v>2548</v>
      </c>
      <c r="J194" s="21" t="s">
        <v>4628</v>
      </c>
      <c r="K194" s="21" t="s">
        <v>3552</v>
      </c>
      <c r="O194" s="21" t="s">
        <v>4852</v>
      </c>
      <c r="Q194" s="21" t="s">
        <v>5446</v>
      </c>
      <c r="R194" s="21" t="s">
        <v>3571</v>
      </c>
      <c r="W194" s="21" t="s">
        <v>2891</v>
      </c>
      <c r="X194" s="21" t="s">
        <v>2943</v>
      </c>
      <c r="Z194" s="21" t="s">
        <v>877</v>
      </c>
    </row>
    <row r="195" spans="5:26" x14ac:dyDescent="0.25">
      <c r="E195" s="21" t="s">
        <v>4957</v>
      </c>
      <c r="I195" s="21" t="s">
        <v>2446</v>
      </c>
      <c r="J195" s="21" t="s">
        <v>4388</v>
      </c>
      <c r="K195" s="21" t="s">
        <v>3523</v>
      </c>
      <c r="O195" s="21" t="s">
        <v>4961</v>
      </c>
      <c r="Q195" s="21" t="s">
        <v>5434</v>
      </c>
      <c r="R195" s="21" t="s">
        <v>576</v>
      </c>
      <c r="W195" s="21" t="s">
        <v>1223</v>
      </c>
      <c r="X195" s="21" t="s">
        <v>1322</v>
      </c>
      <c r="Z195" s="21" t="s">
        <v>3766</v>
      </c>
    </row>
    <row r="196" spans="5:26" x14ac:dyDescent="0.25">
      <c r="E196" s="21" t="s">
        <v>1816</v>
      </c>
      <c r="I196" s="21" t="s">
        <v>4565</v>
      </c>
      <c r="J196" s="21" t="s">
        <v>4551</v>
      </c>
      <c r="K196" s="21" t="s">
        <v>755</v>
      </c>
      <c r="O196" s="21" t="s">
        <v>4833</v>
      </c>
      <c r="Q196" s="21" t="s">
        <v>4266</v>
      </c>
      <c r="R196" s="21" t="s">
        <v>2950</v>
      </c>
      <c r="W196" s="21" t="s">
        <v>2968</v>
      </c>
      <c r="X196" s="21" t="s">
        <v>5943</v>
      </c>
      <c r="Z196" s="21" t="s">
        <v>3599</v>
      </c>
    </row>
    <row r="197" spans="5:26" x14ac:dyDescent="0.25">
      <c r="E197" s="21" t="s">
        <v>4996</v>
      </c>
      <c r="I197" s="21" t="s">
        <v>4573</v>
      </c>
      <c r="J197" s="21" t="s">
        <v>4743</v>
      </c>
      <c r="K197" s="21" t="s">
        <v>731</v>
      </c>
      <c r="O197" s="21" t="s">
        <v>2063</v>
      </c>
      <c r="Q197" s="21" t="s">
        <v>1683</v>
      </c>
      <c r="R197" s="21" t="s">
        <v>3459</v>
      </c>
      <c r="W197" s="21" t="s">
        <v>1400</v>
      </c>
      <c r="X197" s="21" t="s">
        <v>1132</v>
      </c>
      <c r="Z197" s="21" t="s">
        <v>3779</v>
      </c>
    </row>
    <row r="198" spans="5:26" x14ac:dyDescent="0.25">
      <c r="E198" s="21" t="s">
        <v>1726</v>
      </c>
      <c r="I198" s="21" t="s">
        <v>2491</v>
      </c>
      <c r="J198" s="21" t="s">
        <v>4252</v>
      </c>
      <c r="K198" s="21" t="s">
        <v>2717</v>
      </c>
      <c r="O198" s="21" t="s">
        <v>2141</v>
      </c>
      <c r="Q198" s="21" t="s">
        <v>4571</v>
      </c>
      <c r="R198" s="21" t="s">
        <v>1314</v>
      </c>
      <c r="W198" s="21" t="s">
        <v>1448</v>
      </c>
      <c r="X198" s="21" t="s">
        <v>862</v>
      </c>
      <c r="Z198" s="21" t="s">
        <v>3644</v>
      </c>
    </row>
    <row r="199" spans="5:26" x14ac:dyDescent="0.25">
      <c r="E199" s="21" t="s">
        <v>4855</v>
      </c>
      <c r="I199" s="21" t="s">
        <v>2193</v>
      </c>
      <c r="J199" s="21" t="s">
        <v>3970</v>
      </c>
      <c r="K199" s="21" t="s">
        <v>2015</v>
      </c>
      <c r="O199" s="21" t="s">
        <v>4863</v>
      </c>
      <c r="Q199" s="21" t="s">
        <v>5309</v>
      </c>
      <c r="R199" s="21" t="s">
        <v>565</v>
      </c>
      <c r="W199" s="21" t="s">
        <v>1071</v>
      </c>
      <c r="X199" s="21" t="s">
        <v>1277</v>
      </c>
      <c r="Z199" s="21" t="s">
        <v>3732</v>
      </c>
    </row>
    <row r="200" spans="5:26" x14ac:dyDescent="0.25">
      <c r="E200" s="21" t="s">
        <v>1765</v>
      </c>
      <c r="I200" s="21" t="s">
        <v>2799</v>
      </c>
      <c r="J200" s="21" t="s">
        <v>4663</v>
      </c>
      <c r="K200" s="21" t="s">
        <v>767</v>
      </c>
      <c r="O200" s="21" t="s">
        <v>2493</v>
      </c>
      <c r="Q200" s="21" t="s">
        <v>5256</v>
      </c>
      <c r="R200" s="21" t="s">
        <v>3114</v>
      </c>
      <c r="W200" s="21" t="s">
        <v>1066</v>
      </c>
      <c r="X200" s="21" t="s">
        <v>308</v>
      </c>
      <c r="Z200" s="21" t="s">
        <v>3357</v>
      </c>
    </row>
    <row r="201" spans="5:26" x14ac:dyDescent="0.25">
      <c r="E201" s="21" t="s">
        <v>3240</v>
      </c>
      <c r="I201" s="21" t="s">
        <v>4527</v>
      </c>
      <c r="J201" s="21" t="s">
        <v>4632</v>
      </c>
      <c r="K201" s="21" t="s">
        <v>368</v>
      </c>
      <c r="O201" s="21" t="s">
        <v>2006</v>
      </c>
      <c r="Q201" s="21" t="s">
        <v>4664</v>
      </c>
      <c r="R201" s="21" t="s">
        <v>3028</v>
      </c>
      <c r="W201" s="21" t="s">
        <v>1414</v>
      </c>
      <c r="X201" s="21" t="s">
        <v>1371</v>
      </c>
      <c r="Z201" s="21" t="s">
        <v>3533</v>
      </c>
    </row>
    <row r="202" spans="5:26" x14ac:dyDescent="0.25">
      <c r="E202" s="21" t="s">
        <v>5011</v>
      </c>
      <c r="I202" s="21" t="s">
        <v>2584</v>
      </c>
      <c r="J202" s="21" t="s">
        <v>4595</v>
      </c>
      <c r="K202" s="21" t="s">
        <v>3321</v>
      </c>
      <c r="O202" s="21" t="s">
        <v>1941</v>
      </c>
      <c r="Q202" s="21" t="s">
        <v>5293</v>
      </c>
      <c r="R202" s="21" t="s">
        <v>304</v>
      </c>
      <c r="W202" s="21" t="s">
        <v>951</v>
      </c>
      <c r="X202" s="21" t="s">
        <v>283</v>
      </c>
      <c r="Z202" s="21" t="s">
        <v>2901</v>
      </c>
    </row>
    <row r="203" spans="5:26" x14ac:dyDescent="0.25">
      <c r="E203" s="21" t="s">
        <v>4947</v>
      </c>
      <c r="I203" s="21" t="s">
        <v>2679</v>
      </c>
      <c r="J203" s="21" t="s">
        <v>4570</v>
      </c>
      <c r="K203" s="21" t="s">
        <v>2787</v>
      </c>
      <c r="O203" s="21" t="s">
        <v>2167</v>
      </c>
      <c r="Q203" s="21" t="s">
        <v>5369</v>
      </c>
      <c r="R203" s="21" t="s">
        <v>1326</v>
      </c>
      <c r="W203" s="21" t="s">
        <v>2879</v>
      </c>
      <c r="X203" s="21" t="s">
        <v>960</v>
      </c>
      <c r="Z203" s="21" t="s">
        <v>3546</v>
      </c>
    </row>
    <row r="204" spans="5:26" x14ac:dyDescent="0.25">
      <c r="E204" s="21" t="s">
        <v>2219</v>
      </c>
      <c r="I204" s="21" t="s">
        <v>5400</v>
      </c>
      <c r="J204" s="21" t="s">
        <v>4642</v>
      </c>
      <c r="K204" s="21" t="s">
        <v>421</v>
      </c>
      <c r="O204" s="21" t="s">
        <v>2038</v>
      </c>
      <c r="Q204" s="21" t="s">
        <v>4532</v>
      </c>
      <c r="R204" s="21" t="s">
        <v>566</v>
      </c>
      <c r="W204" s="21" t="s">
        <v>1255</v>
      </c>
      <c r="X204" s="21" t="s">
        <v>1060</v>
      </c>
      <c r="Z204" s="21" t="s">
        <v>763</v>
      </c>
    </row>
    <row r="205" spans="5:26" x14ac:dyDescent="0.25">
      <c r="E205" s="21" t="s">
        <v>1784</v>
      </c>
      <c r="I205" s="21" t="s">
        <v>2670</v>
      </c>
      <c r="J205" s="21" t="s">
        <v>4723</v>
      </c>
      <c r="K205" s="21" t="s">
        <v>1737</v>
      </c>
      <c r="O205" s="21" t="s">
        <v>1989</v>
      </c>
      <c r="Q205" s="21" t="s">
        <v>5113</v>
      </c>
      <c r="R205" s="21" t="s">
        <v>571</v>
      </c>
      <c r="W205" s="21" t="s">
        <v>1125</v>
      </c>
      <c r="X205" s="21" t="s">
        <v>622</v>
      </c>
      <c r="Z205" s="21" t="s">
        <v>3666</v>
      </c>
    </row>
    <row r="206" spans="5:26" x14ac:dyDescent="0.25">
      <c r="E206" s="21" t="s">
        <v>5307</v>
      </c>
      <c r="I206" s="21" t="s">
        <v>673</v>
      </c>
      <c r="J206" s="21" t="s">
        <v>4656</v>
      </c>
      <c r="K206" s="21" t="s">
        <v>422</v>
      </c>
      <c r="O206" s="21" t="s">
        <v>3600</v>
      </c>
      <c r="Q206" s="21" t="s">
        <v>4471</v>
      </c>
      <c r="R206" s="21" t="s">
        <v>3236</v>
      </c>
      <c r="W206" s="21" t="s">
        <v>1252</v>
      </c>
      <c r="X206" s="21" t="s">
        <v>1151</v>
      </c>
      <c r="Z206" s="21" t="s">
        <v>3783</v>
      </c>
    </row>
    <row r="207" spans="5:26" x14ac:dyDescent="0.25">
      <c r="E207" s="21" t="s">
        <v>2754</v>
      </c>
      <c r="I207" s="21" t="s">
        <v>2334</v>
      </c>
      <c r="J207" s="21" t="s">
        <v>4492</v>
      </c>
      <c r="K207" s="21" t="s">
        <v>291</v>
      </c>
      <c r="O207" s="21" t="s">
        <v>4851</v>
      </c>
      <c r="Q207" s="21" t="s">
        <v>4765</v>
      </c>
      <c r="R207" s="21" t="s">
        <v>2977</v>
      </c>
      <c r="W207" s="21" t="s">
        <v>2919</v>
      </c>
      <c r="X207" s="21" t="s">
        <v>1290</v>
      </c>
      <c r="Z207" s="21" t="s">
        <v>2675</v>
      </c>
    </row>
    <row r="208" spans="5:26" x14ac:dyDescent="0.25">
      <c r="E208" s="21" t="s">
        <v>1743</v>
      </c>
      <c r="I208" s="21" t="s">
        <v>2803</v>
      </c>
      <c r="J208" s="21" t="s">
        <v>4718</v>
      </c>
      <c r="K208" s="21" t="s">
        <v>423</v>
      </c>
      <c r="O208" s="21" t="s">
        <v>2048</v>
      </c>
      <c r="Q208" s="21" t="s">
        <v>5401</v>
      </c>
      <c r="R208" s="21" t="s">
        <v>3090</v>
      </c>
      <c r="W208" s="21" t="s">
        <v>1488</v>
      </c>
      <c r="X208" s="21" t="s">
        <v>1015</v>
      </c>
      <c r="Z208" s="21" t="s">
        <v>5944</v>
      </c>
    </row>
    <row r="209" spans="5:26" x14ac:dyDescent="0.25">
      <c r="E209" s="21" t="s">
        <v>2147</v>
      </c>
      <c r="I209" s="21" t="s">
        <v>2634</v>
      </c>
      <c r="J209" s="21" t="s">
        <v>3958</v>
      </c>
      <c r="K209" s="21" t="s">
        <v>2821</v>
      </c>
      <c r="O209" s="21" t="s">
        <v>1140</v>
      </c>
      <c r="Q209" s="21" t="s">
        <v>5085</v>
      </c>
      <c r="R209" s="21" t="s">
        <v>3025</v>
      </c>
      <c r="W209" s="21" t="s">
        <v>978</v>
      </c>
      <c r="X209" s="21" t="s">
        <v>1087</v>
      </c>
      <c r="Z209" s="21" t="s">
        <v>3543</v>
      </c>
    </row>
    <row r="210" spans="5:26" x14ac:dyDescent="0.25">
      <c r="E210" s="21" t="s">
        <v>2029</v>
      </c>
      <c r="I210" s="21" t="s">
        <v>5245</v>
      </c>
      <c r="J210" s="21" t="s">
        <v>4127</v>
      </c>
      <c r="K210" s="21" t="s">
        <v>2652</v>
      </c>
      <c r="O210" s="21" t="s">
        <v>5945</v>
      </c>
      <c r="Q210" s="21" t="s">
        <v>5433</v>
      </c>
      <c r="R210" s="21" t="s">
        <v>3131</v>
      </c>
      <c r="W210" s="21" t="s">
        <v>1162</v>
      </c>
      <c r="X210" s="21" t="s">
        <v>5946</v>
      </c>
      <c r="Z210" s="21" t="s">
        <v>3633</v>
      </c>
    </row>
    <row r="211" spans="5:26" x14ac:dyDescent="0.25">
      <c r="E211" s="21" t="s">
        <v>2166</v>
      </c>
      <c r="I211" s="21" t="s">
        <v>2471</v>
      </c>
      <c r="J211" s="21" t="s">
        <v>3965</v>
      </c>
      <c r="K211" s="21" t="s">
        <v>783</v>
      </c>
      <c r="O211" s="21" t="s">
        <v>4420</v>
      </c>
      <c r="Q211" s="21" t="s">
        <v>5213</v>
      </c>
      <c r="R211" s="21" t="s">
        <v>3023</v>
      </c>
      <c r="W211" s="21" t="s">
        <v>3385</v>
      </c>
      <c r="X211" s="21" t="s">
        <v>1073</v>
      </c>
      <c r="Z211" s="21" t="s">
        <v>632</v>
      </c>
    </row>
    <row r="212" spans="5:26" x14ac:dyDescent="0.25">
      <c r="E212" s="21" t="s">
        <v>4902</v>
      </c>
      <c r="I212" s="21" t="s">
        <v>2715</v>
      </c>
      <c r="J212" s="21" t="s">
        <v>5188</v>
      </c>
      <c r="K212" s="21" t="s">
        <v>3271</v>
      </c>
      <c r="O212" s="21" t="s">
        <v>2107</v>
      </c>
      <c r="Q212" s="21" t="s">
        <v>4523</v>
      </c>
      <c r="R212" s="21" t="s">
        <v>3210</v>
      </c>
      <c r="W212" s="21" t="s">
        <v>1536</v>
      </c>
      <c r="X212" s="21" t="s">
        <v>1081</v>
      </c>
      <c r="Z212" s="21" t="s">
        <v>3448</v>
      </c>
    </row>
    <row r="213" spans="5:26" x14ac:dyDescent="0.25">
      <c r="E213" s="21" t="s">
        <v>1624</v>
      </c>
      <c r="I213" s="21" t="s">
        <v>2720</v>
      </c>
      <c r="J213" s="21" t="s">
        <v>4409</v>
      </c>
      <c r="K213" s="21" t="s">
        <v>2387</v>
      </c>
      <c r="O213" s="21" t="s">
        <v>5947</v>
      </c>
      <c r="Q213" s="21" t="s">
        <v>4373</v>
      </c>
      <c r="R213" s="21" t="s">
        <v>215</v>
      </c>
      <c r="W213" s="21" t="s">
        <v>1523</v>
      </c>
      <c r="X213" s="21" t="s">
        <v>1124</v>
      </c>
      <c r="Z213" s="21" t="s">
        <v>756</v>
      </c>
    </row>
    <row r="214" spans="5:26" x14ac:dyDescent="0.25">
      <c r="E214" s="21" t="s">
        <v>2983</v>
      </c>
      <c r="I214" s="21" t="s">
        <v>2625</v>
      </c>
      <c r="J214" s="21" t="s">
        <v>3383</v>
      </c>
      <c r="K214" s="21" t="s">
        <v>1769</v>
      </c>
      <c r="O214" s="21" t="s">
        <v>1866</v>
      </c>
      <c r="Q214" s="21" t="s">
        <v>5312</v>
      </c>
      <c r="R214" s="21" t="s">
        <v>2883</v>
      </c>
      <c r="W214" s="21" t="s">
        <v>1297</v>
      </c>
      <c r="X214" s="21" t="s">
        <v>936</v>
      </c>
      <c r="Z214" s="21" t="s">
        <v>3366</v>
      </c>
    </row>
    <row r="215" spans="5:26" x14ac:dyDescent="0.25">
      <c r="E215" s="21" t="s">
        <v>3218</v>
      </c>
      <c r="I215" s="21" t="s">
        <v>1287</v>
      </c>
      <c r="J215" s="21" t="s">
        <v>4549</v>
      </c>
      <c r="K215" s="21" t="s">
        <v>1929</v>
      </c>
      <c r="O215" s="21" t="s">
        <v>1076</v>
      </c>
      <c r="Q215" s="21" t="s">
        <v>4439</v>
      </c>
      <c r="R215" s="21" t="s">
        <v>573</v>
      </c>
      <c r="W215" s="21" t="s">
        <v>3068</v>
      </c>
      <c r="X215" s="21" t="s">
        <v>973</v>
      </c>
      <c r="Z215" s="21" t="s">
        <v>3051</v>
      </c>
    </row>
    <row r="216" spans="5:26" x14ac:dyDescent="0.25">
      <c r="E216" s="21" t="s">
        <v>1732</v>
      </c>
      <c r="I216" s="21" t="s">
        <v>2704</v>
      </c>
      <c r="J216" s="21" t="s">
        <v>4461</v>
      </c>
      <c r="K216" s="21" t="s">
        <v>2517</v>
      </c>
      <c r="O216" s="21" t="s">
        <v>1800</v>
      </c>
      <c r="Q216" s="21" t="s">
        <v>5444</v>
      </c>
      <c r="R216" s="21" t="s">
        <v>306</v>
      </c>
      <c r="W216" s="21" t="s">
        <v>961</v>
      </c>
      <c r="X216" s="21" t="s">
        <v>1319</v>
      </c>
      <c r="Z216" s="21" t="s">
        <v>343</v>
      </c>
    </row>
    <row r="217" spans="5:26" x14ac:dyDescent="0.25">
      <c r="E217" s="21" t="s">
        <v>1910</v>
      </c>
      <c r="I217" s="21" t="s">
        <v>2756</v>
      </c>
      <c r="J217" s="21" t="s">
        <v>4537</v>
      </c>
      <c r="K217" s="21" t="s">
        <v>3309</v>
      </c>
      <c r="O217" s="21" t="s">
        <v>1939</v>
      </c>
      <c r="Q217" s="21" t="s">
        <v>4733</v>
      </c>
      <c r="R217" s="21" t="s">
        <v>2981</v>
      </c>
      <c r="W217" s="21" t="s">
        <v>264</v>
      </c>
      <c r="X217" s="21" t="s">
        <v>1339</v>
      </c>
      <c r="Z217" s="21" t="s">
        <v>3498</v>
      </c>
    </row>
    <row r="218" spans="5:26" x14ac:dyDescent="0.25">
      <c r="E218" s="21" t="s">
        <v>1922</v>
      </c>
      <c r="I218" s="21" t="s">
        <v>5948</v>
      </c>
      <c r="J218" s="21" t="s">
        <v>4382</v>
      </c>
      <c r="K218" s="21" t="s">
        <v>424</v>
      </c>
      <c r="O218" s="21" t="s">
        <v>1245</v>
      </c>
      <c r="Q218" s="21" t="s">
        <v>4582</v>
      </c>
      <c r="R218" s="21" t="s">
        <v>3414</v>
      </c>
      <c r="W218" s="21" t="s">
        <v>1455</v>
      </c>
      <c r="X218" s="21" t="s">
        <v>1041</v>
      </c>
      <c r="Z218" s="21" t="s">
        <v>3740</v>
      </c>
    </row>
    <row r="219" spans="5:26" x14ac:dyDescent="0.25">
      <c r="E219" s="21" t="s">
        <v>4998</v>
      </c>
      <c r="I219" s="21" t="s">
        <v>2726</v>
      </c>
      <c r="K219" s="21" t="s">
        <v>2524</v>
      </c>
      <c r="O219" s="21" t="s">
        <v>4314</v>
      </c>
      <c r="Q219" s="21" t="s">
        <v>5023</v>
      </c>
      <c r="R219" s="21" t="s">
        <v>2885</v>
      </c>
      <c r="W219" s="21" t="s">
        <v>1031</v>
      </c>
      <c r="X219" s="21" t="s">
        <v>1084</v>
      </c>
      <c r="Z219" s="21" t="s">
        <v>3794</v>
      </c>
    </row>
    <row r="220" spans="5:26" x14ac:dyDescent="0.25">
      <c r="E220" s="21" t="s">
        <v>1615</v>
      </c>
      <c r="I220" s="21" t="s">
        <v>2843</v>
      </c>
      <c r="K220" s="21" t="s">
        <v>425</v>
      </c>
      <c r="O220" s="21" t="s">
        <v>2760</v>
      </c>
      <c r="Q220" s="21" t="s">
        <v>5334</v>
      </c>
      <c r="R220" s="21" t="s">
        <v>557</v>
      </c>
      <c r="W220" s="21" t="s">
        <v>1153</v>
      </c>
      <c r="X220" s="21" t="s">
        <v>344</v>
      </c>
      <c r="Z220" s="21" t="s">
        <v>3540</v>
      </c>
    </row>
    <row r="221" spans="5:26" x14ac:dyDescent="0.25">
      <c r="E221" s="21" t="s">
        <v>2384</v>
      </c>
      <c r="I221" s="21" t="s">
        <v>4901</v>
      </c>
      <c r="K221" s="21" t="s">
        <v>2178</v>
      </c>
      <c r="O221" s="21" t="s">
        <v>4327</v>
      </c>
      <c r="Q221" s="21" t="s">
        <v>5441</v>
      </c>
      <c r="R221" s="21" t="s">
        <v>3064</v>
      </c>
      <c r="W221" s="21" t="s">
        <v>1349</v>
      </c>
      <c r="X221" s="21" t="s">
        <v>900</v>
      </c>
      <c r="Z221" s="21" t="s">
        <v>3606</v>
      </c>
    </row>
    <row r="222" spans="5:26" x14ac:dyDescent="0.25">
      <c r="E222" s="21" t="s">
        <v>1773</v>
      </c>
      <c r="I222" s="21" t="s">
        <v>2669</v>
      </c>
      <c r="K222" s="21" t="s">
        <v>1837</v>
      </c>
      <c r="O222" s="21" t="s">
        <v>4340</v>
      </c>
      <c r="Q222" s="21" t="s">
        <v>5407</v>
      </c>
      <c r="R222" s="21" t="s">
        <v>3398</v>
      </c>
      <c r="W222" s="21" t="s">
        <v>812</v>
      </c>
      <c r="X222" s="21" t="s">
        <v>1219</v>
      </c>
      <c r="Z222" s="21" t="s">
        <v>3354</v>
      </c>
    </row>
    <row r="223" spans="5:26" x14ac:dyDescent="0.25">
      <c r="E223" s="21" t="s">
        <v>624</v>
      </c>
      <c r="I223" s="21" t="s">
        <v>2711</v>
      </c>
      <c r="K223" s="21" t="s">
        <v>354</v>
      </c>
      <c r="O223" s="21" t="s">
        <v>4321</v>
      </c>
      <c r="Q223" s="21" t="s">
        <v>5296</v>
      </c>
      <c r="R223" s="21" t="s">
        <v>3036</v>
      </c>
      <c r="W223" s="21" t="s">
        <v>1220</v>
      </c>
      <c r="X223" s="21" t="s">
        <v>966</v>
      </c>
      <c r="Z223" s="21" t="s">
        <v>3831</v>
      </c>
    </row>
    <row r="224" spans="5:26" x14ac:dyDescent="0.25">
      <c r="E224" s="21" t="s">
        <v>1696</v>
      </c>
      <c r="I224" s="21" t="s">
        <v>2692</v>
      </c>
      <c r="K224" s="21" t="s">
        <v>1714</v>
      </c>
      <c r="O224" s="21" t="s">
        <v>1980</v>
      </c>
      <c r="Q224" s="21" t="s">
        <v>5262</v>
      </c>
      <c r="R224" s="21" t="s">
        <v>2986</v>
      </c>
      <c r="W224" s="21" t="s">
        <v>1336</v>
      </c>
      <c r="X224" s="21" t="s">
        <v>1418</v>
      </c>
      <c r="Z224" s="21" t="s">
        <v>843</v>
      </c>
    </row>
    <row r="225" spans="5:26" x14ac:dyDescent="0.25">
      <c r="E225" s="21" t="s">
        <v>1877</v>
      </c>
      <c r="I225" s="21" t="s">
        <v>2543</v>
      </c>
      <c r="K225" s="21" t="s">
        <v>2120</v>
      </c>
      <c r="Q225" s="21" t="s">
        <v>5419</v>
      </c>
      <c r="R225" s="21" t="s">
        <v>3561</v>
      </c>
      <c r="W225" s="21" t="s">
        <v>908</v>
      </c>
      <c r="X225" s="21" t="s">
        <v>1196</v>
      </c>
      <c r="Z225" s="21" t="s">
        <v>2539</v>
      </c>
    </row>
    <row r="226" spans="5:26" x14ac:dyDescent="0.25">
      <c r="E226" s="21" t="s">
        <v>1744</v>
      </c>
      <c r="I226" s="21" t="s">
        <v>2837</v>
      </c>
      <c r="K226" s="21" t="s">
        <v>2459</v>
      </c>
      <c r="R226" s="21" t="s">
        <v>3387</v>
      </c>
      <c r="W226" s="21" t="s">
        <v>1345</v>
      </c>
      <c r="X226" s="21" t="s">
        <v>1112</v>
      </c>
      <c r="Z226" s="21" t="s">
        <v>3510</v>
      </c>
    </row>
    <row r="227" spans="5:26" x14ac:dyDescent="0.25">
      <c r="E227" s="21" t="s">
        <v>1759</v>
      </c>
      <c r="I227" s="21" t="s">
        <v>2831</v>
      </c>
      <c r="K227" s="21" t="s">
        <v>426</v>
      </c>
      <c r="R227" s="21" t="s">
        <v>3040</v>
      </c>
      <c r="W227" s="21" t="s">
        <v>1285</v>
      </c>
      <c r="X227" s="21" t="s">
        <v>1274</v>
      </c>
      <c r="Z227" s="21" t="s">
        <v>1589</v>
      </c>
    </row>
    <row r="228" spans="5:26" x14ac:dyDescent="0.25">
      <c r="E228" s="21" t="s">
        <v>1865</v>
      </c>
      <c r="I228" s="21" t="s">
        <v>2059</v>
      </c>
      <c r="K228" s="21" t="s">
        <v>808</v>
      </c>
      <c r="R228" s="21" t="s">
        <v>3122</v>
      </c>
      <c r="W228" s="21" t="s">
        <v>1449</v>
      </c>
      <c r="X228" s="21" t="s">
        <v>904</v>
      </c>
      <c r="Z228" s="21" t="s">
        <v>3672</v>
      </c>
    </row>
    <row r="229" spans="5:26" x14ac:dyDescent="0.25">
      <c r="E229" s="21" t="s">
        <v>1776</v>
      </c>
      <c r="I229" s="21" t="s">
        <v>5949</v>
      </c>
      <c r="K229" s="21" t="s">
        <v>427</v>
      </c>
      <c r="R229" s="21" t="s">
        <v>3172</v>
      </c>
      <c r="W229" s="21" t="s">
        <v>1422</v>
      </c>
      <c r="X229" s="21" t="s">
        <v>1321</v>
      </c>
      <c r="Z229" s="21" t="s">
        <v>1582</v>
      </c>
    </row>
    <row r="230" spans="5:26" x14ac:dyDescent="0.25">
      <c r="E230" s="21" t="s">
        <v>3225</v>
      </c>
      <c r="I230" s="21" t="s">
        <v>2661</v>
      </c>
      <c r="K230" s="21" t="s">
        <v>2614</v>
      </c>
      <c r="R230" s="21" t="s">
        <v>3433</v>
      </c>
      <c r="W230" s="21" t="s">
        <v>997</v>
      </c>
      <c r="X230" s="21" t="s">
        <v>1148</v>
      </c>
      <c r="Z230" s="21" t="s">
        <v>3586</v>
      </c>
    </row>
    <row r="231" spans="5:26" x14ac:dyDescent="0.25">
      <c r="E231" s="21" t="s">
        <v>2492</v>
      </c>
      <c r="I231" s="21" t="s">
        <v>2164</v>
      </c>
      <c r="K231" s="21" t="s">
        <v>701</v>
      </c>
      <c r="R231" s="21" t="s">
        <v>3010</v>
      </c>
      <c r="W231" s="21" t="s">
        <v>1137</v>
      </c>
      <c r="X231" s="21" t="s">
        <v>1366</v>
      </c>
      <c r="Z231" s="21" t="s">
        <v>3751</v>
      </c>
    </row>
    <row r="232" spans="5:26" x14ac:dyDescent="0.25">
      <c r="E232" s="21" t="s">
        <v>3900</v>
      </c>
      <c r="I232" s="21" t="s">
        <v>2520</v>
      </c>
      <c r="K232" s="21" t="s">
        <v>1686</v>
      </c>
      <c r="R232" s="21" t="s">
        <v>3141</v>
      </c>
      <c r="W232" s="21" t="s">
        <v>1363</v>
      </c>
      <c r="X232" s="21" t="s">
        <v>1505</v>
      </c>
      <c r="Z232" s="21" t="s">
        <v>3453</v>
      </c>
    </row>
    <row r="233" spans="5:26" x14ac:dyDescent="0.25">
      <c r="E233" s="21" t="s">
        <v>4967</v>
      </c>
      <c r="I233" s="21" t="s">
        <v>2404</v>
      </c>
      <c r="K233" s="21" t="s">
        <v>2540</v>
      </c>
      <c r="R233" s="21" t="s">
        <v>2582</v>
      </c>
      <c r="W233" s="21" t="s">
        <v>1228</v>
      </c>
      <c r="X233" s="21" t="s">
        <v>901</v>
      </c>
      <c r="Z233" s="21" t="s">
        <v>3646</v>
      </c>
    </row>
    <row r="234" spans="5:26" x14ac:dyDescent="0.25">
      <c r="E234" s="21" t="s">
        <v>1771</v>
      </c>
      <c r="I234" s="21" t="s">
        <v>2516</v>
      </c>
      <c r="K234" s="21" t="s">
        <v>2653</v>
      </c>
      <c r="R234" s="21" t="s">
        <v>564</v>
      </c>
      <c r="W234" s="21" t="s">
        <v>1147</v>
      </c>
      <c r="X234" s="21" t="s">
        <v>1204</v>
      </c>
      <c r="Z234" s="21" t="s">
        <v>712</v>
      </c>
    </row>
    <row r="235" spans="5:26" x14ac:dyDescent="0.25">
      <c r="E235" s="21" t="s">
        <v>2417</v>
      </c>
      <c r="I235" s="21" t="s">
        <v>5308</v>
      </c>
      <c r="K235" s="21" t="s">
        <v>364</v>
      </c>
      <c r="R235" s="21" t="s">
        <v>3043</v>
      </c>
      <c r="W235" s="21" t="s">
        <v>1221</v>
      </c>
      <c r="X235" s="21" t="s">
        <v>1289</v>
      </c>
      <c r="Z235" s="21" t="s">
        <v>3268</v>
      </c>
    </row>
    <row r="236" spans="5:26" x14ac:dyDescent="0.25">
      <c r="E236" s="21" t="s">
        <v>5950</v>
      </c>
      <c r="I236" s="21" t="s">
        <v>2721</v>
      </c>
      <c r="K236" s="21" t="s">
        <v>707</v>
      </c>
      <c r="R236" s="21" t="s">
        <v>1514</v>
      </c>
      <c r="W236" s="21" t="s">
        <v>1492</v>
      </c>
      <c r="X236" s="21" t="s">
        <v>999</v>
      </c>
      <c r="Z236" s="21" t="s">
        <v>3269</v>
      </c>
    </row>
    <row r="237" spans="5:26" x14ac:dyDescent="0.25">
      <c r="E237" s="21" t="s">
        <v>2103</v>
      </c>
      <c r="I237" s="21" t="s">
        <v>2571</v>
      </c>
      <c r="K237" s="21" t="s">
        <v>2674</v>
      </c>
      <c r="R237" s="21" t="s">
        <v>2028</v>
      </c>
      <c r="W237" s="21" t="s">
        <v>1028</v>
      </c>
      <c r="X237" s="21" t="s">
        <v>919</v>
      </c>
      <c r="Z237" s="21" t="s">
        <v>3617</v>
      </c>
    </row>
    <row r="238" spans="5:26" x14ac:dyDescent="0.25">
      <c r="E238" s="21" t="s">
        <v>1871</v>
      </c>
      <c r="I238" s="21" t="s">
        <v>5951</v>
      </c>
      <c r="K238" s="21" t="s">
        <v>3568</v>
      </c>
      <c r="R238" s="21" t="s">
        <v>590</v>
      </c>
      <c r="W238" s="21" t="s">
        <v>1052</v>
      </c>
      <c r="X238" s="21" t="s">
        <v>1048</v>
      </c>
      <c r="Z238" s="21" t="s">
        <v>2813</v>
      </c>
    </row>
    <row r="239" spans="5:26" x14ac:dyDescent="0.25">
      <c r="E239" s="21" t="s">
        <v>2514</v>
      </c>
      <c r="I239" s="21" t="s">
        <v>2494</v>
      </c>
      <c r="K239" s="21" t="s">
        <v>3487</v>
      </c>
      <c r="R239" s="21" t="s">
        <v>3129</v>
      </c>
      <c r="W239" s="21" t="s">
        <v>5952</v>
      </c>
      <c r="X239" s="21" t="s">
        <v>528</v>
      </c>
      <c r="Z239" s="21" t="s">
        <v>845</v>
      </c>
    </row>
    <row r="240" spans="5:26" x14ac:dyDescent="0.25">
      <c r="E240" s="21" t="s">
        <v>5118</v>
      </c>
      <c r="I240" s="21" t="s">
        <v>2688</v>
      </c>
      <c r="K240" s="21" t="s">
        <v>428</v>
      </c>
      <c r="R240" s="21" t="s">
        <v>2976</v>
      </c>
      <c r="W240" s="21" t="s">
        <v>297</v>
      </c>
      <c r="X240" s="21" t="s">
        <v>895</v>
      </c>
      <c r="Z240" s="21" t="s">
        <v>3317</v>
      </c>
    </row>
    <row r="241" spans="5:26" x14ac:dyDescent="0.25">
      <c r="E241" s="21" t="s">
        <v>4871</v>
      </c>
      <c r="I241" s="21" t="s">
        <v>2723</v>
      </c>
      <c r="K241" s="21" t="s">
        <v>429</v>
      </c>
      <c r="R241" s="21" t="s">
        <v>2908</v>
      </c>
      <c r="W241" s="21" t="s">
        <v>1086</v>
      </c>
      <c r="X241" s="21" t="s">
        <v>916</v>
      </c>
      <c r="Z241" s="21" t="s">
        <v>3372</v>
      </c>
    </row>
    <row r="242" spans="5:26" x14ac:dyDescent="0.25">
      <c r="E242" s="21" t="s">
        <v>2245</v>
      </c>
      <c r="I242" s="21" t="s">
        <v>2564</v>
      </c>
      <c r="K242" s="21" t="s">
        <v>326</v>
      </c>
      <c r="R242" s="21" t="s">
        <v>3186</v>
      </c>
      <c r="W242" s="21" t="s">
        <v>1543</v>
      </c>
      <c r="X242" s="21" t="s">
        <v>540</v>
      </c>
      <c r="Z242" s="21" t="s">
        <v>3818</v>
      </c>
    </row>
    <row r="243" spans="5:26" x14ac:dyDescent="0.25">
      <c r="E243" s="21" t="s">
        <v>4888</v>
      </c>
      <c r="I243" s="21" t="s">
        <v>3144</v>
      </c>
      <c r="K243" s="21" t="s">
        <v>430</v>
      </c>
      <c r="R243" s="21" t="s">
        <v>2985</v>
      </c>
      <c r="W243" s="21" t="s">
        <v>955</v>
      </c>
      <c r="X243" s="21" t="s">
        <v>1075</v>
      </c>
      <c r="Z243" s="21" t="s">
        <v>5953</v>
      </c>
    </row>
    <row r="244" spans="5:26" x14ac:dyDescent="0.25">
      <c r="E244" s="21" t="s">
        <v>2037</v>
      </c>
      <c r="I244" s="21" t="s">
        <v>2801</v>
      </c>
      <c r="K244" s="21" t="s">
        <v>1662</v>
      </c>
      <c r="R244" s="21" t="s">
        <v>371</v>
      </c>
      <c r="W244" s="21" t="s">
        <v>1265</v>
      </c>
      <c r="X244" s="21" t="s">
        <v>1287</v>
      </c>
      <c r="Z244" s="21" t="s">
        <v>1559</v>
      </c>
    </row>
    <row r="245" spans="5:26" x14ac:dyDescent="0.25">
      <c r="E245" s="21" t="s">
        <v>5345</v>
      </c>
      <c r="I245" s="21" t="s">
        <v>2519</v>
      </c>
      <c r="K245" s="21" t="s">
        <v>3290</v>
      </c>
      <c r="R245" s="21" t="s">
        <v>2958</v>
      </c>
      <c r="W245" s="21" t="s">
        <v>1065</v>
      </c>
      <c r="X245" s="21" t="s">
        <v>1013</v>
      </c>
      <c r="Z245" s="21" t="s">
        <v>800</v>
      </c>
    </row>
    <row r="246" spans="5:26" x14ac:dyDescent="0.25">
      <c r="E246" s="21" t="s">
        <v>2010</v>
      </c>
      <c r="I246" s="21" t="s">
        <v>2131</v>
      </c>
      <c r="K246" s="21" t="s">
        <v>3229</v>
      </c>
      <c r="R246" s="21" t="s">
        <v>3138</v>
      </c>
      <c r="W246" s="21" t="s">
        <v>1429</v>
      </c>
      <c r="X246" s="21" t="s">
        <v>1083</v>
      </c>
      <c r="Z246" s="21" t="s">
        <v>3651</v>
      </c>
    </row>
    <row r="247" spans="5:26" x14ac:dyDescent="0.25">
      <c r="E247" s="21" t="s">
        <v>2270</v>
      </c>
      <c r="I247" s="21" t="s">
        <v>2818</v>
      </c>
      <c r="K247" s="21" t="s">
        <v>1702</v>
      </c>
      <c r="R247" s="21" t="s">
        <v>3118</v>
      </c>
      <c r="W247" s="21" t="s">
        <v>925</v>
      </c>
      <c r="X247" s="21" t="s">
        <v>2875</v>
      </c>
      <c r="Z247" s="21" t="s">
        <v>3566</v>
      </c>
    </row>
    <row r="248" spans="5:26" x14ac:dyDescent="0.25">
      <c r="E248" s="21" t="s">
        <v>5338</v>
      </c>
      <c r="K248" s="21" t="s">
        <v>3227</v>
      </c>
      <c r="R248" s="21" t="s">
        <v>2974</v>
      </c>
      <c r="W248" s="21" t="s">
        <v>543</v>
      </c>
      <c r="X248" s="21" t="s">
        <v>3400</v>
      </c>
      <c r="Z248" s="21" t="s">
        <v>3650</v>
      </c>
    </row>
    <row r="249" spans="5:26" x14ac:dyDescent="0.25">
      <c r="E249" s="21" t="s">
        <v>2233</v>
      </c>
      <c r="K249" s="21" t="s">
        <v>3648</v>
      </c>
      <c r="R249" s="21" t="s">
        <v>3157</v>
      </c>
      <c r="W249" s="21" t="s">
        <v>1233</v>
      </c>
      <c r="X249" s="21" t="s">
        <v>1167</v>
      </c>
      <c r="Z249" s="21" t="s">
        <v>3491</v>
      </c>
    </row>
    <row r="250" spans="5:26" x14ac:dyDescent="0.25">
      <c r="E250" s="21" t="s">
        <v>4918</v>
      </c>
      <c r="K250" s="21" t="s">
        <v>2554</v>
      </c>
      <c r="R250" s="21" t="s">
        <v>1438</v>
      </c>
      <c r="W250" s="21" t="s">
        <v>1404</v>
      </c>
      <c r="X250" s="21" t="s">
        <v>316</v>
      </c>
      <c r="Z250" s="21" t="s">
        <v>3551</v>
      </c>
    </row>
    <row r="251" spans="5:26" x14ac:dyDescent="0.25">
      <c r="E251" s="21" t="s">
        <v>4823</v>
      </c>
      <c r="K251" s="21" t="s">
        <v>431</v>
      </c>
      <c r="R251" s="21" t="s">
        <v>596</v>
      </c>
      <c r="W251" s="21" t="s">
        <v>1118</v>
      </c>
      <c r="X251" s="21" t="s">
        <v>298</v>
      </c>
      <c r="Z251" s="21" t="s">
        <v>3590</v>
      </c>
    </row>
    <row r="252" spans="5:26" x14ac:dyDescent="0.25">
      <c r="E252" s="21" t="s">
        <v>5141</v>
      </c>
      <c r="K252" s="21" t="s">
        <v>1898</v>
      </c>
      <c r="R252" s="21" t="s">
        <v>318</v>
      </c>
      <c r="W252" s="21" t="s">
        <v>1230</v>
      </c>
      <c r="X252" s="21" t="s">
        <v>1099</v>
      </c>
      <c r="Z252" s="21" t="s">
        <v>1573</v>
      </c>
    </row>
    <row r="253" spans="5:26" x14ac:dyDescent="0.25">
      <c r="E253" s="21" t="s">
        <v>1629</v>
      </c>
      <c r="K253" s="21" t="s">
        <v>2449</v>
      </c>
      <c r="R253" s="21" t="s">
        <v>3119</v>
      </c>
      <c r="W253" s="21" t="s">
        <v>2916</v>
      </c>
      <c r="X253" s="21" t="s">
        <v>930</v>
      </c>
      <c r="Z253" s="21" t="s">
        <v>844</v>
      </c>
    </row>
    <row r="254" spans="5:26" x14ac:dyDescent="0.25">
      <c r="E254" s="21" t="s">
        <v>4830</v>
      </c>
      <c r="K254" s="21" t="s">
        <v>2338</v>
      </c>
      <c r="R254" s="21" t="s">
        <v>3409</v>
      </c>
      <c r="W254" s="21" t="s">
        <v>1442</v>
      </c>
      <c r="X254" s="21" t="s">
        <v>920</v>
      </c>
      <c r="Z254" s="21" t="s">
        <v>3724</v>
      </c>
    </row>
    <row r="255" spans="5:26" x14ac:dyDescent="0.25">
      <c r="E255" s="21" t="s">
        <v>2451</v>
      </c>
      <c r="K255" s="21" t="s">
        <v>3500</v>
      </c>
      <c r="R255" s="21" t="s">
        <v>3060</v>
      </c>
      <c r="W255" s="21" t="s">
        <v>1040</v>
      </c>
      <c r="X255" s="21" t="s">
        <v>1356</v>
      </c>
      <c r="Z255" s="21" t="s">
        <v>3333</v>
      </c>
    </row>
    <row r="256" spans="5:26" x14ac:dyDescent="0.25">
      <c r="E256" s="21" t="s">
        <v>1700</v>
      </c>
      <c r="K256" s="21" t="s">
        <v>301</v>
      </c>
      <c r="R256" s="21" t="s">
        <v>2874</v>
      </c>
      <c r="W256" s="21" t="s">
        <v>1459</v>
      </c>
      <c r="X256" s="21" t="s">
        <v>906</v>
      </c>
      <c r="Z256" s="21" t="s">
        <v>3299</v>
      </c>
    </row>
    <row r="257" spans="5:26" x14ac:dyDescent="0.25">
      <c r="E257" s="21" t="s">
        <v>2109</v>
      </c>
      <c r="K257" s="21" t="s">
        <v>774</v>
      </c>
      <c r="R257" s="21" t="s">
        <v>3266</v>
      </c>
      <c r="W257" s="21" t="s">
        <v>1302</v>
      </c>
      <c r="X257" s="21" t="s">
        <v>1054</v>
      </c>
      <c r="Z257" s="21" t="s">
        <v>3708</v>
      </c>
    </row>
    <row r="258" spans="5:26" x14ac:dyDescent="0.25">
      <c r="E258" s="21" t="s">
        <v>2231</v>
      </c>
      <c r="K258" s="21" t="s">
        <v>5954</v>
      </c>
      <c r="R258" s="21" t="s">
        <v>2922</v>
      </c>
      <c r="W258" s="21" t="s">
        <v>1328</v>
      </c>
      <c r="X258" s="21" t="s">
        <v>5955</v>
      </c>
      <c r="Z258" s="21" t="s">
        <v>535</v>
      </c>
    </row>
    <row r="259" spans="5:26" x14ac:dyDescent="0.25">
      <c r="E259" s="21" t="s">
        <v>2077</v>
      </c>
      <c r="K259" s="21" t="s">
        <v>432</v>
      </c>
      <c r="R259" s="21" t="s">
        <v>3033</v>
      </c>
      <c r="W259" s="21" t="s">
        <v>1079</v>
      </c>
      <c r="X259" s="21" t="s">
        <v>1055</v>
      </c>
      <c r="Z259" s="21" t="s">
        <v>1577</v>
      </c>
    </row>
    <row r="260" spans="5:26" x14ac:dyDescent="0.25">
      <c r="E260" s="21" t="s">
        <v>2226</v>
      </c>
      <c r="K260" s="21" t="s">
        <v>3177</v>
      </c>
      <c r="R260" s="21" t="s">
        <v>608</v>
      </c>
      <c r="W260" s="21" t="s">
        <v>1298</v>
      </c>
      <c r="X260" s="21" t="s">
        <v>1350</v>
      </c>
      <c r="Z260" s="21" t="s">
        <v>536</v>
      </c>
    </row>
    <row r="261" spans="5:26" x14ac:dyDescent="0.25">
      <c r="E261" s="21" t="s">
        <v>5290</v>
      </c>
      <c r="K261" s="21" t="s">
        <v>2183</v>
      </c>
      <c r="R261" s="21" t="s">
        <v>1296</v>
      </c>
      <c r="W261" s="21" t="s">
        <v>1051</v>
      </c>
      <c r="X261" s="21" t="s">
        <v>286</v>
      </c>
      <c r="Z261" s="21" t="s">
        <v>667</v>
      </c>
    </row>
    <row r="262" spans="5:26" x14ac:dyDescent="0.25">
      <c r="E262" s="21" t="s">
        <v>5354</v>
      </c>
      <c r="K262" s="21" t="s">
        <v>3284</v>
      </c>
      <c r="R262" s="21" t="s">
        <v>1286</v>
      </c>
      <c r="W262" s="21" t="s">
        <v>1089</v>
      </c>
      <c r="X262" s="21" t="s">
        <v>2898</v>
      </c>
      <c r="Z262" s="21" t="s">
        <v>3337</v>
      </c>
    </row>
    <row r="263" spans="5:26" x14ac:dyDescent="0.25">
      <c r="E263" s="21" t="s">
        <v>1864</v>
      </c>
      <c r="K263" s="21" t="s">
        <v>3197</v>
      </c>
      <c r="R263" s="21" t="s">
        <v>3004</v>
      </c>
      <c r="W263" s="21" t="s">
        <v>992</v>
      </c>
      <c r="X263" s="21" t="s">
        <v>957</v>
      </c>
      <c r="Z263" s="21" t="s">
        <v>743</v>
      </c>
    </row>
    <row r="264" spans="5:26" x14ac:dyDescent="0.25">
      <c r="E264" s="21" t="s">
        <v>1698</v>
      </c>
      <c r="K264" s="21" t="s">
        <v>2416</v>
      </c>
      <c r="R264" s="21" t="s">
        <v>3393</v>
      </c>
      <c r="W264" s="21" t="s">
        <v>1043</v>
      </c>
      <c r="X264" s="21" t="s">
        <v>320</v>
      </c>
      <c r="Z264" s="21" t="s">
        <v>3731</v>
      </c>
    </row>
    <row r="265" spans="5:26" x14ac:dyDescent="0.25">
      <c r="E265" s="21" t="s">
        <v>2276</v>
      </c>
      <c r="K265" s="21" t="s">
        <v>3281</v>
      </c>
      <c r="R265" s="21" t="s">
        <v>3399</v>
      </c>
      <c r="W265" s="21" t="s">
        <v>1111</v>
      </c>
      <c r="X265" s="21" t="s">
        <v>1218</v>
      </c>
      <c r="Z265" s="21" t="s">
        <v>1566</v>
      </c>
    </row>
    <row r="266" spans="5:26" x14ac:dyDescent="0.25">
      <c r="E266" s="21" t="s">
        <v>1599</v>
      </c>
      <c r="K266" s="21" t="s">
        <v>766</v>
      </c>
      <c r="R266" s="21" t="s">
        <v>5956</v>
      </c>
      <c r="W266" s="21" t="s">
        <v>1246</v>
      </c>
      <c r="X266" s="21" t="s">
        <v>935</v>
      </c>
      <c r="Z266" s="21" t="s">
        <v>3288</v>
      </c>
    </row>
    <row r="267" spans="5:26" x14ac:dyDescent="0.25">
      <c r="E267" s="21" t="s">
        <v>2265</v>
      </c>
      <c r="K267" s="21" t="s">
        <v>2348</v>
      </c>
      <c r="R267" s="21" t="s">
        <v>517</v>
      </c>
      <c r="W267" s="21" t="s">
        <v>942</v>
      </c>
      <c r="X267" s="21" t="s">
        <v>947</v>
      </c>
      <c r="Z267" s="21" t="s">
        <v>3332</v>
      </c>
    </row>
    <row r="268" spans="5:26" x14ac:dyDescent="0.25">
      <c r="E268" s="21" t="s">
        <v>1983</v>
      </c>
      <c r="K268" s="21" t="s">
        <v>1944</v>
      </c>
      <c r="R268" s="21" t="s">
        <v>293</v>
      </c>
      <c r="W268" s="21" t="s">
        <v>1082</v>
      </c>
      <c r="X268" s="21" t="s">
        <v>1261</v>
      </c>
      <c r="Z268" s="21" t="s">
        <v>626</v>
      </c>
    </row>
    <row r="269" spans="5:26" x14ac:dyDescent="0.25">
      <c r="E269" s="21" t="s">
        <v>1844</v>
      </c>
      <c r="K269" s="21" t="s">
        <v>1821</v>
      </c>
      <c r="R269" s="21" t="s">
        <v>1362</v>
      </c>
      <c r="W269" s="21" t="s">
        <v>1033</v>
      </c>
      <c r="X269" s="21" t="s">
        <v>981</v>
      </c>
      <c r="Z269" s="21" t="s">
        <v>662</v>
      </c>
    </row>
    <row r="270" spans="5:26" x14ac:dyDescent="0.25">
      <c r="E270" s="21" t="s">
        <v>5253</v>
      </c>
      <c r="K270" s="21" t="s">
        <v>433</v>
      </c>
      <c r="R270" s="21" t="s">
        <v>357</v>
      </c>
      <c r="W270" s="21" t="s">
        <v>1044</v>
      </c>
      <c r="X270" s="21" t="s">
        <v>1131</v>
      </c>
      <c r="Z270" s="21" t="s">
        <v>3636</v>
      </c>
    </row>
    <row r="271" spans="5:26" x14ac:dyDescent="0.25">
      <c r="E271" s="21" t="s">
        <v>4955</v>
      </c>
      <c r="K271" s="21" t="s">
        <v>3132</v>
      </c>
      <c r="R271" s="21" t="s">
        <v>628</v>
      </c>
      <c r="W271" s="21" t="s">
        <v>1415</v>
      </c>
      <c r="X271" s="21" t="s">
        <v>328</v>
      </c>
      <c r="Z271" s="21" t="s">
        <v>876</v>
      </c>
    </row>
    <row r="272" spans="5:26" x14ac:dyDescent="0.25">
      <c r="E272" s="21" t="s">
        <v>1731</v>
      </c>
      <c r="K272" s="21" t="s">
        <v>3614</v>
      </c>
      <c r="R272" s="21" t="s">
        <v>518</v>
      </c>
      <c r="W272" s="21" t="s">
        <v>1316</v>
      </c>
      <c r="X272" s="21" t="s">
        <v>1186</v>
      </c>
      <c r="Z272" s="21" t="s">
        <v>832</v>
      </c>
    </row>
    <row r="273" spans="5:26" x14ac:dyDescent="0.25">
      <c r="E273" s="21" t="s">
        <v>1849</v>
      </c>
      <c r="K273" s="21" t="s">
        <v>3272</v>
      </c>
      <c r="R273" s="21" t="s">
        <v>634</v>
      </c>
      <c r="W273" s="21" t="s">
        <v>1300</v>
      </c>
      <c r="X273" s="21" t="s">
        <v>1467</v>
      </c>
      <c r="Z273" s="21" t="s">
        <v>786</v>
      </c>
    </row>
    <row r="274" spans="5:26" x14ac:dyDescent="0.25">
      <c r="E274" s="21" t="s">
        <v>1817</v>
      </c>
      <c r="K274" s="21" t="s">
        <v>5222</v>
      </c>
      <c r="R274" s="21" t="s">
        <v>556</v>
      </c>
      <c r="W274" s="21" t="s">
        <v>1305</v>
      </c>
      <c r="X274" s="21" t="s">
        <v>1456</v>
      </c>
      <c r="Z274" s="21" t="s">
        <v>2611</v>
      </c>
    </row>
    <row r="275" spans="5:26" x14ac:dyDescent="0.25">
      <c r="E275" s="21" t="s">
        <v>5024</v>
      </c>
      <c r="K275" s="21" t="s">
        <v>788</v>
      </c>
      <c r="R275" s="21" t="s">
        <v>3437</v>
      </c>
      <c r="W275" s="21" t="s">
        <v>1163</v>
      </c>
      <c r="X275" s="21" t="s">
        <v>296</v>
      </c>
      <c r="Z275" s="21" t="s">
        <v>3567</v>
      </c>
    </row>
    <row r="276" spans="5:26" x14ac:dyDescent="0.25">
      <c r="E276" s="21" t="s">
        <v>2039</v>
      </c>
      <c r="K276" s="21" t="s">
        <v>718</v>
      </c>
      <c r="R276" s="21" t="s">
        <v>3055</v>
      </c>
      <c r="W276" s="21" t="s">
        <v>1242</v>
      </c>
      <c r="X276" s="21" t="s">
        <v>1180</v>
      </c>
      <c r="Z276" s="21" t="s">
        <v>829</v>
      </c>
    </row>
    <row r="277" spans="5:26" x14ac:dyDescent="0.25">
      <c r="E277" s="21" t="s">
        <v>2028</v>
      </c>
      <c r="K277" s="21" t="s">
        <v>3415</v>
      </c>
      <c r="R277" s="21" t="s">
        <v>1421</v>
      </c>
      <c r="W277" s="21" t="s">
        <v>2949</v>
      </c>
      <c r="X277" s="21" t="s">
        <v>1301</v>
      </c>
      <c r="Z277" s="21" t="s">
        <v>837</v>
      </c>
    </row>
    <row r="278" spans="5:26" x14ac:dyDescent="0.25">
      <c r="E278" s="21" t="s">
        <v>2040</v>
      </c>
      <c r="K278" s="21" t="s">
        <v>2622</v>
      </c>
      <c r="R278" s="21" t="s">
        <v>559</v>
      </c>
      <c r="W278" s="21" t="s">
        <v>1354</v>
      </c>
      <c r="X278" s="21" t="s">
        <v>1094</v>
      </c>
      <c r="Z278" s="21" t="s">
        <v>3755</v>
      </c>
    </row>
    <row r="279" spans="5:26" x14ac:dyDescent="0.25">
      <c r="E279" s="21" t="s">
        <v>2206</v>
      </c>
      <c r="K279" s="21" t="s">
        <v>2473</v>
      </c>
      <c r="R279" s="21" t="s">
        <v>2877</v>
      </c>
      <c r="W279" s="21" t="s">
        <v>985</v>
      </c>
      <c r="X279" s="21" t="s">
        <v>982</v>
      </c>
      <c r="Z279" s="21" t="s">
        <v>2754</v>
      </c>
    </row>
    <row r="280" spans="5:26" x14ac:dyDescent="0.25">
      <c r="E280" s="21" t="s">
        <v>2273</v>
      </c>
      <c r="K280" s="21" t="s">
        <v>3024</v>
      </c>
      <c r="R280" s="21" t="s">
        <v>3531</v>
      </c>
      <c r="W280" s="21" t="s">
        <v>1058</v>
      </c>
      <c r="X280" s="21" t="s">
        <v>3050</v>
      </c>
      <c r="Z280" s="21" t="s">
        <v>3529</v>
      </c>
    </row>
    <row r="281" spans="5:26" x14ac:dyDescent="0.25">
      <c r="E281" s="21" t="s">
        <v>5251</v>
      </c>
      <c r="K281" s="21" t="s">
        <v>434</v>
      </c>
      <c r="R281" s="21" t="s">
        <v>579</v>
      </c>
      <c r="W281" s="21" t="s">
        <v>1440</v>
      </c>
      <c r="X281" s="21" t="s">
        <v>544</v>
      </c>
      <c r="Z281" s="21" t="s">
        <v>635</v>
      </c>
    </row>
    <row r="282" spans="5:26" x14ac:dyDescent="0.25">
      <c r="E282" s="21" t="s">
        <v>1600</v>
      </c>
      <c r="K282" s="21" t="s">
        <v>848</v>
      </c>
      <c r="R282" s="21" t="s">
        <v>586</v>
      </c>
      <c r="W282" s="21" t="s">
        <v>1069</v>
      </c>
      <c r="X282" s="21" t="s">
        <v>927</v>
      </c>
      <c r="Z282" s="21" t="s">
        <v>3747</v>
      </c>
    </row>
    <row r="283" spans="5:26" x14ac:dyDescent="0.25">
      <c r="E283" s="21" t="s">
        <v>914</v>
      </c>
      <c r="K283" s="21" t="s">
        <v>435</v>
      </c>
      <c r="R283" s="21" t="s">
        <v>3086</v>
      </c>
      <c r="W283" s="21" t="s">
        <v>1000</v>
      </c>
      <c r="X283" s="21" t="s">
        <v>229</v>
      </c>
      <c r="Z283" s="21" t="s">
        <v>3473</v>
      </c>
    </row>
    <row r="284" spans="5:26" x14ac:dyDescent="0.25">
      <c r="E284" s="21" t="s">
        <v>3301</v>
      </c>
      <c r="K284" s="21" t="s">
        <v>3188</v>
      </c>
      <c r="R284" s="21" t="s">
        <v>604</v>
      </c>
      <c r="W284" s="21" t="s">
        <v>1525</v>
      </c>
      <c r="X284" s="21" t="s">
        <v>979</v>
      </c>
      <c r="Z284" s="21" t="s">
        <v>1569</v>
      </c>
    </row>
    <row r="285" spans="5:26" x14ac:dyDescent="0.25">
      <c r="E285" s="21" t="s">
        <v>1947</v>
      </c>
      <c r="K285" s="21" t="s">
        <v>436</v>
      </c>
      <c r="R285" s="21" t="s">
        <v>3564</v>
      </c>
      <c r="W285" s="21" t="s">
        <v>1056</v>
      </c>
      <c r="X285" s="21" t="s">
        <v>1545</v>
      </c>
      <c r="Z285" s="21" t="s">
        <v>2171</v>
      </c>
    </row>
    <row r="286" spans="5:26" x14ac:dyDescent="0.25">
      <c r="E286" s="21" t="s">
        <v>2624</v>
      </c>
      <c r="K286" s="21" t="s">
        <v>1632</v>
      </c>
      <c r="R286" s="21" t="s">
        <v>1439</v>
      </c>
      <c r="W286" s="21" t="s">
        <v>1005</v>
      </c>
      <c r="X286" s="21" t="s">
        <v>238</v>
      </c>
      <c r="Z286" s="21" t="s">
        <v>699</v>
      </c>
    </row>
    <row r="287" spans="5:26" x14ac:dyDescent="0.25">
      <c r="E287" s="21" t="s">
        <v>1722</v>
      </c>
      <c r="K287" s="21" t="s">
        <v>2605</v>
      </c>
      <c r="R287" s="21" t="s">
        <v>213</v>
      </c>
      <c r="W287" s="21" t="s">
        <v>1166</v>
      </c>
      <c r="X287" s="21" t="s">
        <v>887</v>
      </c>
      <c r="Z287" s="21" t="s">
        <v>290</v>
      </c>
    </row>
    <row r="288" spans="5:26" x14ac:dyDescent="0.25">
      <c r="E288" s="21" t="s">
        <v>1961</v>
      </c>
      <c r="K288" s="21" t="s">
        <v>2347</v>
      </c>
      <c r="R288" s="21" t="s">
        <v>3613</v>
      </c>
      <c r="W288" s="21" t="s">
        <v>1470</v>
      </c>
      <c r="X288" s="21" t="s">
        <v>568</v>
      </c>
      <c r="Z288" s="21" t="s">
        <v>922</v>
      </c>
    </row>
    <row r="289" spans="5:26" x14ac:dyDescent="0.25">
      <c r="E289" s="21" t="s">
        <v>5247</v>
      </c>
      <c r="K289" s="21" t="s">
        <v>3142</v>
      </c>
      <c r="R289" s="21" t="s">
        <v>1405</v>
      </c>
      <c r="W289" s="21" t="s">
        <v>1037</v>
      </c>
      <c r="X289" s="21" t="s">
        <v>1053</v>
      </c>
      <c r="Z289" s="21" t="s">
        <v>849</v>
      </c>
    </row>
    <row r="290" spans="5:26" x14ac:dyDescent="0.25">
      <c r="E290" s="21" t="s">
        <v>2342</v>
      </c>
      <c r="K290" s="21" t="s">
        <v>3151</v>
      </c>
      <c r="R290" s="21" t="s">
        <v>3014</v>
      </c>
      <c r="W290" s="21" t="s">
        <v>2893</v>
      </c>
      <c r="X290" s="21" t="s">
        <v>1338</v>
      </c>
      <c r="Z290" s="21" t="s">
        <v>3464</v>
      </c>
    </row>
    <row r="291" spans="5:26" x14ac:dyDescent="0.25">
      <c r="E291" s="21" t="s">
        <v>2444</v>
      </c>
      <c r="K291" s="21" t="s">
        <v>3781</v>
      </c>
      <c r="R291" s="21" t="s">
        <v>744</v>
      </c>
      <c r="W291" s="21" t="s">
        <v>1497</v>
      </c>
      <c r="X291" s="21" t="s">
        <v>928</v>
      </c>
      <c r="Z291" s="21" t="s">
        <v>3803</v>
      </c>
    </row>
    <row r="292" spans="5:26" x14ac:dyDescent="0.25">
      <c r="E292" s="21" t="s">
        <v>4460</v>
      </c>
      <c r="K292" s="21" t="s">
        <v>2194</v>
      </c>
      <c r="R292" s="21" t="s">
        <v>311</v>
      </c>
      <c r="W292" s="21" t="s">
        <v>1509</v>
      </c>
      <c r="X292" s="21" t="s">
        <v>958</v>
      </c>
      <c r="Z292" s="21" t="s">
        <v>823</v>
      </c>
    </row>
    <row r="293" spans="5:26" x14ac:dyDescent="0.25">
      <c r="E293" s="21" t="s">
        <v>1626</v>
      </c>
      <c r="K293" s="21" t="s">
        <v>2633</v>
      </c>
      <c r="R293" s="21" t="s">
        <v>3154</v>
      </c>
      <c r="W293" s="21" t="s">
        <v>950</v>
      </c>
      <c r="X293" s="21" t="s">
        <v>1119</v>
      </c>
      <c r="Z293" s="21" t="s">
        <v>3812</v>
      </c>
    </row>
    <row r="294" spans="5:26" x14ac:dyDescent="0.25">
      <c r="E294" s="21" t="s">
        <v>1733</v>
      </c>
      <c r="K294" s="21" t="s">
        <v>2687</v>
      </c>
      <c r="R294" s="21" t="s">
        <v>3057</v>
      </c>
      <c r="W294" s="21" t="s">
        <v>1435</v>
      </c>
      <c r="X294" s="21" t="s">
        <v>255</v>
      </c>
      <c r="Z294" s="21" t="s">
        <v>3675</v>
      </c>
    </row>
    <row r="295" spans="5:26" x14ac:dyDescent="0.25">
      <c r="E295" s="21" t="s">
        <v>5034</v>
      </c>
      <c r="K295" s="21" t="s">
        <v>3580</v>
      </c>
      <c r="R295" s="21" t="s">
        <v>3022</v>
      </c>
      <c r="W295" s="21" t="s">
        <v>923</v>
      </c>
      <c r="X295" s="21" t="s">
        <v>1057</v>
      </c>
      <c r="Z295" s="21" t="s">
        <v>2616</v>
      </c>
    </row>
    <row r="296" spans="5:26" x14ac:dyDescent="0.25">
      <c r="E296" s="21" t="s">
        <v>1984</v>
      </c>
      <c r="K296" s="21" t="s">
        <v>2481</v>
      </c>
      <c r="R296" s="21" t="s">
        <v>3006</v>
      </c>
      <c r="W296" s="21" t="s">
        <v>1182</v>
      </c>
      <c r="X296" s="21" t="s">
        <v>246</v>
      </c>
      <c r="Z296" s="21" t="s">
        <v>1570</v>
      </c>
    </row>
    <row r="297" spans="5:26" x14ac:dyDescent="0.25">
      <c r="E297" s="21" t="s">
        <v>4905</v>
      </c>
      <c r="K297" s="21" t="s">
        <v>2485</v>
      </c>
      <c r="R297" s="21" t="s">
        <v>319</v>
      </c>
      <c r="W297" s="21" t="s">
        <v>1472</v>
      </c>
      <c r="Z297" s="21" t="s">
        <v>871</v>
      </c>
    </row>
    <row r="298" spans="5:26" x14ac:dyDescent="0.25">
      <c r="E298" s="21" t="s">
        <v>1630</v>
      </c>
      <c r="K298" s="21" t="s">
        <v>2528</v>
      </c>
      <c r="R298" s="21" t="s">
        <v>3408</v>
      </c>
      <c r="W298" s="21" t="s">
        <v>1490</v>
      </c>
      <c r="Z298" s="21" t="s">
        <v>3494</v>
      </c>
    </row>
    <row r="299" spans="5:26" x14ac:dyDescent="0.25">
      <c r="E299" s="21" t="s">
        <v>375</v>
      </c>
      <c r="K299" s="21" t="s">
        <v>1782</v>
      </c>
      <c r="R299" s="21" t="s">
        <v>3434</v>
      </c>
      <c r="W299" s="21" t="s">
        <v>5957</v>
      </c>
      <c r="Z299" s="21" t="s">
        <v>3635</v>
      </c>
    </row>
    <row r="300" spans="5:26" x14ac:dyDescent="0.25">
      <c r="E300" s="21" t="s">
        <v>4270</v>
      </c>
      <c r="K300" s="21" t="s">
        <v>1758</v>
      </c>
      <c r="R300" s="21" t="s">
        <v>5958</v>
      </c>
      <c r="W300" s="21" t="s">
        <v>1325</v>
      </c>
      <c r="Z300" s="21" t="s">
        <v>1555</v>
      </c>
    </row>
    <row r="301" spans="5:26" x14ac:dyDescent="0.25">
      <c r="E301" s="21" t="s">
        <v>4917</v>
      </c>
      <c r="K301" s="21" t="s">
        <v>1777</v>
      </c>
      <c r="R301" s="21" t="s">
        <v>3042</v>
      </c>
      <c r="W301" s="21" t="s">
        <v>1482</v>
      </c>
      <c r="Z301" s="21" t="s">
        <v>679</v>
      </c>
    </row>
    <row r="302" spans="5:26" x14ac:dyDescent="0.25">
      <c r="E302" s="21" t="s">
        <v>2523</v>
      </c>
      <c r="K302" s="21" t="s">
        <v>3237</v>
      </c>
      <c r="R302" s="21" t="s">
        <v>1386</v>
      </c>
      <c r="W302" s="21" t="s">
        <v>1310</v>
      </c>
      <c r="Z302" s="21" t="s">
        <v>794</v>
      </c>
    </row>
    <row r="303" spans="5:26" x14ac:dyDescent="0.25">
      <c r="E303" s="21" t="s">
        <v>1988</v>
      </c>
      <c r="K303" s="21" t="s">
        <v>3584</v>
      </c>
      <c r="R303" s="21" t="s">
        <v>583</v>
      </c>
      <c r="W303" s="21" t="s">
        <v>967</v>
      </c>
      <c r="Z303" s="21" t="s">
        <v>3716</v>
      </c>
    </row>
    <row r="304" spans="5:26" x14ac:dyDescent="0.25">
      <c r="E304" s="21" t="s">
        <v>1893</v>
      </c>
      <c r="K304" s="21" t="s">
        <v>1681</v>
      </c>
      <c r="R304" s="21" t="s">
        <v>651</v>
      </c>
      <c r="W304" s="21" t="s">
        <v>1387</v>
      </c>
      <c r="Z304" s="21" t="s">
        <v>3435</v>
      </c>
    </row>
    <row r="305" spans="5:26" x14ac:dyDescent="0.25">
      <c r="E305" s="21" t="s">
        <v>1660</v>
      </c>
      <c r="K305" s="21" t="s">
        <v>2558</v>
      </c>
      <c r="R305" s="21" t="s">
        <v>601</v>
      </c>
      <c r="W305" s="21" t="s">
        <v>1308</v>
      </c>
      <c r="Z305" s="21" t="s">
        <v>3572</v>
      </c>
    </row>
    <row r="306" spans="5:26" x14ac:dyDescent="0.25">
      <c r="E306" s="21" t="s">
        <v>2009</v>
      </c>
      <c r="K306" s="21" t="s">
        <v>1704</v>
      </c>
      <c r="R306" s="21" t="s">
        <v>3591</v>
      </c>
      <c r="W306" s="21" t="s">
        <v>1159</v>
      </c>
      <c r="Z306" s="21" t="s">
        <v>3348</v>
      </c>
    </row>
    <row r="307" spans="5:26" x14ac:dyDescent="0.25">
      <c r="E307" s="21" t="s">
        <v>2243</v>
      </c>
      <c r="K307" s="21" t="s">
        <v>2578</v>
      </c>
      <c r="R307" s="21" t="s">
        <v>3029</v>
      </c>
      <c r="W307" s="21" t="s">
        <v>1516</v>
      </c>
      <c r="Z307" s="21" t="s">
        <v>3455</v>
      </c>
    </row>
    <row r="308" spans="5:26" x14ac:dyDescent="0.25">
      <c r="E308" s="21" t="s">
        <v>1421</v>
      </c>
      <c r="K308" s="21" t="s">
        <v>1725</v>
      </c>
      <c r="R308" s="21" t="s">
        <v>1375</v>
      </c>
      <c r="W308" s="21" t="s">
        <v>211</v>
      </c>
      <c r="Z308" s="21" t="s">
        <v>785</v>
      </c>
    </row>
    <row r="309" spans="5:26" x14ac:dyDescent="0.25">
      <c r="E309" s="21" t="s">
        <v>2420</v>
      </c>
      <c r="K309" s="21" t="s">
        <v>5227</v>
      </c>
      <c r="R309" s="21" t="s">
        <v>3002</v>
      </c>
      <c r="W309" s="21" t="s">
        <v>1209</v>
      </c>
      <c r="Z309" s="21" t="s">
        <v>2691</v>
      </c>
    </row>
    <row r="310" spans="5:26" x14ac:dyDescent="0.25">
      <c r="E310" s="21" t="s">
        <v>1621</v>
      </c>
      <c r="K310" s="21" t="s">
        <v>2636</v>
      </c>
      <c r="R310" s="21" t="s">
        <v>578</v>
      </c>
      <c r="W310" s="21" t="s">
        <v>1080</v>
      </c>
      <c r="Z310" s="21" t="s">
        <v>3445</v>
      </c>
    </row>
    <row r="311" spans="5:26" x14ac:dyDescent="0.25">
      <c r="E311" s="21" t="s">
        <v>2124</v>
      </c>
      <c r="K311" s="21" t="s">
        <v>1689</v>
      </c>
      <c r="R311" s="21" t="s">
        <v>614</v>
      </c>
      <c r="W311" s="21" t="s">
        <v>1481</v>
      </c>
      <c r="Z311" s="21" t="s">
        <v>3786</v>
      </c>
    </row>
    <row r="312" spans="5:26" x14ac:dyDescent="0.25">
      <c r="E312" s="21" t="s">
        <v>1845</v>
      </c>
      <c r="K312" s="21" t="s">
        <v>3330</v>
      </c>
      <c r="R312" s="21" t="s">
        <v>280</v>
      </c>
      <c r="W312" s="21" t="s">
        <v>915</v>
      </c>
      <c r="Z312" s="21" t="s">
        <v>853</v>
      </c>
    </row>
    <row r="313" spans="5:26" x14ac:dyDescent="0.25">
      <c r="E313" s="21" t="s">
        <v>4856</v>
      </c>
      <c r="K313" s="21" t="s">
        <v>437</v>
      </c>
      <c r="R313" s="21" t="s">
        <v>1460</v>
      </c>
      <c r="W313" s="21" t="s">
        <v>1063</v>
      </c>
      <c r="Z313" s="21" t="s">
        <v>3819</v>
      </c>
    </row>
    <row r="314" spans="5:26" x14ac:dyDescent="0.25">
      <c r="E314" s="21" t="s">
        <v>1609</v>
      </c>
      <c r="K314" s="21" t="s">
        <v>3171</v>
      </c>
      <c r="R314" s="21" t="s">
        <v>691</v>
      </c>
      <c r="W314" s="21" t="s">
        <v>1496</v>
      </c>
      <c r="Z314" s="21" t="s">
        <v>3700</v>
      </c>
    </row>
    <row r="315" spans="5:26" x14ac:dyDescent="0.25">
      <c r="E315" s="21" t="s">
        <v>2394</v>
      </c>
      <c r="K315" s="21" t="s">
        <v>5959</v>
      </c>
      <c r="R315" s="21" t="s">
        <v>580</v>
      </c>
      <c r="W315" s="21" t="s">
        <v>1272</v>
      </c>
      <c r="Z315" s="21" t="s">
        <v>3502</v>
      </c>
    </row>
    <row r="316" spans="5:26" x14ac:dyDescent="0.25">
      <c r="E316" s="21" t="s">
        <v>1711</v>
      </c>
      <c r="K316" s="21" t="s">
        <v>1796</v>
      </c>
      <c r="R316" s="21" t="s">
        <v>2990</v>
      </c>
      <c r="W316" s="21" t="s">
        <v>1409</v>
      </c>
      <c r="Z316" s="21" t="s">
        <v>3792</v>
      </c>
    </row>
    <row r="317" spans="5:26" x14ac:dyDescent="0.25">
      <c r="E317" s="21" t="s">
        <v>1811</v>
      </c>
      <c r="K317" s="21" t="s">
        <v>633</v>
      </c>
      <c r="R317" s="21" t="s">
        <v>3070</v>
      </c>
      <c r="W317" s="21" t="s">
        <v>2956</v>
      </c>
      <c r="Z317" s="21" t="s">
        <v>3431</v>
      </c>
    </row>
    <row r="318" spans="5:26" x14ac:dyDescent="0.25">
      <c r="E318" s="21" t="s">
        <v>1923</v>
      </c>
      <c r="K318" s="21" t="s">
        <v>2433</v>
      </c>
      <c r="R318" s="21" t="s">
        <v>659</v>
      </c>
      <c r="W318" s="21" t="s">
        <v>1197</v>
      </c>
      <c r="Z318" s="21" t="s">
        <v>3776</v>
      </c>
    </row>
    <row r="319" spans="5:26" x14ac:dyDescent="0.25">
      <c r="E319" s="21" t="s">
        <v>5040</v>
      </c>
      <c r="K319" s="21" t="s">
        <v>641</v>
      </c>
      <c r="R319" s="21" t="s">
        <v>1327</v>
      </c>
      <c r="W319" s="21" t="s">
        <v>5960</v>
      </c>
      <c r="Z319" s="21" t="s">
        <v>3520</v>
      </c>
    </row>
    <row r="320" spans="5:26" x14ac:dyDescent="0.25">
      <c r="E320" s="21" t="s">
        <v>4991</v>
      </c>
      <c r="K320" s="21" t="s">
        <v>3230</v>
      </c>
      <c r="R320" s="21" t="s">
        <v>797</v>
      </c>
      <c r="W320" s="21" t="s">
        <v>3084</v>
      </c>
      <c r="Z320" s="21" t="s">
        <v>3759</v>
      </c>
    </row>
    <row r="321" spans="5:26" x14ac:dyDescent="0.25">
      <c r="E321" s="21" t="s">
        <v>1976</v>
      </c>
      <c r="K321" s="21" t="s">
        <v>362</v>
      </c>
      <c r="R321" s="21" t="s">
        <v>3412</v>
      </c>
      <c r="W321" s="21" t="s">
        <v>1155</v>
      </c>
      <c r="Z321" s="21" t="s">
        <v>3807</v>
      </c>
    </row>
    <row r="322" spans="5:26" x14ac:dyDescent="0.25">
      <c r="E322" s="21" t="s">
        <v>3993</v>
      </c>
      <c r="K322" s="21" t="s">
        <v>2546</v>
      </c>
      <c r="R322" s="21" t="s">
        <v>3066</v>
      </c>
      <c r="W322" s="21" t="s">
        <v>1421</v>
      </c>
      <c r="Z322" s="21" t="s">
        <v>3762</v>
      </c>
    </row>
    <row r="323" spans="5:26" x14ac:dyDescent="0.25">
      <c r="E323" s="21" t="s">
        <v>2083</v>
      </c>
      <c r="K323" s="21" t="s">
        <v>683</v>
      </c>
      <c r="R323" s="21" t="s">
        <v>3220</v>
      </c>
      <c r="W323" s="21" t="s">
        <v>1262</v>
      </c>
      <c r="Z323" s="21" t="s">
        <v>872</v>
      </c>
    </row>
    <row r="324" spans="5:26" x14ac:dyDescent="0.25">
      <c r="E324" s="21" t="s">
        <v>5426</v>
      </c>
      <c r="K324" s="21" t="s">
        <v>3506</v>
      </c>
      <c r="R324" s="21" t="s">
        <v>3054</v>
      </c>
      <c r="W324" s="21" t="s">
        <v>1128</v>
      </c>
      <c r="Z324" s="21" t="s">
        <v>719</v>
      </c>
    </row>
    <row r="325" spans="5:26" x14ac:dyDescent="0.25">
      <c r="E325" s="21" t="s">
        <v>2033</v>
      </c>
      <c r="K325" s="21" t="s">
        <v>3248</v>
      </c>
      <c r="R325" s="21" t="s">
        <v>3428</v>
      </c>
      <c r="W325" s="21" t="s">
        <v>1510</v>
      </c>
      <c r="Z325" s="21" t="s">
        <v>1590</v>
      </c>
    </row>
    <row r="326" spans="5:26" x14ac:dyDescent="0.25">
      <c r="E326" s="21" t="s">
        <v>4338</v>
      </c>
      <c r="K326" s="21" t="s">
        <v>2052</v>
      </c>
      <c r="R326" s="21" t="s">
        <v>1505</v>
      </c>
      <c r="W326" s="21" t="s">
        <v>995</v>
      </c>
      <c r="Z326" s="21" t="s">
        <v>3715</v>
      </c>
    </row>
    <row r="327" spans="5:26" x14ac:dyDescent="0.25">
      <c r="E327" s="21" t="s">
        <v>5246</v>
      </c>
      <c r="K327" s="21" t="s">
        <v>654</v>
      </c>
      <c r="R327" s="21" t="s">
        <v>1613</v>
      </c>
      <c r="W327" s="21" t="s">
        <v>1123</v>
      </c>
      <c r="Z327" s="21" t="s">
        <v>3839</v>
      </c>
    </row>
    <row r="328" spans="5:26" x14ac:dyDescent="0.25">
      <c r="E328" s="21" t="s">
        <v>2111</v>
      </c>
      <c r="K328" s="21" t="s">
        <v>3253</v>
      </c>
      <c r="R328" s="21" t="s">
        <v>3047</v>
      </c>
      <c r="W328" s="21" t="s">
        <v>2934</v>
      </c>
      <c r="Z328" s="21" t="s">
        <v>3663</v>
      </c>
    </row>
    <row r="329" spans="5:26" x14ac:dyDescent="0.25">
      <c r="E329" s="21" t="s">
        <v>1959</v>
      </c>
      <c r="K329" s="21" t="s">
        <v>2672</v>
      </c>
      <c r="R329" s="21" t="s">
        <v>3405</v>
      </c>
      <c r="W329" s="21" t="s">
        <v>2896</v>
      </c>
      <c r="Z329" s="21" t="s">
        <v>3753</v>
      </c>
    </row>
    <row r="330" spans="5:26" x14ac:dyDescent="0.25">
      <c r="E330" s="21" t="s">
        <v>2398</v>
      </c>
      <c r="K330" s="21" t="s">
        <v>3194</v>
      </c>
      <c r="R330" s="21" t="s">
        <v>282</v>
      </c>
      <c r="W330" s="21" t="s">
        <v>2909</v>
      </c>
      <c r="Z330" s="21" t="s">
        <v>2236</v>
      </c>
    </row>
    <row r="331" spans="5:26" x14ac:dyDescent="0.25">
      <c r="E331" s="21" t="s">
        <v>1885</v>
      </c>
      <c r="K331" s="21" t="s">
        <v>2739</v>
      </c>
      <c r="R331" s="21" t="s">
        <v>266</v>
      </c>
      <c r="W331" s="21" t="s">
        <v>2964</v>
      </c>
      <c r="Z331" s="21" t="s">
        <v>2683</v>
      </c>
    </row>
    <row r="332" spans="5:26" x14ac:dyDescent="0.25">
      <c r="E332" s="21" t="s">
        <v>2427</v>
      </c>
      <c r="K332" s="21" t="s">
        <v>816</v>
      </c>
      <c r="R332" s="21" t="s">
        <v>3411</v>
      </c>
      <c r="W332" s="21" t="s">
        <v>1260</v>
      </c>
      <c r="Z332" s="21" t="s">
        <v>3573</v>
      </c>
    </row>
    <row r="333" spans="5:26" x14ac:dyDescent="0.25">
      <c r="E333" s="21" t="s">
        <v>1856</v>
      </c>
      <c r="K333" s="21" t="s">
        <v>2311</v>
      </c>
      <c r="R333" s="21" t="s">
        <v>3041</v>
      </c>
      <c r="W333" s="21" t="s">
        <v>1046</v>
      </c>
      <c r="Z333" s="21" t="s">
        <v>3774</v>
      </c>
    </row>
    <row r="334" spans="5:26" x14ac:dyDescent="0.25">
      <c r="E334" s="21" t="s">
        <v>2232</v>
      </c>
      <c r="K334" s="21" t="s">
        <v>438</v>
      </c>
      <c r="R334" s="21" t="s">
        <v>549</v>
      </c>
      <c r="W334" s="21" t="s">
        <v>1295</v>
      </c>
      <c r="Z334" s="21" t="s">
        <v>254</v>
      </c>
    </row>
    <row r="335" spans="5:26" x14ac:dyDescent="0.25">
      <c r="E335" s="21" t="s">
        <v>2049</v>
      </c>
      <c r="K335" s="21" t="s">
        <v>1915</v>
      </c>
      <c r="R335" s="21" t="s">
        <v>2903</v>
      </c>
      <c r="W335" s="21" t="s">
        <v>994</v>
      </c>
      <c r="Z335" s="21" t="s">
        <v>3630</v>
      </c>
    </row>
    <row r="336" spans="5:26" x14ac:dyDescent="0.25">
      <c r="E336" s="21" t="s">
        <v>4895</v>
      </c>
      <c r="K336" s="21" t="s">
        <v>2807</v>
      </c>
      <c r="R336" s="21" t="s">
        <v>757</v>
      </c>
      <c r="W336" s="21" t="s">
        <v>1267</v>
      </c>
      <c r="Z336" s="21" t="s">
        <v>3811</v>
      </c>
    </row>
    <row r="337" spans="5:26" x14ac:dyDescent="0.25">
      <c r="E337" s="21" t="s">
        <v>4933</v>
      </c>
      <c r="K337" s="21" t="s">
        <v>2800</v>
      </c>
      <c r="R337" s="21" t="s">
        <v>3065</v>
      </c>
      <c r="W337" s="21" t="s">
        <v>1565</v>
      </c>
      <c r="Z337" s="21" t="s">
        <v>3355</v>
      </c>
    </row>
    <row r="338" spans="5:26" x14ac:dyDescent="0.25">
      <c r="E338" s="21" t="s">
        <v>482</v>
      </c>
      <c r="K338" s="21" t="s">
        <v>2750</v>
      </c>
      <c r="R338" s="21" t="s">
        <v>3127</v>
      </c>
      <c r="W338" s="21" t="s">
        <v>1164</v>
      </c>
      <c r="Z338" s="21" t="s">
        <v>2710</v>
      </c>
    </row>
    <row r="339" spans="5:26" x14ac:dyDescent="0.25">
      <c r="E339" s="21" t="s">
        <v>4824</v>
      </c>
      <c r="K339" s="21" t="s">
        <v>285</v>
      </c>
      <c r="R339" s="21" t="s">
        <v>3202</v>
      </c>
      <c r="W339" s="21" t="s">
        <v>1388</v>
      </c>
      <c r="Z339" s="21" t="s">
        <v>3495</v>
      </c>
    </row>
    <row r="340" spans="5:26" x14ac:dyDescent="0.25">
      <c r="E340" s="21" t="s">
        <v>1795</v>
      </c>
      <c r="K340" s="21" t="s">
        <v>834</v>
      </c>
      <c r="R340" s="21" t="s">
        <v>1372</v>
      </c>
      <c r="W340" s="21" t="s">
        <v>1381</v>
      </c>
      <c r="Z340" s="21" t="s">
        <v>3374</v>
      </c>
    </row>
    <row r="341" spans="5:26" x14ac:dyDescent="0.25">
      <c r="E341" s="21" t="s">
        <v>1977</v>
      </c>
      <c r="K341" s="21" t="s">
        <v>647</v>
      </c>
      <c r="R341" s="21" t="s">
        <v>3454</v>
      </c>
      <c r="W341" s="21" t="s">
        <v>1161</v>
      </c>
      <c r="Z341" s="21" t="s">
        <v>3638</v>
      </c>
    </row>
    <row r="342" spans="5:26" x14ac:dyDescent="0.25">
      <c r="E342" s="21" t="s">
        <v>1613</v>
      </c>
      <c r="K342" s="21" t="s">
        <v>2841</v>
      </c>
      <c r="R342" s="21" t="s">
        <v>3407</v>
      </c>
      <c r="W342" s="21" t="s">
        <v>1240</v>
      </c>
      <c r="Z342" s="21" t="s">
        <v>3761</v>
      </c>
    </row>
    <row r="343" spans="5:26" x14ac:dyDescent="0.25">
      <c r="E343" s="21" t="s">
        <v>1664</v>
      </c>
      <c r="K343" s="21" t="s">
        <v>3275</v>
      </c>
      <c r="R343" s="21" t="s">
        <v>3178</v>
      </c>
      <c r="W343" s="21" t="s">
        <v>1534</v>
      </c>
      <c r="Z343" s="21" t="s">
        <v>3758</v>
      </c>
    </row>
    <row r="344" spans="5:26" x14ac:dyDescent="0.25">
      <c r="E344" s="21" t="s">
        <v>5297</v>
      </c>
      <c r="K344" s="21" t="s">
        <v>3589</v>
      </c>
      <c r="R344" s="21" t="s">
        <v>581</v>
      </c>
      <c r="W344" s="21" t="s">
        <v>1393</v>
      </c>
      <c r="Z344" s="21" t="s">
        <v>3790</v>
      </c>
    </row>
    <row r="345" spans="5:26" x14ac:dyDescent="0.25">
      <c r="E345" s="21" t="s">
        <v>5472</v>
      </c>
      <c r="K345" s="21" t="s">
        <v>3181</v>
      </c>
      <c r="R345" s="21" t="s">
        <v>3062</v>
      </c>
      <c r="W345" s="21" t="s">
        <v>894</v>
      </c>
      <c r="Z345" s="21" t="s">
        <v>3697</v>
      </c>
    </row>
    <row r="346" spans="5:26" x14ac:dyDescent="0.25">
      <c r="E346" s="21" t="s">
        <v>1829</v>
      </c>
      <c r="K346" s="21" t="s">
        <v>439</v>
      </c>
      <c r="R346" s="21" t="s">
        <v>2941</v>
      </c>
      <c r="W346" s="21" t="s">
        <v>1189</v>
      </c>
      <c r="Z346" s="21" t="s">
        <v>3826</v>
      </c>
    </row>
    <row r="347" spans="5:26" x14ac:dyDescent="0.25">
      <c r="E347" s="21" t="s">
        <v>4995</v>
      </c>
      <c r="K347" s="21" t="s">
        <v>440</v>
      </c>
      <c r="R347" s="21" t="s">
        <v>567</v>
      </c>
      <c r="W347" s="21" t="s">
        <v>905</v>
      </c>
      <c r="Z347" s="21" t="s">
        <v>5961</v>
      </c>
    </row>
    <row r="348" spans="5:26" x14ac:dyDescent="0.25">
      <c r="E348" s="21" t="s">
        <v>4241</v>
      </c>
      <c r="K348" s="21" t="s">
        <v>1858</v>
      </c>
      <c r="R348" s="21" t="s">
        <v>3136</v>
      </c>
      <c r="W348" s="21" t="s">
        <v>1249</v>
      </c>
      <c r="Z348" s="21" t="s">
        <v>3469</v>
      </c>
    </row>
    <row r="349" spans="5:26" x14ac:dyDescent="0.25">
      <c r="E349" s="21" t="s">
        <v>1957</v>
      </c>
      <c r="K349" s="21" t="s">
        <v>672</v>
      </c>
      <c r="R349" s="21" t="s">
        <v>3382</v>
      </c>
      <c r="W349" s="21" t="s">
        <v>1462</v>
      </c>
      <c r="Z349" s="21" t="s">
        <v>5962</v>
      </c>
    </row>
    <row r="350" spans="5:26" x14ac:dyDescent="0.25">
      <c r="E350" s="21" t="s">
        <v>4926</v>
      </c>
      <c r="K350" s="21" t="s">
        <v>1964</v>
      </c>
      <c r="R350" s="21" t="s">
        <v>5963</v>
      </c>
      <c r="W350" s="21" t="s">
        <v>1538</v>
      </c>
      <c r="Z350" s="21" t="s">
        <v>3687</v>
      </c>
    </row>
    <row r="351" spans="5:26" x14ac:dyDescent="0.25">
      <c r="E351" s="21" t="s">
        <v>1807</v>
      </c>
      <c r="K351" s="21" t="s">
        <v>2599</v>
      </c>
      <c r="R351" s="21" t="s">
        <v>711</v>
      </c>
      <c r="W351" s="21" t="s">
        <v>937</v>
      </c>
      <c r="Z351" s="21" t="s">
        <v>3767</v>
      </c>
    </row>
    <row r="352" spans="5:26" x14ac:dyDescent="0.25">
      <c r="E352" s="21" t="s">
        <v>2061</v>
      </c>
      <c r="K352" s="21" t="s">
        <v>661</v>
      </c>
      <c r="R352" s="21" t="s">
        <v>2995</v>
      </c>
      <c r="W352" s="21" t="s">
        <v>1512</v>
      </c>
      <c r="Z352" s="21" t="s">
        <v>3113</v>
      </c>
    </row>
    <row r="353" spans="5:26" x14ac:dyDescent="0.25">
      <c r="E353" s="21" t="s">
        <v>2826</v>
      </c>
      <c r="K353" s="21" t="s">
        <v>1822</v>
      </c>
      <c r="R353" s="21" t="s">
        <v>307</v>
      </c>
      <c r="W353" s="21" t="s">
        <v>1143</v>
      </c>
      <c r="Z353" s="21" t="s">
        <v>847</v>
      </c>
    </row>
    <row r="354" spans="5:26" x14ac:dyDescent="0.25">
      <c r="E354" s="21" t="s">
        <v>1287</v>
      </c>
      <c r="K354" s="21" t="s">
        <v>2718</v>
      </c>
      <c r="R354" s="21" t="s">
        <v>3402</v>
      </c>
      <c r="W354" s="21" t="s">
        <v>3096</v>
      </c>
      <c r="Z354" s="21" t="s">
        <v>3577</v>
      </c>
    </row>
    <row r="355" spans="5:26" x14ac:dyDescent="0.25">
      <c r="E355" s="21" t="s">
        <v>1870</v>
      </c>
      <c r="K355" s="21" t="s">
        <v>2603</v>
      </c>
      <c r="R355" s="21" t="s">
        <v>1374</v>
      </c>
      <c r="W355" s="21" t="s">
        <v>1546</v>
      </c>
      <c r="Z355" s="21" t="s">
        <v>3830</v>
      </c>
    </row>
    <row r="356" spans="5:26" x14ac:dyDescent="0.25">
      <c r="E356" s="21" t="s">
        <v>4930</v>
      </c>
      <c r="K356" s="21" t="s">
        <v>2960</v>
      </c>
      <c r="R356" s="21" t="s">
        <v>2971</v>
      </c>
      <c r="W356" s="21" t="s">
        <v>1157</v>
      </c>
      <c r="Z356" s="21" t="s">
        <v>3377</v>
      </c>
    </row>
    <row r="357" spans="5:26" x14ac:dyDescent="0.25">
      <c r="E357" s="21" t="s">
        <v>5298</v>
      </c>
      <c r="K357" s="21" t="s">
        <v>3134</v>
      </c>
      <c r="R357" s="21" t="s">
        <v>598</v>
      </c>
      <c r="W357" s="21" t="s">
        <v>1431</v>
      </c>
      <c r="Z357" s="21" t="s">
        <v>1177</v>
      </c>
    </row>
    <row r="358" spans="5:26" x14ac:dyDescent="0.25">
      <c r="E358" s="21" t="s">
        <v>4921</v>
      </c>
      <c r="K358" s="21" t="s">
        <v>1916</v>
      </c>
      <c r="R358" s="21" t="s">
        <v>2967</v>
      </c>
      <c r="W358" s="21" t="s">
        <v>1392</v>
      </c>
      <c r="Z358" s="21" t="s">
        <v>3695</v>
      </c>
    </row>
    <row r="359" spans="5:26" x14ac:dyDescent="0.25">
      <c r="E359" s="21" t="s">
        <v>1556</v>
      </c>
      <c r="K359" s="21" t="s">
        <v>2512</v>
      </c>
      <c r="R359" s="21" t="s">
        <v>3073</v>
      </c>
      <c r="W359" s="21" t="s">
        <v>3000</v>
      </c>
      <c r="Z359" s="21" t="s">
        <v>721</v>
      </c>
    </row>
    <row r="360" spans="5:26" x14ac:dyDescent="0.25">
      <c r="E360" s="21" t="s">
        <v>2123</v>
      </c>
      <c r="K360" s="21" t="s">
        <v>801</v>
      </c>
      <c r="R360" s="21" t="s">
        <v>3209</v>
      </c>
      <c r="W360" s="21" t="s">
        <v>1292</v>
      </c>
      <c r="Z360" s="21" t="s">
        <v>3619</v>
      </c>
    </row>
    <row r="361" spans="5:26" x14ac:dyDescent="0.25">
      <c r="E361" s="21" t="s">
        <v>1723</v>
      </c>
      <c r="K361" s="21" t="s">
        <v>714</v>
      </c>
      <c r="R361" s="21" t="s">
        <v>3404</v>
      </c>
      <c r="W361" s="21" t="s">
        <v>1436</v>
      </c>
      <c r="Z361" s="21" t="s">
        <v>864</v>
      </c>
    </row>
    <row r="362" spans="5:26" x14ac:dyDescent="0.25">
      <c r="E362" s="21" t="s">
        <v>4993</v>
      </c>
      <c r="K362" s="21" t="s">
        <v>723</v>
      </c>
      <c r="R362" s="21" t="s">
        <v>360</v>
      </c>
      <c r="W362" s="21" t="s">
        <v>1480</v>
      </c>
      <c r="Z362" s="21" t="s">
        <v>3604</v>
      </c>
    </row>
    <row r="363" spans="5:26" x14ac:dyDescent="0.25">
      <c r="E363" s="21" t="s">
        <v>1763</v>
      </c>
      <c r="K363" s="21" t="s">
        <v>5964</v>
      </c>
      <c r="R363" s="21" t="s">
        <v>1141</v>
      </c>
      <c r="W363" s="21" t="s">
        <v>1108</v>
      </c>
      <c r="Z363" s="21" t="s">
        <v>3801</v>
      </c>
    </row>
    <row r="364" spans="5:26" x14ac:dyDescent="0.25">
      <c r="E364" s="21" t="s">
        <v>1703</v>
      </c>
      <c r="K364" s="21" t="s">
        <v>640</v>
      </c>
      <c r="R364" s="21" t="s">
        <v>582</v>
      </c>
      <c r="W364" s="21" t="s">
        <v>1229</v>
      </c>
      <c r="Z364" s="21" t="s">
        <v>3585</v>
      </c>
    </row>
    <row r="365" spans="5:26" x14ac:dyDescent="0.25">
      <c r="E365" s="21" t="s">
        <v>1938</v>
      </c>
      <c r="K365" s="21" t="s">
        <v>2535</v>
      </c>
      <c r="R365" s="21" t="s">
        <v>668</v>
      </c>
      <c r="W365" s="21" t="s">
        <v>1390</v>
      </c>
      <c r="Z365" s="21" t="s">
        <v>3479</v>
      </c>
    </row>
    <row r="366" spans="5:26" x14ac:dyDescent="0.25">
      <c r="E366" s="21" t="s">
        <v>1909</v>
      </c>
      <c r="K366" s="21" t="s">
        <v>5397</v>
      </c>
      <c r="R366" s="21" t="s">
        <v>2975</v>
      </c>
      <c r="W366" s="21" t="s">
        <v>1216</v>
      </c>
      <c r="Z366" s="21" t="s">
        <v>676</v>
      </c>
    </row>
    <row r="367" spans="5:26" x14ac:dyDescent="0.25">
      <c r="E367" s="21" t="s">
        <v>4913</v>
      </c>
      <c r="K367" s="21" t="s">
        <v>441</v>
      </c>
      <c r="R367" s="21" t="s">
        <v>3423</v>
      </c>
      <c r="W367" s="21" t="s">
        <v>1551</v>
      </c>
      <c r="Z367" s="21" t="s">
        <v>1574</v>
      </c>
    </row>
    <row r="368" spans="5:26" x14ac:dyDescent="0.25">
      <c r="E368" s="21" t="s">
        <v>2053</v>
      </c>
      <c r="K368" s="21" t="s">
        <v>1809</v>
      </c>
      <c r="R368" s="21" t="s">
        <v>3647</v>
      </c>
      <c r="W368" s="21" t="s">
        <v>1042</v>
      </c>
      <c r="Z368" s="21" t="s">
        <v>3796</v>
      </c>
    </row>
    <row r="369" spans="5:26" x14ac:dyDescent="0.25">
      <c r="E369" s="21" t="s">
        <v>2324</v>
      </c>
      <c r="K369" s="21" t="s">
        <v>688</v>
      </c>
      <c r="R369" s="21" t="s">
        <v>728</v>
      </c>
      <c r="W369" s="21" t="s">
        <v>2899</v>
      </c>
      <c r="Z369" s="21" t="s">
        <v>3739</v>
      </c>
    </row>
    <row r="370" spans="5:26" x14ac:dyDescent="0.25">
      <c r="E370" s="21" t="s">
        <v>4925</v>
      </c>
      <c r="K370" s="21" t="s">
        <v>3182</v>
      </c>
      <c r="R370" s="21" t="s">
        <v>587</v>
      </c>
      <c r="W370" s="21" t="s">
        <v>1324</v>
      </c>
      <c r="Z370" s="21" t="s">
        <v>3763</v>
      </c>
    </row>
    <row r="371" spans="5:26" x14ac:dyDescent="0.25">
      <c r="E371" s="21" t="s">
        <v>2180</v>
      </c>
      <c r="K371" s="21" t="s">
        <v>3468</v>
      </c>
      <c r="R371" s="21" t="s">
        <v>3164</v>
      </c>
      <c r="W371" s="21" t="s">
        <v>1003</v>
      </c>
      <c r="Z371" s="21" t="s">
        <v>3616</v>
      </c>
    </row>
    <row r="372" spans="5:26" x14ac:dyDescent="0.25">
      <c r="E372" s="21" t="s">
        <v>4260</v>
      </c>
      <c r="K372" s="21" t="s">
        <v>1764</v>
      </c>
      <c r="R372" s="21" t="s">
        <v>2997</v>
      </c>
      <c r="W372" s="21" t="s">
        <v>1194</v>
      </c>
      <c r="Z372" s="21" t="s">
        <v>537</v>
      </c>
    </row>
    <row r="373" spans="5:26" x14ac:dyDescent="0.25">
      <c r="E373" s="21" t="s">
        <v>5306</v>
      </c>
      <c r="K373" s="21" t="s">
        <v>3311</v>
      </c>
      <c r="R373" s="21" t="s">
        <v>1468</v>
      </c>
      <c r="W373" s="21" t="s">
        <v>5857</v>
      </c>
      <c r="Z373" s="21" t="s">
        <v>3690</v>
      </c>
    </row>
    <row r="374" spans="5:26" x14ac:dyDescent="0.25">
      <c r="E374" s="21" t="s">
        <v>5286</v>
      </c>
      <c r="K374" s="21" t="s">
        <v>736</v>
      </c>
      <c r="R374" s="21" t="s">
        <v>2129</v>
      </c>
      <c r="W374" s="21" t="s">
        <v>1179</v>
      </c>
      <c r="Z374" s="21" t="s">
        <v>3780</v>
      </c>
    </row>
    <row r="375" spans="5:26" x14ac:dyDescent="0.25">
      <c r="E375" s="21" t="s">
        <v>2110</v>
      </c>
      <c r="K375" s="21" t="s">
        <v>442</v>
      </c>
      <c r="R375" s="21" t="s">
        <v>620</v>
      </c>
      <c r="W375" s="21" t="s">
        <v>1317</v>
      </c>
      <c r="Z375" s="21" t="s">
        <v>3607</v>
      </c>
    </row>
    <row r="376" spans="5:26" x14ac:dyDescent="0.25">
      <c r="E376" s="21" t="s">
        <v>3300</v>
      </c>
      <c r="K376" s="21" t="s">
        <v>742</v>
      </c>
      <c r="R376" s="21" t="s">
        <v>657</v>
      </c>
      <c r="W376" s="21" t="s">
        <v>898</v>
      </c>
      <c r="Z376" s="21" t="s">
        <v>3623</v>
      </c>
    </row>
    <row r="377" spans="5:26" x14ac:dyDescent="0.25">
      <c r="E377" s="21" t="s">
        <v>2144</v>
      </c>
      <c r="K377" s="21" t="s">
        <v>1804</v>
      </c>
      <c r="R377" s="21" t="s">
        <v>3009</v>
      </c>
      <c r="W377" s="21" t="s">
        <v>1544</v>
      </c>
      <c r="Z377" s="21" t="s">
        <v>3802</v>
      </c>
    </row>
    <row r="378" spans="5:26" x14ac:dyDescent="0.25">
      <c r="E378" s="21" t="s">
        <v>3937</v>
      </c>
      <c r="K378" s="21" t="s">
        <v>2439</v>
      </c>
      <c r="R378" s="21" t="s">
        <v>3137</v>
      </c>
      <c r="W378" s="21" t="s">
        <v>1359</v>
      </c>
      <c r="Z378" s="21" t="s">
        <v>3775</v>
      </c>
    </row>
    <row r="379" spans="5:26" x14ac:dyDescent="0.25">
      <c r="E379" s="21" t="s">
        <v>5313</v>
      </c>
      <c r="K379" s="21" t="s">
        <v>3359</v>
      </c>
      <c r="R379" s="21" t="s">
        <v>2927</v>
      </c>
      <c r="W379" s="21" t="s">
        <v>1074</v>
      </c>
      <c r="Z379" s="21" t="s">
        <v>3777</v>
      </c>
    </row>
    <row r="380" spans="5:26" x14ac:dyDescent="0.25">
      <c r="E380" s="21" t="s">
        <v>3282</v>
      </c>
      <c r="K380" s="21" t="s">
        <v>2707</v>
      </c>
      <c r="R380" s="21" t="s">
        <v>623</v>
      </c>
      <c r="W380" s="21" t="s">
        <v>1212</v>
      </c>
      <c r="Z380" s="21" t="s">
        <v>3748</v>
      </c>
    </row>
    <row r="381" spans="5:26" x14ac:dyDescent="0.25">
      <c r="E381" s="21" t="s">
        <v>1411</v>
      </c>
      <c r="K381" s="21" t="s">
        <v>536</v>
      </c>
      <c r="R381" s="21" t="s">
        <v>317</v>
      </c>
      <c r="W381" s="21" t="s">
        <v>2869</v>
      </c>
      <c r="Z381" s="21" t="s">
        <v>2613</v>
      </c>
    </row>
    <row r="382" spans="5:26" x14ac:dyDescent="0.25">
      <c r="E382" s="21" t="s">
        <v>2248</v>
      </c>
      <c r="K382" s="21" t="s">
        <v>686</v>
      </c>
      <c r="R382" s="21" t="s">
        <v>821</v>
      </c>
      <c r="W382" s="21" t="s">
        <v>1378</v>
      </c>
      <c r="Z382" s="21" t="s">
        <v>914</v>
      </c>
    </row>
    <row r="383" spans="5:26" x14ac:dyDescent="0.25">
      <c r="E383" s="21" t="s">
        <v>5287</v>
      </c>
      <c r="K383" s="21" t="s">
        <v>2713</v>
      </c>
      <c r="R383" s="21" t="s">
        <v>665</v>
      </c>
      <c r="W383" s="21" t="s">
        <v>1542</v>
      </c>
      <c r="Z383" s="21" t="s">
        <v>3557</v>
      </c>
    </row>
    <row r="384" spans="5:26" x14ac:dyDescent="0.25">
      <c r="E384" s="21" t="s">
        <v>2253</v>
      </c>
      <c r="K384" s="21" t="s">
        <v>3570</v>
      </c>
      <c r="R384" s="21" t="s">
        <v>251</v>
      </c>
      <c r="W384" s="21" t="s">
        <v>1323</v>
      </c>
      <c r="Z384" s="21" t="s">
        <v>3425</v>
      </c>
    </row>
    <row r="385" spans="5:26" x14ac:dyDescent="0.25">
      <c r="E385" s="21" t="s">
        <v>2452</v>
      </c>
      <c r="K385" s="21" t="s">
        <v>443</v>
      </c>
      <c r="R385" s="21" t="s">
        <v>284</v>
      </c>
      <c r="W385" s="21" t="s">
        <v>1433</v>
      </c>
      <c r="Z385" s="21" t="s">
        <v>1585</v>
      </c>
    </row>
    <row r="386" spans="5:26" x14ac:dyDescent="0.25">
      <c r="E386" s="21" t="s">
        <v>3285</v>
      </c>
      <c r="K386" s="21" t="s">
        <v>2547</v>
      </c>
      <c r="R386" s="21" t="s">
        <v>2979</v>
      </c>
      <c r="W386" s="21" t="s">
        <v>493</v>
      </c>
      <c r="Z386" s="21" t="s">
        <v>3548</v>
      </c>
    </row>
    <row r="387" spans="5:26" x14ac:dyDescent="0.25">
      <c r="E387" s="21" t="s">
        <v>1866</v>
      </c>
      <c r="K387" s="21" t="s">
        <v>4873</v>
      </c>
      <c r="R387" s="21" t="s">
        <v>2947</v>
      </c>
      <c r="W387" s="21" t="s">
        <v>1556</v>
      </c>
      <c r="Z387" s="21" t="s">
        <v>3588</v>
      </c>
    </row>
    <row r="388" spans="5:26" x14ac:dyDescent="0.25">
      <c r="E388" s="21" t="s">
        <v>1907</v>
      </c>
      <c r="K388" s="21" t="s">
        <v>2844</v>
      </c>
      <c r="R388" s="21" t="s">
        <v>544</v>
      </c>
      <c r="W388" s="21" t="s">
        <v>1244</v>
      </c>
      <c r="Z388" s="21" t="s">
        <v>3480</v>
      </c>
    </row>
    <row r="389" spans="5:26" x14ac:dyDescent="0.25">
      <c r="E389" s="21" t="s">
        <v>1603</v>
      </c>
      <c r="K389" s="21" t="s">
        <v>637</v>
      </c>
      <c r="R389" s="21" t="s">
        <v>2933</v>
      </c>
      <c r="W389" s="21" t="s">
        <v>1426</v>
      </c>
      <c r="Z389" s="21" t="s">
        <v>3363</v>
      </c>
    </row>
    <row r="390" spans="5:26" x14ac:dyDescent="0.25">
      <c r="E390" s="21" t="s">
        <v>1894</v>
      </c>
      <c r="K390" s="21" t="s">
        <v>2806</v>
      </c>
      <c r="R390" s="21" t="s">
        <v>3052</v>
      </c>
      <c r="W390" s="21" t="s">
        <v>1494</v>
      </c>
      <c r="Z390" s="21" t="s">
        <v>3569</v>
      </c>
    </row>
    <row r="391" spans="5:26" x14ac:dyDescent="0.25">
      <c r="E391" s="21" t="s">
        <v>2050</v>
      </c>
      <c r="K391" s="21" t="s">
        <v>444</v>
      </c>
      <c r="R391" s="21" t="s">
        <v>627</v>
      </c>
      <c r="W391" s="21" t="s">
        <v>1014</v>
      </c>
      <c r="Z391" s="21" t="s">
        <v>277</v>
      </c>
    </row>
    <row r="392" spans="5:26" x14ac:dyDescent="0.25">
      <c r="E392" s="21" t="s">
        <v>1875</v>
      </c>
      <c r="K392" s="21" t="s">
        <v>2522</v>
      </c>
      <c r="R392" s="21" t="s">
        <v>3046</v>
      </c>
      <c r="W392" s="21" t="s">
        <v>1168</v>
      </c>
      <c r="Z392" s="21" t="s">
        <v>3632</v>
      </c>
    </row>
    <row r="393" spans="5:26" x14ac:dyDescent="0.25">
      <c r="E393" s="21" t="s">
        <v>1830</v>
      </c>
      <c r="K393" s="21" t="s">
        <v>2316</v>
      </c>
      <c r="R393" s="21" t="s">
        <v>3078</v>
      </c>
      <c r="W393" s="21" t="s">
        <v>1313</v>
      </c>
      <c r="Z393" s="21" t="s">
        <v>3823</v>
      </c>
    </row>
    <row r="394" spans="5:26" x14ac:dyDescent="0.25">
      <c r="E394" s="21" t="s">
        <v>2295</v>
      </c>
      <c r="K394" s="21" t="s">
        <v>681</v>
      </c>
      <c r="R394" s="21" t="s">
        <v>617</v>
      </c>
      <c r="W394" s="21" t="s">
        <v>1016</v>
      </c>
      <c r="Z394" s="21" t="s">
        <v>3336</v>
      </c>
    </row>
    <row r="395" spans="5:26" x14ac:dyDescent="0.25">
      <c r="E395" s="21" t="s">
        <v>2142</v>
      </c>
      <c r="K395" s="21" t="s">
        <v>812</v>
      </c>
      <c r="R395" s="21" t="s">
        <v>615</v>
      </c>
      <c r="W395" s="21" t="s">
        <v>2945</v>
      </c>
      <c r="Z395" s="21" t="s">
        <v>1337</v>
      </c>
    </row>
    <row r="396" spans="5:26" x14ac:dyDescent="0.25">
      <c r="E396" s="21" t="s">
        <v>5027</v>
      </c>
      <c r="K396" s="21" t="s">
        <v>1605</v>
      </c>
      <c r="R396" s="21" t="s">
        <v>602</v>
      </c>
      <c r="W396" s="21" t="s">
        <v>893</v>
      </c>
      <c r="Z396" s="21" t="s">
        <v>3365</v>
      </c>
    </row>
    <row r="397" spans="5:26" x14ac:dyDescent="0.25">
      <c r="E397" s="21" t="s">
        <v>1699</v>
      </c>
      <c r="K397" s="21" t="s">
        <v>5335</v>
      </c>
      <c r="R397" s="21" t="s">
        <v>591</v>
      </c>
      <c r="W397" s="21" t="s">
        <v>1398</v>
      </c>
      <c r="Z397" s="21" t="s">
        <v>3649</v>
      </c>
    </row>
    <row r="398" spans="5:26" x14ac:dyDescent="0.25">
      <c r="E398" s="21" t="s">
        <v>1933</v>
      </c>
      <c r="K398" s="21" t="s">
        <v>1754</v>
      </c>
      <c r="R398" s="21" t="s">
        <v>1406</v>
      </c>
      <c r="W398" s="21" t="s">
        <v>1283</v>
      </c>
      <c r="Z398" s="21" t="s">
        <v>3699</v>
      </c>
    </row>
    <row r="399" spans="5:26" x14ac:dyDescent="0.25">
      <c r="E399" s="21" t="s">
        <v>5026</v>
      </c>
      <c r="K399" s="21" t="s">
        <v>5255</v>
      </c>
      <c r="R399" s="21" t="s">
        <v>677</v>
      </c>
      <c r="W399" s="21" t="s">
        <v>303</v>
      </c>
      <c r="Z399" s="21" t="s">
        <v>3711</v>
      </c>
    </row>
    <row r="400" spans="5:26" x14ac:dyDescent="0.25">
      <c r="E400" s="21" t="s">
        <v>2366</v>
      </c>
      <c r="K400" s="21" t="s">
        <v>2767</v>
      </c>
      <c r="R400" s="21" t="s">
        <v>3391</v>
      </c>
      <c r="W400" s="21" t="s">
        <v>1017</v>
      </c>
      <c r="Z400" s="21" t="s">
        <v>5965</v>
      </c>
    </row>
    <row r="401" spans="5:26" x14ac:dyDescent="0.25">
      <c r="E401" s="21" t="s">
        <v>2464</v>
      </c>
      <c r="K401" s="21" t="s">
        <v>3343</v>
      </c>
      <c r="W401" s="21" t="s">
        <v>943</v>
      </c>
      <c r="Z401" s="21" t="s">
        <v>318</v>
      </c>
    </row>
    <row r="402" spans="5:26" x14ac:dyDescent="0.25">
      <c r="E402" s="21" t="s">
        <v>1628</v>
      </c>
      <c r="K402" s="21" t="s">
        <v>2812</v>
      </c>
      <c r="W402" s="21" t="s">
        <v>1549</v>
      </c>
      <c r="Z402" s="21" t="s">
        <v>3764</v>
      </c>
    </row>
    <row r="403" spans="5:26" x14ac:dyDescent="0.25">
      <c r="E403" s="21" t="s">
        <v>4916</v>
      </c>
      <c r="K403" s="21" t="s">
        <v>445</v>
      </c>
      <c r="W403" s="21" t="s">
        <v>988</v>
      </c>
      <c r="Z403" s="21" t="s">
        <v>3838</v>
      </c>
    </row>
    <row r="404" spans="5:26" x14ac:dyDescent="0.25">
      <c r="E404" s="21" t="s">
        <v>1790</v>
      </c>
      <c r="K404" s="21" t="s">
        <v>2482</v>
      </c>
      <c r="W404" s="21" t="s">
        <v>906</v>
      </c>
      <c r="Z404" s="21" t="s">
        <v>700</v>
      </c>
    </row>
    <row r="405" spans="5:26" x14ac:dyDescent="0.25">
      <c r="E405" s="21" t="s">
        <v>1842</v>
      </c>
      <c r="K405" s="21" t="s">
        <v>346</v>
      </c>
      <c r="W405" s="21" t="s">
        <v>1528</v>
      </c>
      <c r="Z405" s="21" t="s">
        <v>1156</v>
      </c>
    </row>
    <row r="406" spans="5:26" x14ac:dyDescent="0.25">
      <c r="E406" s="21" t="s">
        <v>2081</v>
      </c>
      <c r="K406" s="21" t="s">
        <v>2610</v>
      </c>
      <c r="W406" s="21" t="s">
        <v>1373</v>
      </c>
      <c r="Z406" s="21" t="s">
        <v>1594</v>
      </c>
    </row>
    <row r="407" spans="5:26" x14ac:dyDescent="0.25">
      <c r="E407" s="21" t="s">
        <v>2112</v>
      </c>
      <c r="K407" s="21" t="s">
        <v>2618</v>
      </c>
      <c r="W407" s="21" t="s">
        <v>3128</v>
      </c>
      <c r="Z407" s="21" t="s">
        <v>2780</v>
      </c>
    </row>
    <row r="408" spans="5:26" x14ac:dyDescent="0.25">
      <c r="E408" s="21" t="s">
        <v>2055</v>
      </c>
      <c r="K408" s="21" t="s">
        <v>2343</v>
      </c>
      <c r="W408" s="21" t="s">
        <v>2978</v>
      </c>
      <c r="Z408" s="21" t="s">
        <v>3828</v>
      </c>
    </row>
    <row r="409" spans="5:26" x14ac:dyDescent="0.25">
      <c r="E409" s="21" t="s">
        <v>2108</v>
      </c>
      <c r="K409" s="21" t="s">
        <v>826</v>
      </c>
      <c r="W409" s="21" t="s">
        <v>1293</v>
      </c>
      <c r="Z409" s="21" t="s">
        <v>882</v>
      </c>
    </row>
    <row r="410" spans="5:26" x14ac:dyDescent="0.25">
      <c r="E410" s="21" t="s">
        <v>1963</v>
      </c>
      <c r="K410" s="21" t="s">
        <v>2277</v>
      </c>
      <c r="W410" s="21" t="s">
        <v>1396</v>
      </c>
      <c r="Z410" s="21" t="s">
        <v>3681</v>
      </c>
    </row>
    <row r="411" spans="5:26" x14ac:dyDescent="0.25">
      <c r="E411" s="21" t="s">
        <v>1788</v>
      </c>
      <c r="K411" s="21" t="s">
        <v>2409</v>
      </c>
      <c r="W411" s="21" t="s">
        <v>3032</v>
      </c>
      <c r="Z411" s="21" t="s">
        <v>3368</v>
      </c>
    </row>
    <row r="412" spans="5:26" x14ac:dyDescent="0.25">
      <c r="E412" s="21" t="s">
        <v>1413</v>
      </c>
      <c r="K412" s="21" t="s">
        <v>299</v>
      </c>
      <c r="W412" s="21" t="s">
        <v>1495</v>
      </c>
      <c r="Z412" s="21" t="s">
        <v>2590</v>
      </c>
    </row>
    <row r="413" spans="5:26" x14ac:dyDescent="0.25">
      <c r="E413" s="21" t="s">
        <v>1637</v>
      </c>
      <c r="K413" s="21" t="s">
        <v>1904</v>
      </c>
      <c r="W413" s="21" t="s">
        <v>1311</v>
      </c>
      <c r="Z413" s="21" t="s">
        <v>3765</v>
      </c>
    </row>
    <row r="414" spans="5:26" x14ac:dyDescent="0.25">
      <c r="E414" s="21" t="s">
        <v>2165</v>
      </c>
      <c r="K414" s="21" t="s">
        <v>1872</v>
      </c>
      <c r="W414" s="21" t="s">
        <v>1206</v>
      </c>
      <c r="Z414" s="21" t="s">
        <v>3439</v>
      </c>
    </row>
    <row r="415" spans="5:26" x14ac:dyDescent="0.25">
      <c r="E415" s="21" t="s">
        <v>1854</v>
      </c>
      <c r="K415" s="21" t="s">
        <v>4854</v>
      </c>
      <c r="W415" s="21" t="s">
        <v>1464</v>
      </c>
      <c r="Z415" s="21" t="s">
        <v>3723</v>
      </c>
    </row>
    <row r="416" spans="5:26" x14ac:dyDescent="0.25">
      <c r="E416" s="21" t="s">
        <v>4259</v>
      </c>
      <c r="K416" s="21" t="s">
        <v>2487</v>
      </c>
      <c r="W416" s="21" t="s">
        <v>1282</v>
      </c>
      <c r="Z416" s="21" t="s">
        <v>3376</v>
      </c>
    </row>
    <row r="417" spans="5:26" x14ac:dyDescent="0.25">
      <c r="E417" s="21" t="s">
        <v>1905</v>
      </c>
      <c r="K417" s="21" t="s">
        <v>3175</v>
      </c>
      <c r="W417" s="21" t="s">
        <v>1529</v>
      </c>
      <c r="Z417" s="21" t="s">
        <v>3294</v>
      </c>
    </row>
    <row r="418" spans="5:26" x14ac:dyDescent="0.25">
      <c r="E418" s="21" t="s">
        <v>5337</v>
      </c>
      <c r="K418" s="21" t="s">
        <v>2455</v>
      </c>
      <c r="W418" s="21" t="s">
        <v>991</v>
      </c>
      <c r="Z418" s="21" t="s">
        <v>856</v>
      </c>
    </row>
    <row r="419" spans="5:26" x14ac:dyDescent="0.25">
      <c r="K419" s="21" t="s">
        <v>3574</v>
      </c>
      <c r="W419" s="21" t="s">
        <v>1419</v>
      </c>
      <c r="Z419" s="21" t="s">
        <v>3800</v>
      </c>
    </row>
    <row r="420" spans="5:26" x14ac:dyDescent="0.25">
      <c r="K420" s="21" t="s">
        <v>315</v>
      </c>
      <c r="W420" s="21" t="s">
        <v>1039</v>
      </c>
      <c r="Z420" s="21" t="s">
        <v>3825</v>
      </c>
    </row>
    <row r="421" spans="5:26" x14ac:dyDescent="0.25">
      <c r="K421" s="21" t="s">
        <v>2665</v>
      </c>
      <c r="W421" s="21" t="s">
        <v>1021</v>
      </c>
      <c r="Z421" s="21" t="s">
        <v>854</v>
      </c>
    </row>
    <row r="422" spans="5:26" x14ac:dyDescent="0.25">
      <c r="K422" s="21" t="s">
        <v>687</v>
      </c>
      <c r="W422" s="21" t="s">
        <v>1141</v>
      </c>
      <c r="Z422" s="21" t="s">
        <v>3559</v>
      </c>
    </row>
    <row r="423" spans="5:26" x14ac:dyDescent="0.25">
      <c r="K423" s="21" t="s">
        <v>2795</v>
      </c>
      <c r="W423" s="21" t="s">
        <v>1154</v>
      </c>
      <c r="Z423" s="21" t="s">
        <v>3626</v>
      </c>
    </row>
    <row r="424" spans="5:26" x14ac:dyDescent="0.25">
      <c r="K424" s="21" t="s">
        <v>1794</v>
      </c>
      <c r="W424" s="21" t="s">
        <v>1484</v>
      </c>
      <c r="Z424" s="21" t="s">
        <v>3797</v>
      </c>
    </row>
    <row r="425" spans="5:26" x14ac:dyDescent="0.25">
      <c r="K425" s="21" t="s">
        <v>1899</v>
      </c>
      <c r="W425" s="21" t="s">
        <v>1370</v>
      </c>
      <c r="Z425" s="21" t="s">
        <v>3689</v>
      </c>
    </row>
    <row r="426" spans="5:26" x14ac:dyDescent="0.25">
      <c r="K426" s="21" t="s">
        <v>3556</v>
      </c>
      <c r="W426" s="21" t="s">
        <v>1348</v>
      </c>
      <c r="Z426" s="21" t="s">
        <v>727</v>
      </c>
    </row>
    <row r="427" spans="5:26" x14ac:dyDescent="0.25">
      <c r="K427" s="21" t="s">
        <v>2745</v>
      </c>
      <c r="W427" s="21" t="s">
        <v>2862</v>
      </c>
      <c r="Z427" s="21" t="s">
        <v>3637</v>
      </c>
    </row>
    <row r="428" spans="5:26" x14ac:dyDescent="0.25">
      <c r="K428" s="21" t="s">
        <v>446</v>
      </c>
      <c r="W428" s="21" t="s">
        <v>912</v>
      </c>
      <c r="Z428" s="21" t="s">
        <v>3833</v>
      </c>
    </row>
    <row r="429" spans="5:26" x14ac:dyDescent="0.25">
      <c r="K429" s="21" t="s">
        <v>2525</v>
      </c>
      <c r="W429" s="21" t="s">
        <v>1271</v>
      </c>
      <c r="Z429" s="21" t="s">
        <v>775</v>
      </c>
    </row>
    <row r="430" spans="5:26" x14ac:dyDescent="0.25">
      <c r="K430" s="21" t="s">
        <v>1921</v>
      </c>
      <c r="W430" s="21" t="s">
        <v>1251</v>
      </c>
      <c r="Z430" s="21" t="s">
        <v>732</v>
      </c>
    </row>
    <row r="431" spans="5:26" x14ac:dyDescent="0.25">
      <c r="K431" s="21" t="s">
        <v>1991</v>
      </c>
      <c r="W431" s="21" t="s">
        <v>1152</v>
      </c>
      <c r="Z431" s="21" t="s">
        <v>3735</v>
      </c>
    </row>
    <row r="432" spans="5:26" x14ac:dyDescent="0.25">
      <c r="K432" s="21" t="s">
        <v>3223</v>
      </c>
      <c r="W432" s="21" t="s">
        <v>933</v>
      </c>
      <c r="Z432" s="21" t="s">
        <v>3799</v>
      </c>
    </row>
    <row r="433" spans="11:26" x14ac:dyDescent="0.25">
      <c r="K433" s="21" t="s">
        <v>840</v>
      </c>
      <c r="W433" s="21" t="s">
        <v>2858</v>
      </c>
      <c r="Z433" s="21" t="s">
        <v>862</v>
      </c>
    </row>
    <row r="434" spans="11:26" x14ac:dyDescent="0.25">
      <c r="K434" s="21" t="s">
        <v>447</v>
      </c>
      <c r="W434" s="21" t="s">
        <v>1304</v>
      </c>
      <c r="Z434" s="21" t="s">
        <v>3665</v>
      </c>
    </row>
    <row r="435" spans="11:26" x14ac:dyDescent="0.25">
      <c r="K435" s="21" t="s">
        <v>588</v>
      </c>
      <c r="W435" s="21" t="s">
        <v>1531</v>
      </c>
      <c r="Z435" s="21" t="s">
        <v>3461</v>
      </c>
    </row>
    <row r="436" spans="11:26" x14ac:dyDescent="0.25">
      <c r="K436" s="21" t="s">
        <v>3176</v>
      </c>
      <c r="W436" s="21" t="s">
        <v>1346</v>
      </c>
      <c r="Z436" s="21" t="s">
        <v>863</v>
      </c>
    </row>
    <row r="437" spans="11:26" x14ac:dyDescent="0.25">
      <c r="K437" s="21" t="s">
        <v>692</v>
      </c>
      <c r="W437" s="21" t="s">
        <v>1411</v>
      </c>
      <c r="Z437" s="21" t="s">
        <v>3347</v>
      </c>
    </row>
    <row r="438" spans="11:26" x14ac:dyDescent="0.25">
      <c r="K438" s="21" t="s">
        <v>3527</v>
      </c>
      <c r="W438" s="21" t="s">
        <v>1140</v>
      </c>
      <c r="Z438" s="21" t="s">
        <v>888</v>
      </c>
    </row>
    <row r="439" spans="11:26" x14ac:dyDescent="0.25">
      <c r="K439" s="21" t="s">
        <v>2504</v>
      </c>
      <c r="W439" s="21" t="s">
        <v>212</v>
      </c>
      <c r="Z439" s="21" t="s">
        <v>3605</v>
      </c>
    </row>
    <row r="440" spans="11:26" x14ac:dyDescent="0.25">
      <c r="K440" s="21" t="s">
        <v>3438</v>
      </c>
      <c r="W440" s="21" t="s">
        <v>1468</v>
      </c>
      <c r="Z440" s="21" t="s">
        <v>3729</v>
      </c>
    </row>
    <row r="441" spans="11:26" x14ac:dyDescent="0.25">
      <c r="K441" s="21" t="s">
        <v>448</v>
      </c>
      <c r="W441" s="21" t="s">
        <v>1332</v>
      </c>
      <c r="Z441" s="21" t="s">
        <v>831</v>
      </c>
    </row>
    <row r="442" spans="11:26" x14ac:dyDescent="0.25">
      <c r="K442" s="21" t="s">
        <v>449</v>
      </c>
      <c r="W442" s="21" t="s">
        <v>909</v>
      </c>
      <c r="Z442" s="21" t="s">
        <v>3467</v>
      </c>
    </row>
    <row r="443" spans="11:26" x14ac:dyDescent="0.25">
      <c r="K443" s="21" t="s">
        <v>2749</v>
      </c>
      <c r="W443" s="21" t="s">
        <v>953</v>
      </c>
      <c r="Z443" s="21" t="s">
        <v>3631</v>
      </c>
    </row>
    <row r="444" spans="11:26" x14ac:dyDescent="0.25">
      <c r="K444" s="21" t="s">
        <v>2804</v>
      </c>
      <c r="W444" s="21" t="s">
        <v>2857</v>
      </c>
      <c r="Z444" s="21" t="s">
        <v>1596</v>
      </c>
    </row>
    <row r="445" spans="11:26" x14ac:dyDescent="0.25">
      <c r="K445" s="21" t="s">
        <v>690</v>
      </c>
      <c r="W445" s="21" t="s">
        <v>1172</v>
      </c>
      <c r="Z445" s="21" t="s">
        <v>3437</v>
      </c>
    </row>
    <row r="446" spans="11:26" x14ac:dyDescent="0.25">
      <c r="K446" s="21" t="s">
        <v>2832</v>
      </c>
      <c r="W446" s="21" t="s">
        <v>1076</v>
      </c>
      <c r="Z446" s="21" t="s">
        <v>1421</v>
      </c>
    </row>
    <row r="447" spans="11:26" x14ac:dyDescent="0.25">
      <c r="K447" s="21" t="s">
        <v>664</v>
      </c>
      <c r="W447" s="21" t="s">
        <v>1420</v>
      </c>
      <c r="Z447" s="21" t="s">
        <v>3673</v>
      </c>
    </row>
    <row r="448" spans="11:26" x14ac:dyDescent="0.25">
      <c r="K448" s="21" t="s">
        <v>2701</v>
      </c>
      <c r="W448" s="21" t="s">
        <v>945</v>
      </c>
      <c r="Z448" s="21" t="s">
        <v>609</v>
      </c>
    </row>
    <row r="449" spans="11:26" x14ac:dyDescent="0.25">
      <c r="K449" s="21" t="s">
        <v>1671</v>
      </c>
      <c r="W449" s="21" t="s">
        <v>1241</v>
      </c>
      <c r="Z449" s="21" t="s">
        <v>3795</v>
      </c>
    </row>
    <row r="450" spans="11:26" x14ac:dyDescent="0.25">
      <c r="K450" s="21" t="s">
        <v>3587</v>
      </c>
      <c r="W450" s="21" t="s">
        <v>1029</v>
      </c>
      <c r="Z450" s="21" t="s">
        <v>3575</v>
      </c>
    </row>
    <row r="451" spans="11:26" x14ac:dyDescent="0.25">
      <c r="K451" s="21" t="s">
        <v>649</v>
      </c>
      <c r="W451" s="21" t="s">
        <v>2911</v>
      </c>
      <c r="Z451" s="21" t="s">
        <v>3352</v>
      </c>
    </row>
    <row r="452" spans="11:26" x14ac:dyDescent="0.25">
      <c r="K452" s="21" t="s">
        <v>1787</v>
      </c>
      <c r="W452" s="21" t="s">
        <v>1412</v>
      </c>
      <c r="Z452" s="21" t="s">
        <v>3608</v>
      </c>
    </row>
    <row r="453" spans="11:26" x14ac:dyDescent="0.25">
      <c r="K453" s="21" t="s">
        <v>5178</v>
      </c>
      <c r="W453" s="21" t="s">
        <v>1207</v>
      </c>
      <c r="Z453" s="21" t="s">
        <v>3701</v>
      </c>
    </row>
    <row r="454" spans="11:26" x14ac:dyDescent="0.25">
      <c r="K454" s="21" t="s">
        <v>2744</v>
      </c>
      <c r="W454" s="21" t="s">
        <v>1126</v>
      </c>
      <c r="Z454" s="21" t="s">
        <v>3367</v>
      </c>
    </row>
    <row r="455" spans="11:26" x14ac:dyDescent="0.25">
      <c r="K455" s="21" t="s">
        <v>715</v>
      </c>
      <c r="W455" s="21" t="s">
        <v>1231</v>
      </c>
      <c r="Z455" s="21" t="s">
        <v>2809</v>
      </c>
    </row>
    <row r="456" spans="11:26" x14ac:dyDescent="0.25">
      <c r="K456" s="21" t="s">
        <v>720</v>
      </c>
      <c r="W456" s="21" t="s">
        <v>1369</v>
      </c>
      <c r="Z456" s="21" t="s">
        <v>675</v>
      </c>
    </row>
    <row r="457" spans="11:26" x14ac:dyDescent="0.25">
      <c r="K457" s="21" t="s">
        <v>1695</v>
      </c>
      <c r="W457" s="21" t="s">
        <v>1068</v>
      </c>
      <c r="Z457" s="21" t="s">
        <v>778</v>
      </c>
    </row>
    <row r="458" spans="11:26" x14ac:dyDescent="0.25">
      <c r="K458" s="21" t="s">
        <v>450</v>
      </c>
      <c r="W458" s="21" t="s">
        <v>974</v>
      </c>
      <c r="Z458" s="21" t="s">
        <v>3601</v>
      </c>
    </row>
    <row r="459" spans="11:26" x14ac:dyDescent="0.25">
      <c r="K459" s="21" t="s">
        <v>3535</v>
      </c>
      <c r="W459" s="21" t="s">
        <v>2904</v>
      </c>
      <c r="Z459" s="21" t="s">
        <v>3470</v>
      </c>
    </row>
    <row r="460" spans="11:26" x14ac:dyDescent="0.25">
      <c r="K460" s="21" t="s">
        <v>451</v>
      </c>
      <c r="W460" s="21" t="s">
        <v>952</v>
      </c>
      <c r="Z460" s="21" t="s">
        <v>3555</v>
      </c>
    </row>
    <row r="461" spans="11:26" x14ac:dyDescent="0.25">
      <c r="K461" s="21" t="s">
        <v>452</v>
      </c>
      <c r="W461" s="21" t="s">
        <v>1479</v>
      </c>
      <c r="Z461" s="21" t="s">
        <v>3772</v>
      </c>
    </row>
    <row r="462" spans="11:26" x14ac:dyDescent="0.25">
      <c r="K462" s="21" t="s">
        <v>1799</v>
      </c>
      <c r="W462" s="21" t="s">
        <v>2959</v>
      </c>
      <c r="Z462" s="21" t="s">
        <v>3503</v>
      </c>
    </row>
    <row r="463" spans="11:26" x14ac:dyDescent="0.25">
      <c r="K463" s="21" t="s">
        <v>338</v>
      </c>
      <c r="W463" s="21" t="s">
        <v>1451</v>
      </c>
      <c r="Z463" s="21" t="s">
        <v>1087</v>
      </c>
    </row>
    <row r="464" spans="11:26" x14ac:dyDescent="0.25">
      <c r="K464" s="21" t="s">
        <v>3256</v>
      </c>
      <c r="W464" s="21" t="s">
        <v>1245</v>
      </c>
      <c r="Z464" s="21" t="s">
        <v>804</v>
      </c>
    </row>
    <row r="465" spans="11:26" x14ac:dyDescent="0.25">
      <c r="K465" s="21" t="s">
        <v>1638</v>
      </c>
      <c r="W465" s="21" t="s">
        <v>2878</v>
      </c>
      <c r="Z465" s="21" t="s">
        <v>3641</v>
      </c>
    </row>
    <row r="466" spans="11:26" x14ac:dyDescent="0.25">
      <c r="K466" s="21" t="s">
        <v>734</v>
      </c>
      <c r="W466" s="21" t="s">
        <v>1355</v>
      </c>
      <c r="Z466" s="21" t="s">
        <v>472</v>
      </c>
    </row>
    <row r="467" spans="11:26" x14ac:dyDescent="0.25">
      <c r="K467" s="21" t="s">
        <v>3198</v>
      </c>
      <c r="W467" s="21" t="s">
        <v>1340</v>
      </c>
      <c r="Z467" s="21" t="s">
        <v>3694</v>
      </c>
    </row>
    <row r="468" spans="11:26" x14ac:dyDescent="0.25">
      <c r="K468" s="21" t="s">
        <v>709</v>
      </c>
      <c r="W468" s="21" t="s">
        <v>1379</v>
      </c>
      <c r="Z468" s="21" t="s">
        <v>3249</v>
      </c>
    </row>
    <row r="469" spans="11:26" x14ac:dyDescent="0.25">
      <c r="K469" s="21" t="s">
        <v>1895</v>
      </c>
      <c r="W469" s="21" t="s">
        <v>1307</v>
      </c>
      <c r="Z469" s="21" t="s">
        <v>3693</v>
      </c>
    </row>
    <row r="470" spans="11:26" x14ac:dyDescent="0.25">
      <c r="K470" s="21" t="s">
        <v>689</v>
      </c>
      <c r="W470" s="21" t="s">
        <v>2881</v>
      </c>
      <c r="Z470" s="21" t="s">
        <v>3804</v>
      </c>
    </row>
    <row r="471" spans="11:26" x14ac:dyDescent="0.25">
      <c r="K471" s="21" t="s">
        <v>3654</v>
      </c>
      <c r="W471" s="21" t="s">
        <v>934</v>
      </c>
      <c r="Z471" s="21" t="s">
        <v>740</v>
      </c>
    </row>
    <row r="472" spans="11:26" x14ac:dyDescent="0.25">
      <c r="K472" s="21" t="s">
        <v>1778</v>
      </c>
      <c r="W472" s="21" t="s">
        <v>2873</v>
      </c>
      <c r="Z472" s="21" t="s">
        <v>3821</v>
      </c>
    </row>
    <row r="473" spans="11:26" x14ac:dyDescent="0.25">
      <c r="K473" s="21" t="s">
        <v>331</v>
      </c>
      <c r="W473" s="21" t="s">
        <v>1264</v>
      </c>
      <c r="Z473" s="21" t="s">
        <v>3752</v>
      </c>
    </row>
    <row r="474" spans="11:26" x14ac:dyDescent="0.25">
      <c r="K474" s="21" t="s">
        <v>2737</v>
      </c>
      <c r="W474" s="21" t="s">
        <v>1487</v>
      </c>
      <c r="Z474" s="21" t="s">
        <v>3451</v>
      </c>
    </row>
    <row r="475" spans="11:26" x14ac:dyDescent="0.25">
      <c r="K475" s="21" t="s">
        <v>453</v>
      </c>
      <c r="W475" s="21" t="s">
        <v>1554</v>
      </c>
      <c r="Z475" s="21" t="s">
        <v>3760</v>
      </c>
    </row>
    <row r="476" spans="11:26" x14ac:dyDescent="0.25">
      <c r="K476" s="21" t="s">
        <v>2369</v>
      </c>
      <c r="W476" s="21" t="s">
        <v>1458</v>
      </c>
      <c r="Z476" s="21" t="s">
        <v>3720</v>
      </c>
    </row>
    <row r="477" spans="11:26" x14ac:dyDescent="0.25">
      <c r="K477" s="21" t="s">
        <v>2534</v>
      </c>
      <c r="W477" s="21" t="s">
        <v>1407</v>
      </c>
      <c r="Z477" s="21" t="s">
        <v>3768</v>
      </c>
    </row>
    <row r="478" spans="11:26" x14ac:dyDescent="0.25">
      <c r="K478" s="21" t="s">
        <v>1949</v>
      </c>
      <c r="W478" s="21" t="s">
        <v>1036</v>
      </c>
      <c r="Z478" s="21" t="s">
        <v>710</v>
      </c>
    </row>
    <row r="479" spans="11:26" x14ac:dyDescent="0.25">
      <c r="K479" s="21" t="s">
        <v>454</v>
      </c>
      <c r="W479" s="21" t="s">
        <v>1266</v>
      </c>
      <c r="Z479" s="21" t="s">
        <v>3490</v>
      </c>
    </row>
    <row r="480" spans="11:26" x14ac:dyDescent="0.25">
      <c r="K480" s="21" t="s">
        <v>2358</v>
      </c>
      <c r="W480" s="21" t="s">
        <v>1347</v>
      </c>
      <c r="Z480" s="21" t="s">
        <v>3356</v>
      </c>
    </row>
    <row r="481" spans="11:26" x14ac:dyDescent="0.25">
      <c r="K481" s="21" t="s">
        <v>1693</v>
      </c>
      <c r="W481" s="21" t="s">
        <v>1236</v>
      </c>
      <c r="Z481" s="21" t="s">
        <v>3736</v>
      </c>
    </row>
    <row r="482" spans="11:26" x14ac:dyDescent="0.25">
      <c r="K482" s="21" t="s">
        <v>455</v>
      </c>
      <c r="W482" s="21" t="s">
        <v>1413</v>
      </c>
      <c r="Z482" s="21" t="s">
        <v>2643</v>
      </c>
    </row>
    <row r="483" spans="11:26" x14ac:dyDescent="0.25">
      <c r="K483" s="21" t="s">
        <v>2336</v>
      </c>
      <c r="W483" s="21" t="s">
        <v>1104</v>
      </c>
      <c r="Z483" s="21" t="s">
        <v>3668</v>
      </c>
    </row>
    <row r="484" spans="11:26" x14ac:dyDescent="0.25">
      <c r="K484" s="21" t="s">
        <v>2542</v>
      </c>
      <c r="W484" s="21" t="s">
        <v>1258</v>
      </c>
      <c r="Z484" s="21" t="s">
        <v>3515</v>
      </c>
    </row>
    <row r="485" spans="11:26" x14ac:dyDescent="0.25">
      <c r="K485" s="21" t="s">
        <v>456</v>
      </c>
      <c r="W485" s="21" t="s">
        <v>1394</v>
      </c>
      <c r="Z485" s="21" t="s">
        <v>753</v>
      </c>
    </row>
    <row r="486" spans="11:26" x14ac:dyDescent="0.25">
      <c r="K486" s="21" t="s">
        <v>2786</v>
      </c>
      <c r="W486" s="21" t="s">
        <v>998</v>
      </c>
      <c r="Z486" s="21" t="s">
        <v>3745</v>
      </c>
    </row>
    <row r="487" spans="11:26" x14ac:dyDescent="0.25">
      <c r="K487" s="21" t="s">
        <v>3087</v>
      </c>
      <c r="W487" s="21" t="s">
        <v>1416</v>
      </c>
      <c r="Z487" s="21" t="s">
        <v>3656</v>
      </c>
    </row>
    <row r="488" spans="11:26" x14ac:dyDescent="0.25">
      <c r="K488" s="21" t="s">
        <v>3110</v>
      </c>
      <c r="W488" s="21" t="s">
        <v>1012</v>
      </c>
      <c r="Z488" s="21" t="s">
        <v>3660</v>
      </c>
    </row>
    <row r="489" spans="11:26" x14ac:dyDescent="0.25">
      <c r="K489" s="21" t="s">
        <v>2782</v>
      </c>
      <c r="W489" s="21" t="s">
        <v>1064</v>
      </c>
      <c r="Z489" s="21" t="s">
        <v>796</v>
      </c>
    </row>
    <row r="490" spans="11:26" x14ac:dyDescent="0.25">
      <c r="K490" s="21" t="s">
        <v>350</v>
      </c>
      <c r="W490" s="21" t="s">
        <v>1139</v>
      </c>
      <c r="Z490" s="21" t="s">
        <v>243</v>
      </c>
    </row>
    <row r="491" spans="11:26" x14ac:dyDescent="0.25">
      <c r="K491" s="21" t="s">
        <v>3691</v>
      </c>
      <c r="W491" s="21" t="s">
        <v>1351</v>
      </c>
      <c r="Z491" s="21" t="s">
        <v>3602</v>
      </c>
    </row>
    <row r="492" spans="11:26" x14ac:dyDescent="0.25">
      <c r="K492" s="21" t="s">
        <v>2441</v>
      </c>
      <c r="W492" s="21" t="s">
        <v>1211</v>
      </c>
      <c r="Z492" s="21" t="s">
        <v>3727</v>
      </c>
    </row>
    <row r="493" spans="11:26" x14ac:dyDescent="0.25">
      <c r="K493" s="21" t="s">
        <v>780</v>
      </c>
      <c r="W493" s="21" t="s">
        <v>1511</v>
      </c>
      <c r="Z493" s="21" t="s">
        <v>3525</v>
      </c>
    </row>
    <row r="494" spans="11:26" x14ac:dyDescent="0.25">
      <c r="K494" s="21" t="s">
        <v>2839</v>
      </c>
      <c r="W494" s="21" t="s">
        <v>1281</v>
      </c>
      <c r="Z494" s="21" t="s">
        <v>3829</v>
      </c>
    </row>
    <row r="495" spans="11:26" x14ac:dyDescent="0.25">
      <c r="K495" s="21" t="s">
        <v>2774</v>
      </c>
      <c r="W495" s="21" t="s">
        <v>3394</v>
      </c>
      <c r="Z495" s="21" t="s">
        <v>3442</v>
      </c>
    </row>
    <row r="496" spans="11:26" x14ac:dyDescent="0.25">
      <c r="K496" s="21" t="s">
        <v>5163</v>
      </c>
      <c r="W496" s="21" t="s">
        <v>1333</v>
      </c>
      <c r="Z496" s="21" t="s">
        <v>3627</v>
      </c>
    </row>
    <row r="497" spans="11:26" x14ac:dyDescent="0.25">
      <c r="K497" s="21" t="s">
        <v>795</v>
      </c>
      <c r="W497" s="21" t="s">
        <v>1243</v>
      </c>
      <c r="Z497" s="21" t="s">
        <v>244</v>
      </c>
    </row>
    <row r="498" spans="11:26" x14ac:dyDescent="0.25">
      <c r="K498" s="21" t="s">
        <v>638</v>
      </c>
      <c r="W498" s="21" t="s">
        <v>972</v>
      </c>
      <c r="Z498" s="21" t="s">
        <v>3370</v>
      </c>
    </row>
    <row r="499" spans="11:26" x14ac:dyDescent="0.25">
      <c r="K499" s="21" t="s">
        <v>2344</v>
      </c>
      <c r="Z499" s="21" t="s">
        <v>1561</v>
      </c>
    </row>
    <row r="500" spans="11:26" x14ac:dyDescent="0.25">
      <c r="K500" s="21" t="s">
        <v>636</v>
      </c>
      <c r="Z500" s="21" t="s">
        <v>3190</v>
      </c>
    </row>
    <row r="501" spans="11:26" x14ac:dyDescent="0.25">
      <c r="K501" s="21" t="s">
        <v>760</v>
      </c>
      <c r="Z501" s="21" t="s">
        <v>3504</v>
      </c>
    </row>
    <row r="502" spans="11:26" x14ac:dyDescent="0.25">
      <c r="K502" s="21" t="s">
        <v>2595</v>
      </c>
      <c r="Z502" s="21" t="s">
        <v>3629</v>
      </c>
    </row>
    <row r="503" spans="11:26" x14ac:dyDescent="0.25">
      <c r="K503" s="21" t="s">
        <v>1730</v>
      </c>
      <c r="Z503" s="21" t="s">
        <v>3791</v>
      </c>
    </row>
    <row r="504" spans="11:26" x14ac:dyDescent="0.25">
      <c r="K504" s="21" t="s">
        <v>1889</v>
      </c>
      <c r="Z504" s="21" t="s">
        <v>3335</v>
      </c>
    </row>
    <row r="505" spans="11:26" x14ac:dyDescent="0.25">
      <c r="K505" s="21" t="s">
        <v>2577</v>
      </c>
      <c r="Z505" s="21" t="s">
        <v>3809</v>
      </c>
    </row>
    <row r="506" spans="11:26" x14ac:dyDescent="0.25">
      <c r="K506" s="21" t="s">
        <v>3518</v>
      </c>
      <c r="Z506" s="21" t="s">
        <v>3339</v>
      </c>
    </row>
    <row r="507" spans="11:26" x14ac:dyDescent="0.25">
      <c r="K507" s="21" t="s">
        <v>748</v>
      </c>
      <c r="Z507" s="21" t="s">
        <v>3565</v>
      </c>
    </row>
    <row r="508" spans="11:26" x14ac:dyDescent="0.25">
      <c r="K508" s="21" t="s">
        <v>3083</v>
      </c>
      <c r="Z508" s="21" t="s">
        <v>656</v>
      </c>
    </row>
    <row r="509" spans="11:26" x14ac:dyDescent="0.25">
      <c r="K509" s="21" t="s">
        <v>2415</v>
      </c>
      <c r="Z509" s="21" t="s">
        <v>3808</v>
      </c>
    </row>
    <row r="510" spans="11:26" x14ac:dyDescent="0.25">
      <c r="K510" s="21" t="s">
        <v>738</v>
      </c>
      <c r="Z510" s="21" t="s">
        <v>904</v>
      </c>
    </row>
    <row r="511" spans="11:26" x14ac:dyDescent="0.25">
      <c r="K511" s="21" t="s">
        <v>1857</v>
      </c>
      <c r="Z511" s="21" t="s">
        <v>830</v>
      </c>
    </row>
    <row r="512" spans="11:26" x14ac:dyDescent="0.25">
      <c r="K512" s="21" t="s">
        <v>2268</v>
      </c>
      <c r="Z512" s="21" t="s">
        <v>725</v>
      </c>
    </row>
    <row r="513" spans="11:26" x14ac:dyDescent="0.25">
      <c r="K513" s="21" t="s">
        <v>2294</v>
      </c>
      <c r="Z513" s="21" t="s">
        <v>3682</v>
      </c>
    </row>
    <row r="514" spans="11:26" x14ac:dyDescent="0.25">
      <c r="K514" s="21" t="s">
        <v>2593</v>
      </c>
      <c r="Z514" s="21" t="s">
        <v>3581</v>
      </c>
    </row>
    <row r="515" spans="11:26" x14ac:dyDescent="0.25">
      <c r="K515" s="21" t="s">
        <v>809</v>
      </c>
      <c r="Z515" s="21" t="s">
        <v>3750</v>
      </c>
    </row>
    <row r="516" spans="11:26" x14ac:dyDescent="0.25">
      <c r="K516" s="21" t="s">
        <v>457</v>
      </c>
      <c r="Z516" s="21" t="s">
        <v>3678</v>
      </c>
    </row>
    <row r="517" spans="11:26" x14ac:dyDescent="0.25">
      <c r="K517" s="21" t="s">
        <v>2092</v>
      </c>
      <c r="Z517" s="21" t="s">
        <v>5966</v>
      </c>
    </row>
    <row r="518" spans="11:26" x14ac:dyDescent="0.25">
      <c r="K518" s="21" t="s">
        <v>1847</v>
      </c>
      <c r="Z518" s="21" t="s">
        <v>645</v>
      </c>
    </row>
    <row r="519" spans="11:26" x14ac:dyDescent="0.25">
      <c r="K519" s="21" t="s">
        <v>1672</v>
      </c>
      <c r="Z519" s="21" t="s">
        <v>5967</v>
      </c>
    </row>
    <row r="520" spans="11:26" x14ac:dyDescent="0.25">
      <c r="K520" s="21" t="s">
        <v>1720</v>
      </c>
      <c r="Z520" s="21" t="s">
        <v>3563</v>
      </c>
    </row>
    <row r="521" spans="11:26" x14ac:dyDescent="0.25">
      <c r="K521" s="21" t="s">
        <v>342</v>
      </c>
      <c r="Z521" s="21" t="s">
        <v>3773</v>
      </c>
    </row>
    <row r="522" spans="11:26" x14ac:dyDescent="0.25">
      <c r="K522" s="21" t="s">
        <v>1701</v>
      </c>
      <c r="Z522" s="21" t="s">
        <v>841</v>
      </c>
    </row>
    <row r="523" spans="11:26" x14ac:dyDescent="0.25">
      <c r="K523" s="21" t="s">
        <v>2667</v>
      </c>
      <c r="Z523" s="21" t="s">
        <v>3429</v>
      </c>
    </row>
    <row r="524" spans="11:26" x14ac:dyDescent="0.25">
      <c r="K524" s="21" t="s">
        <v>5239</v>
      </c>
      <c r="Z524" s="21" t="s">
        <v>3628</v>
      </c>
    </row>
    <row r="525" spans="11:26" x14ac:dyDescent="0.25">
      <c r="K525" s="21" t="s">
        <v>325</v>
      </c>
      <c r="Z525" s="21" t="s">
        <v>3816</v>
      </c>
    </row>
    <row r="526" spans="11:26" x14ac:dyDescent="0.25">
      <c r="K526" s="21" t="s">
        <v>3652</v>
      </c>
      <c r="Z526" s="21" t="s">
        <v>3478</v>
      </c>
    </row>
    <row r="527" spans="11:26" x14ac:dyDescent="0.25">
      <c r="K527" s="21" t="s">
        <v>2499</v>
      </c>
      <c r="Z527" s="21" t="s">
        <v>673</v>
      </c>
    </row>
    <row r="528" spans="11:26" x14ac:dyDescent="0.25">
      <c r="K528" s="21" t="s">
        <v>1824</v>
      </c>
      <c r="Z528" s="21" t="s">
        <v>282</v>
      </c>
    </row>
    <row r="529" spans="11:26" x14ac:dyDescent="0.25">
      <c r="K529" s="21" t="s">
        <v>1772</v>
      </c>
      <c r="Z529" s="21" t="s">
        <v>870</v>
      </c>
    </row>
    <row r="530" spans="11:26" x14ac:dyDescent="0.25">
      <c r="K530" s="21" t="s">
        <v>2668</v>
      </c>
      <c r="Z530" s="21" t="s">
        <v>3782</v>
      </c>
    </row>
    <row r="531" spans="11:26" x14ac:dyDescent="0.25">
      <c r="K531" s="21" t="s">
        <v>358</v>
      </c>
      <c r="Z531" s="21" t="s">
        <v>3516</v>
      </c>
    </row>
    <row r="532" spans="11:26" x14ac:dyDescent="0.25">
      <c r="K532" s="21" t="s">
        <v>5968</v>
      </c>
      <c r="Z532" s="21" t="s">
        <v>5969</v>
      </c>
    </row>
    <row r="533" spans="11:26" x14ac:dyDescent="0.25">
      <c r="K533" s="21" t="s">
        <v>827</v>
      </c>
      <c r="Z533" s="21" t="s">
        <v>3717</v>
      </c>
    </row>
    <row r="534" spans="11:26" x14ac:dyDescent="0.25">
      <c r="K534" s="21" t="s">
        <v>459</v>
      </c>
      <c r="Z534" s="21" t="s">
        <v>2740</v>
      </c>
    </row>
    <row r="535" spans="11:26" x14ac:dyDescent="0.25">
      <c r="K535" s="21" t="s">
        <v>458</v>
      </c>
      <c r="Z535" s="21" t="s">
        <v>3659</v>
      </c>
    </row>
    <row r="536" spans="11:26" x14ac:dyDescent="0.25">
      <c r="K536" s="21" t="s">
        <v>3474</v>
      </c>
      <c r="Z536" s="21" t="s">
        <v>758</v>
      </c>
    </row>
    <row r="537" spans="11:26" x14ac:dyDescent="0.25">
      <c r="K537" s="21" t="s">
        <v>340</v>
      </c>
      <c r="Z537" s="21" t="s">
        <v>3596</v>
      </c>
    </row>
    <row r="538" spans="11:26" x14ac:dyDescent="0.25">
      <c r="K538" s="21" t="s">
        <v>3231</v>
      </c>
      <c r="Z538" s="21" t="s">
        <v>236</v>
      </c>
    </row>
    <row r="539" spans="11:26" x14ac:dyDescent="0.25">
      <c r="K539" s="21" t="s">
        <v>347</v>
      </c>
      <c r="Z539" s="21" t="s">
        <v>842</v>
      </c>
    </row>
    <row r="540" spans="11:26" x14ac:dyDescent="0.25">
      <c r="K540" s="21" t="s">
        <v>658</v>
      </c>
      <c r="Z540" s="21" t="s">
        <v>3609</v>
      </c>
    </row>
    <row r="541" spans="11:26" x14ac:dyDescent="0.25">
      <c r="K541" s="21" t="s">
        <v>460</v>
      </c>
      <c r="Z541" s="21" t="s">
        <v>3725</v>
      </c>
    </row>
    <row r="542" spans="11:26" x14ac:dyDescent="0.25">
      <c r="K542" s="21" t="s">
        <v>1767</v>
      </c>
      <c r="Z542" s="21" t="s">
        <v>883</v>
      </c>
    </row>
    <row r="543" spans="11:26" x14ac:dyDescent="0.25">
      <c r="K543" s="21" t="s">
        <v>2461</v>
      </c>
      <c r="Z543" s="21" t="s">
        <v>538</v>
      </c>
    </row>
    <row r="544" spans="11:26" x14ac:dyDescent="0.25">
      <c r="K544" s="21" t="s">
        <v>2388</v>
      </c>
      <c r="Z544" s="21" t="s">
        <v>3615</v>
      </c>
    </row>
    <row r="545" spans="11:26" x14ac:dyDescent="0.25">
      <c r="K545" s="21" t="s">
        <v>5225</v>
      </c>
      <c r="Z545" s="21" t="s">
        <v>3814</v>
      </c>
    </row>
    <row r="546" spans="11:26" x14ac:dyDescent="0.25">
      <c r="K546" s="21" t="s">
        <v>2434</v>
      </c>
      <c r="Z546" s="21" t="s">
        <v>2905</v>
      </c>
    </row>
    <row r="547" spans="11:26" x14ac:dyDescent="0.25">
      <c r="K547" s="21" t="s">
        <v>2135</v>
      </c>
      <c r="Z547" s="21" t="s">
        <v>539</v>
      </c>
    </row>
    <row r="548" spans="11:26" x14ac:dyDescent="0.25">
      <c r="K548" s="21" t="s">
        <v>461</v>
      </c>
      <c r="Z548" s="21" t="s">
        <v>237</v>
      </c>
    </row>
    <row r="549" spans="11:26" x14ac:dyDescent="0.25">
      <c r="K549" s="21" t="s">
        <v>3020</v>
      </c>
      <c r="Z549" s="21" t="s">
        <v>242</v>
      </c>
    </row>
    <row r="550" spans="11:26" x14ac:dyDescent="0.25">
      <c r="K550" s="21" t="s">
        <v>1617</v>
      </c>
      <c r="Z550" s="21" t="s">
        <v>540</v>
      </c>
    </row>
    <row r="551" spans="11:26" x14ac:dyDescent="0.25">
      <c r="K551" s="21" t="s">
        <v>2650</v>
      </c>
      <c r="Z551" s="21" t="s">
        <v>2736</v>
      </c>
    </row>
    <row r="552" spans="11:26" x14ac:dyDescent="0.25">
      <c r="K552" s="21" t="s">
        <v>3676</v>
      </c>
      <c r="Z552" s="21" t="s">
        <v>1592</v>
      </c>
    </row>
    <row r="553" spans="11:26" x14ac:dyDescent="0.25">
      <c r="K553" s="21" t="s">
        <v>2608</v>
      </c>
      <c r="Z553" s="21" t="s">
        <v>3746</v>
      </c>
    </row>
    <row r="554" spans="11:26" x14ac:dyDescent="0.25">
      <c r="K554" s="21" t="s">
        <v>765</v>
      </c>
      <c r="Z554" s="21" t="s">
        <v>3769</v>
      </c>
    </row>
    <row r="555" spans="11:26" x14ac:dyDescent="0.25">
      <c r="K555" s="21" t="s">
        <v>462</v>
      </c>
      <c r="Z555" s="21" t="s">
        <v>5970</v>
      </c>
    </row>
    <row r="556" spans="11:26" x14ac:dyDescent="0.25">
      <c r="K556" s="21" t="s">
        <v>2663</v>
      </c>
      <c r="Z556" s="21" t="s">
        <v>2700</v>
      </c>
    </row>
    <row r="557" spans="11:26" x14ac:dyDescent="0.25">
      <c r="K557" s="21" t="s">
        <v>463</v>
      </c>
      <c r="Z557" s="21" t="s">
        <v>3578</v>
      </c>
    </row>
    <row r="558" spans="11:26" x14ac:dyDescent="0.25">
      <c r="K558" s="21" t="s">
        <v>2043</v>
      </c>
      <c r="Z558" s="21" t="s">
        <v>3443</v>
      </c>
    </row>
    <row r="559" spans="11:26" x14ac:dyDescent="0.25">
      <c r="K559" s="21" t="s">
        <v>3224</v>
      </c>
      <c r="Z559" s="21" t="s">
        <v>3505</v>
      </c>
    </row>
    <row r="560" spans="11:26" x14ac:dyDescent="0.25">
      <c r="K560" s="21" t="s">
        <v>5971</v>
      </c>
      <c r="Z560" s="21" t="s">
        <v>3640</v>
      </c>
    </row>
    <row r="561" spans="11:26" x14ac:dyDescent="0.25">
      <c r="K561" s="21" t="s">
        <v>2758</v>
      </c>
      <c r="Z561" s="21" t="s">
        <v>655</v>
      </c>
    </row>
    <row r="562" spans="11:26" x14ac:dyDescent="0.25">
      <c r="K562" s="21" t="s">
        <v>2778</v>
      </c>
      <c r="Z562" s="21" t="s">
        <v>1568</v>
      </c>
    </row>
    <row r="563" spans="11:26" x14ac:dyDescent="0.25">
      <c r="K563" s="21" t="s">
        <v>2602</v>
      </c>
      <c r="Z563" s="21" t="s">
        <v>541</v>
      </c>
    </row>
    <row r="564" spans="11:26" x14ac:dyDescent="0.25">
      <c r="K564" s="21" t="s">
        <v>828</v>
      </c>
      <c r="Z564" s="21" t="s">
        <v>869</v>
      </c>
    </row>
    <row r="565" spans="11:26" x14ac:dyDescent="0.25">
      <c r="K565" s="21" t="s">
        <v>3007</v>
      </c>
      <c r="Z565" s="21" t="s">
        <v>643</v>
      </c>
    </row>
    <row r="566" spans="11:26" x14ac:dyDescent="0.25">
      <c r="K566" s="21" t="s">
        <v>3235</v>
      </c>
      <c r="Z566" s="21" t="s">
        <v>234</v>
      </c>
    </row>
    <row r="567" spans="11:26" x14ac:dyDescent="0.25">
      <c r="K567" s="21" t="s">
        <v>3482</v>
      </c>
      <c r="Z567" s="21" t="s">
        <v>889</v>
      </c>
    </row>
    <row r="568" spans="11:26" x14ac:dyDescent="0.25">
      <c r="K568" s="21" t="s">
        <v>1751</v>
      </c>
      <c r="Z568" s="21" t="s">
        <v>1586</v>
      </c>
    </row>
    <row r="569" spans="11:26" x14ac:dyDescent="0.25">
      <c r="K569" s="21" t="s">
        <v>3274</v>
      </c>
      <c r="Z569" s="21" t="s">
        <v>874</v>
      </c>
    </row>
    <row r="570" spans="11:26" x14ac:dyDescent="0.25">
      <c r="K570" s="21" t="s">
        <v>2227</v>
      </c>
      <c r="Z570" s="21" t="s">
        <v>2576</v>
      </c>
    </row>
    <row r="571" spans="11:26" x14ac:dyDescent="0.25">
      <c r="K571" s="21" t="s">
        <v>3191</v>
      </c>
      <c r="Z571" s="21" t="s">
        <v>776</v>
      </c>
    </row>
    <row r="572" spans="11:26" x14ac:dyDescent="0.25">
      <c r="K572" s="21" t="s">
        <v>369</v>
      </c>
      <c r="Z572" s="21" t="s">
        <v>2692</v>
      </c>
    </row>
    <row r="573" spans="11:26" x14ac:dyDescent="0.25">
      <c r="K573" s="21" t="s">
        <v>3670</v>
      </c>
      <c r="Z573" s="21" t="s">
        <v>2892</v>
      </c>
    </row>
    <row r="574" spans="11:26" x14ac:dyDescent="0.25">
      <c r="K574" s="21" t="s">
        <v>3145</v>
      </c>
      <c r="Z574" s="21" t="s">
        <v>745</v>
      </c>
    </row>
    <row r="575" spans="11:26" x14ac:dyDescent="0.25">
      <c r="K575" s="21" t="s">
        <v>791</v>
      </c>
      <c r="Z575" s="21" t="s">
        <v>881</v>
      </c>
    </row>
    <row r="576" spans="11:26" x14ac:dyDescent="0.25">
      <c r="K576" s="21" t="s">
        <v>2784</v>
      </c>
      <c r="Z576" s="21" t="s">
        <v>3738</v>
      </c>
    </row>
    <row r="577" spans="11:26" x14ac:dyDescent="0.25">
      <c r="K577" s="21" t="s">
        <v>2562</v>
      </c>
      <c r="Z577" s="21" t="s">
        <v>3680</v>
      </c>
    </row>
    <row r="578" spans="11:26" x14ac:dyDescent="0.25">
      <c r="K578" s="21" t="s">
        <v>2513</v>
      </c>
      <c r="Z578" s="21" t="s">
        <v>846</v>
      </c>
    </row>
    <row r="579" spans="11:26" x14ac:dyDescent="0.25">
      <c r="K579" s="21" t="s">
        <v>361</v>
      </c>
      <c r="Z579" s="21" t="s">
        <v>3683</v>
      </c>
    </row>
    <row r="580" spans="11:26" x14ac:dyDescent="0.25">
      <c r="K580" s="21" t="s">
        <v>464</v>
      </c>
      <c r="Z580" s="21" t="s">
        <v>3600</v>
      </c>
    </row>
    <row r="581" spans="11:26" x14ac:dyDescent="0.25">
      <c r="K581" s="21" t="s">
        <v>3537</v>
      </c>
      <c r="Z581" s="21" t="s">
        <v>3834</v>
      </c>
    </row>
    <row r="582" spans="11:26" x14ac:dyDescent="0.25">
      <c r="K582" s="21" t="s">
        <v>3712</v>
      </c>
      <c r="Z582" s="21" t="s">
        <v>3671</v>
      </c>
    </row>
    <row r="583" spans="11:26" x14ac:dyDescent="0.25">
      <c r="K583" s="21" t="s">
        <v>653</v>
      </c>
      <c r="Z583" s="21" t="s">
        <v>3456</v>
      </c>
    </row>
    <row r="584" spans="11:26" x14ac:dyDescent="0.25">
      <c r="K584" s="21" t="s">
        <v>1997</v>
      </c>
      <c r="Z584" s="21" t="s">
        <v>820</v>
      </c>
    </row>
    <row r="585" spans="11:26" x14ac:dyDescent="0.25">
      <c r="K585" s="21" t="s">
        <v>2319</v>
      </c>
      <c r="Z585" s="21" t="s">
        <v>3329</v>
      </c>
    </row>
    <row r="586" spans="11:26" x14ac:dyDescent="0.25">
      <c r="K586" s="21" t="s">
        <v>1724</v>
      </c>
      <c r="Z586" s="21" t="s">
        <v>3684</v>
      </c>
    </row>
    <row r="587" spans="11:26" x14ac:dyDescent="0.25">
      <c r="K587" s="21" t="s">
        <v>3327</v>
      </c>
      <c r="Z587" s="21" t="s">
        <v>3784</v>
      </c>
    </row>
    <row r="588" spans="11:26" x14ac:dyDescent="0.25">
      <c r="K588" s="21" t="s">
        <v>1913</v>
      </c>
      <c r="Z588" s="21" t="s">
        <v>3657</v>
      </c>
    </row>
    <row r="589" spans="11:26" x14ac:dyDescent="0.25">
      <c r="K589" s="21" t="s">
        <v>323</v>
      </c>
      <c r="Z589" s="21" t="s">
        <v>610</v>
      </c>
    </row>
    <row r="590" spans="11:26" x14ac:dyDescent="0.25">
      <c r="K590" s="21" t="s">
        <v>465</v>
      </c>
      <c r="Z590" s="21" t="s">
        <v>3477</v>
      </c>
    </row>
    <row r="591" spans="11:26" x14ac:dyDescent="0.25">
      <c r="K591" s="21" t="s">
        <v>466</v>
      </c>
      <c r="Z591" s="21" t="s">
        <v>3624</v>
      </c>
    </row>
    <row r="592" spans="11:26" x14ac:dyDescent="0.25">
      <c r="K592" s="21" t="s">
        <v>2087</v>
      </c>
      <c r="Z592" s="21" t="s">
        <v>267</v>
      </c>
    </row>
    <row r="593" spans="11:26" x14ac:dyDescent="0.25">
      <c r="K593" s="21" t="s">
        <v>5972</v>
      </c>
      <c r="Z593" s="21" t="s">
        <v>3514</v>
      </c>
    </row>
    <row r="594" spans="11:26" x14ac:dyDescent="0.25">
      <c r="K594" s="21" t="s">
        <v>2788</v>
      </c>
      <c r="Z594" s="21" t="s">
        <v>1581</v>
      </c>
    </row>
    <row r="595" spans="11:26" x14ac:dyDescent="0.25">
      <c r="K595" s="21" t="s">
        <v>467</v>
      </c>
      <c r="Z595" s="21" t="s">
        <v>3674</v>
      </c>
    </row>
    <row r="596" spans="11:26" x14ac:dyDescent="0.25">
      <c r="K596" s="21" t="s">
        <v>2445</v>
      </c>
      <c r="Z596" s="21" t="s">
        <v>3703</v>
      </c>
    </row>
    <row r="597" spans="11:26" x14ac:dyDescent="0.25">
      <c r="K597" s="21" t="s">
        <v>468</v>
      </c>
      <c r="Z597" s="21" t="s">
        <v>3378</v>
      </c>
    </row>
    <row r="598" spans="11:26" x14ac:dyDescent="0.25">
      <c r="K598" s="21" t="s">
        <v>669</v>
      </c>
      <c r="Z598" s="21" t="s">
        <v>3771</v>
      </c>
    </row>
    <row r="599" spans="11:26" x14ac:dyDescent="0.25">
      <c r="K599" s="21" t="s">
        <v>724</v>
      </c>
      <c r="Z599" s="21" t="s">
        <v>1567</v>
      </c>
    </row>
    <row r="600" spans="11:26" x14ac:dyDescent="0.25">
      <c r="K600" s="21" t="s">
        <v>3061</v>
      </c>
      <c r="Z600" s="21" t="s">
        <v>735</v>
      </c>
    </row>
    <row r="601" spans="11:26" x14ac:dyDescent="0.25">
      <c r="K601" s="21" t="s">
        <v>2748</v>
      </c>
      <c r="Z601" s="21" t="s">
        <v>3722</v>
      </c>
    </row>
    <row r="602" spans="11:26" x14ac:dyDescent="0.25">
      <c r="K602" s="21" t="s">
        <v>3509</v>
      </c>
      <c r="Z602" s="21" t="s">
        <v>3508</v>
      </c>
    </row>
    <row r="603" spans="11:26" x14ac:dyDescent="0.25">
      <c r="K603" s="21" t="s">
        <v>3168</v>
      </c>
      <c r="Z603" s="21" t="s">
        <v>1575</v>
      </c>
    </row>
    <row r="604" spans="11:26" x14ac:dyDescent="0.25">
      <c r="K604" s="21" t="s">
        <v>3228</v>
      </c>
      <c r="Z604" s="21" t="s">
        <v>747</v>
      </c>
    </row>
    <row r="605" spans="11:26" x14ac:dyDescent="0.25">
      <c r="K605" s="21" t="s">
        <v>2468</v>
      </c>
      <c r="Z605" s="21" t="s">
        <v>5973</v>
      </c>
    </row>
    <row r="606" spans="11:26" x14ac:dyDescent="0.25">
      <c r="K606" s="21" t="s">
        <v>792</v>
      </c>
      <c r="Z606" s="21" t="s">
        <v>3840</v>
      </c>
    </row>
    <row r="607" spans="11:26" x14ac:dyDescent="0.25">
      <c r="K607" s="21" t="s">
        <v>777</v>
      </c>
      <c r="Z607" s="21" t="s">
        <v>1578</v>
      </c>
    </row>
    <row r="608" spans="11:26" x14ac:dyDescent="0.25">
      <c r="K608" s="21" t="s">
        <v>1843</v>
      </c>
      <c r="Z608" s="21" t="s">
        <v>3322</v>
      </c>
    </row>
    <row r="609" spans="11:26" x14ac:dyDescent="0.25">
      <c r="K609" s="21" t="s">
        <v>2730</v>
      </c>
      <c r="Z609" s="21" t="s">
        <v>879</v>
      </c>
    </row>
    <row r="610" spans="11:26" x14ac:dyDescent="0.25">
      <c r="K610" s="21" t="s">
        <v>334</v>
      </c>
      <c r="Z610" s="21" t="s">
        <v>1894</v>
      </c>
    </row>
    <row r="611" spans="11:26" x14ac:dyDescent="0.25">
      <c r="K611" s="21" t="s">
        <v>2823</v>
      </c>
      <c r="Z611" s="21" t="s">
        <v>2927</v>
      </c>
    </row>
    <row r="612" spans="11:26" x14ac:dyDescent="0.25">
      <c r="K612" s="21" t="s">
        <v>2428</v>
      </c>
      <c r="Z612" s="21" t="s">
        <v>1576</v>
      </c>
    </row>
    <row r="613" spans="11:26" x14ac:dyDescent="0.25">
      <c r="K613" s="21" t="s">
        <v>2418</v>
      </c>
      <c r="Z613" s="21" t="s">
        <v>873</v>
      </c>
    </row>
    <row r="614" spans="11:26" x14ac:dyDescent="0.25">
      <c r="K614" s="21" t="s">
        <v>469</v>
      </c>
      <c r="Z614" s="21" t="s">
        <v>674</v>
      </c>
    </row>
    <row r="615" spans="11:26" x14ac:dyDescent="0.25">
      <c r="K615" s="21" t="s">
        <v>1775</v>
      </c>
      <c r="Z615" s="21" t="s">
        <v>852</v>
      </c>
    </row>
    <row r="616" spans="11:26" x14ac:dyDescent="0.25">
      <c r="K616" s="21" t="s">
        <v>759</v>
      </c>
      <c r="Z616" s="21" t="s">
        <v>3528</v>
      </c>
    </row>
    <row r="617" spans="11:26" x14ac:dyDescent="0.25">
      <c r="K617" s="21" t="s">
        <v>787</v>
      </c>
      <c r="Z617" s="21" t="s">
        <v>3460</v>
      </c>
    </row>
    <row r="618" spans="11:26" x14ac:dyDescent="0.25">
      <c r="K618" s="21" t="s">
        <v>470</v>
      </c>
      <c r="Z618" s="21" t="s">
        <v>3787</v>
      </c>
    </row>
    <row r="619" spans="11:26" x14ac:dyDescent="0.25">
      <c r="K619" s="21" t="s">
        <v>1965</v>
      </c>
      <c r="Z619" s="21" t="s">
        <v>875</v>
      </c>
    </row>
    <row r="620" spans="11:26" x14ac:dyDescent="0.25">
      <c r="K620" s="21" t="s">
        <v>2693</v>
      </c>
      <c r="Z620" s="21" t="s">
        <v>3822</v>
      </c>
    </row>
    <row r="621" spans="11:26" x14ac:dyDescent="0.25">
      <c r="K621" s="21" t="s">
        <v>471</v>
      </c>
      <c r="Z621" s="21" t="s">
        <v>3810</v>
      </c>
    </row>
    <row r="622" spans="11:26" x14ac:dyDescent="0.25">
      <c r="K622" s="21" t="s">
        <v>472</v>
      </c>
      <c r="Z622" s="21" t="s">
        <v>3778</v>
      </c>
    </row>
    <row r="623" spans="11:26" x14ac:dyDescent="0.25">
      <c r="K623" s="21" t="s">
        <v>2500</v>
      </c>
      <c r="Z623" s="21" t="s">
        <v>1891</v>
      </c>
    </row>
    <row r="624" spans="11:26" x14ac:dyDescent="0.25">
      <c r="K624" s="21" t="s">
        <v>473</v>
      </c>
      <c r="Z624" s="21" t="s">
        <v>3375</v>
      </c>
    </row>
    <row r="625" spans="11:26" x14ac:dyDescent="0.25">
      <c r="K625" s="21" t="s">
        <v>474</v>
      </c>
      <c r="Z625" s="21" t="s">
        <v>3174</v>
      </c>
    </row>
    <row r="626" spans="11:26" x14ac:dyDescent="0.25">
      <c r="K626" s="21" t="s">
        <v>2612</v>
      </c>
      <c r="Z626" s="21" t="s">
        <v>3593</v>
      </c>
    </row>
    <row r="627" spans="11:26" x14ac:dyDescent="0.25">
      <c r="K627" s="21" t="s">
        <v>2695</v>
      </c>
      <c r="Z627" s="21" t="s">
        <v>3497</v>
      </c>
    </row>
    <row r="628" spans="11:26" x14ac:dyDescent="0.25">
      <c r="K628" s="21" t="s">
        <v>5974</v>
      </c>
      <c r="Z628" s="21" t="s">
        <v>3754</v>
      </c>
    </row>
    <row r="629" spans="11:26" x14ac:dyDescent="0.25">
      <c r="K629" s="21" t="s">
        <v>1887</v>
      </c>
      <c r="Z629" s="21" t="s">
        <v>2741</v>
      </c>
    </row>
    <row r="630" spans="11:26" x14ac:dyDescent="0.25">
      <c r="K630" s="21" t="s">
        <v>1876</v>
      </c>
      <c r="Z630" s="21" t="s">
        <v>3358</v>
      </c>
    </row>
    <row r="631" spans="11:26" x14ac:dyDescent="0.25">
      <c r="K631" s="21" t="s">
        <v>3093</v>
      </c>
      <c r="Z631" s="21" t="s">
        <v>3549</v>
      </c>
    </row>
    <row r="632" spans="11:26" x14ac:dyDescent="0.25">
      <c r="K632" s="21" t="s">
        <v>704</v>
      </c>
      <c r="Z632" s="21" t="s">
        <v>3737</v>
      </c>
    </row>
    <row r="633" spans="11:26" x14ac:dyDescent="0.25">
      <c r="K633" s="21" t="s">
        <v>475</v>
      </c>
      <c r="Z633" s="21" t="s">
        <v>3679</v>
      </c>
    </row>
    <row r="634" spans="11:26" x14ac:dyDescent="0.25">
      <c r="K634" s="21" t="s">
        <v>1729</v>
      </c>
      <c r="Z634" s="21" t="s">
        <v>3610</v>
      </c>
    </row>
    <row r="635" spans="11:26" x14ac:dyDescent="0.25">
      <c r="K635" s="21" t="s">
        <v>476</v>
      </c>
      <c r="Z635" s="21" t="s">
        <v>887</v>
      </c>
    </row>
    <row r="636" spans="11:26" x14ac:dyDescent="0.25">
      <c r="K636" s="21" t="s">
        <v>4768</v>
      </c>
      <c r="Z636" s="21" t="s">
        <v>1584</v>
      </c>
    </row>
    <row r="637" spans="11:26" x14ac:dyDescent="0.25">
      <c r="K637" s="21" t="s">
        <v>2431</v>
      </c>
      <c r="Z637" s="21" t="s">
        <v>751</v>
      </c>
    </row>
    <row r="638" spans="11:26" x14ac:dyDescent="0.25">
      <c r="K638" s="21" t="s">
        <v>1996</v>
      </c>
      <c r="Z638" s="21" t="s">
        <v>857</v>
      </c>
    </row>
    <row r="639" spans="11:26" x14ac:dyDescent="0.25">
      <c r="K639" s="21" t="s">
        <v>1992</v>
      </c>
      <c r="Z639" s="21" t="s">
        <v>1413</v>
      </c>
    </row>
    <row r="640" spans="11:26" x14ac:dyDescent="0.25">
      <c r="K640" s="21" t="s">
        <v>372</v>
      </c>
      <c r="Z640" s="21" t="s">
        <v>825</v>
      </c>
    </row>
    <row r="641" spans="11:26" x14ac:dyDescent="0.25">
      <c r="K641" s="21" t="s">
        <v>327</v>
      </c>
      <c r="Z641" s="21" t="s">
        <v>3713</v>
      </c>
    </row>
    <row r="642" spans="11:26" x14ac:dyDescent="0.25">
      <c r="K642" s="21" t="s">
        <v>1618</v>
      </c>
      <c r="Z642" s="21" t="s">
        <v>3714</v>
      </c>
    </row>
    <row r="643" spans="11:26" x14ac:dyDescent="0.25">
      <c r="K643" s="21" t="s">
        <v>310</v>
      </c>
      <c r="Z643" s="21" t="s">
        <v>2770</v>
      </c>
    </row>
    <row r="644" spans="11:26" x14ac:dyDescent="0.25">
      <c r="K644" s="21" t="s">
        <v>477</v>
      </c>
      <c r="Z644" s="21" t="s">
        <v>726</v>
      </c>
    </row>
    <row r="645" spans="11:26" x14ac:dyDescent="0.25">
      <c r="K645" s="21" t="s">
        <v>478</v>
      </c>
      <c r="Z645" s="21" t="s">
        <v>2777</v>
      </c>
    </row>
    <row r="646" spans="11:26" x14ac:dyDescent="0.25">
      <c r="K646" s="21" t="s">
        <v>3521</v>
      </c>
      <c r="Z646" s="21" t="s">
        <v>3749</v>
      </c>
    </row>
    <row r="647" spans="11:26" x14ac:dyDescent="0.25">
      <c r="K647" s="21" t="s">
        <v>305</v>
      </c>
    </row>
    <row r="648" spans="11:26" x14ac:dyDescent="0.25">
      <c r="K648" s="21" t="s">
        <v>2478</v>
      </c>
    </row>
    <row r="649" spans="11:26" x14ac:dyDescent="0.25">
      <c r="K649" s="21" t="s">
        <v>295</v>
      </c>
    </row>
    <row r="650" spans="11:26" x14ac:dyDescent="0.25">
      <c r="K650" s="21" t="s">
        <v>3513</v>
      </c>
    </row>
    <row r="651" spans="11:26" x14ac:dyDescent="0.25">
      <c r="K651" s="21" t="s">
        <v>3207</v>
      </c>
    </row>
    <row r="652" spans="11:26" x14ac:dyDescent="0.25">
      <c r="K652" s="21" t="s">
        <v>3258</v>
      </c>
    </row>
    <row r="653" spans="11:26" x14ac:dyDescent="0.25">
      <c r="K653" s="21" t="s">
        <v>479</v>
      </c>
    </row>
    <row r="654" spans="11:26" x14ac:dyDescent="0.25">
      <c r="K654" s="21" t="s">
        <v>3291</v>
      </c>
    </row>
    <row r="655" spans="11:26" x14ac:dyDescent="0.25">
      <c r="K655" s="21" t="s">
        <v>3489</v>
      </c>
    </row>
    <row r="656" spans="11:26" x14ac:dyDescent="0.25">
      <c r="K656" s="21" t="s">
        <v>2537</v>
      </c>
    </row>
    <row r="657" spans="11:11" x14ac:dyDescent="0.25">
      <c r="K657" s="21" t="s">
        <v>3079</v>
      </c>
    </row>
    <row r="658" spans="11:11" x14ac:dyDescent="0.25">
      <c r="K658" s="21" t="s">
        <v>2475</v>
      </c>
    </row>
    <row r="659" spans="11:11" x14ac:dyDescent="0.25">
      <c r="K659" s="21" t="s">
        <v>1673</v>
      </c>
    </row>
    <row r="660" spans="11:11" x14ac:dyDescent="0.25">
      <c r="K660" s="21" t="s">
        <v>1903</v>
      </c>
    </row>
    <row r="661" spans="11:11" x14ac:dyDescent="0.25">
      <c r="K661" s="21" t="s">
        <v>680</v>
      </c>
    </row>
    <row r="662" spans="11:11" x14ac:dyDescent="0.25">
      <c r="K662" s="21" t="s">
        <v>2766</v>
      </c>
    </row>
    <row r="663" spans="11:11" x14ac:dyDescent="0.25">
      <c r="K663" s="21" t="s">
        <v>2753</v>
      </c>
    </row>
    <row r="664" spans="11:11" x14ac:dyDescent="0.25">
      <c r="K664" s="21" t="s">
        <v>1640</v>
      </c>
    </row>
    <row r="665" spans="11:11" x14ac:dyDescent="0.25">
      <c r="K665" s="21" t="s">
        <v>482</v>
      </c>
    </row>
    <row r="666" spans="11:11" x14ac:dyDescent="0.25">
      <c r="K666" s="21" t="s">
        <v>1950</v>
      </c>
    </row>
    <row r="667" spans="11:11" x14ac:dyDescent="0.25">
      <c r="K667" s="21" t="s">
        <v>480</v>
      </c>
    </row>
    <row r="668" spans="11:11" x14ac:dyDescent="0.25">
      <c r="K668" s="21" t="s">
        <v>481</v>
      </c>
    </row>
    <row r="669" spans="11:11" x14ac:dyDescent="0.25">
      <c r="K669" s="21" t="s">
        <v>483</v>
      </c>
    </row>
    <row r="670" spans="11:11" x14ac:dyDescent="0.25">
      <c r="K670" s="21" t="s">
        <v>2467</v>
      </c>
    </row>
    <row r="671" spans="11:11" x14ac:dyDescent="0.25">
      <c r="K671" s="21" t="s">
        <v>309</v>
      </c>
    </row>
    <row r="672" spans="11:11" x14ac:dyDescent="0.25">
      <c r="K672" s="21" t="s">
        <v>3130</v>
      </c>
    </row>
    <row r="673" spans="11:11" x14ac:dyDescent="0.25">
      <c r="K673" s="21" t="s">
        <v>2637</v>
      </c>
    </row>
    <row r="674" spans="11:11" x14ac:dyDescent="0.25">
      <c r="K674" s="21" t="s">
        <v>1646</v>
      </c>
    </row>
    <row r="675" spans="11:11" x14ac:dyDescent="0.25">
      <c r="K675" s="21" t="s">
        <v>2559</v>
      </c>
    </row>
    <row r="676" spans="11:11" x14ac:dyDescent="0.25">
      <c r="K676" s="21" t="s">
        <v>1664</v>
      </c>
    </row>
    <row r="677" spans="11:11" x14ac:dyDescent="0.25">
      <c r="K677" s="21" t="s">
        <v>484</v>
      </c>
    </row>
    <row r="678" spans="11:11" x14ac:dyDescent="0.25">
      <c r="K678" s="21" t="s">
        <v>3217</v>
      </c>
    </row>
    <row r="679" spans="11:11" x14ac:dyDescent="0.25">
      <c r="K679" s="21" t="s">
        <v>1760</v>
      </c>
    </row>
    <row r="680" spans="11:11" x14ac:dyDescent="0.25">
      <c r="K680" s="21" t="s">
        <v>1884</v>
      </c>
    </row>
    <row r="681" spans="11:11" x14ac:dyDescent="0.25">
      <c r="K681" s="21" t="s">
        <v>850</v>
      </c>
    </row>
    <row r="682" spans="11:11" x14ac:dyDescent="0.25">
      <c r="K682" s="21" t="s">
        <v>5975</v>
      </c>
    </row>
    <row r="683" spans="11:11" x14ac:dyDescent="0.25">
      <c r="K683" s="21" t="s">
        <v>485</v>
      </c>
    </row>
    <row r="684" spans="11:11" x14ac:dyDescent="0.25">
      <c r="K684" s="21" t="s">
        <v>3195</v>
      </c>
    </row>
    <row r="685" spans="11:11" x14ac:dyDescent="0.25">
      <c r="K685" s="21" t="s">
        <v>1747</v>
      </c>
    </row>
    <row r="686" spans="11:11" x14ac:dyDescent="0.25">
      <c r="K686" s="21" t="s">
        <v>752</v>
      </c>
    </row>
    <row r="687" spans="11:11" x14ac:dyDescent="0.25">
      <c r="K687" s="21" t="s">
        <v>2093</v>
      </c>
    </row>
    <row r="688" spans="11:11" x14ac:dyDescent="0.25">
      <c r="K688" s="21" t="s">
        <v>2551</v>
      </c>
    </row>
    <row r="689" spans="11:11" x14ac:dyDescent="0.25">
      <c r="K689" s="21" t="s">
        <v>486</v>
      </c>
    </row>
    <row r="690" spans="11:11" x14ac:dyDescent="0.25">
      <c r="K690" s="21" t="s">
        <v>3104</v>
      </c>
    </row>
    <row r="691" spans="11:11" x14ac:dyDescent="0.25">
      <c r="K691" s="21" t="s">
        <v>2617</v>
      </c>
    </row>
    <row r="692" spans="11:11" x14ac:dyDescent="0.25">
      <c r="K692" s="21" t="s">
        <v>487</v>
      </c>
    </row>
    <row r="693" spans="11:11" x14ac:dyDescent="0.25">
      <c r="K693" s="21" t="s">
        <v>488</v>
      </c>
    </row>
    <row r="694" spans="11:11" x14ac:dyDescent="0.25">
      <c r="K694" s="21" t="s">
        <v>2097</v>
      </c>
    </row>
    <row r="695" spans="11:11" x14ac:dyDescent="0.25">
      <c r="K695" s="21" t="s">
        <v>3267</v>
      </c>
    </row>
    <row r="696" spans="11:11" x14ac:dyDescent="0.25">
      <c r="K696" s="21" t="s">
        <v>2310</v>
      </c>
    </row>
    <row r="697" spans="11:11" x14ac:dyDescent="0.25">
      <c r="K697" s="21" t="s">
        <v>3328</v>
      </c>
    </row>
    <row r="698" spans="11:11" x14ac:dyDescent="0.25">
      <c r="K698" s="21" t="s">
        <v>489</v>
      </c>
    </row>
    <row r="699" spans="11:11" x14ac:dyDescent="0.25">
      <c r="K699" s="21" t="s">
        <v>1990</v>
      </c>
    </row>
    <row r="700" spans="11:11" x14ac:dyDescent="0.25">
      <c r="K700" s="21" t="s">
        <v>3221</v>
      </c>
    </row>
    <row r="701" spans="11:11" x14ac:dyDescent="0.25">
      <c r="K701" s="21" t="s">
        <v>351</v>
      </c>
    </row>
    <row r="702" spans="11:11" x14ac:dyDescent="0.25">
      <c r="K702" s="21" t="s">
        <v>490</v>
      </c>
    </row>
    <row r="703" spans="11:11" x14ac:dyDescent="0.25">
      <c r="K703" s="21" t="s">
        <v>1661</v>
      </c>
    </row>
    <row r="704" spans="11:11" x14ac:dyDescent="0.25">
      <c r="K704" s="21" t="s">
        <v>3685</v>
      </c>
    </row>
    <row r="705" spans="11:11" x14ac:dyDescent="0.25">
      <c r="K705" s="21" t="s">
        <v>1774</v>
      </c>
    </row>
    <row r="706" spans="11:11" x14ac:dyDescent="0.25">
      <c r="K706" s="21" t="s">
        <v>3486</v>
      </c>
    </row>
    <row r="707" spans="11:11" x14ac:dyDescent="0.25">
      <c r="K707" s="21" t="s">
        <v>3196</v>
      </c>
    </row>
    <row r="708" spans="11:11" x14ac:dyDescent="0.25">
      <c r="K708" s="21" t="s">
        <v>491</v>
      </c>
    </row>
    <row r="709" spans="11:11" x14ac:dyDescent="0.25">
      <c r="K709" s="21" t="s">
        <v>702</v>
      </c>
    </row>
    <row r="710" spans="11:11" x14ac:dyDescent="0.25">
      <c r="K710" s="21" t="s">
        <v>492</v>
      </c>
    </row>
    <row r="711" spans="11:11" x14ac:dyDescent="0.25">
      <c r="K711" s="21" t="s">
        <v>1814</v>
      </c>
    </row>
    <row r="712" spans="11:11" x14ac:dyDescent="0.25">
      <c r="K712" s="21" t="s">
        <v>1665</v>
      </c>
    </row>
    <row r="713" spans="11:11" x14ac:dyDescent="0.25">
      <c r="K713" s="21" t="s">
        <v>1707</v>
      </c>
    </row>
    <row r="714" spans="11:11" x14ac:dyDescent="0.25">
      <c r="K714" s="21" t="s">
        <v>2736</v>
      </c>
    </row>
    <row r="715" spans="11:11" x14ac:dyDescent="0.25">
      <c r="K715" s="21" t="s">
        <v>493</v>
      </c>
    </row>
    <row r="716" spans="11:11" x14ac:dyDescent="0.25">
      <c r="K716" s="21" t="s">
        <v>3364</v>
      </c>
    </row>
    <row r="717" spans="11:11" x14ac:dyDescent="0.25">
      <c r="K717" s="21" t="s">
        <v>3140</v>
      </c>
    </row>
    <row r="718" spans="11:11" x14ac:dyDescent="0.25">
      <c r="K718" s="21" t="s">
        <v>3215</v>
      </c>
    </row>
    <row r="719" spans="11:11" x14ac:dyDescent="0.25">
      <c r="K719" s="21" t="s">
        <v>2356</v>
      </c>
    </row>
    <row r="720" spans="11:11" x14ac:dyDescent="0.25">
      <c r="K720" s="21" t="s">
        <v>1709</v>
      </c>
    </row>
    <row r="721" spans="11:11" x14ac:dyDescent="0.25">
      <c r="K721" s="21" t="s">
        <v>1862</v>
      </c>
    </row>
    <row r="722" spans="11:11" x14ac:dyDescent="0.25">
      <c r="K722" s="21" t="s">
        <v>3597</v>
      </c>
    </row>
    <row r="723" spans="11:11" x14ac:dyDescent="0.25">
      <c r="K723" s="21" t="s">
        <v>3169</v>
      </c>
    </row>
    <row r="724" spans="11:11" x14ac:dyDescent="0.25">
      <c r="K724" s="21" t="s">
        <v>494</v>
      </c>
    </row>
    <row r="725" spans="11:11" x14ac:dyDescent="0.25">
      <c r="K725" s="21" t="s">
        <v>805</v>
      </c>
    </row>
    <row r="726" spans="11:11" x14ac:dyDescent="0.25">
      <c r="K726" s="21" t="s">
        <v>1901</v>
      </c>
    </row>
    <row r="727" spans="11:11" x14ac:dyDescent="0.25">
      <c r="K727" s="21" t="s">
        <v>3338</v>
      </c>
    </row>
    <row r="728" spans="11:11" x14ac:dyDescent="0.25">
      <c r="K728" s="21" t="s">
        <v>2757</v>
      </c>
    </row>
    <row r="729" spans="11:11" x14ac:dyDescent="0.25">
      <c r="K729" s="21" t="s">
        <v>810</v>
      </c>
    </row>
    <row r="730" spans="11:11" x14ac:dyDescent="0.25">
      <c r="K730" s="21" t="s">
        <v>2772</v>
      </c>
    </row>
    <row r="731" spans="11:11" x14ac:dyDescent="0.25">
      <c r="K731" s="21" t="s">
        <v>2764</v>
      </c>
    </row>
    <row r="732" spans="11:11" x14ac:dyDescent="0.25">
      <c r="K732" s="21" t="s">
        <v>495</v>
      </c>
    </row>
    <row r="733" spans="11:11" x14ac:dyDescent="0.25">
      <c r="K733" s="21" t="s">
        <v>682</v>
      </c>
    </row>
    <row r="734" spans="11:11" x14ac:dyDescent="0.25">
      <c r="K734" s="21" t="s">
        <v>1680</v>
      </c>
    </row>
    <row r="735" spans="11:11" x14ac:dyDescent="0.25">
      <c r="K735" s="21" t="s">
        <v>2317</v>
      </c>
    </row>
    <row r="736" spans="11:11" x14ac:dyDescent="0.25">
      <c r="K736" s="21" t="s">
        <v>2834</v>
      </c>
    </row>
    <row r="737" spans="11:11" x14ac:dyDescent="0.25">
      <c r="K737" s="21" t="s">
        <v>1801</v>
      </c>
    </row>
    <row r="738" spans="11:11" x14ac:dyDescent="0.25">
      <c r="K738" s="21" t="s">
        <v>3539</v>
      </c>
    </row>
    <row r="739" spans="11:11" x14ac:dyDescent="0.25">
      <c r="K739" s="21" t="s">
        <v>3304</v>
      </c>
    </row>
    <row r="740" spans="11:11" x14ac:dyDescent="0.25">
      <c r="K740" s="21" t="s">
        <v>3276</v>
      </c>
    </row>
    <row r="741" spans="11:11" x14ac:dyDescent="0.25">
      <c r="K741" s="21" t="s">
        <v>3344</v>
      </c>
    </row>
    <row r="742" spans="11:11" x14ac:dyDescent="0.25">
      <c r="K742" s="21" t="s">
        <v>1978</v>
      </c>
    </row>
    <row r="743" spans="11:11" x14ac:dyDescent="0.25">
      <c r="K743" s="21" t="s">
        <v>1831</v>
      </c>
    </row>
    <row r="744" spans="11:11" x14ac:dyDescent="0.25">
      <c r="K744" s="21" t="s">
        <v>3653</v>
      </c>
    </row>
    <row r="745" spans="11:11" x14ac:dyDescent="0.25">
      <c r="K745" s="21" t="s">
        <v>750</v>
      </c>
    </row>
    <row r="746" spans="11:11" x14ac:dyDescent="0.25">
      <c r="K746" s="21" t="s">
        <v>1683</v>
      </c>
    </row>
    <row r="747" spans="11:11" x14ac:dyDescent="0.25">
      <c r="K747" s="21" t="s">
        <v>1718</v>
      </c>
    </row>
    <row r="748" spans="11:11" x14ac:dyDescent="0.25">
      <c r="K748" s="21" t="s">
        <v>3259</v>
      </c>
    </row>
    <row r="749" spans="11:11" x14ac:dyDescent="0.25">
      <c r="K749" s="21" t="s">
        <v>3219</v>
      </c>
    </row>
    <row r="750" spans="11:11" x14ac:dyDescent="0.25">
      <c r="K750" s="21" t="s">
        <v>819</v>
      </c>
    </row>
    <row r="751" spans="11:11" x14ac:dyDescent="0.25">
      <c r="K751" s="21" t="s">
        <v>3126</v>
      </c>
    </row>
    <row r="752" spans="11:11" x14ac:dyDescent="0.25">
      <c r="K752" s="21" t="s">
        <v>496</v>
      </c>
    </row>
    <row r="753" spans="11:11" x14ac:dyDescent="0.25">
      <c r="K753" s="21" t="s">
        <v>3273</v>
      </c>
    </row>
    <row r="754" spans="11:11" x14ac:dyDescent="0.25">
      <c r="K754" s="21" t="s">
        <v>1839</v>
      </c>
    </row>
    <row r="755" spans="11:11" x14ac:dyDescent="0.25">
      <c r="K755" s="21" t="s">
        <v>3788</v>
      </c>
    </row>
    <row r="756" spans="11:11" x14ac:dyDescent="0.25">
      <c r="K756" s="21" t="s">
        <v>497</v>
      </c>
    </row>
    <row r="757" spans="11:11" x14ac:dyDescent="0.25">
      <c r="K757" s="21" t="s">
        <v>771</v>
      </c>
    </row>
    <row r="758" spans="11:11" x14ac:dyDescent="0.25">
      <c r="K758" s="21" t="s">
        <v>3105</v>
      </c>
    </row>
    <row r="759" spans="11:11" x14ac:dyDescent="0.25">
      <c r="K759" s="21" t="s">
        <v>1815</v>
      </c>
    </row>
    <row r="760" spans="11:11" x14ac:dyDescent="0.25">
      <c r="K760" s="21" t="s">
        <v>2419</v>
      </c>
    </row>
    <row r="761" spans="11:11" x14ac:dyDescent="0.25">
      <c r="K761" s="21" t="s">
        <v>3643</v>
      </c>
    </row>
    <row r="762" spans="11:11" x14ac:dyDescent="0.25">
      <c r="K762" s="21" t="s">
        <v>2619</v>
      </c>
    </row>
    <row r="763" spans="11:11" x14ac:dyDescent="0.25">
      <c r="K763" s="21" t="s">
        <v>3263</v>
      </c>
    </row>
    <row r="764" spans="11:11" x14ac:dyDescent="0.25">
      <c r="K764" s="21" t="s">
        <v>768</v>
      </c>
    </row>
    <row r="765" spans="11:11" x14ac:dyDescent="0.25">
      <c r="K765" s="21" t="s">
        <v>5976</v>
      </c>
    </row>
    <row r="766" spans="11:11" x14ac:dyDescent="0.25">
      <c r="K766" s="21" t="s">
        <v>498</v>
      </c>
    </row>
    <row r="767" spans="11:11" x14ac:dyDescent="0.25">
      <c r="K767" s="21" t="s">
        <v>2673</v>
      </c>
    </row>
    <row r="768" spans="11:11" x14ac:dyDescent="0.25">
      <c r="K768" s="21" t="s">
        <v>499</v>
      </c>
    </row>
    <row r="769" spans="11:11" x14ac:dyDescent="0.25">
      <c r="K769" s="21" t="s">
        <v>500</v>
      </c>
    </row>
    <row r="770" spans="11:11" x14ac:dyDescent="0.25">
      <c r="K770" s="21" t="s">
        <v>3116</v>
      </c>
    </row>
    <row r="771" spans="11:11" x14ac:dyDescent="0.25">
      <c r="K771" s="21" t="s">
        <v>339</v>
      </c>
    </row>
    <row r="772" spans="11:11" x14ac:dyDescent="0.25">
      <c r="K772" s="21" t="s">
        <v>292</v>
      </c>
    </row>
    <row r="773" spans="11:11" x14ac:dyDescent="0.25">
      <c r="K773" s="21" t="s">
        <v>685</v>
      </c>
    </row>
    <row r="774" spans="11:11" x14ac:dyDescent="0.25">
      <c r="K774" s="21" t="s">
        <v>3222</v>
      </c>
    </row>
    <row r="775" spans="11:11" x14ac:dyDescent="0.25">
      <c r="K775" s="21" t="s">
        <v>501</v>
      </c>
    </row>
    <row r="776" spans="11:11" x14ac:dyDescent="0.25">
      <c r="K776" s="21" t="s">
        <v>769</v>
      </c>
    </row>
    <row r="777" spans="11:11" x14ac:dyDescent="0.25">
      <c r="K777" s="21" t="s">
        <v>502</v>
      </c>
    </row>
    <row r="778" spans="11:11" x14ac:dyDescent="0.25">
      <c r="K778" s="21" t="s">
        <v>503</v>
      </c>
    </row>
    <row r="779" spans="11:11" x14ac:dyDescent="0.25">
      <c r="K779" s="21" t="s">
        <v>3252</v>
      </c>
    </row>
    <row r="780" spans="11:11" x14ac:dyDescent="0.25">
      <c r="K780" s="21" t="s">
        <v>504</v>
      </c>
    </row>
    <row r="781" spans="11:11" x14ac:dyDescent="0.25">
      <c r="K781" s="21" t="s">
        <v>3147</v>
      </c>
    </row>
    <row r="782" spans="11:11" x14ac:dyDescent="0.25">
      <c r="K782" s="21" t="s">
        <v>505</v>
      </c>
    </row>
    <row r="783" spans="11:11" x14ac:dyDescent="0.25">
      <c r="K783" s="21" t="s">
        <v>506</v>
      </c>
    </row>
    <row r="784" spans="11:11" x14ac:dyDescent="0.25">
      <c r="K784" s="21" t="s">
        <v>2162</v>
      </c>
    </row>
    <row r="785" spans="11:11" x14ac:dyDescent="0.25">
      <c r="K785" s="21" t="s">
        <v>2145</v>
      </c>
    </row>
    <row r="786" spans="11:11" x14ac:dyDescent="0.25">
      <c r="K786" s="21" t="s">
        <v>1813</v>
      </c>
    </row>
    <row r="787" spans="11:11" x14ac:dyDescent="0.25">
      <c r="K787" s="21" t="s">
        <v>770</v>
      </c>
    </row>
    <row r="788" spans="11:11" x14ac:dyDescent="0.25">
      <c r="K788" s="21" t="s">
        <v>2440</v>
      </c>
    </row>
    <row r="789" spans="11:11" x14ac:dyDescent="0.25">
      <c r="K789" s="21" t="s">
        <v>507</v>
      </c>
    </row>
    <row r="790" spans="11:11" x14ac:dyDescent="0.25">
      <c r="K790" s="21" t="s">
        <v>508</v>
      </c>
    </row>
    <row r="791" spans="11:11" x14ac:dyDescent="0.25">
      <c r="K791" s="21" t="s">
        <v>2638</v>
      </c>
    </row>
    <row r="792" spans="11:11" x14ac:dyDescent="0.25">
      <c r="K792" s="21" t="s">
        <v>1828</v>
      </c>
    </row>
    <row r="793" spans="11:11" x14ac:dyDescent="0.25">
      <c r="K793" s="21" t="s">
        <v>3316</v>
      </c>
    </row>
    <row r="794" spans="11:11" x14ac:dyDescent="0.25">
      <c r="K794" s="21" t="s">
        <v>781</v>
      </c>
    </row>
    <row r="795" spans="11:11" x14ac:dyDescent="0.25">
      <c r="K795" s="21" t="s">
        <v>349</v>
      </c>
    </row>
    <row r="796" spans="11:11" x14ac:dyDescent="0.25">
      <c r="K796" s="21" t="s">
        <v>3265</v>
      </c>
    </row>
    <row r="797" spans="11:11" x14ac:dyDescent="0.25">
      <c r="K797" s="21" t="s">
        <v>2328</v>
      </c>
    </row>
    <row r="798" spans="11:11" x14ac:dyDescent="0.25">
      <c r="K798" s="21" t="s">
        <v>815</v>
      </c>
    </row>
    <row r="799" spans="11:11" x14ac:dyDescent="0.25">
      <c r="K799" s="21" t="s">
        <v>3511</v>
      </c>
    </row>
    <row r="800" spans="11:11" x14ac:dyDescent="0.25">
      <c r="K800" s="21" t="s">
        <v>2647</v>
      </c>
    </row>
    <row r="801" spans="11:11" x14ac:dyDescent="0.25">
      <c r="K801" s="21" t="s">
        <v>2413</v>
      </c>
    </row>
    <row r="802" spans="11:11" x14ac:dyDescent="0.25">
      <c r="K802" s="21" t="s">
        <v>2129</v>
      </c>
    </row>
    <row r="803" spans="11:11" x14ac:dyDescent="0.25">
      <c r="K803" s="21" t="s">
        <v>1567</v>
      </c>
    </row>
    <row r="804" spans="11:11" x14ac:dyDescent="0.25">
      <c r="K804" s="21" t="s">
        <v>2020</v>
      </c>
    </row>
    <row r="805" spans="11:11" x14ac:dyDescent="0.25">
      <c r="K805" s="21" t="s">
        <v>2339</v>
      </c>
    </row>
    <row r="806" spans="11:11" x14ac:dyDescent="0.25">
      <c r="K806" s="21" t="s">
        <v>509</v>
      </c>
    </row>
    <row r="807" spans="11:11" x14ac:dyDescent="0.25">
      <c r="K807" s="21" t="s">
        <v>1835</v>
      </c>
    </row>
    <row r="808" spans="11:11" x14ac:dyDescent="0.25">
      <c r="K808" s="21" t="s">
        <v>1606</v>
      </c>
    </row>
    <row r="809" spans="11:11" x14ac:dyDescent="0.25">
      <c r="K809" s="21" t="s">
        <v>652</v>
      </c>
    </row>
    <row r="810" spans="11:11" x14ac:dyDescent="0.25">
      <c r="K810" s="21" t="s">
        <v>3179</v>
      </c>
    </row>
    <row r="811" spans="11:11" x14ac:dyDescent="0.25">
      <c r="K811" s="21" t="s">
        <v>3519</v>
      </c>
    </row>
    <row r="812" spans="11:11" x14ac:dyDescent="0.25">
      <c r="K812" s="21" t="s">
        <v>708</v>
      </c>
    </row>
    <row r="813" spans="11:11" x14ac:dyDescent="0.25">
      <c r="K813" s="21" t="s">
        <v>821</v>
      </c>
    </row>
    <row r="814" spans="11:11" x14ac:dyDescent="0.25">
      <c r="K814" s="21" t="s">
        <v>3162</v>
      </c>
    </row>
    <row r="815" spans="11:11" x14ac:dyDescent="0.25">
      <c r="K815" s="21" t="s">
        <v>789</v>
      </c>
    </row>
    <row r="816" spans="11:11" x14ac:dyDescent="0.25">
      <c r="K816" s="21" t="s">
        <v>1789</v>
      </c>
    </row>
    <row r="817" spans="11:11" x14ac:dyDescent="0.25">
      <c r="K817" s="21" t="s">
        <v>510</v>
      </c>
    </row>
    <row r="818" spans="11:11" x14ac:dyDescent="0.25">
      <c r="K818" s="21" t="s">
        <v>1734</v>
      </c>
    </row>
    <row r="819" spans="11:11" x14ac:dyDescent="0.25">
      <c r="K819" s="21" t="s">
        <v>2706</v>
      </c>
    </row>
    <row r="820" spans="11:11" x14ac:dyDescent="0.25">
      <c r="K820" s="21" t="s">
        <v>1891</v>
      </c>
    </row>
    <row r="821" spans="11:11" x14ac:dyDescent="0.25">
      <c r="K821" s="21" t="s">
        <v>799</v>
      </c>
    </row>
    <row r="822" spans="11:11" x14ac:dyDescent="0.25">
      <c r="K822" s="21" t="s">
        <v>3517</v>
      </c>
    </row>
    <row r="823" spans="11:11" x14ac:dyDescent="0.25">
      <c r="K823" s="21" t="s">
        <v>2840</v>
      </c>
    </row>
    <row r="824" spans="11:11" x14ac:dyDescent="0.25">
      <c r="K824" s="21" t="s">
        <v>1855</v>
      </c>
    </row>
    <row r="825" spans="11:11" x14ac:dyDescent="0.25">
      <c r="K825" s="21" t="s">
        <v>2712</v>
      </c>
    </row>
    <row r="826" spans="11:11" x14ac:dyDescent="0.25">
      <c r="K826" s="21" t="s">
        <v>2137</v>
      </c>
    </row>
    <row r="827" spans="11:11" x14ac:dyDescent="0.25">
      <c r="K827" s="21" t="s">
        <v>1679</v>
      </c>
    </row>
    <row r="828" spans="11:11" x14ac:dyDescent="0.25">
      <c r="K828" s="21" t="s">
        <v>2763</v>
      </c>
    </row>
    <row r="829" spans="11:11" x14ac:dyDescent="0.25">
      <c r="K829" s="21" t="s">
        <v>2761</v>
      </c>
    </row>
    <row r="830" spans="11:11" x14ac:dyDescent="0.25">
      <c r="K830" s="21" t="s">
        <v>2684</v>
      </c>
    </row>
    <row r="831" spans="11:11" x14ac:dyDescent="0.25">
      <c r="K831" s="21" t="s">
        <v>329</v>
      </c>
    </row>
    <row r="832" spans="11:11" x14ac:dyDescent="0.25">
      <c r="K832" s="21" t="s">
        <v>2686</v>
      </c>
    </row>
    <row r="833" spans="11:11" x14ac:dyDescent="0.25">
      <c r="K833" s="21" t="s">
        <v>1823</v>
      </c>
    </row>
    <row r="834" spans="11:11" x14ac:dyDescent="0.25">
      <c r="K834" s="21" t="s">
        <v>568</v>
      </c>
    </row>
    <row r="835" spans="11:11" x14ac:dyDescent="0.25">
      <c r="K835" s="21" t="s">
        <v>1861</v>
      </c>
    </row>
    <row r="836" spans="11:11" x14ac:dyDescent="0.25">
      <c r="K836" s="21" t="s">
        <v>511</v>
      </c>
    </row>
    <row r="837" spans="11:11" x14ac:dyDescent="0.25">
      <c r="K837" s="21" t="s">
        <v>1906</v>
      </c>
    </row>
    <row r="838" spans="11:11" x14ac:dyDescent="0.25">
      <c r="K838" s="21" t="s">
        <v>3148</v>
      </c>
    </row>
    <row r="839" spans="11:11" x14ac:dyDescent="0.25">
      <c r="K839" s="21" t="s">
        <v>2798</v>
      </c>
    </row>
    <row r="840" spans="11:11" x14ac:dyDescent="0.25">
      <c r="K840" s="21" t="s">
        <v>1926</v>
      </c>
    </row>
    <row r="841" spans="11:11" x14ac:dyDescent="0.25">
      <c r="K841" s="21" t="s">
        <v>5322</v>
      </c>
    </row>
    <row r="842" spans="11:11" x14ac:dyDescent="0.25">
      <c r="K842" s="21" t="s">
        <v>2438</v>
      </c>
    </row>
    <row r="843" spans="11:11" x14ac:dyDescent="0.25">
      <c r="K843" s="21" t="s">
        <v>2655</v>
      </c>
    </row>
    <row r="844" spans="11:11" x14ac:dyDescent="0.25">
      <c r="K844" s="21" t="s">
        <v>1927</v>
      </c>
    </row>
    <row r="845" spans="11:11" x14ac:dyDescent="0.25">
      <c r="K845" s="21" t="s">
        <v>1971</v>
      </c>
    </row>
    <row r="846" spans="11:11" x14ac:dyDescent="0.25">
      <c r="K846" s="21" t="s">
        <v>512</v>
      </c>
    </row>
    <row r="847" spans="11:11" x14ac:dyDescent="0.25">
      <c r="K847" s="21" t="s">
        <v>3094</v>
      </c>
    </row>
    <row r="848" spans="11:11" x14ac:dyDescent="0.25">
      <c r="K848" s="21" t="s">
        <v>2477</v>
      </c>
    </row>
    <row r="849" spans="11:11" x14ac:dyDescent="0.25">
      <c r="K849" s="21" t="s">
        <v>764</v>
      </c>
    </row>
    <row r="850" spans="11:11" x14ac:dyDescent="0.25">
      <c r="K850" s="21" t="s">
        <v>3204</v>
      </c>
    </row>
    <row r="851" spans="11:11" x14ac:dyDescent="0.25">
      <c r="K851" s="21" t="s">
        <v>3149</v>
      </c>
    </row>
    <row r="852" spans="11:11" x14ac:dyDescent="0.25">
      <c r="K852" s="21" t="s">
        <v>3242</v>
      </c>
    </row>
    <row r="853" spans="11:11" x14ac:dyDescent="0.25">
      <c r="K853" s="21" t="s">
        <v>3419</v>
      </c>
    </row>
    <row r="854" spans="11:11" x14ac:dyDescent="0.25">
      <c r="K854" s="21" t="s">
        <v>677</v>
      </c>
    </row>
  </sheetData>
  <sheetProtection algorithmName="SHA-512" hashValue="itqfPpwEAoRgNwu86+S3N7dW6yDfw+ybEPdh7oWzretHkTPac47lag08/sLj7D3f1Zz+9vDFUYyHK+K+e8TbEg==" saltValue="zqgBWhL+EBoOUlROucI3TA==" spinCount="100000" sheet="1" objects="1" scenarios="1"/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AB01A-F73F-4C0A-9749-8AADB17AE314}">
  <dimension ref="A1:I23"/>
  <sheetViews>
    <sheetView showGridLines="0" zoomScale="85" zoomScaleNormal="85" workbookViewId="0">
      <selection activeCell="C16" sqref="C16"/>
    </sheetView>
  </sheetViews>
  <sheetFormatPr defaultColWidth="9.140625" defaultRowHeight="15" x14ac:dyDescent="0.25"/>
  <cols>
    <col min="1" max="1" width="5.7109375" style="28" customWidth="1"/>
    <col min="2" max="2" width="39.7109375" style="28" bestFit="1" customWidth="1"/>
    <col min="3" max="3" width="45.42578125" style="28" customWidth="1"/>
    <col min="4" max="8" width="15.7109375" style="28" customWidth="1"/>
    <col min="9" max="9" width="5.140625" style="28" customWidth="1"/>
    <col min="10" max="10" width="24" style="28" bestFit="1" customWidth="1"/>
    <col min="11" max="12" width="15.7109375" style="28" customWidth="1"/>
    <col min="13" max="13" width="13" style="28" customWidth="1"/>
    <col min="14" max="14" width="5.7109375" style="28" customWidth="1"/>
    <col min="15" max="16384" width="9.140625" style="28"/>
  </cols>
  <sheetData>
    <row r="1" spans="1:9" ht="20.100000000000001" customHeight="1" x14ac:dyDescent="0.25">
      <c r="A1"/>
      <c r="B1"/>
      <c r="C1"/>
      <c r="D1"/>
      <c r="E1" s="47"/>
      <c r="F1" s="48"/>
      <c r="G1" s="48"/>
      <c r="H1" s="48"/>
      <c r="I1"/>
    </row>
    <row r="2" spans="1:9" ht="20.100000000000001" customHeight="1" x14ac:dyDescent="0.25">
      <c r="A2"/>
      <c r="B2"/>
      <c r="C2"/>
      <c r="D2" s="47" t="s">
        <v>198</v>
      </c>
      <c r="E2" s="144" t="s">
        <v>197</v>
      </c>
      <c r="F2" s="145" t="s">
        <v>196</v>
      </c>
      <c r="G2" s="146" t="s">
        <v>195</v>
      </c>
      <c r="H2" s="147" t="s">
        <v>5493</v>
      </c>
      <c r="I2"/>
    </row>
    <row r="3" spans="1:9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</row>
    <row r="4" spans="1:9" x14ac:dyDescent="0.25">
      <c r="A4"/>
      <c r="B4"/>
      <c r="C4"/>
      <c r="D4"/>
      <c r="E4"/>
      <c r="F4"/>
      <c r="G4"/>
      <c r="H4"/>
      <c r="I4"/>
    </row>
    <row r="5" spans="1:9" ht="18.75" x14ac:dyDescent="0.3">
      <c r="A5" s="39"/>
      <c r="B5" s="40" t="s">
        <v>192</v>
      </c>
      <c r="C5" s="39"/>
      <c r="D5" s="39"/>
      <c r="E5" s="39"/>
      <c r="F5" s="39"/>
      <c r="G5" s="39"/>
      <c r="H5" s="39"/>
      <c r="I5" s="39"/>
    </row>
    <row r="6" spans="1:9" ht="15" customHeight="1" x14ac:dyDescent="0.25">
      <c r="A6"/>
      <c r="B6"/>
      <c r="C6"/>
      <c r="D6"/>
      <c r="E6"/>
      <c r="F6"/>
      <c r="G6"/>
      <c r="H6"/>
      <c r="I6"/>
    </row>
    <row r="7" spans="1:9" ht="24.95" customHeight="1" x14ac:dyDescent="0.25">
      <c r="A7"/>
      <c r="B7" s="150" t="s">
        <v>171</v>
      </c>
      <c r="C7" s="149" t="s">
        <v>12</v>
      </c>
      <c r="D7"/>
      <c r="E7"/>
      <c r="F7"/>
      <c r="G7"/>
      <c r="H7"/>
      <c r="I7"/>
    </row>
    <row r="8" spans="1:9" ht="24.95" customHeight="1" x14ac:dyDescent="0.25">
      <c r="A8"/>
      <c r="B8" s="150" t="s">
        <v>5489</v>
      </c>
      <c r="C8" s="149" t="s">
        <v>13</v>
      </c>
      <c r="D8"/>
      <c r="E8"/>
      <c r="F8"/>
      <c r="G8"/>
      <c r="H8"/>
      <c r="I8"/>
    </row>
    <row r="9" spans="1:9" s="50" customFormat="1" ht="24.95" customHeight="1" x14ac:dyDescent="0.25">
      <c r="A9" s="13"/>
      <c r="B9" s="150" t="s">
        <v>5490</v>
      </c>
      <c r="C9" s="149" t="s">
        <v>12</v>
      </c>
      <c r="D9" s="13"/>
      <c r="E9" s="13"/>
      <c r="F9" s="13"/>
      <c r="G9" s="13"/>
      <c r="H9" s="13"/>
      <c r="I9" s="13"/>
    </row>
    <row r="10" spans="1:9" s="50" customFormat="1" ht="24.95" customHeight="1" x14ac:dyDescent="0.25">
      <c r="A10" s="13"/>
      <c r="B10" s="150" t="s">
        <v>122</v>
      </c>
      <c r="C10" s="227" t="s">
        <v>204</v>
      </c>
      <c r="D10" s="13"/>
      <c r="E10" s="13"/>
      <c r="F10" s="13"/>
      <c r="G10" s="13"/>
      <c r="H10" s="13"/>
      <c r="I10" s="13"/>
    </row>
    <row r="11" spans="1:9" ht="24.95" customHeight="1" x14ac:dyDescent="0.25">
      <c r="A11"/>
      <c r="B11" s="150" t="s">
        <v>202</v>
      </c>
      <c r="C11" s="227" t="s">
        <v>27</v>
      </c>
      <c r="D11"/>
      <c r="E11"/>
      <c r="F11"/>
      <c r="G11"/>
      <c r="H11"/>
      <c r="I11"/>
    </row>
    <row r="12" spans="1:9" ht="24.95" customHeight="1" x14ac:dyDescent="0.25">
      <c r="A12"/>
      <c r="B12" s="150" t="s">
        <v>199</v>
      </c>
      <c r="C12" s="227" t="s">
        <v>26</v>
      </c>
      <c r="D12"/>
      <c r="E12"/>
      <c r="F12"/>
      <c r="G12"/>
      <c r="H12"/>
      <c r="I12"/>
    </row>
    <row r="13" spans="1:9" ht="24.95" customHeight="1" x14ac:dyDescent="0.25">
      <c r="A13"/>
      <c r="B13" s="150" t="s">
        <v>6111</v>
      </c>
      <c r="C13" s="227" t="s">
        <v>6112</v>
      </c>
      <c r="D13"/>
      <c r="E13"/>
      <c r="F13"/>
      <c r="G13"/>
      <c r="H13"/>
      <c r="I13"/>
    </row>
    <row r="14" spans="1:9" ht="24.95" customHeight="1" x14ac:dyDescent="0.25">
      <c r="A14"/>
      <c r="B14" s="150" t="s">
        <v>201</v>
      </c>
      <c r="C14" s="227">
        <f>VLOOKUP(C12,Aux_Lista!AC:AD,2,FALSE)</f>
        <v>3</v>
      </c>
      <c r="D14"/>
      <c r="E14"/>
      <c r="F14"/>
      <c r="G14"/>
      <c r="H14"/>
      <c r="I14"/>
    </row>
    <row r="15" spans="1:9" ht="24.95" customHeight="1" x14ac:dyDescent="0.25">
      <c r="A15"/>
      <c r="B15" s="150" t="s">
        <v>200</v>
      </c>
      <c r="C15" s="149">
        <v>1500</v>
      </c>
      <c r="D15"/>
      <c r="E15"/>
      <c r="F15"/>
      <c r="G15"/>
      <c r="H15"/>
      <c r="I15"/>
    </row>
    <row r="16" spans="1:9" ht="24.95" customHeight="1" x14ac:dyDescent="0.25">
      <c r="A16"/>
      <c r="B16" s="150" t="s">
        <v>203</v>
      </c>
      <c r="C16" s="72" t="s">
        <v>38</v>
      </c>
      <c r="D16"/>
      <c r="E16"/>
      <c r="F16"/>
      <c r="G16"/>
      <c r="H16"/>
      <c r="I16"/>
    </row>
    <row r="17" spans="1:9" ht="24.95" customHeight="1" x14ac:dyDescent="0.25">
      <c r="A17"/>
      <c r="B17" s="150" t="s">
        <v>6109</v>
      </c>
      <c r="C17" s="351">
        <f>((25*3*4)+(25*25))/(25*25*3)</f>
        <v>0.49333333333333335</v>
      </c>
      <c r="D17"/>
      <c r="E17"/>
      <c r="F17"/>
      <c r="G17"/>
      <c r="H17"/>
      <c r="I17"/>
    </row>
    <row r="18" spans="1:9" ht="24.95" customHeight="1" x14ac:dyDescent="0.25">
      <c r="A18"/>
      <c r="B18"/>
      <c r="C18"/>
      <c r="D18"/>
      <c r="E18"/>
      <c r="F18"/>
      <c r="G18"/>
      <c r="H18"/>
      <c r="I18"/>
    </row>
    <row r="19" spans="1:9" ht="30" x14ac:dyDescent="0.25">
      <c r="A19"/>
      <c r="B19" s="68" t="s">
        <v>5835</v>
      </c>
      <c r="C19" s="72" t="s">
        <v>5879</v>
      </c>
      <c r="D19"/>
      <c r="E19"/>
      <c r="F19"/>
      <c r="G19"/>
      <c r="H19"/>
      <c r="I19"/>
    </row>
    <row r="20" spans="1:9" ht="24.95" customHeight="1" x14ac:dyDescent="0.25">
      <c r="A20"/>
      <c r="B20" s="68" t="s">
        <v>5834</v>
      </c>
      <c r="C20" s="79">
        <f>VLOOKUP(C16,Aux_Lista!A:I,9,FALSE)</f>
        <v>15</v>
      </c>
      <c r="D20"/>
      <c r="E20"/>
      <c r="F20"/>
      <c r="G20"/>
      <c r="H20"/>
      <c r="I20"/>
    </row>
    <row r="21" spans="1:9" ht="24.95" customHeight="1" x14ac:dyDescent="0.25">
      <c r="A21"/>
      <c r="B21" s="68" t="s">
        <v>5838</v>
      </c>
      <c r="C21" s="149">
        <v>25</v>
      </c>
      <c r="D21"/>
      <c r="E21"/>
      <c r="F21"/>
      <c r="G21"/>
      <c r="H21"/>
      <c r="I21"/>
    </row>
    <row r="22" spans="1:9" ht="24.95" customHeight="1" x14ac:dyDescent="0.25">
      <c r="A22"/>
      <c r="B22" s="68" t="s">
        <v>5837</v>
      </c>
      <c r="C22" s="79">
        <f>IF(C19="Sim",C21,C20)</f>
        <v>15</v>
      </c>
      <c r="D22"/>
      <c r="E22"/>
      <c r="F22"/>
      <c r="G22"/>
      <c r="H22"/>
      <c r="I22"/>
    </row>
    <row r="23" spans="1:9" ht="15" customHeight="1" x14ac:dyDescent="0.25">
      <c r="A23"/>
      <c r="B23"/>
      <c r="C23"/>
      <c r="D23"/>
      <c r="E23"/>
      <c r="F23"/>
      <c r="G23"/>
      <c r="H23"/>
      <c r="I23"/>
    </row>
  </sheetData>
  <protectedRanges>
    <protectedRange sqref="C7:C17 C19:C22" name="Resumo"/>
  </protectedRanges>
  <phoneticPr fontId="34" type="noConversion"/>
  <dataValidations count="5">
    <dataValidation type="list" allowBlank="1" showInputMessage="1" showErrorMessage="1" sqref="C10" xr:uid="{031B40F6-B092-462B-97B9-7DD1C4052BDD}">
      <formula1>"Projeto, Ed. Construída"</formula1>
    </dataValidation>
    <dataValidation type="list" allowBlank="1" showInputMessage="1" showErrorMessage="1" sqref="C14" xr:uid="{6CBED095-4576-4E2C-9D8D-5A72BE2D2F25}">
      <formula1>"1,2,3,4,5,6,7,8"</formula1>
    </dataValidation>
    <dataValidation type="list" allowBlank="1" showInputMessage="1" showErrorMessage="1" sqref="C19" xr:uid="{AF0F9D22-3EA6-418F-A49E-6767954ACEBA}">
      <formula1>"Sim,Não"</formula1>
    </dataValidation>
    <dataValidation type="list" allowBlank="1" showInputMessage="1" showErrorMessage="1" sqref="C11" xr:uid="{8EF37D2B-D393-4C9C-9B50-9701EE05B341}">
      <formula1>lista_estados</formula1>
    </dataValidation>
    <dataValidation type="list" allowBlank="1" showInputMessage="1" showErrorMessage="1" sqref="C12" xr:uid="{5593FE89-EF0F-4680-9FDC-8419F75074B9}">
      <formula1>INDIRECT($C$11)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265BD0C-F402-4251-90B6-B20505540966}">
          <x14:formula1>
            <xm:f>Aux_Lista!$BW$2:$BW$3</xm:f>
          </x14:formula1>
          <xm:sqref>C13</xm:sqref>
        </x14:dataValidation>
        <x14:dataValidation type="list" allowBlank="1" showInputMessage="1" showErrorMessage="1" xr:uid="{F7A5509C-452E-43AE-9E6A-F56FCF8F395D}">
          <x14:formula1>
            <xm:f>Aux_Lista!$A$20:$A$27</xm:f>
          </x14:formula1>
          <xm:sqref>C16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194F6-C191-42AF-9801-43899CF18177}">
  <sheetPr>
    <tabColor rgb="FF00B050"/>
  </sheetPr>
  <dimension ref="A1:AK115"/>
  <sheetViews>
    <sheetView showGridLines="0" tabSelected="1" topLeftCell="A4" zoomScale="85" zoomScaleNormal="85" workbookViewId="0">
      <selection activeCell="H22" sqref="H22"/>
    </sheetView>
  </sheetViews>
  <sheetFormatPr defaultColWidth="9.140625" defaultRowHeight="20.100000000000001" customHeight="1" x14ac:dyDescent="0.25"/>
  <cols>
    <col min="1" max="1" width="5.7109375" style="156" customWidth="1"/>
    <col min="2" max="3" width="25.7109375" customWidth="1"/>
    <col min="4" max="4" width="13.85546875" customWidth="1"/>
    <col min="5" max="5" width="12.7109375" customWidth="1"/>
    <col min="6" max="6" width="16.5703125" customWidth="1"/>
    <col min="7" max="7" width="13.85546875" customWidth="1"/>
    <col min="8" max="8" width="33.7109375" customWidth="1"/>
    <col min="9" max="9" width="15.140625" style="1" customWidth="1"/>
    <col min="10" max="10" width="15.7109375" style="1" customWidth="1"/>
    <col min="11" max="11" width="15.7109375" style="365" customWidth="1"/>
    <col min="12" max="21" width="15.7109375" customWidth="1"/>
    <col min="22" max="25" width="12.7109375" customWidth="1"/>
    <col min="26" max="26" width="3" customWidth="1"/>
    <col min="27" max="30" width="15.7109375" style="82" customWidth="1"/>
    <col min="31" max="31" width="5.7109375" customWidth="1"/>
    <col min="32" max="33" width="9.140625" style="28"/>
    <col min="34" max="34" width="10.28515625" style="28" bestFit="1" customWidth="1"/>
    <col min="35" max="16384" width="9.140625" style="28"/>
  </cols>
  <sheetData>
    <row r="1" spans="1:37" ht="20.100000000000001" customHeight="1" x14ac:dyDescent="0.25">
      <c r="I1" s="47"/>
      <c r="J1" s="48"/>
      <c r="K1" s="48"/>
      <c r="AA1"/>
      <c r="AB1"/>
      <c r="AC1"/>
      <c r="AD1"/>
    </row>
    <row r="2" spans="1:37" ht="20.100000000000001" customHeight="1" x14ac:dyDescent="0.25">
      <c r="H2" s="47" t="s">
        <v>198</v>
      </c>
      <c r="I2" s="144" t="s">
        <v>197</v>
      </c>
      <c r="J2" s="145" t="s">
        <v>196</v>
      </c>
      <c r="K2" s="146" t="s">
        <v>195</v>
      </c>
      <c r="L2" s="147" t="s">
        <v>5493</v>
      </c>
      <c r="M2" s="189" t="s">
        <v>5800</v>
      </c>
      <c r="AA2"/>
      <c r="AB2"/>
      <c r="AC2"/>
      <c r="AD2"/>
    </row>
    <row r="3" spans="1:37" s="29" customFormat="1" ht="20.100000000000001" customHeight="1" x14ac:dyDescent="0.25">
      <c r="A3" s="157"/>
      <c r="B3" s="27"/>
      <c r="C3" s="27"/>
      <c r="D3" s="27"/>
      <c r="E3" s="27"/>
      <c r="F3" s="27"/>
      <c r="G3" s="27"/>
      <c r="H3" s="27"/>
      <c r="I3" s="16"/>
      <c r="J3" s="16"/>
      <c r="K3" s="366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4" spans="1:37" ht="15" x14ac:dyDescent="0.25">
      <c r="AA4"/>
      <c r="AB4"/>
      <c r="AC4"/>
      <c r="AD4"/>
    </row>
    <row r="5" spans="1:37" ht="18.75" x14ac:dyDescent="0.3">
      <c r="A5" s="158"/>
      <c r="B5" s="40" t="s">
        <v>179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</row>
    <row r="6" spans="1:37" ht="15" customHeight="1" x14ac:dyDescent="0.25">
      <c r="AA6"/>
      <c r="AB6"/>
      <c r="AC6"/>
      <c r="AD6"/>
    </row>
    <row r="7" spans="1:37" ht="30" customHeight="1" x14ac:dyDescent="0.25">
      <c r="B7" s="68" t="s">
        <v>171</v>
      </c>
      <c r="C7" s="69" t="str">
        <f>Geral!C7</f>
        <v>Exemplo Ltda</v>
      </c>
      <c r="D7" s="318"/>
      <c r="E7" s="400" t="str">
        <f>IF(C9="Método de Simulação","PREENCHER A ABA 'Opc_Simulação' PRIMEIRO!","")</f>
        <v/>
      </c>
      <c r="F7" s="400"/>
      <c r="G7" s="400"/>
      <c r="H7" s="400"/>
      <c r="I7" s="154"/>
      <c r="U7" s="180" t="s">
        <v>5805</v>
      </c>
      <c r="V7" s="199">
        <f>SUM(Aux_Lista!BG:BG)</f>
        <v>0.27</v>
      </c>
      <c r="X7" s="180" t="s">
        <v>5809</v>
      </c>
      <c r="Y7" s="199">
        <f>V7/3</f>
        <v>9.0000000000000011E-2</v>
      </c>
      <c r="AC7"/>
      <c r="AD7"/>
    </row>
    <row r="8" spans="1:37" ht="30" customHeight="1" x14ac:dyDescent="0.25">
      <c r="B8" s="68" t="s">
        <v>122</v>
      </c>
      <c r="C8" s="69" t="str">
        <f>Geral!C10</f>
        <v>Projeto</v>
      </c>
      <c r="D8" s="318"/>
      <c r="E8" s="400"/>
      <c r="F8" s="400"/>
      <c r="G8" s="400"/>
      <c r="H8" s="400"/>
      <c r="I8" s="154"/>
      <c r="AC8"/>
      <c r="AD8"/>
    </row>
    <row r="9" spans="1:37" ht="30" customHeight="1" x14ac:dyDescent="0.25">
      <c r="B9" s="68" t="s">
        <v>5768</v>
      </c>
      <c r="C9" s="70" t="s">
        <v>5774</v>
      </c>
      <c r="D9" s="318"/>
      <c r="E9" s="400"/>
      <c r="F9" s="400"/>
      <c r="G9" s="400"/>
      <c r="H9" s="400"/>
      <c r="I9" s="154"/>
      <c r="J9" s="154"/>
      <c r="K9" s="154"/>
      <c r="T9" s="52"/>
      <c r="U9" s="135" t="s">
        <v>34</v>
      </c>
      <c r="V9" s="136" t="s">
        <v>25</v>
      </c>
      <c r="W9" s="137" t="s">
        <v>105</v>
      </c>
      <c r="X9" s="138" t="s">
        <v>5741</v>
      </c>
      <c r="Y9" s="139" t="s">
        <v>5742</v>
      </c>
      <c r="AC9" s="52"/>
      <c r="AD9" s="66" t="s">
        <v>5747</v>
      </c>
    </row>
    <row r="10" spans="1:37" ht="30" customHeight="1" x14ac:dyDescent="0.25">
      <c r="B10" s="68" t="s">
        <v>5885</v>
      </c>
      <c r="C10" s="77">
        <f>IF(C9="Método de Simulação",Opc_Simulação!V12,SUM(AC16:AC115))</f>
        <v>79364.467859267868</v>
      </c>
      <c r="D10" s="318"/>
      <c r="E10" s="400"/>
      <c r="F10" s="400"/>
      <c r="G10" s="400"/>
      <c r="H10" s="400"/>
      <c r="I10" s="154"/>
      <c r="J10" s="154"/>
      <c r="K10" s="154"/>
      <c r="T10" s="68" t="s">
        <v>5746</v>
      </c>
      <c r="U10" s="180" t="s">
        <v>14</v>
      </c>
      <c r="V10" s="180">
        <f>U11</f>
        <v>0.27</v>
      </c>
      <c r="W10" s="180">
        <f>V11</f>
        <v>0.18000000000000002</v>
      </c>
      <c r="X10" s="180">
        <f>W11</f>
        <v>9.0000000000000011E-2</v>
      </c>
      <c r="Y10" s="180">
        <f>X11</f>
        <v>0</v>
      </c>
      <c r="AC10" s="52"/>
      <c r="AD10" s="396" t="str">
        <f>IF(C9="","",IF(C12&gt;=U11,U9,
IF(AND(C12&gt;V11,C12&lt;=V10),V9,
IF(AND(C12&gt;W11,C12&lt;=W10),W9,
IF(AND(C12&gt;=X11,C12&lt;=X10),X9,
Y9)))))</f>
        <v>D</v>
      </c>
    </row>
    <row r="11" spans="1:37" ht="30" customHeight="1" x14ac:dyDescent="0.25">
      <c r="B11" s="68" t="s">
        <v>5886</v>
      </c>
      <c r="C11" s="77">
        <f>IF(C9="Método de Simulação",Opc_Simulação!U12,SUM(AD16:AD115))</f>
        <v>75922.879060745006</v>
      </c>
      <c r="D11" s="318"/>
      <c r="E11" s="400"/>
      <c r="F11" s="400"/>
      <c r="G11" s="400"/>
      <c r="H11" s="400"/>
      <c r="I11" s="154"/>
      <c r="J11" s="154"/>
      <c r="K11" s="154"/>
      <c r="T11" s="68" t="s">
        <v>5745</v>
      </c>
      <c r="U11" s="180">
        <f>Y7*3</f>
        <v>0.27</v>
      </c>
      <c r="V11" s="180">
        <f>Y7*2</f>
        <v>0.18000000000000002</v>
      </c>
      <c r="W11" s="180">
        <f>Y7</f>
        <v>9.0000000000000011E-2</v>
      </c>
      <c r="X11" s="180">
        <v>0</v>
      </c>
      <c r="Y11" s="180" t="s">
        <v>14</v>
      </c>
      <c r="AC11"/>
      <c r="AD11" s="396"/>
    </row>
    <row r="12" spans="1:37" ht="30" customHeight="1" x14ac:dyDescent="0.25">
      <c r="B12" s="68" t="s">
        <v>5775</v>
      </c>
      <c r="C12" s="78">
        <f>IF(ISERROR((C10-C11)/C10),0,(C10-C11)/C10)</f>
        <v>4.3364352982566703E-2</v>
      </c>
      <c r="I12" s="154"/>
      <c r="J12" s="154"/>
      <c r="K12" s="154"/>
      <c r="AA12"/>
      <c r="AB12"/>
      <c r="AC12"/>
      <c r="AD12"/>
    </row>
    <row r="13" spans="1:37" ht="30" customHeight="1" x14ac:dyDescent="0.25">
      <c r="B13" s="68" t="s">
        <v>5773</v>
      </c>
      <c r="C13" s="79" t="str">
        <f>AD10</f>
        <v>D</v>
      </c>
      <c r="I13" s="154"/>
      <c r="J13" s="154"/>
      <c r="K13" s="154"/>
      <c r="AA13"/>
      <c r="AB13"/>
      <c r="AC13"/>
      <c r="AD13"/>
    </row>
    <row r="14" spans="1:37" ht="24.95" customHeight="1" x14ac:dyDescent="0.25">
      <c r="L14" s="1"/>
      <c r="M14" s="365"/>
      <c r="N14" s="1"/>
      <c r="V14" s="397" t="s">
        <v>188</v>
      </c>
      <c r="W14" s="398"/>
      <c r="X14" s="398"/>
      <c r="Y14" s="399"/>
      <c r="AA14"/>
      <c r="AB14"/>
      <c r="AC14"/>
      <c r="AD14"/>
    </row>
    <row r="15" spans="1:37" s="46" customFormat="1" ht="53.25" customHeight="1" x14ac:dyDescent="0.2">
      <c r="A15" s="159"/>
      <c r="B15" s="74" t="s">
        <v>180</v>
      </c>
      <c r="C15" s="74" t="s">
        <v>181</v>
      </c>
      <c r="D15" s="74" t="s">
        <v>48</v>
      </c>
      <c r="E15" s="74" t="s">
        <v>5748</v>
      </c>
      <c r="F15" s="74" t="s">
        <v>6213</v>
      </c>
      <c r="G15" s="74" t="s">
        <v>36</v>
      </c>
      <c r="H15" s="74" t="s">
        <v>6216</v>
      </c>
      <c r="I15" s="74" t="s">
        <v>182</v>
      </c>
      <c r="J15" s="74" t="s">
        <v>6196</v>
      </c>
      <c r="K15" s="74" t="s">
        <v>6195</v>
      </c>
      <c r="L15" s="74" t="s">
        <v>5776</v>
      </c>
      <c r="M15" s="74" t="s">
        <v>6193</v>
      </c>
      <c r="N15" s="74" t="s">
        <v>5777</v>
      </c>
      <c r="O15" s="74" t="s">
        <v>5749</v>
      </c>
      <c r="P15" s="74" t="s">
        <v>6072</v>
      </c>
      <c r="Q15" s="74" t="s">
        <v>6069</v>
      </c>
      <c r="R15" s="74" t="s">
        <v>6070</v>
      </c>
      <c r="S15" s="74" t="s">
        <v>6071</v>
      </c>
      <c r="T15" s="74" t="s">
        <v>6202</v>
      </c>
      <c r="U15" s="74" t="s">
        <v>6203</v>
      </c>
      <c r="V15" s="74" t="s">
        <v>189</v>
      </c>
      <c r="W15" s="74" t="s">
        <v>194</v>
      </c>
      <c r="X15" s="74" t="s">
        <v>5767</v>
      </c>
      <c r="Y15" s="74" t="s">
        <v>191</v>
      </c>
      <c r="Z15" s="45"/>
      <c r="AA15" s="74" t="s">
        <v>6094</v>
      </c>
      <c r="AB15" s="74" t="s">
        <v>5884</v>
      </c>
      <c r="AC15" s="74" t="s">
        <v>5779</v>
      </c>
      <c r="AD15" s="74" t="s">
        <v>5778</v>
      </c>
      <c r="AE15" s="45"/>
    </row>
    <row r="16" spans="1:37" s="84" customFormat="1" ht="20.100000000000001" customHeight="1" x14ac:dyDescent="0.25">
      <c r="A16" s="160">
        <v>1</v>
      </c>
      <c r="B16" s="72" t="s">
        <v>6212</v>
      </c>
      <c r="C16" s="73" t="s">
        <v>6104</v>
      </c>
      <c r="D16" s="73">
        <v>92.25</v>
      </c>
      <c r="E16" s="73">
        <v>3</v>
      </c>
      <c r="F16" s="72" t="s">
        <v>49</v>
      </c>
      <c r="G16" s="72" t="s">
        <v>51</v>
      </c>
      <c r="H16" s="72" t="s">
        <v>6214</v>
      </c>
      <c r="I16" s="72" t="s">
        <v>38</v>
      </c>
      <c r="J16" s="144" t="s">
        <v>6222</v>
      </c>
      <c r="K16" s="144" t="s">
        <v>6225</v>
      </c>
      <c r="L16" s="144" t="s">
        <v>6226</v>
      </c>
      <c r="M16" s="144" t="s">
        <v>6228</v>
      </c>
      <c r="N16" s="144" t="s">
        <v>6132</v>
      </c>
      <c r="O16" s="144">
        <v>50</v>
      </c>
      <c r="P16" s="72" t="s">
        <v>5836</v>
      </c>
      <c r="Q16" s="144">
        <v>30</v>
      </c>
      <c r="R16" s="144">
        <v>0</v>
      </c>
      <c r="S16" s="144">
        <v>0</v>
      </c>
      <c r="T16" s="73">
        <v>0</v>
      </c>
      <c r="U16" s="144" t="s">
        <v>6227</v>
      </c>
      <c r="V16" s="73">
        <v>14.1</v>
      </c>
      <c r="W16" s="75">
        <f>IF(ISERROR(VLOOKUP($I16,Aux_Lista!$A$2:$L$12,9,FALSE)),"",VLOOKUP($I16,Aux_Lista!$A$2:$L$12,9,FALSE))</f>
        <v>15</v>
      </c>
      <c r="X16" s="76">
        <f>IF(ISERROR(VLOOKUP($I16,Aux_Lista!$A$2:$L$12,10,FALSE)^-1),"",VLOOKUP($I16,Aux_Lista!$A$2:$L$12,10,FALSE)^-1)</f>
        <v>0.1</v>
      </c>
      <c r="Y16" s="76">
        <f>IF(ISERROR(VLOOKUP($I16,Aux_Lista!$A$2:$L$12,11,FALSE)),"",VLOOKUP($I16,Aux_Lista!$A$2:$L$12,11,FALSE))</f>
        <v>10</v>
      </c>
      <c r="Z16" s="83"/>
      <c r="AA16" s="80" t="str">
        <f>ArCondicionado!F31</f>
        <v>Split 30000 BTU/h</v>
      </c>
      <c r="AB16" s="249" t="str">
        <f>ArCondicionado!AK31</f>
        <v>Sim</v>
      </c>
      <c r="AC16" s="505">
        <v>16161.643707275343</v>
      </c>
      <c r="AD16" s="505">
        <v>14094</v>
      </c>
      <c r="AE16" s="83"/>
      <c r="AF16" s="28"/>
      <c r="AG16" s="28"/>
      <c r="AH16" s="28"/>
      <c r="AI16" s="28"/>
      <c r="AJ16" s="28"/>
      <c r="AK16" s="28"/>
    </row>
    <row r="17" spans="1:37" s="30" customFormat="1" ht="20.100000000000001" customHeight="1" x14ac:dyDescent="0.25">
      <c r="A17" s="161">
        <v>2</v>
      </c>
      <c r="B17" s="72" t="s">
        <v>6212</v>
      </c>
      <c r="C17" s="73" t="s">
        <v>6105</v>
      </c>
      <c r="D17" s="73">
        <v>92.25</v>
      </c>
      <c r="E17" s="73">
        <v>3</v>
      </c>
      <c r="F17" s="72" t="s">
        <v>49</v>
      </c>
      <c r="G17" s="72" t="s">
        <v>54</v>
      </c>
      <c r="H17" s="72" t="s">
        <v>6214</v>
      </c>
      <c r="I17" s="72" t="s">
        <v>38</v>
      </c>
      <c r="J17" s="144" t="s">
        <v>6222</v>
      </c>
      <c r="K17" s="144" t="s">
        <v>6225</v>
      </c>
      <c r="L17" s="144" t="s">
        <v>6226</v>
      </c>
      <c r="M17" s="144" t="s">
        <v>6228</v>
      </c>
      <c r="N17" s="144" t="s">
        <v>6132</v>
      </c>
      <c r="O17" s="144">
        <v>0</v>
      </c>
      <c r="P17" s="72" t="s">
        <v>5879</v>
      </c>
      <c r="Q17" s="144">
        <v>0</v>
      </c>
      <c r="R17" s="144">
        <v>0</v>
      </c>
      <c r="S17" s="144">
        <v>0</v>
      </c>
      <c r="T17" s="73">
        <v>0</v>
      </c>
      <c r="U17" s="144" t="s">
        <v>6227</v>
      </c>
      <c r="V17" s="73">
        <v>14.1</v>
      </c>
      <c r="W17" s="75">
        <f>IF(ISERROR(VLOOKUP($I17,Aux_Lista!$A$2:$L$12,9,FALSE)),"",VLOOKUP($I17,Aux_Lista!$A$2:$L$12,9,FALSE))</f>
        <v>15</v>
      </c>
      <c r="X17" s="76">
        <f>IF(ISERROR(VLOOKUP($I17,Aux_Lista!$A$2:$L$12,10,FALSE)^-1),"",VLOOKUP($I17,Aux_Lista!$A$2:$L$12,10,FALSE)^-1)</f>
        <v>0.1</v>
      </c>
      <c r="Y17" s="76">
        <f>IF(ISERROR(VLOOKUP($I17,Aux_Lista!$A$2:$L$12,11,FALSE)),"",VLOOKUP($I17,Aux_Lista!$A$2:$L$12,11,FALSE))</f>
        <v>10</v>
      </c>
      <c r="Z17" s="2"/>
      <c r="AA17" s="80" t="str">
        <f>ArCondicionado!F32</f>
        <v>Split 30000 BTU/h</v>
      </c>
      <c r="AB17" s="249" t="str">
        <f>ArCondicionado!AK32</f>
        <v>Sim</v>
      </c>
      <c r="AC17" s="505">
        <v>9984.7822666167613</v>
      </c>
      <c r="AD17" s="505">
        <v>9984.7822666167613</v>
      </c>
      <c r="AE17" s="2"/>
      <c r="AF17" s="28"/>
      <c r="AG17" s="28"/>
      <c r="AH17" s="28"/>
      <c r="AI17" s="28"/>
      <c r="AJ17" s="28"/>
      <c r="AK17" s="28"/>
    </row>
    <row r="18" spans="1:37" s="30" customFormat="1" ht="20.100000000000001" customHeight="1" x14ac:dyDescent="0.25">
      <c r="A18" s="160">
        <v>3</v>
      </c>
      <c r="B18" s="72" t="s">
        <v>6212</v>
      </c>
      <c r="C18" s="73" t="s">
        <v>6106</v>
      </c>
      <c r="D18" s="73">
        <v>92.25</v>
      </c>
      <c r="E18" s="73">
        <v>3</v>
      </c>
      <c r="F18" s="72" t="s">
        <v>49</v>
      </c>
      <c r="G18" s="72" t="s">
        <v>55</v>
      </c>
      <c r="H18" s="72" t="s">
        <v>6214</v>
      </c>
      <c r="I18" s="72" t="s">
        <v>38</v>
      </c>
      <c r="J18" s="144" t="s">
        <v>6222</v>
      </c>
      <c r="K18" s="144" t="s">
        <v>6225</v>
      </c>
      <c r="L18" s="144" t="s">
        <v>6226</v>
      </c>
      <c r="M18" s="144" t="s">
        <v>6228</v>
      </c>
      <c r="N18" s="144" t="s">
        <v>6132</v>
      </c>
      <c r="O18" s="144">
        <v>0</v>
      </c>
      <c r="P18" s="72" t="s">
        <v>5879</v>
      </c>
      <c r="Q18" s="144">
        <v>0</v>
      </c>
      <c r="R18" s="144">
        <v>0</v>
      </c>
      <c r="S18" s="144">
        <v>0</v>
      </c>
      <c r="T18" s="73">
        <v>0</v>
      </c>
      <c r="U18" s="144" t="s">
        <v>6227</v>
      </c>
      <c r="V18" s="73">
        <v>14.1</v>
      </c>
      <c r="W18" s="75">
        <f>IF(ISERROR(VLOOKUP($I18,Aux_Lista!$A$2:$L$12,9,FALSE)),"",VLOOKUP($I18,Aux_Lista!$A$2:$L$12,9,FALSE))</f>
        <v>15</v>
      </c>
      <c r="X18" s="76">
        <f>IF(ISERROR(VLOOKUP($I18,Aux_Lista!$A$2:$L$12,10,FALSE)^-1),"",VLOOKUP($I18,Aux_Lista!$A$2:$L$12,10,FALSE)^-1)</f>
        <v>0.1</v>
      </c>
      <c r="Y18" s="76">
        <f>IF(ISERROR(VLOOKUP($I18,Aux_Lista!$A$2:$L$12,11,FALSE)),"",VLOOKUP($I18,Aux_Lista!$A$2:$L$12,11,FALSE))</f>
        <v>10</v>
      </c>
      <c r="Z18" s="2"/>
      <c r="AA18" s="80" t="str">
        <f>ArCondicionado!F33</f>
        <v>Split 30000 BTU/h</v>
      </c>
      <c r="AB18" s="249" t="str">
        <f>ArCondicionado!AK33</f>
        <v>Sim</v>
      </c>
      <c r="AC18" s="505">
        <v>10048.760856628336</v>
      </c>
      <c r="AD18" s="505">
        <v>10048.760856628336</v>
      </c>
      <c r="AE18" s="2"/>
      <c r="AF18" s="28"/>
      <c r="AG18" s="28"/>
      <c r="AH18" s="28"/>
      <c r="AI18" s="28"/>
      <c r="AJ18" s="28"/>
      <c r="AK18" s="28"/>
    </row>
    <row r="19" spans="1:37" s="30" customFormat="1" ht="20.100000000000001" customHeight="1" x14ac:dyDescent="0.25">
      <c r="A19" s="161">
        <v>4</v>
      </c>
      <c r="B19" s="72" t="s">
        <v>6212</v>
      </c>
      <c r="C19" s="73" t="s">
        <v>6107</v>
      </c>
      <c r="D19" s="73">
        <v>92.25</v>
      </c>
      <c r="E19" s="73">
        <v>3</v>
      </c>
      <c r="F19" s="72" t="s">
        <v>49</v>
      </c>
      <c r="G19" s="72" t="s">
        <v>58</v>
      </c>
      <c r="H19" s="72" t="s">
        <v>6214</v>
      </c>
      <c r="I19" s="72" t="s">
        <v>38</v>
      </c>
      <c r="J19" s="144" t="s">
        <v>6222</v>
      </c>
      <c r="K19" s="144" t="s">
        <v>6225</v>
      </c>
      <c r="L19" s="144" t="s">
        <v>6226</v>
      </c>
      <c r="M19" s="144" t="s">
        <v>6228</v>
      </c>
      <c r="N19" s="144" t="s">
        <v>6132</v>
      </c>
      <c r="O19" s="144">
        <v>50</v>
      </c>
      <c r="P19" s="72" t="s">
        <v>5879</v>
      </c>
      <c r="Q19" s="144">
        <v>30</v>
      </c>
      <c r="R19" s="144">
        <v>0</v>
      </c>
      <c r="S19" s="144">
        <v>0</v>
      </c>
      <c r="T19" s="73">
        <v>0</v>
      </c>
      <c r="U19" s="144" t="s">
        <v>6227</v>
      </c>
      <c r="V19" s="73">
        <v>14.1</v>
      </c>
      <c r="W19" s="75">
        <f>IF(ISERROR(VLOOKUP($I19,Aux_Lista!$A$2:$L$12,9,FALSE)),"",VLOOKUP($I19,Aux_Lista!$A$2:$L$12,9,FALSE))</f>
        <v>15</v>
      </c>
      <c r="X19" s="76">
        <f>IF(ISERROR(VLOOKUP($I19,Aux_Lista!$A$2:$L$12,10,FALSE)^-1),"",VLOOKUP($I19,Aux_Lista!$A$2:$L$12,10,FALSE)^-1)</f>
        <v>0.1</v>
      </c>
      <c r="Y19" s="76">
        <f>IF(ISERROR(VLOOKUP($I19,Aux_Lista!$A$2:$L$12,11,FALSE)),"",VLOOKUP($I19,Aux_Lista!$A$2:$L$12,11,FALSE))</f>
        <v>10</v>
      </c>
      <c r="Z19" s="2"/>
      <c r="AA19" s="80" t="str">
        <f>ArCondicionado!F34</f>
        <v>Split 30000 BTU/h</v>
      </c>
      <c r="AB19" s="249" t="str">
        <f>ArCondicionado!AK34</f>
        <v>Sim</v>
      </c>
      <c r="AC19" s="505">
        <v>14771.945091247524</v>
      </c>
      <c r="AD19" s="505">
        <v>13398</v>
      </c>
      <c r="AE19" s="2"/>
      <c r="AF19" s="28"/>
      <c r="AG19" s="28"/>
      <c r="AH19" s="28"/>
      <c r="AI19" s="28"/>
      <c r="AJ19" s="28"/>
      <c r="AK19" s="28"/>
    </row>
    <row r="20" spans="1:37" s="30" customFormat="1" ht="20.100000000000001" customHeight="1" x14ac:dyDescent="0.25">
      <c r="A20" s="160">
        <v>5</v>
      </c>
      <c r="B20" s="72" t="s">
        <v>6212</v>
      </c>
      <c r="C20" s="73" t="s">
        <v>6108</v>
      </c>
      <c r="D20" s="73">
        <v>256</v>
      </c>
      <c r="E20" s="73">
        <v>3</v>
      </c>
      <c r="F20" s="72" t="s">
        <v>50</v>
      </c>
      <c r="G20" s="72" t="s">
        <v>50</v>
      </c>
      <c r="H20" s="72" t="s">
        <v>6214</v>
      </c>
      <c r="I20" s="72" t="s">
        <v>38</v>
      </c>
      <c r="J20" s="388" t="s">
        <v>6223</v>
      </c>
      <c r="K20" s="144" t="s">
        <v>6225</v>
      </c>
      <c r="L20" s="144" t="s">
        <v>6226</v>
      </c>
      <c r="M20" s="144" t="s">
        <v>6228</v>
      </c>
      <c r="N20" s="389" t="s">
        <v>6223</v>
      </c>
      <c r="O20" s="389">
        <v>0</v>
      </c>
      <c r="P20" s="72" t="s">
        <v>5879</v>
      </c>
      <c r="Q20" s="389">
        <v>0</v>
      </c>
      <c r="R20" s="389">
        <v>0</v>
      </c>
      <c r="S20" s="389">
        <v>0</v>
      </c>
      <c r="T20" s="390">
        <v>0</v>
      </c>
      <c r="U20" s="144" t="s">
        <v>6227</v>
      </c>
      <c r="V20" s="73">
        <v>14.1</v>
      </c>
      <c r="W20" s="75">
        <f>IF(ISERROR(VLOOKUP($I20,Aux_Lista!$A$2:$L$12,9,FALSE)),"",VLOOKUP($I20,Aux_Lista!$A$2:$L$12,9,FALSE))</f>
        <v>15</v>
      </c>
      <c r="X20" s="76">
        <f>IF(ISERROR(VLOOKUP($I20,Aux_Lista!$A$2:$L$12,10,FALSE)^-1),"",VLOOKUP($I20,Aux_Lista!$A$2:$L$12,10,FALSE)^-1)</f>
        <v>0.1</v>
      </c>
      <c r="Y20" s="76">
        <f>IF(ISERROR(VLOOKUP($I20,Aux_Lista!$A$2:$L$12,11,FALSE)),"",VLOOKUP($I20,Aux_Lista!$A$2:$L$12,11,FALSE))</f>
        <v>10</v>
      </c>
      <c r="Z20" s="2"/>
      <c r="AA20" s="80" t="str">
        <f>ArCondicionado!F35</f>
        <v>Split 30000 BTU/h</v>
      </c>
      <c r="AB20" s="249" t="str">
        <f>ArCondicionado!AK35</f>
        <v>Sim</v>
      </c>
      <c r="AC20" s="505">
        <v>28397.335937499905</v>
      </c>
      <c r="AD20" s="505">
        <v>28397.335937499905</v>
      </c>
      <c r="AE20" s="2"/>
      <c r="AF20" s="28"/>
      <c r="AG20" s="28"/>
      <c r="AH20" s="28"/>
      <c r="AI20" s="28"/>
      <c r="AJ20" s="28"/>
      <c r="AK20" s="28"/>
    </row>
    <row r="21" spans="1:37" s="30" customFormat="1" ht="20.100000000000001" customHeight="1" x14ac:dyDescent="0.2">
      <c r="A21" s="161">
        <v>6</v>
      </c>
      <c r="B21" s="72"/>
      <c r="C21" s="73"/>
      <c r="D21" s="73"/>
      <c r="E21" s="73"/>
      <c r="F21" s="72"/>
      <c r="G21" s="72"/>
      <c r="H21" s="72"/>
      <c r="I21" s="72"/>
      <c r="J21" s="144"/>
      <c r="K21" s="144"/>
      <c r="L21" s="73"/>
      <c r="M21" s="144"/>
      <c r="N21" s="389"/>
      <c r="O21" s="389"/>
      <c r="P21" s="72" t="s">
        <v>5879</v>
      </c>
      <c r="Q21" s="144"/>
      <c r="R21" s="144"/>
      <c r="S21" s="144"/>
      <c r="T21" s="73"/>
      <c r="U21" s="144"/>
      <c r="V21" s="73"/>
      <c r="W21" s="75" t="str">
        <f>IF(ISERROR(VLOOKUP($I21,Aux_Lista!$A$2:$L$12,9,FALSE)),"",VLOOKUP($I21,Aux_Lista!$A$2:$L$12,9,FALSE))</f>
        <v/>
      </c>
      <c r="X21" s="76" t="str">
        <f>IF(ISERROR(VLOOKUP($I21,Aux_Lista!$A$2:$L$12,10,FALSE)^-1),"",VLOOKUP($I21,Aux_Lista!$A$2:$L$12,10,FALSE)^-1)</f>
        <v/>
      </c>
      <c r="Y21" s="76" t="str">
        <f>IF(ISERROR(VLOOKUP($I21,Aux_Lista!$A$2:$L$12,11,FALSE)),"",VLOOKUP($I21,Aux_Lista!$A$2:$L$12,11,FALSE))</f>
        <v/>
      </c>
      <c r="Z21" s="2"/>
      <c r="AA21" s="80">
        <f>ArCondicionado!F36</f>
        <v>0</v>
      </c>
      <c r="AB21" s="249" t="str">
        <f>ArCondicionado!AK36</f>
        <v/>
      </c>
      <c r="AC21" s="81"/>
      <c r="AD21" s="81"/>
      <c r="AE21" s="2"/>
      <c r="AG21" s="46"/>
      <c r="AH21" s="46"/>
      <c r="AI21" s="46"/>
      <c r="AJ21" s="46"/>
      <c r="AK21" s="46"/>
    </row>
    <row r="22" spans="1:37" s="30" customFormat="1" ht="20.100000000000001" customHeight="1" x14ac:dyDescent="0.2">
      <c r="A22" s="160">
        <v>7</v>
      </c>
      <c r="B22" s="72"/>
      <c r="C22" s="73"/>
      <c r="D22" s="73"/>
      <c r="E22" s="73"/>
      <c r="F22" s="72"/>
      <c r="G22" s="72"/>
      <c r="H22" s="72"/>
      <c r="I22" s="72"/>
      <c r="J22" s="144"/>
      <c r="K22" s="144"/>
      <c r="L22" s="73"/>
      <c r="M22" s="144"/>
      <c r="N22" s="389"/>
      <c r="O22" s="389"/>
      <c r="P22" s="72" t="s">
        <v>5879</v>
      </c>
      <c r="Q22" s="144"/>
      <c r="R22" s="144"/>
      <c r="S22" s="144"/>
      <c r="T22" s="73"/>
      <c r="U22" s="144"/>
      <c r="V22" s="73"/>
      <c r="W22" s="75" t="str">
        <f>IF(ISERROR(VLOOKUP($I22,Aux_Lista!$A$2:$L$12,9,FALSE)),"",VLOOKUP($I22,Aux_Lista!$A$2:$L$12,9,FALSE))</f>
        <v/>
      </c>
      <c r="X22" s="76" t="str">
        <f>IF(ISERROR(VLOOKUP($I22,Aux_Lista!$A$2:$L$12,10,FALSE)^-1),"",VLOOKUP($I22,Aux_Lista!$A$2:$L$12,10,FALSE)^-1)</f>
        <v/>
      </c>
      <c r="Y22" s="76" t="str">
        <f>IF(ISERROR(VLOOKUP($I22,Aux_Lista!$A$2:$L$12,11,FALSE)),"",VLOOKUP($I22,Aux_Lista!$A$2:$L$12,11,FALSE))</f>
        <v/>
      </c>
      <c r="Z22" s="2"/>
      <c r="AA22" s="80">
        <f>ArCondicionado!F37</f>
        <v>0</v>
      </c>
      <c r="AB22" s="249" t="str">
        <f>ArCondicionado!AK37</f>
        <v/>
      </c>
      <c r="AC22" s="81"/>
      <c r="AD22" s="81"/>
      <c r="AE22" s="2"/>
      <c r="AG22" s="46"/>
      <c r="AH22" s="46"/>
      <c r="AI22" s="46"/>
      <c r="AJ22" s="46"/>
      <c r="AK22" s="46"/>
    </row>
    <row r="23" spans="1:37" s="30" customFormat="1" ht="20.100000000000001" customHeight="1" x14ac:dyDescent="0.25">
      <c r="A23" s="161">
        <v>8</v>
      </c>
      <c r="B23" s="72"/>
      <c r="C23" s="73"/>
      <c r="D23" s="73"/>
      <c r="E23" s="73"/>
      <c r="F23" s="72"/>
      <c r="G23" s="72"/>
      <c r="H23" s="72"/>
      <c r="I23" s="72"/>
      <c r="J23" s="144"/>
      <c r="K23" s="144"/>
      <c r="L23" s="73"/>
      <c r="M23" s="144"/>
      <c r="N23" s="389"/>
      <c r="O23" s="389"/>
      <c r="P23" s="72" t="s">
        <v>5879</v>
      </c>
      <c r="Q23" s="144"/>
      <c r="R23" s="144"/>
      <c r="S23" s="144"/>
      <c r="T23" s="73"/>
      <c r="U23" s="144"/>
      <c r="V23" s="73"/>
      <c r="W23" s="75" t="str">
        <f>IF(ISERROR(VLOOKUP($I23,Aux_Lista!$A$2:$L$12,9,FALSE)),"",VLOOKUP($I23,Aux_Lista!$A$2:$L$12,9,FALSE))</f>
        <v/>
      </c>
      <c r="X23" s="76" t="str">
        <f>IF(ISERROR(VLOOKUP($I23,Aux_Lista!$A$2:$L$12,10,FALSE)^-1),"",VLOOKUP($I23,Aux_Lista!$A$2:$L$12,10,FALSE)^-1)</f>
        <v/>
      </c>
      <c r="Y23" s="76" t="str">
        <f>IF(ISERROR(VLOOKUP($I23,Aux_Lista!$A$2:$L$12,11,FALSE)),"",VLOOKUP($I23,Aux_Lista!$A$2:$L$12,11,FALSE))</f>
        <v/>
      </c>
      <c r="Z23" s="2"/>
      <c r="AA23" s="80">
        <f>ArCondicionado!F38</f>
        <v>0</v>
      </c>
      <c r="AB23" s="249" t="str">
        <f>ArCondicionado!AK38</f>
        <v/>
      </c>
      <c r="AC23" s="81"/>
      <c r="AD23" s="81"/>
      <c r="AE23" s="2"/>
    </row>
    <row r="24" spans="1:37" s="30" customFormat="1" ht="20.100000000000001" customHeight="1" x14ac:dyDescent="0.25">
      <c r="A24" s="160">
        <v>9</v>
      </c>
      <c r="B24" s="72"/>
      <c r="C24" s="73"/>
      <c r="D24" s="73"/>
      <c r="E24" s="73"/>
      <c r="F24" s="72"/>
      <c r="G24" s="72"/>
      <c r="H24" s="72"/>
      <c r="I24" s="72"/>
      <c r="J24" s="144"/>
      <c r="K24" s="144"/>
      <c r="L24" s="73"/>
      <c r="M24" s="144"/>
      <c r="N24" s="389"/>
      <c r="O24" s="389"/>
      <c r="P24" s="72" t="s">
        <v>5879</v>
      </c>
      <c r="Q24" s="144"/>
      <c r="R24" s="144"/>
      <c r="S24" s="144"/>
      <c r="T24" s="73"/>
      <c r="U24" s="144"/>
      <c r="V24" s="73"/>
      <c r="W24" s="75" t="str">
        <f>IF(ISERROR(VLOOKUP($I24,Aux_Lista!$A$2:$L$12,9,FALSE)),"",VLOOKUP($I24,Aux_Lista!$A$2:$L$12,9,FALSE))</f>
        <v/>
      </c>
      <c r="X24" s="76" t="str">
        <f>IF(ISERROR(VLOOKUP($I24,Aux_Lista!$A$2:$L$12,10,FALSE)^-1),"",VLOOKUP($I24,Aux_Lista!$A$2:$L$12,10,FALSE)^-1)</f>
        <v/>
      </c>
      <c r="Y24" s="76" t="str">
        <f>IF(ISERROR(VLOOKUP($I24,Aux_Lista!$A$2:$L$12,11,FALSE)),"",VLOOKUP($I24,Aux_Lista!$A$2:$L$12,11,FALSE))</f>
        <v/>
      </c>
      <c r="Z24" s="2"/>
      <c r="AA24" s="80">
        <f>ArCondicionado!F39</f>
        <v>0</v>
      </c>
      <c r="AB24" s="249" t="str">
        <f>ArCondicionado!AK39</f>
        <v/>
      </c>
      <c r="AC24" s="81"/>
      <c r="AD24" s="81"/>
      <c r="AE24" s="2"/>
    </row>
    <row r="25" spans="1:37" s="30" customFormat="1" ht="20.100000000000001" customHeight="1" x14ac:dyDescent="0.25">
      <c r="A25" s="161">
        <v>10</v>
      </c>
      <c r="B25" s="72"/>
      <c r="C25" s="73"/>
      <c r="D25" s="73"/>
      <c r="E25" s="73"/>
      <c r="F25" s="72"/>
      <c r="G25" s="72"/>
      <c r="H25" s="72"/>
      <c r="I25" s="72"/>
      <c r="J25" s="144"/>
      <c r="K25" s="144"/>
      <c r="L25" s="73"/>
      <c r="M25" s="144"/>
      <c r="N25" s="389"/>
      <c r="O25" s="389"/>
      <c r="P25" s="72" t="s">
        <v>5879</v>
      </c>
      <c r="Q25" s="144"/>
      <c r="R25" s="144"/>
      <c r="S25" s="144"/>
      <c r="T25" s="73"/>
      <c r="U25" s="144"/>
      <c r="V25" s="73"/>
      <c r="W25" s="75" t="str">
        <f>IF(ISERROR(VLOOKUP($I25,Aux_Lista!$A$2:$L$12,9,FALSE)),"",VLOOKUP($I25,Aux_Lista!$A$2:$L$12,9,FALSE))</f>
        <v/>
      </c>
      <c r="X25" s="76" t="str">
        <f>IF(ISERROR(VLOOKUP($I25,Aux_Lista!$A$2:$L$12,10,FALSE)^-1),"",VLOOKUP($I25,Aux_Lista!$A$2:$L$12,10,FALSE)^-1)</f>
        <v/>
      </c>
      <c r="Y25" s="76" t="str">
        <f>IF(ISERROR(VLOOKUP($I25,Aux_Lista!$A$2:$L$12,11,FALSE)),"",VLOOKUP($I25,Aux_Lista!$A$2:$L$12,11,FALSE))</f>
        <v/>
      </c>
      <c r="Z25" s="2"/>
      <c r="AA25" s="80">
        <f>ArCondicionado!F40</f>
        <v>0</v>
      </c>
      <c r="AB25" s="249" t="str">
        <f>ArCondicionado!AK40</f>
        <v/>
      </c>
      <c r="AC25" s="81"/>
      <c r="AD25" s="81"/>
      <c r="AE25" s="2"/>
    </row>
    <row r="26" spans="1:37" s="30" customFormat="1" ht="20.100000000000001" customHeight="1" x14ac:dyDescent="0.25">
      <c r="A26" s="160">
        <v>11</v>
      </c>
      <c r="B26" s="72"/>
      <c r="C26" s="73"/>
      <c r="D26" s="73"/>
      <c r="E26" s="73"/>
      <c r="F26" s="72"/>
      <c r="G26" s="72"/>
      <c r="H26" s="72"/>
      <c r="I26" s="72"/>
      <c r="J26" s="144"/>
      <c r="K26" s="144"/>
      <c r="L26" s="73"/>
      <c r="M26" s="144"/>
      <c r="N26" s="389"/>
      <c r="O26" s="389"/>
      <c r="P26" s="72" t="s">
        <v>5879</v>
      </c>
      <c r="Q26" s="144"/>
      <c r="R26" s="144"/>
      <c r="S26" s="144"/>
      <c r="T26" s="73"/>
      <c r="U26" s="144"/>
      <c r="V26" s="73"/>
      <c r="W26" s="75" t="str">
        <f>IF(ISERROR(VLOOKUP($I26,Aux_Lista!$A$2:$L$12,9,FALSE)),"",VLOOKUP($I26,Aux_Lista!$A$2:$L$12,9,FALSE))</f>
        <v/>
      </c>
      <c r="X26" s="76" t="str">
        <f>IF(ISERROR(VLOOKUP($I26,Aux_Lista!$A$2:$L$12,10,FALSE)^-1),"",VLOOKUP($I26,Aux_Lista!$A$2:$L$12,10,FALSE)^-1)</f>
        <v/>
      </c>
      <c r="Y26" s="76" t="str">
        <f>IF(ISERROR(VLOOKUP($I26,Aux_Lista!$A$2:$L$12,11,FALSE)),"",VLOOKUP($I26,Aux_Lista!$A$2:$L$12,11,FALSE))</f>
        <v/>
      </c>
      <c r="Z26" s="2"/>
      <c r="AA26" s="80">
        <f>ArCondicionado!F41</f>
        <v>0</v>
      </c>
      <c r="AB26" s="249" t="str">
        <f>ArCondicionado!AK41</f>
        <v/>
      </c>
      <c r="AC26" s="81"/>
      <c r="AD26" s="81"/>
      <c r="AE26" s="2"/>
    </row>
    <row r="27" spans="1:37" s="30" customFormat="1" ht="20.100000000000001" customHeight="1" x14ac:dyDescent="0.25">
      <c r="A27" s="161">
        <v>12</v>
      </c>
      <c r="B27" s="72"/>
      <c r="C27" s="73"/>
      <c r="D27" s="73"/>
      <c r="E27" s="73"/>
      <c r="F27" s="72"/>
      <c r="G27" s="72"/>
      <c r="H27" s="72"/>
      <c r="I27" s="72"/>
      <c r="J27" s="144"/>
      <c r="K27" s="144"/>
      <c r="L27" s="73"/>
      <c r="M27" s="144"/>
      <c r="N27" s="389"/>
      <c r="O27" s="389"/>
      <c r="P27" s="72" t="s">
        <v>5879</v>
      </c>
      <c r="Q27" s="144"/>
      <c r="R27" s="144"/>
      <c r="S27" s="144"/>
      <c r="T27" s="73"/>
      <c r="U27" s="144"/>
      <c r="V27" s="73"/>
      <c r="W27" s="75" t="str">
        <f>IF(ISERROR(VLOOKUP($I27,Aux_Lista!$A$2:$L$12,9,FALSE)),"",VLOOKUP($I27,Aux_Lista!$A$2:$L$12,9,FALSE))</f>
        <v/>
      </c>
      <c r="X27" s="76" t="str">
        <f>IF(ISERROR(VLOOKUP($I27,Aux_Lista!$A$2:$L$12,10,FALSE)^-1),"",VLOOKUP($I27,Aux_Lista!$A$2:$L$12,10,FALSE)^-1)</f>
        <v/>
      </c>
      <c r="Y27" s="76" t="str">
        <f>IF(ISERROR(VLOOKUP($I27,Aux_Lista!$A$2:$L$12,11,FALSE)),"",VLOOKUP($I27,Aux_Lista!$A$2:$L$12,11,FALSE))</f>
        <v/>
      </c>
      <c r="Z27" s="2"/>
      <c r="AA27" s="80">
        <f>ArCondicionado!F42</f>
        <v>0</v>
      </c>
      <c r="AB27" s="249" t="str">
        <f>ArCondicionado!AK42</f>
        <v/>
      </c>
      <c r="AC27" s="81"/>
      <c r="AD27" s="81"/>
      <c r="AE27" s="2"/>
    </row>
    <row r="28" spans="1:37" s="30" customFormat="1" ht="20.100000000000001" customHeight="1" x14ac:dyDescent="0.25">
      <c r="A28" s="160">
        <v>13</v>
      </c>
      <c r="B28" s="72"/>
      <c r="C28" s="73"/>
      <c r="D28" s="73"/>
      <c r="E28" s="73"/>
      <c r="F28" s="72"/>
      <c r="G28" s="72"/>
      <c r="H28" s="72"/>
      <c r="I28" s="72"/>
      <c r="J28" s="144"/>
      <c r="K28" s="144"/>
      <c r="L28" s="73"/>
      <c r="M28" s="144"/>
      <c r="N28" s="389"/>
      <c r="O28" s="389"/>
      <c r="P28" s="72" t="s">
        <v>5879</v>
      </c>
      <c r="Q28" s="144"/>
      <c r="R28" s="144"/>
      <c r="S28" s="144"/>
      <c r="T28" s="73"/>
      <c r="U28" s="144"/>
      <c r="V28" s="73"/>
      <c r="W28" s="75" t="str">
        <f>IF(ISERROR(VLOOKUP($I28,Aux_Lista!$A$2:$L$12,9,FALSE)),"",VLOOKUP($I28,Aux_Lista!$A$2:$L$12,9,FALSE))</f>
        <v/>
      </c>
      <c r="X28" s="76" t="str">
        <f>IF(ISERROR(VLOOKUP($I28,Aux_Lista!$A$2:$L$12,10,FALSE)^-1),"",VLOOKUP($I28,Aux_Lista!$A$2:$L$12,10,FALSE)^-1)</f>
        <v/>
      </c>
      <c r="Y28" s="76" t="str">
        <f>IF(ISERROR(VLOOKUP($I28,Aux_Lista!$A$2:$L$12,11,FALSE)),"",VLOOKUP($I28,Aux_Lista!$A$2:$L$12,11,FALSE))</f>
        <v/>
      </c>
      <c r="Z28" s="2"/>
      <c r="AA28" s="80">
        <f>ArCondicionado!F43</f>
        <v>0</v>
      </c>
      <c r="AB28" s="249" t="str">
        <f>ArCondicionado!AK43</f>
        <v/>
      </c>
      <c r="AC28" s="81"/>
      <c r="AD28" s="81"/>
      <c r="AE28" s="2"/>
    </row>
    <row r="29" spans="1:37" s="30" customFormat="1" ht="20.100000000000001" customHeight="1" x14ac:dyDescent="0.25">
      <c r="A29" s="161">
        <v>14</v>
      </c>
      <c r="B29" s="72"/>
      <c r="C29" s="73"/>
      <c r="D29" s="73"/>
      <c r="E29" s="73"/>
      <c r="F29" s="72"/>
      <c r="G29" s="72"/>
      <c r="H29" s="72"/>
      <c r="I29" s="72"/>
      <c r="J29" s="144"/>
      <c r="K29" s="144"/>
      <c r="L29" s="73"/>
      <c r="M29" s="144"/>
      <c r="N29" s="389"/>
      <c r="O29" s="389"/>
      <c r="P29" s="72" t="s">
        <v>5879</v>
      </c>
      <c r="Q29" s="144"/>
      <c r="R29" s="144"/>
      <c r="S29" s="144"/>
      <c r="T29" s="73"/>
      <c r="U29" s="144"/>
      <c r="V29" s="73"/>
      <c r="W29" s="75" t="str">
        <f>IF(ISERROR(VLOOKUP($I29,Aux_Lista!$A$2:$L$12,9,FALSE)),"",VLOOKUP($I29,Aux_Lista!$A$2:$L$12,9,FALSE))</f>
        <v/>
      </c>
      <c r="X29" s="76" t="str">
        <f>IF(ISERROR(VLOOKUP($I29,Aux_Lista!$A$2:$L$12,10,FALSE)^-1),"",VLOOKUP($I29,Aux_Lista!$A$2:$L$12,10,FALSE)^-1)</f>
        <v/>
      </c>
      <c r="Y29" s="76" t="str">
        <f>IF(ISERROR(VLOOKUP($I29,Aux_Lista!$A$2:$L$12,11,FALSE)),"",VLOOKUP($I29,Aux_Lista!$A$2:$L$12,11,FALSE))</f>
        <v/>
      </c>
      <c r="Z29" s="2"/>
      <c r="AA29" s="80">
        <f>ArCondicionado!F44</f>
        <v>0</v>
      </c>
      <c r="AB29" s="249" t="str">
        <f>ArCondicionado!AK44</f>
        <v/>
      </c>
      <c r="AC29" s="81"/>
      <c r="AD29" s="81"/>
      <c r="AE29" s="2"/>
    </row>
    <row r="30" spans="1:37" s="30" customFormat="1" ht="20.100000000000001" customHeight="1" x14ac:dyDescent="0.25">
      <c r="A30" s="160">
        <v>15</v>
      </c>
      <c r="B30" s="72"/>
      <c r="C30" s="73"/>
      <c r="D30" s="73"/>
      <c r="E30" s="73"/>
      <c r="F30" s="72"/>
      <c r="G30" s="72"/>
      <c r="H30" s="72"/>
      <c r="I30" s="72"/>
      <c r="J30" s="144"/>
      <c r="K30" s="144"/>
      <c r="L30" s="73"/>
      <c r="M30" s="144"/>
      <c r="N30" s="389"/>
      <c r="O30" s="389"/>
      <c r="P30" s="72" t="s">
        <v>5879</v>
      </c>
      <c r="Q30" s="144"/>
      <c r="R30" s="144"/>
      <c r="S30" s="144"/>
      <c r="T30" s="73"/>
      <c r="U30" s="144"/>
      <c r="V30" s="73"/>
      <c r="W30" s="75" t="str">
        <f>IF(ISERROR(VLOOKUP($I30,Aux_Lista!$A$2:$L$12,9,FALSE)),"",VLOOKUP($I30,Aux_Lista!$A$2:$L$12,9,FALSE))</f>
        <v/>
      </c>
      <c r="X30" s="76" t="str">
        <f>IF(ISERROR(VLOOKUP($I30,Aux_Lista!$A$2:$L$12,10,FALSE)^-1),"",VLOOKUP($I30,Aux_Lista!$A$2:$L$12,10,FALSE)^-1)</f>
        <v/>
      </c>
      <c r="Y30" s="76" t="str">
        <f>IF(ISERROR(VLOOKUP($I30,Aux_Lista!$A$2:$L$12,11,FALSE)),"",VLOOKUP($I30,Aux_Lista!$A$2:$L$12,11,FALSE))</f>
        <v/>
      </c>
      <c r="Z30" s="2"/>
      <c r="AA30" s="80">
        <f>ArCondicionado!F45</f>
        <v>0</v>
      </c>
      <c r="AB30" s="249" t="str">
        <f>ArCondicionado!AK45</f>
        <v/>
      </c>
      <c r="AC30" s="81"/>
      <c r="AD30" s="81"/>
      <c r="AE30" s="2"/>
    </row>
    <row r="31" spans="1:37" s="30" customFormat="1" ht="20.100000000000001" customHeight="1" x14ac:dyDescent="0.25">
      <c r="A31" s="161">
        <v>16</v>
      </c>
      <c r="B31" s="72"/>
      <c r="C31" s="73"/>
      <c r="D31" s="73"/>
      <c r="E31" s="73"/>
      <c r="F31" s="72"/>
      <c r="G31" s="72"/>
      <c r="H31" s="72"/>
      <c r="I31" s="72"/>
      <c r="J31" s="144"/>
      <c r="K31" s="144"/>
      <c r="L31" s="73"/>
      <c r="M31" s="144"/>
      <c r="N31" s="389"/>
      <c r="O31" s="389"/>
      <c r="P31" s="72" t="s">
        <v>5879</v>
      </c>
      <c r="Q31" s="144"/>
      <c r="R31" s="144"/>
      <c r="S31" s="144"/>
      <c r="T31" s="73"/>
      <c r="U31" s="144"/>
      <c r="V31" s="73"/>
      <c r="W31" s="75" t="str">
        <f>IF(ISERROR(VLOOKUP($I31,Aux_Lista!$A$2:$L$12,9,FALSE)),"",VLOOKUP($I31,Aux_Lista!$A$2:$L$12,9,FALSE))</f>
        <v/>
      </c>
      <c r="X31" s="76" t="str">
        <f>IF(ISERROR(VLOOKUP($I31,Aux_Lista!$A$2:$L$12,10,FALSE)^-1),"",VLOOKUP($I31,Aux_Lista!$A$2:$L$12,10,FALSE)^-1)</f>
        <v/>
      </c>
      <c r="Y31" s="76" t="str">
        <f>IF(ISERROR(VLOOKUP($I31,Aux_Lista!$A$2:$L$12,11,FALSE)),"",VLOOKUP($I31,Aux_Lista!$A$2:$L$12,11,FALSE))</f>
        <v/>
      </c>
      <c r="Z31" s="2"/>
      <c r="AA31" s="80">
        <f>ArCondicionado!F46</f>
        <v>0</v>
      </c>
      <c r="AB31" s="249" t="str">
        <f>ArCondicionado!AK46</f>
        <v/>
      </c>
      <c r="AC31" s="81"/>
      <c r="AD31" s="81"/>
      <c r="AE31" s="2"/>
    </row>
    <row r="32" spans="1:37" s="30" customFormat="1" ht="20.100000000000001" customHeight="1" x14ac:dyDescent="0.25">
      <c r="A32" s="160">
        <v>17</v>
      </c>
      <c r="B32" s="72"/>
      <c r="C32" s="73"/>
      <c r="D32" s="73"/>
      <c r="E32" s="73"/>
      <c r="F32" s="72"/>
      <c r="G32" s="72"/>
      <c r="H32" s="72"/>
      <c r="I32" s="72"/>
      <c r="J32" s="144"/>
      <c r="K32" s="144"/>
      <c r="L32" s="73"/>
      <c r="M32" s="144"/>
      <c r="N32" s="389"/>
      <c r="O32" s="389"/>
      <c r="P32" s="72" t="s">
        <v>5879</v>
      </c>
      <c r="Q32" s="144"/>
      <c r="R32" s="144"/>
      <c r="S32" s="144"/>
      <c r="T32" s="73"/>
      <c r="U32" s="144"/>
      <c r="V32" s="73"/>
      <c r="W32" s="75" t="str">
        <f>IF(ISERROR(VLOOKUP($I32,Aux_Lista!$A$2:$L$12,9,FALSE)),"",VLOOKUP($I32,Aux_Lista!$A$2:$L$12,9,FALSE))</f>
        <v/>
      </c>
      <c r="X32" s="76" t="str">
        <f>IF(ISERROR(VLOOKUP($I32,Aux_Lista!$A$2:$L$12,10,FALSE)^-1),"",VLOOKUP($I32,Aux_Lista!$A$2:$L$12,10,FALSE)^-1)</f>
        <v/>
      </c>
      <c r="Y32" s="76" t="str">
        <f>IF(ISERROR(VLOOKUP($I32,Aux_Lista!$A$2:$L$12,11,FALSE)),"",VLOOKUP($I32,Aux_Lista!$A$2:$L$12,11,FALSE))</f>
        <v/>
      </c>
      <c r="Z32" s="2"/>
      <c r="AA32" s="80">
        <f>ArCondicionado!F47</f>
        <v>0</v>
      </c>
      <c r="AB32" s="249" t="str">
        <f>ArCondicionado!AK47</f>
        <v/>
      </c>
      <c r="AC32" s="81"/>
      <c r="AD32" s="81"/>
      <c r="AE32" s="2"/>
    </row>
    <row r="33" spans="1:31" s="30" customFormat="1" ht="20.100000000000001" customHeight="1" x14ac:dyDescent="0.25">
      <c r="A33" s="161">
        <v>18</v>
      </c>
      <c r="B33" s="72"/>
      <c r="C33" s="73"/>
      <c r="D33" s="73"/>
      <c r="E33" s="73"/>
      <c r="F33" s="72"/>
      <c r="G33" s="72"/>
      <c r="H33" s="72"/>
      <c r="I33" s="72"/>
      <c r="J33" s="144"/>
      <c r="K33" s="144"/>
      <c r="L33" s="73"/>
      <c r="M33" s="144"/>
      <c r="N33" s="389"/>
      <c r="O33" s="389"/>
      <c r="P33" s="72" t="s">
        <v>5879</v>
      </c>
      <c r="Q33" s="144"/>
      <c r="R33" s="144"/>
      <c r="S33" s="144"/>
      <c r="T33" s="73"/>
      <c r="U33" s="144"/>
      <c r="V33" s="73"/>
      <c r="W33" s="75" t="str">
        <f>IF(ISERROR(VLOOKUP($I33,Aux_Lista!$A$2:$L$12,9,FALSE)),"",VLOOKUP($I33,Aux_Lista!$A$2:$L$12,9,FALSE))</f>
        <v/>
      </c>
      <c r="X33" s="76" t="str">
        <f>IF(ISERROR(VLOOKUP($I33,Aux_Lista!$A$2:$L$12,10,FALSE)^-1),"",VLOOKUP($I33,Aux_Lista!$A$2:$L$12,10,FALSE)^-1)</f>
        <v/>
      </c>
      <c r="Y33" s="76" t="str">
        <f>IF(ISERROR(VLOOKUP($I33,Aux_Lista!$A$2:$L$12,11,FALSE)),"",VLOOKUP($I33,Aux_Lista!$A$2:$L$12,11,FALSE))</f>
        <v/>
      </c>
      <c r="Z33" s="2"/>
      <c r="AA33" s="80">
        <f>ArCondicionado!F48</f>
        <v>0</v>
      </c>
      <c r="AB33" s="249" t="str">
        <f>ArCondicionado!AK48</f>
        <v/>
      </c>
      <c r="AC33" s="81"/>
      <c r="AD33" s="81"/>
      <c r="AE33" s="2"/>
    </row>
    <row r="34" spans="1:31" s="30" customFormat="1" ht="20.100000000000001" customHeight="1" x14ac:dyDescent="0.25">
      <c r="A34" s="160">
        <v>19</v>
      </c>
      <c r="B34" s="72"/>
      <c r="C34" s="73"/>
      <c r="D34" s="73"/>
      <c r="E34" s="73"/>
      <c r="F34" s="72"/>
      <c r="G34" s="72"/>
      <c r="H34" s="72"/>
      <c r="I34" s="72"/>
      <c r="J34" s="144"/>
      <c r="K34" s="144"/>
      <c r="L34" s="73"/>
      <c r="M34" s="144"/>
      <c r="N34" s="389"/>
      <c r="O34" s="389"/>
      <c r="P34" s="72" t="s">
        <v>5879</v>
      </c>
      <c r="Q34" s="144"/>
      <c r="R34" s="144"/>
      <c r="S34" s="144"/>
      <c r="T34" s="73"/>
      <c r="U34" s="144"/>
      <c r="V34" s="73"/>
      <c r="W34" s="75" t="str">
        <f>IF(ISERROR(VLOOKUP($I34,Aux_Lista!$A$2:$L$12,9,FALSE)),"",VLOOKUP($I34,Aux_Lista!$A$2:$L$12,9,FALSE))</f>
        <v/>
      </c>
      <c r="X34" s="76" t="str">
        <f>IF(ISERROR(VLOOKUP($I34,Aux_Lista!$A$2:$L$12,10,FALSE)^-1),"",VLOOKUP($I34,Aux_Lista!$A$2:$L$12,10,FALSE)^-1)</f>
        <v/>
      </c>
      <c r="Y34" s="76" t="str">
        <f>IF(ISERROR(VLOOKUP($I34,Aux_Lista!$A$2:$L$12,11,FALSE)),"",VLOOKUP($I34,Aux_Lista!$A$2:$L$12,11,FALSE))</f>
        <v/>
      </c>
      <c r="Z34" s="2"/>
      <c r="AA34" s="80">
        <f>ArCondicionado!F49</f>
        <v>0</v>
      </c>
      <c r="AB34" s="249" t="str">
        <f>ArCondicionado!AK49</f>
        <v/>
      </c>
      <c r="AC34" s="81"/>
      <c r="AD34" s="81"/>
      <c r="AE34" s="2"/>
    </row>
    <row r="35" spans="1:31" s="30" customFormat="1" ht="20.100000000000001" customHeight="1" x14ac:dyDescent="0.25">
      <c r="A35" s="161">
        <v>20</v>
      </c>
      <c r="B35" s="72"/>
      <c r="C35" s="73"/>
      <c r="D35" s="73"/>
      <c r="E35" s="73"/>
      <c r="F35" s="72"/>
      <c r="G35" s="72"/>
      <c r="H35" s="72"/>
      <c r="I35" s="72"/>
      <c r="J35" s="144"/>
      <c r="K35" s="144"/>
      <c r="L35" s="73"/>
      <c r="M35" s="144"/>
      <c r="N35" s="389"/>
      <c r="O35" s="389"/>
      <c r="P35" s="72" t="s">
        <v>5879</v>
      </c>
      <c r="Q35" s="144"/>
      <c r="R35" s="144"/>
      <c r="S35" s="144"/>
      <c r="T35" s="73"/>
      <c r="U35" s="144"/>
      <c r="V35" s="73"/>
      <c r="W35" s="75" t="str">
        <f>IF(ISERROR(VLOOKUP($I35,Aux_Lista!$A$2:$L$12,9,FALSE)),"",VLOOKUP($I35,Aux_Lista!$A$2:$L$12,9,FALSE))</f>
        <v/>
      </c>
      <c r="X35" s="76" t="str">
        <f>IF(ISERROR(VLOOKUP($I35,Aux_Lista!$A$2:$L$12,10,FALSE)^-1),"",VLOOKUP($I35,Aux_Lista!$A$2:$L$12,10,FALSE)^-1)</f>
        <v/>
      </c>
      <c r="Y35" s="76" t="str">
        <f>IF(ISERROR(VLOOKUP($I35,Aux_Lista!$A$2:$L$12,11,FALSE)),"",VLOOKUP($I35,Aux_Lista!$A$2:$L$12,11,FALSE))</f>
        <v/>
      </c>
      <c r="Z35" s="2"/>
      <c r="AA35" s="80">
        <f>ArCondicionado!F50</f>
        <v>0</v>
      </c>
      <c r="AB35" s="249" t="str">
        <f>ArCondicionado!AK50</f>
        <v/>
      </c>
      <c r="AC35" s="81"/>
      <c r="AD35" s="81"/>
      <c r="AE35" s="2"/>
    </row>
    <row r="36" spans="1:31" s="30" customFormat="1" ht="20.100000000000001" customHeight="1" x14ac:dyDescent="0.25">
      <c r="A36" s="160">
        <v>21</v>
      </c>
      <c r="B36" s="72"/>
      <c r="C36" s="73"/>
      <c r="D36" s="73"/>
      <c r="E36" s="73"/>
      <c r="F36" s="72"/>
      <c r="G36" s="72"/>
      <c r="H36" s="72"/>
      <c r="I36" s="72"/>
      <c r="J36" s="144"/>
      <c r="K36" s="144"/>
      <c r="L36" s="73"/>
      <c r="M36" s="144"/>
      <c r="N36" s="389"/>
      <c r="O36" s="389"/>
      <c r="P36" s="72" t="s">
        <v>5879</v>
      </c>
      <c r="Q36" s="144"/>
      <c r="R36" s="144"/>
      <c r="S36" s="144"/>
      <c r="T36" s="73"/>
      <c r="U36" s="144"/>
      <c r="V36" s="73"/>
      <c r="W36" s="75" t="str">
        <f>IF(ISERROR(VLOOKUP($I36,Aux_Lista!$A$2:$L$12,9,FALSE)),"",VLOOKUP($I36,Aux_Lista!$A$2:$L$12,9,FALSE))</f>
        <v/>
      </c>
      <c r="X36" s="76" t="str">
        <f>IF(ISERROR(VLOOKUP($I36,Aux_Lista!$A$2:$L$12,10,FALSE)^-1),"",VLOOKUP($I36,Aux_Lista!$A$2:$L$12,10,FALSE)^-1)</f>
        <v/>
      </c>
      <c r="Y36" s="76" t="str">
        <f>IF(ISERROR(VLOOKUP($I36,Aux_Lista!$A$2:$L$12,11,FALSE)),"",VLOOKUP($I36,Aux_Lista!$A$2:$L$12,11,FALSE))</f>
        <v/>
      </c>
      <c r="Z36" s="2"/>
      <c r="AA36" s="80">
        <f>ArCondicionado!F51</f>
        <v>0</v>
      </c>
      <c r="AB36" s="249" t="str">
        <f>ArCondicionado!AK51</f>
        <v/>
      </c>
      <c r="AC36" s="81"/>
      <c r="AD36" s="81"/>
      <c r="AE36" s="2"/>
    </row>
    <row r="37" spans="1:31" s="30" customFormat="1" ht="20.100000000000001" customHeight="1" x14ac:dyDescent="0.25">
      <c r="A37" s="161">
        <v>22</v>
      </c>
      <c r="B37" s="72"/>
      <c r="C37" s="73"/>
      <c r="D37" s="73"/>
      <c r="E37" s="73"/>
      <c r="F37" s="72"/>
      <c r="G37" s="72"/>
      <c r="H37" s="72"/>
      <c r="I37" s="72"/>
      <c r="J37" s="144"/>
      <c r="K37" s="144"/>
      <c r="L37" s="73"/>
      <c r="M37" s="144"/>
      <c r="N37" s="389"/>
      <c r="O37" s="389"/>
      <c r="P37" s="72" t="s">
        <v>5879</v>
      </c>
      <c r="Q37" s="144"/>
      <c r="R37" s="144"/>
      <c r="S37" s="144"/>
      <c r="T37" s="73"/>
      <c r="U37" s="144"/>
      <c r="V37" s="73"/>
      <c r="W37" s="75" t="str">
        <f>IF(ISERROR(VLOOKUP($I37,Aux_Lista!$A$2:$L$12,9,FALSE)),"",VLOOKUP($I37,Aux_Lista!$A$2:$L$12,9,FALSE))</f>
        <v/>
      </c>
      <c r="X37" s="76" t="str">
        <f>IF(ISERROR(VLOOKUP($I37,Aux_Lista!$A$2:$L$12,10,FALSE)^-1),"",VLOOKUP($I37,Aux_Lista!$A$2:$L$12,10,FALSE)^-1)</f>
        <v/>
      </c>
      <c r="Y37" s="76" t="str">
        <f>IF(ISERROR(VLOOKUP($I37,Aux_Lista!$A$2:$L$12,11,FALSE)),"",VLOOKUP($I37,Aux_Lista!$A$2:$L$12,11,FALSE))</f>
        <v/>
      </c>
      <c r="Z37" s="2"/>
      <c r="AA37" s="80">
        <f>ArCondicionado!F52</f>
        <v>0</v>
      </c>
      <c r="AB37" s="249" t="str">
        <f>ArCondicionado!AK52</f>
        <v/>
      </c>
      <c r="AC37" s="81"/>
      <c r="AD37" s="81"/>
      <c r="AE37" s="2"/>
    </row>
    <row r="38" spans="1:31" s="30" customFormat="1" ht="20.100000000000001" customHeight="1" x14ac:dyDescent="0.25">
      <c r="A38" s="160">
        <v>23</v>
      </c>
      <c r="B38" s="72"/>
      <c r="C38" s="73"/>
      <c r="D38" s="73"/>
      <c r="E38" s="73"/>
      <c r="F38" s="72"/>
      <c r="G38" s="72"/>
      <c r="H38" s="72"/>
      <c r="I38" s="72"/>
      <c r="J38" s="144"/>
      <c r="K38" s="144"/>
      <c r="L38" s="73"/>
      <c r="M38" s="144"/>
      <c r="N38" s="389"/>
      <c r="O38" s="389"/>
      <c r="P38" s="72" t="s">
        <v>5879</v>
      </c>
      <c r="Q38" s="144"/>
      <c r="R38" s="144"/>
      <c r="S38" s="144"/>
      <c r="T38" s="73"/>
      <c r="U38" s="144"/>
      <c r="V38" s="73"/>
      <c r="W38" s="75" t="str">
        <f>IF(ISERROR(VLOOKUP($I38,Aux_Lista!$A$2:$L$12,9,FALSE)),"",VLOOKUP($I38,Aux_Lista!$A$2:$L$12,9,FALSE))</f>
        <v/>
      </c>
      <c r="X38" s="76" t="str">
        <f>IF(ISERROR(VLOOKUP($I38,Aux_Lista!$A$2:$L$12,10,FALSE)^-1),"",VLOOKUP($I38,Aux_Lista!$A$2:$L$12,10,FALSE)^-1)</f>
        <v/>
      </c>
      <c r="Y38" s="76" t="str">
        <f>IF(ISERROR(VLOOKUP($I38,Aux_Lista!$A$2:$L$12,11,FALSE)),"",VLOOKUP($I38,Aux_Lista!$A$2:$L$12,11,FALSE))</f>
        <v/>
      </c>
      <c r="Z38" s="2"/>
      <c r="AA38" s="80">
        <f>ArCondicionado!F53</f>
        <v>0</v>
      </c>
      <c r="AB38" s="249" t="str">
        <f>ArCondicionado!AK53</f>
        <v/>
      </c>
      <c r="AC38" s="81"/>
      <c r="AD38" s="81"/>
      <c r="AE38" s="2"/>
    </row>
    <row r="39" spans="1:31" s="30" customFormat="1" ht="20.100000000000001" customHeight="1" x14ac:dyDescent="0.25">
      <c r="A39" s="161">
        <v>24</v>
      </c>
      <c r="B39" s="72"/>
      <c r="C39" s="73"/>
      <c r="D39" s="73"/>
      <c r="E39" s="73"/>
      <c r="F39" s="72"/>
      <c r="G39" s="72"/>
      <c r="H39" s="72"/>
      <c r="I39" s="72"/>
      <c r="J39" s="144"/>
      <c r="K39" s="144"/>
      <c r="L39" s="73"/>
      <c r="M39" s="144"/>
      <c r="N39" s="389"/>
      <c r="O39" s="389"/>
      <c r="P39" s="72" t="s">
        <v>5879</v>
      </c>
      <c r="Q39" s="144"/>
      <c r="R39" s="144"/>
      <c r="S39" s="144"/>
      <c r="T39" s="73"/>
      <c r="U39" s="144"/>
      <c r="V39" s="73"/>
      <c r="W39" s="75" t="str">
        <f>IF(ISERROR(VLOOKUP($I39,Aux_Lista!$A$2:$L$12,9,FALSE)),"",VLOOKUP($I39,Aux_Lista!$A$2:$L$12,9,FALSE))</f>
        <v/>
      </c>
      <c r="X39" s="76" t="str">
        <f>IF(ISERROR(VLOOKUP($I39,Aux_Lista!$A$2:$L$12,10,FALSE)^-1),"",VLOOKUP($I39,Aux_Lista!$A$2:$L$12,10,FALSE)^-1)</f>
        <v/>
      </c>
      <c r="Y39" s="76" t="str">
        <f>IF(ISERROR(VLOOKUP($I39,Aux_Lista!$A$2:$L$12,11,FALSE)),"",VLOOKUP($I39,Aux_Lista!$A$2:$L$12,11,FALSE))</f>
        <v/>
      </c>
      <c r="Z39" s="2"/>
      <c r="AA39" s="80">
        <f>ArCondicionado!F54</f>
        <v>0</v>
      </c>
      <c r="AB39" s="249" t="str">
        <f>ArCondicionado!AK54</f>
        <v/>
      </c>
      <c r="AC39" s="81"/>
      <c r="AD39" s="81"/>
      <c r="AE39" s="2"/>
    </row>
    <row r="40" spans="1:31" s="30" customFormat="1" ht="20.100000000000001" customHeight="1" x14ac:dyDescent="0.25">
      <c r="A40" s="160">
        <v>25</v>
      </c>
      <c r="B40" s="72"/>
      <c r="C40" s="73"/>
      <c r="D40" s="73"/>
      <c r="E40" s="73"/>
      <c r="F40" s="72"/>
      <c r="G40" s="72"/>
      <c r="H40" s="72"/>
      <c r="I40" s="72"/>
      <c r="J40" s="144"/>
      <c r="K40" s="144"/>
      <c r="L40" s="73"/>
      <c r="M40" s="144"/>
      <c r="N40" s="389"/>
      <c r="O40" s="389"/>
      <c r="P40" s="72" t="s">
        <v>5879</v>
      </c>
      <c r="Q40" s="144"/>
      <c r="R40" s="144"/>
      <c r="S40" s="144"/>
      <c r="T40" s="73"/>
      <c r="U40" s="144"/>
      <c r="V40" s="73"/>
      <c r="W40" s="75" t="str">
        <f>IF(ISERROR(VLOOKUP($I40,Aux_Lista!$A$2:$L$12,9,FALSE)),"",VLOOKUP($I40,Aux_Lista!$A$2:$L$12,9,FALSE))</f>
        <v/>
      </c>
      <c r="X40" s="76" t="str">
        <f>IF(ISERROR(VLOOKUP($I40,Aux_Lista!$A$2:$L$12,10,FALSE)^-1),"",VLOOKUP($I40,Aux_Lista!$A$2:$L$12,10,FALSE)^-1)</f>
        <v/>
      </c>
      <c r="Y40" s="76" t="str">
        <f>IF(ISERROR(VLOOKUP($I40,Aux_Lista!$A$2:$L$12,11,FALSE)),"",VLOOKUP($I40,Aux_Lista!$A$2:$L$12,11,FALSE))</f>
        <v/>
      </c>
      <c r="Z40" s="2"/>
      <c r="AA40" s="80">
        <f>ArCondicionado!F55</f>
        <v>0</v>
      </c>
      <c r="AB40" s="249" t="str">
        <f>ArCondicionado!AK55</f>
        <v/>
      </c>
      <c r="AC40" s="81"/>
      <c r="AD40" s="81"/>
      <c r="AE40" s="2"/>
    </row>
    <row r="41" spans="1:31" s="30" customFormat="1" ht="20.100000000000001" customHeight="1" x14ac:dyDescent="0.25">
      <c r="A41" s="161">
        <v>26</v>
      </c>
      <c r="B41" s="72"/>
      <c r="C41" s="73"/>
      <c r="D41" s="73"/>
      <c r="E41" s="73"/>
      <c r="F41" s="72"/>
      <c r="G41" s="72"/>
      <c r="H41" s="72"/>
      <c r="I41" s="72"/>
      <c r="J41" s="144"/>
      <c r="K41" s="144"/>
      <c r="L41" s="73"/>
      <c r="M41" s="144"/>
      <c r="N41" s="389"/>
      <c r="O41" s="389"/>
      <c r="P41" s="72" t="s">
        <v>5879</v>
      </c>
      <c r="Q41" s="144"/>
      <c r="R41" s="144"/>
      <c r="S41" s="144"/>
      <c r="T41" s="73"/>
      <c r="U41" s="144"/>
      <c r="V41" s="73"/>
      <c r="W41" s="75" t="str">
        <f>IF(ISERROR(VLOOKUP($I41,Aux_Lista!$A$2:$L$12,9,FALSE)),"",VLOOKUP($I41,Aux_Lista!$A$2:$L$12,9,FALSE))</f>
        <v/>
      </c>
      <c r="X41" s="76" t="str">
        <f>IF(ISERROR(VLOOKUP($I41,Aux_Lista!$A$2:$L$12,10,FALSE)^-1),"",VLOOKUP($I41,Aux_Lista!$A$2:$L$12,10,FALSE)^-1)</f>
        <v/>
      </c>
      <c r="Y41" s="76" t="str">
        <f>IF(ISERROR(VLOOKUP($I41,Aux_Lista!$A$2:$L$12,11,FALSE)),"",VLOOKUP($I41,Aux_Lista!$A$2:$L$12,11,FALSE))</f>
        <v/>
      </c>
      <c r="Z41" s="2"/>
      <c r="AA41" s="80">
        <f>ArCondicionado!F56</f>
        <v>0</v>
      </c>
      <c r="AB41" s="249" t="str">
        <f>ArCondicionado!AK56</f>
        <v/>
      </c>
      <c r="AC41" s="81"/>
      <c r="AD41" s="81"/>
      <c r="AE41" s="2"/>
    </row>
    <row r="42" spans="1:31" s="30" customFormat="1" ht="20.100000000000001" customHeight="1" x14ac:dyDescent="0.25">
      <c r="A42" s="160">
        <v>27</v>
      </c>
      <c r="B42" s="72"/>
      <c r="C42" s="73"/>
      <c r="D42" s="73"/>
      <c r="E42" s="73"/>
      <c r="F42" s="72"/>
      <c r="G42" s="72"/>
      <c r="H42" s="72"/>
      <c r="I42" s="72"/>
      <c r="J42" s="144"/>
      <c r="K42" s="144"/>
      <c r="L42" s="73"/>
      <c r="M42" s="144"/>
      <c r="N42" s="389"/>
      <c r="O42" s="389"/>
      <c r="P42" s="72" t="s">
        <v>5879</v>
      </c>
      <c r="Q42" s="144"/>
      <c r="R42" s="144"/>
      <c r="S42" s="144"/>
      <c r="T42" s="73"/>
      <c r="U42" s="144"/>
      <c r="V42" s="73"/>
      <c r="W42" s="75" t="str">
        <f>IF(ISERROR(VLOOKUP($I42,Aux_Lista!$A$2:$L$12,9,FALSE)),"",VLOOKUP($I42,Aux_Lista!$A$2:$L$12,9,FALSE))</f>
        <v/>
      </c>
      <c r="X42" s="76" t="str">
        <f>IF(ISERROR(VLOOKUP($I42,Aux_Lista!$A$2:$L$12,10,FALSE)^-1),"",VLOOKUP($I42,Aux_Lista!$A$2:$L$12,10,FALSE)^-1)</f>
        <v/>
      </c>
      <c r="Y42" s="76" t="str">
        <f>IF(ISERROR(VLOOKUP($I42,Aux_Lista!$A$2:$L$12,11,FALSE)),"",VLOOKUP($I42,Aux_Lista!$A$2:$L$12,11,FALSE))</f>
        <v/>
      </c>
      <c r="Z42" s="2"/>
      <c r="AA42" s="80">
        <f>ArCondicionado!F57</f>
        <v>0</v>
      </c>
      <c r="AB42" s="249" t="str">
        <f>ArCondicionado!AK57</f>
        <v/>
      </c>
      <c r="AC42" s="81"/>
      <c r="AD42" s="81"/>
      <c r="AE42" s="2"/>
    </row>
    <row r="43" spans="1:31" s="30" customFormat="1" ht="20.100000000000001" customHeight="1" x14ac:dyDescent="0.25">
      <c r="A43" s="161">
        <v>28</v>
      </c>
      <c r="B43" s="72"/>
      <c r="C43" s="73"/>
      <c r="D43" s="73"/>
      <c r="E43" s="73"/>
      <c r="F43" s="72"/>
      <c r="G43" s="72"/>
      <c r="H43" s="72"/>
      <c r="I43" s="72"/>
      <c r="J43" s="144"/>
      <c r="K43" s="144"/>
      <c r="L43" s="73"/>
      <c r="M43" s="144"/>
      <c r="N43" s="389"/>
      <c r="O43" s="389"/>
      <c r="P43" s="72" t="s">
        <v>5879</v>
      </c>
      <c r="Q43" s="144"/>
      <c r="R43" s="144"/>
      <c r="S43" s="144"/>
      <c r="T43" s="73"/>
      <c r="U43" s="144"/>
      <c r="V43" s="73"/>
      <c r="W43" s="75" t="str">
        <f>IF(ISERROR(VLOOKUP($I43,Aux_Lista!$A$2:$L$12,9,FALSE)),"",VLOOKUP($I43,Aux_Lista!$A$2:$L$12,9,FALSE))</f>
        <v/>
      </c>
      <c r="X43" s="76" t="str">
        <f>IF(ISERROR(VLOOKUP($I43,Aux_Lista!$A$2:$L$12,10,FALSE)^-1),"",VLOOKUP($I43,Aux_Lista!$A$2:$L$12,10,FALSE)^-1)</f>
        <v/>
      </c>
      <c r="Y43" s="76" t="str">
        <f>IF(ISERROR(VLOOKUP($I43,Aux_Lista!$A$2:$L$12,11,FALSE)),"",VLOOKUP($I43,Aux_Lista!$A$2:$L$12,11,FALSE))</f>
        <v/>
      </c>
      <c r="Z43" s="2"/>
      <c r="AA43" s="80">
        <f>ArCondicionado!F58</f>
        <v>0</v>
      </c>
      <c r="AB43" s="249" t="str">
        <f>ArCondicionado!AK58</f>
        <v/>
      </c>
      <c r="AC43" s="81"/>
      <c r="AD43" s="81"/>
      <c r="AE43" s="2"/>
    </row>
    <row r="44" spans="1:31" s="30" customFormat="1" ht="20.100000000000001" customHeight="1" x14ac:dyDescent="0.25">
      <c r="A44" s="160">
        <v>29</v>
      </c>
      <c r="B44" s="72"/>
      <c r="C44" s="73"/>
      <c r="D44" s="73"/>
      <c r="E44" s="73"/>
      <c r="F44" s="72"/>
      <c r="G44" s="72"/>
      <c r="H44" s="72"/>
      <c r="I44" s="72"/>
      <c r="J44" s="144"/>
      <c r="K44" s="144"/>
      <c r="L44" s="73"/>
      <c r="M44" s="144"/>
      <c r="N44" s="389"/>
      <c r="O44" s="389"/>
      <c r="P44" s="72" t="s">
        <v>5879</v>
      </c>
      <c r="Q44" s="144"/>
      <c r="R44" s="144"/>
      <c r="S44" s="144"/>
      <c r="T44" s="73"/>
      <c r="U44" s="144"/>
      <c r="V44" s="73"/>
      <c r="W44" s="75" t="str">
        <f>IF(ISERROR(VLOOKUP($I44,Aux_Lista!$A$2:$L$12,9,FALSE)),"",VLOOKUP($I44,Aux_Lista!$A$2:$L$12,9,FALSE))</f>
        <v/>
      </c>
      <c r="X44" s="76" t="str">
        <f>IF(ISERROR(VLOOKUP($I44,Aux_Lista!$A$2:$L$12,10,FALSE)^-1),"",VLOOKUP($I44,Aux_Lista!$A$2:$L$12,10,FALSE)^-1)</f>
        <v/>
      </c>
      <c r="Y44" s="76" t="str">
        <f>IF(ISERROR(VLOOKUP($I44,Aux_Lista!$A$2:$L$12,11,FALSE)),"",VLOOKUP($I44,Aux_Lista!$A$2:$L$12,11,FALSE))</f>
        <v/>
      </c>
      <c r="Z44" s="2"/>
      <c r="AA44" s="80">
        <f>ArCondicionado!F59</f>
        <v>0</v>
      </c>
      <c r="AB44" s="249" t="str">
        <f>ArCondicionado!AK59</f>
        <v/>
      </c>
      <c r="AC44" s="81"/>
      <c r="AD44" s="81"/>
      <c r="AE44" s="2"/>
    </row>
    <row r="45" spans="1:31" s="30" customFormat="1" ht="20.100000000000001" customHeight="1" x14ac:dyDescent="0.25">
      <c r="A45" s="161">
        <v>30</v>
      </c>
      <c r="B45" s="72"/>
      <c r="C45" s="73"/>
      <c r="D45" s="73"/>
      <c r="E45" s="73"/>
      <c r="F45" s="72"/>
      <c r="G45" s="72"/>
      <c r="H45" s="72"/>
      <c r="I45" s="72"/>
      <c r="J45" s="144"/>
      <c r="K45" s="144"/>
      <c r="L45" s="73"/>
      <c r="M45" s="144"/>
      <c r="N45" s="389"/>
      <c r="O45" s="389"/>
      <c r="P45" s="72" t="s">
        <v>5879</v>
      </c>
      <c r="Q45" s="144"/>
      <c r="R45" s="144"/>
      <c r="S45" s="144"/>
      <c r="T45" s="73"/>
      <c r="U45" s="144"/>
      <c r="V45" s="73"/>
      <c r="W45" s="75" t="str">
        <f>IF(ISERROR(VLOOKUP($I45,Aux_Lista!$A$2:$L$12,9,FALSE)),"",VLOOKUP($I45,Aux_Lista!$A$2:$L$12,9,FALSE))</f>
        <v/>
      </c>
      <c r="X45" s="76" t="str">
        <f>IF(ISERROR(VLOOKUP($I45,Aux_Lista!$A$2:$L$12,10,FALSE)^-1),"",VLOOKUP($I45,Aux_Lista!$A$2:$L$12,10,FALSE)^-1)</f>
        <v/>
      </c>
      <c r="Y45" s="76" t="str">
        <f>IF(ISERROR(VLOOKUP($I45,Aux_Lista!$A$2:$L$12,11,FALSE)),"",VLOOKUP($I45,Aux_Lista!$A$2:$L$12,11,FALSE))</f>
        <v/>
      </c>
      <c r="Z45" s="2"/>
      <c r="AA45" s="80">
        <f>ArCondicionado!F60</f>
        <v>0</v>
      </c>
      <c r="AB45" s="249" t="str">
        <f>ArCondicionado!AK60</f>
        <v/>
      </c>
      <c r="AC45" s="81"/>
      <c r="AD45" s="81"/>
      <c r="AE45" s="2"/>
    </row>
    <row r="46" spans="1:31" s="30" customFormat="1" ht="20.100000000000001" customHeight="1" x14ac:dyDescent="0.25">
      <c r="A46" s="160">
        <v>31</v>
      </c>
      <c r="B46" s="72"/>
      <c r="C46" s="73"/>
      <c r="D46" s="73"/>
      <c r="E46" s="73"/>
      <c r="F46" s="72"/>
      <c r="G46" s="72"/>
      <c r="H46" s="72"/>
      <c r="I46" s="72"/>
      <c r="J46" s="144"/>
      <c r="K46" s="144"/>
      <c r="L46" s="73"/>
      <c r="M46" s="144"/>
      <c r="N46" s="389"/>
      <c r="O46" s="389"/>
      <c r="P46" s="72" t="s">
        <v>5879</v>
      </c>
      <c r="Q46" s="144"/>
      <c r="R46" s="144"/>
      <c r="S46" s="144"/>
      <c r="T46" s="73"/>
      <c r="U46" s="144"/>
      <c r="V46" s="73"/>
      <c r="W46" s="75" t="str">
        <f>IF(ISERROR(VLOOKUP($I46,Aux_Lista!$A$2:$L$12,9,FALSE)),"",VLOOKUP($I46,Aux_Lista!$A$2:$L$12,9,FALSE))</f>
        <v/>
      </c>
      <c r="X46" s="76" t="str">
        <f>IF(ISERROR(VLOOKUP($I46,Aux_Lista!$A$2:$L$12,10,FALSE)^-1),"",VLOOKUP($I46,Aux_Lista!$A$2:$L$12,10,FALSE)^-1)</f>
        <v/>
      </c>
      <c r="Y46" s="76" t="str">
        <f>IF(ISERROR(VLOOKUP($I46,Aux_Lista!$A$2:$L$12,11,FALSE)),"",VLOOKUP($I46,Aux_Lista!$A$2:$L$12,11,FALSE))</f>
        <v/>
      </c>
      <c r="Z46" s="2"/>
      <c r="AA46" s="80">
        <f>ArCondicionado!F61</f>
        <v>0</v>
      </c>
      <c r="AB46" s="249" t="str">
        <f>ArCondicionado!AK61</f>
        <v/>
      </c>
      <c r="AC46" s="81"/>
      <c r="AD46" s="81"/>
      <c r="AE46" s="2"/>
    </row>
    <row r="47" spans="1:31" s="30" customFormat="1" ht="20.100000000000001" customHeight="1" x14ac:dyDescent="0.25">
      <c r="A47" s="161">
        <v>32</v>
      </c>
      <c r="B47" s="72"/>
      <c r="C47" s="73"/>
      <c r="D47" s="73"/>
      <c r="E47" s="73"/>
      <c r="F47" s="72"/>
      <c r="G47" s="72"/>
      <c r="H47" s="72"/>
      <c r="I47" s="72"/>
      <c r="J47" s="144"/>
      <c r="K47" s="144"/>
      <c r="L47" s="73"/>
      <c r="M47" s="144"/>
      <c r="N47" s="389"/>
      <c r="O47" s="389"/>
      <c r="P47" s="72" t="s">
        <v>5879</v>
      </c>
      <c r="Q47" s="144"/>
      <c r="R47" s="144"/>
      <c r="S47" s="144"/>
      <c r="T47" s="73"/>
      <c r="U47" s="144"/>
      <c r="V47" s="73"/>
      <c r="W47" s="75" t="str">
        <f>IF(ISERROR(VLOOKUP($I47,Aux_Lista!$A$2:$L$12,9,FALSE)),"",VLOOKUP($I47,Aux_Lista!$A$2:$L$12,9,FALSE))</f>
        <v/>
      </c>
      <c r="X47" s="76" t="str">
        <f>IF(ISERROR(VLOOKUP($I47,Aux_Lista!$A$2:$L$12,10,FALSE)^-1),"",VLOOKUP($I47,Aux_Lista!$A$2:$L$12,10,FALSE)^-1)</f>
        <v/>
      </c>
      <c r="Y47" s="76" t="str">
        <f>IF(ISERROR(VLOOKUP($I47,Aux_Lista!$A$2:$L$12,11,FALSE)),"",VLOOKUP($I47,Aux_Lista!$A$2:$L$12,11,FALSE))</f>
        <v/>
      </c>
      <c r="Z47" s="2"/>
      <c r="AA47" s="80">
        <f>ArCondicionado!F62</f>
        <v>0</v>
      </c>
      <c r="AB47" s="249" t="str">
        <f>ArCondicionado!AK62</f>
        <v/>
      </c>
      <c r="AC47" s="81"/>
      <c r="AD47" s="81"/>
      <c r="AE47" s="2"/>
    </row>
    <row r="48" spans="1:31" s="30" customFormat="1" ht="20.100000000000001" customHeight="1" x14ac:dyDescent="0.25">
      <c r="A48" s="160">
        <v>33</v>
      </c>
      <c r="B48" s="72"/>
      <c r="C48" s="73"/>
      <c r="D48" s="73"/>
      <c r="E48" s="73"/>
      <c r="F48" s="72"/>
      <c r="G48" s="72"/>
      <c r="H48" s="72"/>
      <c r="I48" s="72"/>
      <c r="J48" s="144"/>
      <c r="K48" s="144"/>
      <c r="L48" s="73"/>
      <c r="M48" s="144"/>
      <c r="N48" s="389"/>
      <c r="O48" s="389"/>
      <c r="P48" s="72" t="s">
        <v>5879</v>
      </c>
      <c r="Q48" s="144"/>
      <c r="R48" s="144"/>
      <c r="S48" s="144"/>
      <c r="T48" s="73"/>
      <c r="U48" s="144"/>
      <c r="V48" s="73"/>
      <c r="W48" s="75" t="str">
        <f>IF(ISERROR(VLOOKUP($I48,Aux_Lista!$A$2:$L$12,9,FALSE)),"",VLOOKUP($I48,Aux_Lista!$A$2:$L$12,9,FALSE))</f>
        <v/>
      </c>
      <c r="X48" s="76" t="str">
        <f>IF(ISERROR(VLOOKUP($I48,Aux_Lista!$A$2:$L$12,10,FALSE)^-1),"",VLOOKUP($I48,Aux_Lista!$A$2:$L$12,10,FALSE)^-1)</f>
        <v/>
      </c>
      <c r="Y48" s="76" t="str">
        <f>IF(ISERROR(VLOOKUP($I48,Aux_Lista!$A$2:$L$12,11,FALSE)),"",VLOOKUP($I48,Aux_Lista!$A$2:$L$12,11,FALSE))</f>
        <v/>
      </c>
      <c r="Z48" s="2"/>
      <c r="AA48" s="80">
        <f>ArCondicionado!F63</f>
        <v>0</v>
      </c>
      <c r="AB48" s="249" t="str">
        <f>ArCondicionado!AK63</f>
        <v/>
      </c>
      <c r="AC48" s="81"/>
      <c r="AD48" s="81"/>
      <c r="AE48" s="2"/>
    </row>
    <row r="49" spans="1:31" s="30" customFormat="1" ht="20.100000000000001" customHeight="1" x14ac:dyDescent="0.25">
      <c r="A49" s="161">
        <v>34</v>
      </c>
      <c r="B49" s="72"/>
      <c r="C49" s="73"/>
      <c r="D49" s="73"/>
      <c r="E49" s="73"/>
      <c r="F49" s="72"/>
      <c r="G49" s="72"/>
      <c r="H49" s="72"/>
      <c r="I49" s="72"/>
      <c r="J49" s="144"/>
      <c r="K49" s="144"/>
      <c r="L49" s="73"/>
      <c r="M49" s="144"/>
      <c r="N49" s="389"/>
      <c r="O49" s="389"/>
      <c r="P49" s="72" t="s">
        <v>5879</v>
      </c>
      <c r="Q49" s="144"/>
      <c r="R49" s="144"/>
      <c r="S49" s="144"/>
      <c r="T49" s="73"/>
      <c r="U49" s="144"/>
      <c r="V49" s="73"/>
      <c r="W49" s="75" t="str">
        <f>IF(ISERROR(VLOOKUP($I49,Aux_Lista!$A$2:$L$12,9,FALSE)),"",VLOOKUP($I49,Aux_Lista!$A$2:$L$12,9,FALSE))</f>
        <v/>
      </c>
      <c r="X49" s="76" t="str">
        <f>IF(ISERROR(VLOOKUP($I49,Aux_Lista!$A$2:$L$12,10,FALSE)^-1),"",VLOOKUP($I49,Aux_Lista!$A$2:$L$12,10,FALSE)^-1)</f>
        <v/>
      </c>
      <c r="Y49" s="76" t="str">
        <f>IF(ISERROR(VLOOKUP($I49,Aux_Lista!$A$2:$L$12,11,FALSE)),"",VLOOKUP($I49,Aux_Lista!$A$2:$L$12,11,FALSE))</f>
        <v/>
      </c>
      <c r="Z49" s="2"/>
      <c r="AA49" s="80">
        <f>ArCondicionado!F64</f>
        <v>0</v>
      </c>
      <c r="AB49" s="249" t="str">
        <f>ArCondicionado!AK64</f>
        <v/>
      </c>
      <c r="AC49" s="81"/>
      <c r="AD49" s="81"/>
      <c r="AE49" s="2"/>
    </row>
    <row r="50" spans="1:31" s="30" customFormat="1" ht="20.100000000000001" customHeight="1" x14ac:dyDescent="0.25">
      <c r="A50" s="160">
        <v>35</v>
      </c>
      <c r="B50" s="72"/>
      <c r="C50" s="73"/>
      <c r="D50" s="73"/>
      <c r="E50" s="73"/>
      <c r="F50" s="72"/>
      <c r="G50" s="72"/>
      <c r="H50" s="72"/>
      <c r="I50" s="72"/>
      <c r="J50" s="144"/>
      <c r="K50" s="144"/>
      <c r="L50" s="73"/>
      <c r="M50" s="144"/>
      <c r="N50" s="389"/>
      <c r="O50" s="389"/>
      <c r="P50" s="72" t="s">
        <v>5879</v>
      </c>
      <c r="Q50" s="144"/>
      <c r="R50" s="144"/>
      <c r="S50" s="144"/>
      <c r="T50" s="73"/>
      <c r="U50" s="144"/>
      <c r="V50" s="73"/>
      <c r="W50" s="75" t="str">
        <f>IF(ISERROR(VLOOKUP($I50,Aux_Lista!$A$2:$L$12,9,FALSE)),"",VLOOKUP($I50,Aux_Lista!$A$2:$L$12,9,FALSE))</f>
        <v/>
      </c>
      <c r="X50" s="76" t="str">
        <f>IF(ISERROR(VLOOKUP($I50,Aux_Lista!$A$2:$L$12,10,FALSE)^-1),"",VLOOKUP($I50,Aux_Lista!$A$2:$L$12,10,FALSE)^-1)</f>
        <v/>
      </c>
      <c r="Y50" s="76" t="str">
        <f>IF(ISERROR(VLOOKUP($I50,Aux_Lista!$A$2:$L$12,11,FALSE)),"",VLOOKUP($I50,Aux_Lista!$A$2:$L$12,11,FALSE))</f>
        <v/>
      </c>
      <c r="Z50" s="2"/>
      <c r="AA50" s="80">
        <f>ArCondicionado!F65</f>
        <v>0</v>
      </c>
      <c r="AB50" s="249" t="str">
        <f>ArCondicionado!AK65</f>
        <v/>
      </c>
      <c r="AC50" s="81"/>
      <c r="AD50" s="81"/>
      <c r="AE50" s="2"/>
    </row>
    <row r="51" spans="1:31" s="30" customFormat="1" ht="20.100000000000001" customHeight="1" x14ac:dyDescent="0.25">
      <c r="A51" s="161">
        <v>36</v>
      </c>
      <c r="B51" s="72"/>
      <c r="C51" s="73"/>
      <c r="D51" s="73"/>
      <c r="E51" s="73"/>
      <c r="F51" s="72"/>
      <c r="G51" s="72"/>
      <c r="H51" s="72"/>
      <c r="I51" s="72"/>
      <c r="J51" s="144"/>
      <c r="K51" s="144"/>
      <c r="L51" s="73"/>
      <c r="M51" s="144"/>
      <c r="N51" s="389"/>
      <c r="O51" s="389"/>
      <c r="P51" s="72" t="s">
        <v>5879</v>
      </c>
      <c r="Q51" s="144"/>
      <c r="R51" s="144"/>
      <c r="S51" s="144"/>
      <c r="T51" s="73"/>
      <c r="U51" s="144"/>
      <c r="V51" s="73"/>
      <c r="W51" s="75" t="str">
        <f>IF(ISERROR(VLOOKUP($I51,Aux_Lista!$A$2:$L$12,9,FALSE)),"",VLOOKUP($I51,Aux_Lista!$A$2:$L$12,9,FALSE))</f>
        <v/>
      </c>
      <c r="X51" s="76" t="str">
        <f>IF(ISERROR(VLOOKUP($I51,Aux_Lista!$A$2:$L$12,10,FALSE)^-1),"",VLOOKUP($I51,Aux_Lista!$A$2:$L$12,10,FALSE)^-1)</f>
        <v/>
      </c>
      <c r="Y51" s="76" t="str">
        <f>IF(ISERROR(VLOOKUP($I51,Aux_Lista!$A$2:$L$12,11,FALSE)),"",VLOOKUP($I51,Aux_Lista!$A$2:$L$12,11,FALSE))</f>
        <v/>
      </c>
      <c r="Z51" s="2"/>
      <c r="AA51" s="80">
        <f>ArCondicionado!F66</f>
        <v>0</v>
      </c>
      <c r="AB51" s="249" t="str">
        <f>ArCondicionado!AK66</f>
        <v/>
      </c>
      <c r="AC51" s="81"/>
      <c r="AD51" s="81"/>
      <c r="AE51" s="2"/>
    </row>
    <row r="52" spans="1:31" s="30" customFormat="1" ht="20.100000000000001" customHeight="1" x14ac:dyDescent="0.25">
      <c r="A52" s="160">
        <v>37</v>
      </c>
      <c r="B52" s="72"/>
      <c r="C52" s="73"/>
      <c r="D52" s="73"/>
      <c r="E52" s="73"/>
      <c r="F52" s="72"/>
      <c r="G52" s="72"/>
      <c r="H52" s="72"/>
      <c r="I52" s="72"/>
      <c r="J52" s="144"/>
      <c r="K52" s="144"/>
      <c r="L52" s="73"/>
      <c r="M52" s="144"/>
      <c r="N52" s="389"/>
      <c r="O52" s="389"/>
      <c r="P52" s="72" t="s">
        <v>5879</v>
      </c>
      <c r="Q52" s="144"/>
      <c r="R52" s="144"/>
      <c r="S52" s="144"/>
      <c r="T52" s="73"/>
      <c r="U52" s="144"/>
      <c r="V52" s="73"/>
      <c r="W52" s="75" t="str">
        <f>IF(ISERROR(VLOOKUP($I52,Aux_Lista!$A$2:$L$12,9,FALSE)),"",VLOOKUP($I52,Aux_Lista!$A$2:$L$12,9,FALSE))</f>
        <v/>
      </c>
      <c r="X52" s="76" t="str">
        <f>IF(ISERROR(VLOOKUP($I52,Aux_Lista!$A$2:$L$12,10,FALSE)^-1),"",VLOOKUP($I52,Aux_Lista!$A$2:$L$12,10,FALSE)^-1)</f>
        <v/>
      </c>
      <c r="Y52" s="76" t="str">
        <f>IF(ISERROR(VLOOKUP($I52,Aux_Lista!$A$2:$L$12,11,FALSE)),"",VLOOKUP($I52,Aux_Lista!$A$2:$L$12,11,FALSE))</f>
        <v/>
      </c>
      <c r="Z52" s="2"/>
      <c r="AA52" s="80">
        <f>ArCondicionado!F67</f>
        <v>0</v>
      </c>
      <c r="AB52" s="249" t="str">
        <f>ArCondicionado!AK67</f>
        <v/>
      </c>
      <c r="AC52" s="81"/>
      <c r="AD52" s="81"/>
      <c r="AE52" s="2"/>
    </row>
    <row r="53" spans="1:31" s="30" customFormat="1" ht="20.100000000000001" customHeight="1" x14ac:dyDescent="0.25">
      <c r="A53" s="161">
        <v>38</v>
      </c>
      <c r="B53" s="72"/>
      <c r="C53" s="73"/>
      <c r="D53" s="73"/>
      <c r="E53" s="73"/>
      <c r="F53" s="72"/>
      <c r="G53" s="72"/>
      <c r="H53" s="72"/>
      <c r="I53" s="72"/>
      <c r="J53" s="144"/>
      <c r="K53" s="144"/>
      <c r="L53" s="73"/>
      <c r="M53" s="144"/>
      <c r="N53" s="389"/>
      <c r="O53" s="389"/>
      <c r="P53" s="72" t="s">
        <v>5879</v>
      </c>
      <c r="Q53" s="144"/>
      <c r="R53" s="144"/>
      <c r="S53" s="144"/>
      <c r="T53" s="73"/>
      <c r="U53" s="144"/>
      <c r="V53" s="73"/>
      <c r="W53" s="75" t="str">
        <f>IF(ISERROR(VLOOKUP($I53,Aux_Lista!$A$2:$L$12,9,FALSE)),"",VLOOKUP($I53,Aux_Lista!$A$2:$L$12,9,FALSE))</f>
        <v/>
      </c>
      <c r="X53" s="76" t="str">
        <f>IF(ISERROR(VLOOKUP($I53,Aux_Lista!$A$2:$L$12,10,FALSE)^-1),"",VLOOKUP($I53,Aux_Lista!$A$2:$L$12,10,FALSE)^-1)</f>
        <v/>
      </c>
      <c r="Y53" s="76" t="str">
        <f>IF(ISERROR(VLOOKUP($I53,Aux_Lista!$A$2:$L$12,11,FALSE)),"",VLOOKUP($I53,Aux_Lista!$A$2:$L$12,11,FALSE))</f>
        <v/>
      </c>
      <c r="Z53" s="2"/>
      <c r="AA53" s="80">
        <f>ArCondicionado!F68</f>
        <v>0</v>
      </c>
      <c r="AB53" s="249" t="str">
        <f>ArCondicionado!AK68</f>
        <v/>
      </c>
      <c r="AC53" s="81"/>
      <c r="AD53" s="81"/>
      <c r="AE53" s="2"/>
    </row>
    <row r="54" spans="1:31" s="30" customFormat="1" ht="20.100000000000001" customHeight="1" x14ac:dyDescent="0.25">
      <c r="A54" s="160">
        <v>39</v>
      </c>
      <c r="B54" s="72"/>
      <c r="C54" s="73"/>
      <c r="D54" s="73"/>
      <c r="E54" s="73"/>
      <c r="F54" s="72"/>
      <c r="G54" s="72"/>
      <c r="H54" s="72"/>
      <c r="I54" s="72"/>
      <c r="J54" s="144"/>
      <c r="K54" s="144"/>
      <c r="L54" s="73"/>
      <c r="M54" s="144"/>
      <c r="N54" s="389"/>
      <c r="O54" s="389"/>
      <c r="P54" s="72" t="s">
        <v>5879</v>
      </c>
      <c r="Q54" s="144"/>
      <c r="R54" s="144"/>
      <c r="S54" s="144"/>
      <c r="T54" s="73"/>
      <c r="U54" s="144"/>
      <c r="V54" s="73"/>
      <c r="W54" s="75" t="str">
        <f>IF(ISERROR(VLOOKUP($I54,Aux_Lista!$A$2:$L$12,9,FALSE)),"",VLOOKUP($I54,Aux_Lista!$A$2:$L$12,9,FALSE))</f>
        <v/>
      </c>
      <c r="X54" s="76" t="str">
        <f>IF(ISERROR(VLOOKUP($I54,Aux_Lista!$A$2:$L$12,10,FALSE)^-1),"",VLOOKUP($I54,Aux_Lista!$A$2:$L$12,10,FALSE)^-1)</f>
        <v/>
      </c>
      <c r="Y54" s="76" t="str">
        <f>IF(ISERROR(VLOOKUP($I54,Aux_Lista!$A$2:$L$12,11,FALSE)),"",VLOOKUP($I54,Aux_Lista!$A$2:$L$12,11,FALSE))</f>
        <v/>
      </c>
      <c r="Z54" s="2"/>
      <c r="AA54" s="80">
        <f>ArCondicionado!F69</f>
        <v>0</v>
      </c>
      <c r="AB54" s="249" t="str">
        <f>ArCondicionado!AK69</f>
        <v/>
      </c>
      <c r="AC54" s="81"/>
      <c r="AD54" s="81"/>
      <c r="AE54" s="2"/>
    </row>
    <row r="55" spans="1:31" s="30" customFormat="1" ht="20.100000000000001" customHeight="1" x14ac:dyDescent="0.25">
      <c r="A55" s="161">
        <v>40</v>
      </c>
      <c r="B55" s="72"/>
      <c r="C55" s="73"/>
      <c r="D55" s="73"/>
      <c r="E55" s="73"/>
      <c r="F55" s="72"/>
      <c r="G55" s="72"/>
      <c r="H55" s="72"/>
      <c r="I55" s="72"/>
      <c r="J55" s="144"/>
      <c r="K55" s="144"/>
      <c r="L55" s="73"/>
      <c r="M55" s="144"/>
      <c r="N55" s="389"/>
      <c r="O55" s="389"/>
      <c r="P55" s="72" t="s">
        <v>5879</v>
      </c>
      <c r="Q55" s="144"/>
      <c r="R55" s="144"/>
      <c r="S55" s="144"/>
      <c r="T55" s="73"/>
      <c r="U55" s="144"/>
      <c r="V55" s="73"/>
      <c r="W55" s="75" t="str">
        <f>IF(ISERROR(VLOOKUP($I55,Aux_Lista!$A$2:$L$12,9,FALSE)),"",VLOOKUP($I55,Aux_Lista!$A$2:$L$12,9,FALSE))</f>
        <v/>
      </c>
      <c r="X55" s="76" t="str">
        <f>IF(ISERROR(VLOOKUP($I55,Aux_Lista!$A$2:$L$12,10,FALSE)^-1),"",VLOOKUP($I55,Aux_Lista!$A$2:$L$12,10,FALSE)^-1)</f>
        <v/>
      </c>
      <c r="Y55" s="76" t="str">
        <f>IF(ISERROR(VLOOKUP($I55,Aux_Lista!$A$2:$L$12,11,FALSE)),"",VLOOKUP($I55,Aux_Lista!$A$2:$L$12,11,FALSE))</f>
        <v/>
      </c>
      <c r="Z55" s="2"/>
      <c r="AA55" s="80">
        <f>ArCondicionado!F70</f>
        <v>0</v>
      </c>
      <c r="AB55" s="249" t="str">
        <f>ArCondicionado!AK70</f>
        <v/>
      </c>
      <c r="AC55" s="81"/>
      <c r="AD55" s="81"/>
      <c r="AE55" s="2"/>
    </row>
    <row r="56" spans="1:31" s="30" customFormat="1" ht="20.100000000000001" customHeight="1" x14ac:dyDescent="0.25">
      <c r="A56" s="160">
        <v>41</v>
      </c>
      <c r="B56" s="72"/>
      <c r="C56" s="73"/>
      <c r="D56" s="73"/>
      <c r="E56" s="73"/>
      <c r="F56" s="72"/>
      <c r="G56" s="72"/>
      <c r="H56" s="72"/>
      <c r="I56" s="72"/>
      <c r="J56" s="144"/>
      <c r="K56" s="144"/>
      <c r="L56" s="73"/>
      <c r="M56" s="144"/>
      <c r="N56" s="389"/>
      <c r="O56" s="389"/>
      <c r="P56" s="72" t="s">
        <v>5879</v>
      </c>
      <c r="Q56" s="144"/>
      <c r="R56" s="144"/>
      <c r="S56" s="144"/>
      <c r="T56" s="73"/>
      <c r="U56" s="144"/>
      <c r="V56" s="73"/>
      <c r="W56" s="75" t="str">
        <f>IF(ISERROR(VLOOKUP($I56,Aux_Lista!$A$2:$L$12,9,FALSE)),"",VLOOKUP($I56,Aux_Lista!$A$2:$L$12,9,FALSE))</f>
        <v/>
      </c>
      <c r="X56" s="76" t="str">
        <f>IF(ISERROR(VLOOKUP($I56,Aux_Lista!$A$2:$L$12,10,FALSE)^-1),"",VLOOKUP($I56,Aux_Lista!$A$2:$L$12,10,FALSE)^-1)</f>
        <v/>
      </c>
      <c r="Y56" s="76" t="str">
        <f>IF(ISERROR(VLOOKUP($I56,Aux_Lista!$A$2:$L$12,11,FALSE)),"",VLOOKUP($I56,Aux_Lista!$A$2:$L$12,11,FALSE))</f>
        <v/>
      </c>
      <c r="Z56" s="2"/>
      <c r="AA56" s="80">
        <f>ArCondicionado!F71</f>
        <v>0</v>
      </c>
      <c r="AB56" s="249" t="str">
        <f>ArCondicionado!AK71</f>
        <v/>
      </c>
      <c r="AC56" s="81"/>
      <c r="AD56" s="81"/>
      <c r="AE56" s="2"/>
    </row>
    <row r="57" spans="1:31" s="30" customFormat="1" ht="20.100000000000001" customHeight="1" x14ac:dyDescent="0.25">
      <c r="A57" s="161">
        <v>42</v>
      </c>
      <c r="B57" s="72"/>
      <c r="C57" s="73"/>
      <c r="D57" s="73"/>
      <c r="E57" s="73"/>
      <c r="F57" s="72"/>
      <c r="G57" s="72"/>
      <c r="H57" s="72"/>
      <c r="I57" s="72"/>
      <c r="J57" s="144"/>
      <c r="K57" s="144"/>
      <c r="L57" s="73"/>
      <c r="M57" s="144"/>
      <c r="N57" s="389"/>
      <c r="O57" s="389"/>
      <c r="P57" s="72" t="s">
        <v>5879</v>
      </c>
      <c r="Q57" s="144"/>
      <c r="R57" s="144"/>
      <c r="S57" s="144"/>
      <c r="T57" s="73"/>
      <c r="U57" s="144"/>
      <c r="V57" s="73"/>
      <c r="W57" s="75" t="str">
        <f>IF(ISERROR(VLOOKUP($I57,Aux_Lista!$A$2:$L$12,9,FALSE)),"",VLOOKUP($I57,Aux_Lista!$A$2:$L$12,9,FALSE))</f>
        <v/>
      </c>
      <c r="X57" s="76" t="str">
        <f>IF(ISERROR(VLOOKUP($I57,Aux_Lista!$A$2:$L$12,10,FALSE)^-1),"",VLOOKUP($I57,Aux_Lista!$A$2:$L$12,10,FALSE)^-1)</f>
        <v/>
      </c>
      <c r="Y57" s="76" t="str">
        <f>IF(ISERROR(VLOOKUP($I57,Aux_Lista!$A$2:$L$12,11,FALSE)),"",VLOOKUP($I57,Aux_Lista!$A$2:$L$12,11,FALSE))</f>
        <v/>
      </c>
      <c r="Z57" s="2"/>
      <c r="AA57" s="80">
        <f>ArCondicionado!F72</f>
        <v>0</v>
      </c>
      <c r="AB57" s="249" t="str">
        <f>ArCondicionado!AK72</f>
        <v/>
      </c>
      <c r="AC57" s="81"/>
      <c r="AD57" s="81"/>
      <c r="AE57" s="2"/>
    </row>
    <row r="58" spans="1:31" s="30" customFormat="1" ht="20.100000000000001" customHeight="1" x14ac:dyDescent="0.25">
      <c r="A58" s="160">
        <v>43</v>
      </c>
      <c r="B58" s="72"/>
      <c r="C58" s="73"/>
      <c r="D58" s="73"/>
      <c r="E58" s="73"/>
      <c r="F58" s="72"/>
      <c r="G58" s="72"/>
      <c r="H58" s="72"/>
      <c r="I58" s="72"/>
      <c r="J58" s="144"/>
      <c r="K58" s="144"/>
      <c r="L58" s="73"/>
      <c r="M58" s="144"/>
      <c r="N58" s="389"/>
      <c r="O58" s="389"/>
      <c r="P58" s="72" t="s">
        <v>5879</v>
      </c>
      <c r="Q58" s="144"/>
      <c r="R58" s="144"/>
      <c r="S58" s="144"/>
      <c r="T58" s="73"/>
      <c r="U58" s="144"/>
      <c r="V58" s="73"/>
      <c r="W58" s="75" t="str">
        <f>IF(ISERROR(VLOOKUP($I58,Aux_Lista!$A$2:$L$12,9,FALSE)),"",VLOOKUP($I58,Aux_Lista!$A$2:$L$12,9,FALSE))</f>
        <v/>
      </c>
      <c r="X58" s="76" t="str">
        <f>IF(ISERROR(VLOOKUP($I58,Aux_Lista!$A$2:$L$12,10,FALSE)^-1),"",VLOOKUP($I58,Aux_Lista!$A$2:$L$12,10,FALSE)^-1)</f>
        <v/>
      </c>
      <c r="Y58" s="76" t="str">
        <f>IF(ISERROR(VLOOKUP($I58,Aux_Lista!$A$2:$L$12,11,FALSE)),"",VLOOKUP($I58,Aux_Lista!$A$2:$L$12,11,FALSE))</f>
        <v/>
      </c>
      <c r="Z58" s="2"/>
      <c r="AA58" s="80">
        <f>ArCondicionado!F73</f>
        <v>0</v>
      </c>
      <c r="AB58" s="249" t="str">
        <f>ArCondicionado!AK73</f>
        <v/>
      </c>
      <c r="AC58" s="81"/>
      <c r="AD58" s="81"/>
      <c r="AE58" s="2"/>
    </row>
    <row r="59" spans="1:31" s="30" customFormat="1" ht="20.100000000000001" customHeight="1" x14ac:dyDescent="0.25">
      <c r="A59" s="161">
        <v>44</v>
      </c>
      <c r="B59" s="72"/>
      <c r="C59" s="73"/>
      <c r="D59" s="73"/>
      <c r="E59" s="73"/>
      <c r="F59" s="72"/>
      <c r="G59" s="72"/>
      <c r="H59" s="72"/>
      <c r="I59" s="72"/>
      <c r="J59" s="144"/>
      <c r="K59" s="144"/>
      <c r="L59" s="73"/>
      <c r="M59" s="144"/>
      <c r="N59" s="389"/>
      <c r="O59" s="389"/>
      <c r="P59" s="72" t="s">
        <v>5879</v>
      </c>
      <c r="Q59" s="144"/>
      <c r="R59" s="144"/>
      <c r="S59" s="144"/>
      <c r="T59" s="73"/>
      <c r="U59" s="144"/>
      <c r="V59" s="73"/>
      <c r="W59" s="75" t="str">
        <f>IF(ISERROR(VLOOKUP($I59,Aux_Lista!$A$2:$L$12,9,FALSE)),"",VLOOKUP($I59,Aux_Lista!$A$2:$L$12,9,FALSE))</f>
        <v/>
      </c>
      <c r="X59" s="76" t="str">
        <f>IF(ISERROR(VLOOKUP($I59,Aux_Lista!$A$2:$L$12,10,FALSE)^-1),"",VLOOKUP($I59,Aux_Lista!$A$2:$L$12,10,FALSE)^-1)</f>
        <v/>
      </c>
      <c r="Y59" s="76" t="str">
        <f>IF(ISERROR(VLOOKUP($I59,Aux_Lista!$A$2:$L$12,11,FALSE)),"",VLOOKUP($I59,Aux_Lista!$A$2:$L$12,11,FALSE))</f>
        <v/>
      </c>
      <c r="Z59" s="2"/>
      <c r="AA59" s="80">
        <f>ArCondicionado!F74</f>
        <v>0</v>
      </c>
      <c r="AB59" s="249" t="str">
        <f>ArCondicionado!AK74</f>
        <v/>
      </c>
      <c r="AC59" s="81"/>
      <c r="AD59" s="81"/>
      <c r="AE59" s="2"/>
    </row>
    <row r="60" spans="1:31" s="30" customFormat="1" ht="20.100000000000001" customHeight="1" x14ac:dyDescent="0.25">
      <c r="A60" s="160">
        <v>45</v>
      </c>
      <c r="B60" s="72"/>
      <c r="C60" s="73"/>
      <c r="D60" s="73"/>
      <c r="E60" s="73"/>
      <c r="F60" s="72"/>
      <c r="G60" s="72"/>
      <c r="H60" s="72"/>
      <c r="I60" s="72"/>
      <c r="J60" s="144"/>
      <c r="K60" s="144"/>
      <c r="L60" s="73"/>
      <c r="M60" s="144"/>
      <c r="N60" s="389"/>
      <c r="O60" s="389"/>
      <c r="P60" s="72" t="s">
        <v>5879</v>
      </c>
      <c r="Q60" s="144"/>
      <c r="R60" s="144"/>
      <c r="S60" s="144"/>
      <c r="T60" s="73"/>
      <c r="U60" s="144"/>
      <c r="V60" s="73"/>
      <c r="W60" s="75" t="str">
        <f>IF(ISERROR(VLOOKUP($I60,Aux_Lista!$A$2:$L$12,9,FALSE)),"",VLOOKUP($I60,Aux_Lista!$A$2:$L$12,9,FALSE))</f>
        <v/>
      </c>
      <c r="X60" s="76" t="str">
        <f>IF(ISERROR(VLOOKUP($I60,Aux_Lista!$A$2:$L$12,10,FALSE)^-1),"",VLOOKUP($I60,Aux_Lista!$A$2:$L$12,10,FALSE)^-1)</f>
        <v/>
      </c>
      <c r="Y60" s="76" t="str">
        <f>IF(ISERROR(VLOOKUP($I60,Aux_Lista!$A$2:$L$12,11,FALSE)),"",VLOOKUP($I60,Aux_Lista!$A$2:$L$12,11,FALSE))</f>
        <v/>
      </c>
      <c r="Z60" s="2"/>
      <c r="AA60" s="80">
        <f>ArCondicionado!F75</f>
        <v>0</v>
      </c>
      <c r="AB60" s="249" t="str">
        <f>ArCondicionado!AK75</f>
        <v/>
      </c>
      <c r="AC60" s="81"/>
      <c r="AD60" s="81"/>
      <c r="AE60" s="2"/>
    </row>
    <row r="61" spans="1:31" s="30" customFormat="1" ht="20.100000000000001" customHeight="1" x14ac:dyDescent="0.25">
      <c r="A61" s="161">
        <v>46</v>
      </c>
      <c r="B61" s="72"/>
      <c r="C61" s="73"/>
      <c r="D61" s="73"/>
      <c r="E61" s="73"/>
      <c r="F61" s="72"/>
      <c r="G61" s="72"/>
      <c r="H61" s="72"/>
      <c r="I61" s="72"/>
      <c r="J61" s="144"/>
      <c r="K61" s="144"/>
      <c r="L61" s="73"/>
      <c r="M61" s="144"/>
      <c r="N61" s="389"/>
      <c r="O61" s="389"/>
      <c r="P61" s="72" t="s">
        <v>5879</v>
      </c>
      <c r="Q61" s="144"/>
      <c r="R61" s="144"/>
      <c r="S61" s="144"/>
      <c r="T61" s="73"/>
      <c r="U61" s="144"/>
      <c r="V61" s="73"/>
      <c r="W61" s="75" t="str">
        <f>IF(ISERROR(VLOOKUP($I61,Aux_Lista!$A$2:$L$12,9,FALSE)),"",VLOOKUP($I61,Aux_Lista!$A$2:$L$12,9,FALSE))</f>
        <v/>
      </c>
      <c r="X61" s="76" t="str">
        <f>IF(ISERROR(VLOOKUP($I61,Aux_Lista!$A$2:$L$12,10,FALSE)^-1),"",VLOOKUP($I61,Aux_Lista!$A$2:$L$12,10,FALSE)^-1)</f>
        <v/>
      </c>
      <c r="Y61" s="76" t="str">
        <f>IF(ISERROR(VLOOKUP($I61,Aux_Lista!$A$2:$L$12,11,FALSE)),"",VLOOKUP($I61,Aux_Lista!$A$2:$L$12,11,FALSE))</f>
        <v/>
      </c>
      <c r="Z61" s="2"/>
      <c r="AA61" s="80">
        <f>ArCondicionado!F76</f>
        <v>0</v>
      </c>
      <c r="AB61" s="249" t="str">
        <f>ArCondicionado!AK76</f>
        <v/>
      </c>
      <c r="AC61" s="81"/>
      <c r="AD61" s="81"/>
      <c r="AE61" s="2"/>
    </row>
    <row r="62" spans="1:31" s="30" customFormat="1" ht="20.100000000000001" customHeight="1" x14ac:dyDescent="0.25">
      <c r="A62" s="160">
        <v>47</v>
      </c>
      <c r="B62" s="72"/>
      <c r="C62" s="73"/>
      <c r="D62" s="73"/>
      <c r="E62" s="73"/>
      <c r="F62" s="72"/>
      <c r="G62" s="72"/>
      <c r="H62" s="72"/>
      <c r="I62" s="72"/>
      <c r="J62" s="144"/>
      <c r="K62" s="144"/>
      <c r="L62" s="73"/>
      <c r="M62" s="144"/>
      <c r="N62" s="389"/>
      <c r="O62" s="389"/>
      <c r="P62" s="72" t="s">
        <v>5879</v>
      </c>
      <c r="Q62" s="144"/>
      <c r="R62" s="144"/>
      <c r="S62" s="144"/>
      <c r="T62" s="73"/>
      <c r="U62" s="144"/>
      <c r="V62" s="73"/>
      <c r="W62" s="75" t="str">
        <f>IF(ISERROR(VLOOKUP($I62,Aux_Lista!$A$2:$L$12,9,FALSE)),"",VLOOKUP($I62,Aux_Lista!$A$2:$L$12,9,FALSE))</f>
        <v/>
      </c>
      <c r="X62" s="76" t="str">
        <f>IF(ISERROR(VLOOKUP($I62,Aux_Lista!$A$2:$L$12,10,FALSE)^-1),"",VLOOKUP($I62,Aux_Lista!$A$2:$L$12,10,FALSE)^-1)</f>
        <v/>
      </c>
      <c r="Y62" s="76" t="str">
        <f>IF(ISERROR(VLOOKUP($I62,Aux_Lista!$A$2:$L$12,11,FALSE)),"",VLOOKUP($I62,Aux_Lista!$A$2:$L$12,11,FALSE))</f>
        <v/>
      </c>
      <c r="Z62" s="2"/>
      <c r="AA62" s="80">
        <f>ArCondicionado!F77</f>
        <v>0</v>
      </c>
      <c r="AB62" s="249" t="str">
        <f>ArCondicionado!AK77</f>
        <v/>
      </c>
      <c r="AC62" s="81"/>
      <c r="AD62" s="81"/>
      <c r="AE62" s="2"/>
    </row>
    <row r="63" spans="1:31" s="30" customFormat="1" ht="20.100000000000001" customHeight="1" x14ac:dyDescent="0.25">
      <c r="A63" s="161">
        <v>48</v>
      </c>
      <c r="B63" s="72"/>
      <c r="C63" s="73"/>
      <c r="D63" s="73"/>
      <c r="E63" s="73"/>
      <c r="F63" s="72"/>
      <c r="G63" s="72"/>
      <c r="H63" s="72"/>
      <c r="I63" s="72"/>
      <c r="J63" s="144"/>
      <c r="K63" s="144"/>
      <c r="L63" s="73"/>
      <c r="M63" s="144"/>
      <c r="N63" s="389"/>
      <c r="O63" s="389"/>
      <c r="P63" s="72" t="s">
        <v>5879</v>
      </c>
      <c r="Q63" s="144"/>
      <c r="R63" s="144"/>
      <c r="S63" s="144"/>
      <c r="T63" s="73"/>
      <c r="U63" s="144"/>
      <c r="V63" s="73"/>
      <c r="W63" s="75" t="str">
        <f>IF(ISERROR(VLOOKUP($I63,Aux_Lista!$A$2:$L$12,9,FALSE)),"",VLOOKUP($I63,Aux_Lista!$A$2:$L$12,9,FALSE))</f>
        <v/>
      </c>
      <c r="X63" s="76" t="str">
        <f>IF(ISERROR(VLOOKUP($I63,Aux_Lista!$A$2:$L$12,10,FALSE)^-1),"",VLOOKUP($I63,Aux_Lista!$A$2:$L$12,10,FALSE)^-1)</f>
        <v/>
      </c>
      <c r="Y63" s="76" t="str">
        <f>IF(ISERROR(VLOOKUP($I63,Aux_Lista!$A$2:$L$12,11,FALSE)),"",VLOOKUP($I63,Aux_Lista!$A$2:$L$12,11,FALSE))</f>
        <v/>
      </c>
      <c r="Z63" s="2"/>
      <c r="AA63" s="80">
        <f>ArCondicionado!F78</f>
        <v>0</v>
      </c>
      <c r="AB63" s="249" t="str">
        <f>ArCondicionado!AK78</f>
        <v/>
      </c>
      <c r="AC63" s="81"/>
      <c r="AD63" s="81"/>
      <c r="AE63" s="2"/>
    </row>
    <row r="64" spans="1:31" s="30" customFormat="1" ht="20.100000000000001" customHeight="1" x14ac:dyDescent="0.25">
      <c r="A64" s="160">
        <v>49</v>
      </c>
      <c r="B64" s="72"/>
      <c r="C64" s="73"/>
      <c r="D64" s="73"/>
      <c r="E64" s="73"/>
      <c r="F64" s="72"/>
      <c r="G64" s="72"/>
      <c r="H64" s="72"/>
      <c r="I64" s="72"/>
      <c r="J64" s="144"/>
      <c r="K64" s="144"/>
      <c r="L64" s="73"/>
      <c r="M64" s="144"/>
      <c r="N64" s="389"/>
      <c r="O64" s="389"/>
      <c r="P64" s="72" t="s">
        <v>5879</v>
      </c>
      <c r="Q64" s="144"/>
      <c r="R64" s="144"/>
      <c r="S64" s="144"/>
      <c r="T64" s="73"/>
      <c r="U64" s="144"/>
      <c r="V64" s="73"/>
      <c r="W64" s="75" t="str">
        <f>IF(ISERROR(VLOOKUP($I64,Aux_Lista!$A$2:$L$12,9,FALSE)),"",VLOOKUP($I64,Aux_Lista!$A$2:$L$12,9,FALSE))</f>
        <v/>
      </c>
      <c r="X64" s="76" t="str">
        <f>IF(ISERROR(VLOOKUP($I64,Aux_Lista!$A$2:$L$12,10,FALSE)^-1),"",VLOOKUP($I64,Aux_Lista!$A$2:$L$12,10,FALSE)^-1)</f>
        <v/>
      </c>
      <c r="Y64" s="76" t="str">
        <f>IF(ISERROR(VLOOKUP($I64,Aux_Lista!$A$2:$L$12,11,FALSE)),"",VLOOKUP($I64,Aux_Lista!$A$2:$L$12,11,FALSE))</f>
        <v/>
      </c>
      <c r="Z64" s="2"/>
      <c r="AA64" s="80">
        <f>ArCondicionado!F79</f>
        <v>0</v>
      </c>
      <c r="AB64" s="249" t="str">
        <f>ArCondicionado!AK79</f>
        <v/>
      </c>
      <c r="AC64" s="81"/>
      <c r="AD64" s="81"/>
      <c r="AE64" s="2"/>
    </row>
    <row r="65" spans="1:31" s="30" customFormat="1" ht="20.100000000000001" customHeight="1" x14ac:dyDescent="0.25">
      <c r="A65" s="161">
        <v>50</v>
      </c>
      <c r="B65" s="72"/>
      <c r="C65" s="73"/>
      <c r="D65" s="73"/>
      <c r="E65" s="73"/>
      <c r="F65" s="72"/>
      <c r="G65" s="72"/>
      <c r="H65" s="72"/>
      <c r="I65" s="72"/>
      <c r="J65" s="144"/>
      <c r="K65" s="144"/>
      <c r="L65" s="73"/>
      <c r="M65" s="144"/>
      <c r="N65" s="389"/>
      <c r="O65" s="389"/>
      <c r="P65" s="72" t="s">
        <v>5879</v>
      </c>
      <c r="Q65" s="144"/>
      <c r="R65" s="144"/>
      <c r="S65" s="144"/>
      <c r="T65" s="73"/>
      <c r="U65" s="144"/>
      <c r="V65" s="73"/>
      <c r="W65" s="75" t="str">
        <f>IF(ISERROR(VLOOKUP($I65,Aux_Lista!$A$2:$L$12,9,FALSE)),"",VLOOKUP($I65,Aux_Lista!$A$2:$L$12,9,FALSE))</f>
        <v/>
      </c>
      <c r="X65" s="76" t="str">
        <f>IF(ISERROR(VLOOKUP($I65,Aux_Lista!$A$2:$L$12,10,FALSE)^-1),"",VLOOKUP($I65,Aux_Lista!$A$2:$L$12,10,FALSE)^-1)</f>
        <v/>
      </c>
      <c r="Y65" s="76" t="str">
        <f>IF(ISERROR(VLOOKUP($I65,Aux_Lista!$A$2:$L$12,11,FALSE)),"",VLOOKUP($I65,Aux_Lista!$A$2:$L$12,11,FALSE))</f>
        <v/>
      </c>
      <c r="Z65" s="2"/>
      <c r="AA65" s="80">
        <f>ArCondicionado!F80</f>
        <v>0</v>
      </c>
      <c r="AB65" s="249" t="str">
        <f>ArCondicionado!AK80</f>
        <v/>
      </c>
      <c r="AC65" s="81"/>
      <c r="AD65" s="81"/>
      <c r="AE65" s="2"/>
    </row>
    <row r="66" spans="1:31" s="30" customFormat="1" ht="20.100000000000001" customHeight="1" x14ac:dyDescent="0.25">
      <c r="A66" s="160">
        <v>51</v>
      </c>
      <c r="B66" s="72"/>
      <c r="C66" s="73"/>
      <c r="D66" s="73"/>
      <c r="E66" s="73"/>
      <c r="F66" s="72"/>
      <c r="G66" s="72"/>
      <c r="H66" s="72"/>
      <c r="I66" s="72"/>
      <c r="J66" s="144"/>
      <c r="K66" s="144"/>
      <c r="L66" s="73"/>
      <c r="M66" s="144"/>
      <c r="N66" s="389"/>
      <c r="O66" s="389"/>
      <c r="P66" s="72" t="s">
        <v>5879</v>
      </c>
      <c r="Q66" s="144"/>
      <c r="R66" s="144"/>
      <c r="S66" s="144"/>
      <c r="T66" s="73"/>
      <c r="U66" s="144"/>
      <c r="V66" s="73"/>
      <c r="W66" s="75" t="str">
        <f>IF(ISERROR(VLOOKUP($I66,Aux_Lista!$A$2:$L$12,9,FALSE)),"",VLOOKUP($I66,Aux_Lista!$A$2:$L$12,9,FALSE))</f>
        <v/>
      </c>
      <c r="X66" s="76" t="str">
        <f>IF(ISERROR(VLOOKUP($I66,Aux_Lista!$A$2:$L$12,10,FALSE)^-1),"",VLOOKUP($I66,Aux_Lista!$A$2:$L$12,10,FALSE)^-1)</f>
        <v/>
      </c>
      <c r="Y66" s="76" t="str">
        <f>IF(ISERROR(VLOOKUP($I66,Aux_Lista!$A$2:$L$12,11,FALSE)),"",VLOOKUP($I66,Aux_Lista!$A$2:$L$12,11,FALSE))</f>
        <v/>
      </c>
      <c r="Z66" s="2"/>
      <c r="AA66" s="80">
        <f>ArCondicionado!F81</f>
        <v>0</v>
      </c>
      <c r="AB66" s="249" t="str">
        <f>ArCondicionado!AK81</f>
        <v/>
      </c>
      <c r="AC66" s="81"/>
      <c r="AD66" s="81"/>
      <c r="AE66" s="2"/>
    </row>
    <row r="67" spans="1:31" s="30" customFormat="1" ht="20.100000000000001" customHeight="1" x14ac:dyDescent="0.25">
      <c r="A67" s="161">
        <v>52</v>
      </c>
      <c r="B67" s="72"/>
      <c r="C67" s="73"/>
      <c r="D67" s="73"/>
      <c r="E67" s="73"/>
      <c r="F67" s="72"/>
      <c r="G67" s="72"/>
      <c r="H67" s="72"/>
      <c r="I67" s="72"/>
      <c r="J67" s="144"/>
      <c r="K67" s="144"/>
      <c r="L67" s="73"/>
      <c r="M67" s="144"/>
      <c r="N67" s="389"/>
      <c r="O67" s="389"/>
      <c r="P67" s="72" t="s">
        <v>5879</v>
      </c>
      <c r="Q67" s="144"/>
      <c r="R67" s="144"/>
      <c r="S67" s="144"/>
      <c r="T67" s="73"/>
      <c r="U67" s="144"/>
      <c r="V67" s="73"/>
      <c r="W67" s="75" t="str">
        <f>IF(ISERROR(VLOOKUP($I67,Aux_Lista!$A$2:$L$12,9,FALSE)),"",VLOOKUP($I67,Aux_Lista!$A$2:$L$12,9,FALSE))</f>
        <v/>
      </c>
      <c r="X67" s="76" t="str">
        <f>IF(ISERROR(VLOOKUP($I67,Aux_Lista!$A$2:$L$12,10,FALSE)^-1),"",VLOOKUP($I67,Aux_Lista!$A$2:$L$12,10,FALSE)^-1)</f>
        <v/>
      </c>
      <c r="Y67" s="76" t="str">
        <f>IF(ISERROR(VLOOKUP($I67,Aux_Lista!$A$2:$L$12,11,FALSE)),"",VLOOKUP($I67,Aux_Lista!$A$2:$L$12,11,FALSE))</f>
        <v/>
      </c>
      <c r="Z67" s="2"/>
      <c r="AA67" s="80">
        <f>ArCondicionado!F82</f>
        <v>0</v>
      </c>
      <c r="AB67" s="249" t="str">
        <f>ArCondicionado!AK82</f>
        <v/>
      </c>
      <c r="AC67" s="81"/>
      <c r="AD67" s="81"/>
      <c r="AE67" s="2"/>
    </row>
    <row r="68" spans="1:31" s="30" customFormat="1" ht="20.100000000000001" customHeight="1" x14ac:dyDescent="0.25">
      <c r="A68" s="160">
        <v>53</v>
      </c>
      <c r="B68" s="72"/>
      <c r="C68" s="73"/>
      <c r="D68" s="73"/>
      <c r="E68" s="73"/>
      <c r="F68" s="72"/>
      <c r="G68" s="72"/>
      <c r="H68" s="72"/>
      <c r="I68" s="72"/>
      <c r="J68" s="144"/>
      <c r="K68" s="144"/>
      <c r="L68" s="73"/>
      <c r="M68" s="144"/>
      <c r="N68" s="389"/>
      <c r="O68" s="389"/>
      <c r="P68" s="72" t="s">
        <v>5879</v>
      </c>
      <c r="Q68" s="144"/>
      <c r="R68" s="144"/>
      <c r="S68" s="144"/>
      <c r="T68" s="73"/>
      <c r="U68" s="144"/>
      <c r="V68" s="73"/>
      <c r="W68" s="75" t="str">
        <f>IF(ISERROR(VLOOKUP($I68,Aux_Lista!$A$2:$L$12,9,FALSE)),"",VLOOKUP($I68,Aux_Lista!$A$2:$L$12,9,FALSE))</f>
        <v/>
      </c>
      <c r="X68" s="76" t="str">
        <f>IF(ISERROR(VLOOKUP($I68,Aux_Lista!$A$2:$L$12,10,FALSE)^-1),"",VLOOKUP($I68,Aux_Lista!$A$2:$L$12,10,FALSE)^-1)</f>
        <v/>
      </c>
      <c r="Y68" s="76" t="str">
        <f>IF(ISERROR(VLOOKUP($I68,Aux_Lista!$A$2:$L$12,11,FALSE)),"",VLOOKUP($I68,Aux_Lista!$A$2:$L$12,11,FALSE))</f>
        <v/>
      </c>
      <c r="Z68" s="2"/>
      <c r="AA68" s="80">
        <f>ArCondicionado!F83</f>
        <v>0</v>
      </c>
      <c r="AB68" s="249" t="str">
        <f>ArCondicionado!AK83</f>
        <v/>
      </c>
      <c r="AC68" s="81"/>
      <c r="AD68" s="81"/>
      <c r="AE68" s="2"/>
    </row>
    <row r="69" spans="1:31" s="30" customFormat="1" ht="20.100000000000001" customHeight="1" x14ac:dyDescent="0.25">
      <c r="A69" s="161">
        <v>54</v>
      </c>
      <c r="B69" s="72"/>
      <c r="C69" s="73"/>
      <c r="D69" s="73"/>
      <c r="E69" s="73"/>
      <c r="F69" s="72"/>
      <c r="G69" s="72"/>
      <c r="H69" s="72"/>
      <c r="I69" s="72"/>
      <c r="J69" s="144"/>
      <c r="K69" s="144"/>
      <c r="L69" s="73"/>
      <c r="M69" s="144"/>
      <c r="N69" s="389"/>
      <c r="O69" s="389"/>
      <c r="P69" s="72" t="s">
        <v>5879</v>
      </c>
      <c r="Q69" s="144"/>
      <c r="R69" s="144"/>
      <c r="S69" s="144"/>
      <c r="T69" s="73"/>
      <c r="U69" s="144"/>
      <c r="V69" s="73"/>
      <c r="W69" s="75" t="str">
        <f>IF(ISERROR(VLOOKUP($I69,Aux_Lista!$A$2:$L$12,9,FALSE)),"",VLOOKUP($I69,Aux_Lista!$A$2:$L$12,9,FALSE))</f>
        <v/>
      </c>
      <c r="X69" s="76" t="str">
        <f>IF(ISERROR(VLOOKUP($I69,Aux_Lista!$A$2:$L$12,10,FALSE)^-1),"",VLOOKUP($I69,Aux_Lista!$A$2:$L$12,10,FALSE)^-1)</f>
        <v/>
      </c>
      <c r="Y69" s="76" t="str">
        <f>IF(ISERROR(VLOOKUP($I69,Aux_Lista!$A$2:$L$12,11,FALSE)),"",VLOOKUP($I69,Aux_Lista!$A$2:$L$12,11,FALSE))</f>
        <v/>
      </c>
      <c r="Z69" s="2"/>
      <c r="AA69" s="80">
        <f>ArCondicionado!F84</f>
        <v>0</v>
      </c>
      <c r="AB69" s="249" t="str">
        <f>ArCondicionado!AK84</f>
        <v/>
      </c>
      <c r="AC69" s="81"/>
      <c r="AD69" s="81"/>
      <c r="AE69" s="2"/>
    </row>
    <row r="70" spans="1:31" s="30" customFormat="1" ht="20.100000000000001" customHeight="1" x14ac:dyDescent="0.25">
      <c r="A70" s="160">
        <v>55</v>
      </c>
      <c r="B70" s="72"/>
      <c r="C70" s="73"/>
      <c r="D70" s="73"/>
      <c r="E70" s="73"/>
      <c r="F70" s="72"/>
      <c r="G70" s="72"/>
      <c r="H70" s="72"/>
      <c r="I70" s="72"/>
      <c r="J70" s="144"/>
      <c r="K70" s="144"/>
      <c r="L70" s="73"/>
      <c r="M70" s="144"/>
      <c r="N70" s="389"/>
      <c r="O70" s="389"/>
      <c r="P70" s="72" t="s">
        <v>5879</v>
      </c>
      <c r="Q70" s="144"/>
      <c r="R70" s="144"/>
      <c r="S70" s="144"/>
      <c r="T70" s="73"/>
      <c r="U70" s="144"/>
      <c r="V70" s="73"/>
      <c r="W70" s="75" t="str">
        <f>IF(ISERROR(VLOOKUP($I70,Aux_Lista!$A$2:$L$12,9,FALSE)),"",VLOOKUP($I70,Aux_Lista!$A$2:$L$12,9,FALSE))</f>
        <v/>
      </c>
      <c r="X70" s="76" t="str">
        <f>IF(ISERROR(VLOOKUP($I70,Aux_Lista!$A$2:$L$12,10,FALSE)^-1),"",VLOOKUP($I70,Aux_Lista!$A$2:$L$12,10,FALSE)^-1)</f>
        <v/>
      </c>
      <c r="Y70" s="76" t="str">
        <f>IF(ISERROR(VLOOKUP($I70,Aux_Lista!$A$2:$L$12,11,FALSE)),"",VLOOKUP($I70,Aux_Lista!$A$2:$L$12,11,FALSE))</f>
        <v/>
      </c>
      <c r="Z70" s="2"/>
      <c r="AA70" s="80">
        <f>ArCondicionado!F85</f>
        <v>0</v>
      </c>
      <c r="AB70" s="249" t="str">
        <f>ArCondicionado!AK85</f>
        <v/>
      </c>
      <c r="AC70" s="81"/>
      <c r="AD70" s="81"/>
      <c r="AE70" s="2"/>
    </row>
    <row r="71" spans="1:31" s="30" customFormat="1" ht="20.100000000000001" customHeight="1" x14ac:dyDescent="0.25">
      <c r="A71" s="161">
        <v>56</v>
      </c>
      <c r="B71" s="72"/>
      <c r="C71" s="73"/>
      <c r="D71" s="73"/>
      <c r="E71" s="73"/>
      <c r="F71" s="72"/>
      <c r="G71" s="72"/>
      <c r="H71" s="72"/>
      <c r="I71" s="72"/>
      <c r="J71" s="144"/>
      <c r="K71" s="144"/>
      <c r="L71" s="73"/>
      <c r="M71" s="144"/>
      <c r="N71" s="389"/>
      <c r="O71" s="389"/>
      <c r="P71" s="72" t="s">
        <v>5879</v>
      </c>
      <c r="Q71" s="144"/>
      <c r="R71" s="144"/>
      <c r="S71" s="144"/>
      <c r="T71" s="73"/>
      <c r="U71" s="144"/>
      <c r="V71" s="73"/>
      <c r="W71" s="75" t="str">
        <f>IF(ISERROR(VLOOKUP($I71,Aux_Lista!$A$2:$L$12,9,FALSE)),"",VLOOKUP($I71,Aux_Lista!$A$2:$L$12,9,FALSE))</f>
        <v/>
      </c>
      <c r="X71" s="76" t="str">
        <f>IF(ISERROR(VLOOKUP($I71,Aux_Lista!$A$2:$L$12,10,FALSE)^-1),"",VLOOKUP($I71,Aux_Lista!$A$2:$L$12,10,FALSE)^-1)</f>
        <v/>
      </c>
      <c r="Y71" s="76" t="str">
        <f>IF(ISERROR(VLOOKUP($I71,Aux_Lista!$A$2:$L$12,11,FALSE)),"",VLOOKUP($I71,Aux_Lista!$A$2:$L$12,11,FALSE))</f>
        <v/>
      </c>
      <c r="Z71" s="2"/>
      <c r="AA71" s="80">
        <f>ArCondicionado!F86</f>
        <v>0</v>
      </c>
      <c r="AB71" s="249" t="str">
        <f>ArCondicionado!AK86</f>
        <v/>
      </c>
      <c r="AC71" s="81"/>
      <c r="AD71" s="81"/>
      <c r="AE71" s="2"/>
    </row>
    <row r="72" spans="1:31" s="30" customFormat="1" ht="20.100000000000001" customHeight="1" x14ac:dyDescent="0.25">
      <c r="A72" s="160">
        <v>57</v>
      </c>
      <c r="B72" s="72"/>
      <c r="C72" s="73"/>
      <c r="D72" s="73"/>
      <c r="E72" s="73"/>
      <c r="F72" s="72"/>
      <c r="G72" s="72"/>
      <c r="H72" s="72"/>
      <c r="I72" s="72"/>
      <c r="J72" s="144"/>
      <c r="K72" s="144"/>
      <c r="L72" s="73"/>
      <c r="M72" s="144"/>
      <c r="N72" s="389"/>
      <c r="O72" s="389"/>
      <c r="P72" s="72" t="s">
        <v>5879</v>
      </c>
      <c r="Q72" s="144"/>
      <c r="R72" s="144"/>
      <c r="S72" s="144"/>
      <c r="T72" s="73"/>
      <c r="U72" s="144"/>
      <c r="V72" s="73"/>
      <c r="W72" s="75" t="str">
        <f>IF(ISERROR(VLOOKUP($I72,Aux_Lista!$A$2:$L$12,9,FALSE)),"",VLOOKUP($I72,Aux_Lista!$A$2:$L$12,9,FALSE))</f>
        <v/>
      </c>
      <c r="X72" s="76" t="str">
        <f>IF(ISERROR(VLOOKUP($I72,Aux_Lista!$A$2:$L$12,10,FALSE)^-1),"",VLOOKUP($I72,Aux_Lista!$A$2:$L$12,10,FALSE)^-1)</f>
        <v/>
      </c>
      <c r="Y72" s="76" t="str">
        <f>IF(ISERROR(VLOOKUP($I72,Aux_Lista!$A$2:$L$12,11,FALSE)),"",VLOOKUP($I72,Aux_Lista!$A$2:$L$12,11,FALSE))</f>
        <v/>
      </c>
      <c r="Z72" s="2"/>
      <c r="AA72" s="80">
        <f>ArCondicionado!F87</f>
        <v>0</v>
      </c>
      <c r="AB72" s="249" t="str">
        <f>ArCondicionado!AK87</f>
        <v/>
      </c>
      <c r="AC72" s="81"/>
      <c r="AD72" s="81"/>
      <c r="AE72" s="2"/>
    </row>
    <row r="73" spans="1:31" s="30" customFormat="1" ht="20.100000000000001" customHeight="1" x14ac:dyDescent="0.25">
      <c r="A73" s="161">
        <v>58</v>
      </c>
      <c r="B73" s="72"/>
      <c r="C73" s="73"/>
      <c r="D73" s="73"/>
      <c r="E73" s="73"/>
      <c r="F73" s="72"/>
      <c r="G73" s="72"/>
      <c r="H73" s="72"/>
      <c r="I73" s="72"/>
      <c r="J73" s="144"/>
      <c r="K73" s="144"/>
      <c r="L73" s="73"/>
      <c r="M73" s="144"/>
      <c r="N73" s="389"/>
      <c r="O73" s="389"/>
      <c r="P73" s="72" t="s">
        <v>5879</v>
      </c>
      <c r="Q73" s="144"/>
      <c r="R73" s="144"/>
      <c r="S73" s="144"/>
      <c r="T73" s="73"/>
      <c r="U73" s="144"/>
      <c r="V73" s="73"/>
      <c r="W73" s="75" t="str">
        <f>IF(ISERROR(VLOOKUP($I73,Aux_Lista!$A$2:$L$12,9,FALSE)),"",VLOOKUP($I73,Aux_Lista!$A$2:$L$12,9,FALSE))</f>
        <v/>
      </c>
      <c r="X73" s="76" t="str">
        <f>IF(ISERROR(VLOOKUP($I73,Aux_Lista!$A$2:$L$12,10,FALSE)^-1),"",VLOOKUP($I73,Aux_Lista!$A$2:$L$12,10,FALSE)^-1)</f>
        <v/>
      </c>
      <c r="Y73" s="76" t="str">
        <f>IF(ISERROR(VLOOKUP($I73,Aux_Lista!$A$2:$L$12,11,FALSE)),"",VLOOKUP($I73,Aux_Lista!$A$2:$L$12,11,FALSE))</f>
        <v/>
      </c>
      <c r="Z73" s="2"/>
      <c r="AA73" s="80">
        <f>ArCondicionado!F88</f>
        <v>0</v>
      </c>
      <c r="AB73" s="249" t="str">
        <f>ArCondicionado!AK88</f>
        <v/>
      </c>
      <c r="AC73" s="81"/>
      <c r="AD73" s="81"/>
      <c r="AE73" s="2"/>
    </row>
    <row r="74" spans="1:31" s="30" customFormat="1" ht="20.100000000000001" customHeight="1" x14ac:dyDescent="0.25">
      <c r="A74" s="160">
        <v>59</v>
      </c>
      <c r="B74" s="72"/>
      <c r="C74" s="73"/>
      <c r="D74" s="73"/>
      <c r="E74" s="73"/>
      <c r="F74" s="72"/>
      <c r="G74" s="72"/>
      <c r="H74" s="72"/>
      <c r="I74" s="72"/>
      <c r="J74" s="144"/>
      <c r="K74" s="144"/>
      <c r="L74" s="73"/>
      <c r="M74" s="144"/>
      <c r="N74" s="389"/>
      <c r="O74" s="389"/>
      <c r="P74" s="72" t="s">
        <v>5879</v>
      </c>
      <c r="Q74" s="144"/>
      <c r="R74" s="144"/>
      <c r="S74" s="144"/>
      <c r="T74" s="73"/>
      <c r="U74" s="144"/>
      <c r="V74" s="73"/>
      <c r="W74" s="75" t="str">
        <f>IF(ISERROR(VLOOKUP($I74,Aux_Lista!$A$2:$L$12,9,FALSE)),"",VLOOKUP($I74,Aux_Lista!$A$2:$L$12,9,FALSE))</f>
        <v/>
      </c>
      <c r="X74" s="76" t="str">
        <f>IF(ISERROR(VLOOKUP($I74,Aux_Lista!$A$2:$L$12,10,FALSE)^-1),"",VLOOKUP($I74,Aux_Lista!$A$2:$L$12,10,FALSE)^-1)</f>
        <v/>
      </c>
      <c r="Y74" s="76" t="str">
        <f>IF(ISERROR(VLOOKUP($I74,Aux_Lista!$A$2:$L$12,11,FALSE)),"",VLOOKUP($I74,Aux_Lista!$A$2:$L$12,11,FALSE))</f>
        <v/>
      </c>
      <c r="Z74" s="2"/>
      <c r="AA74" s="80">
        <f>ArCondicionado!F89</f>
        <v>0</v>
      </c>
      <c r="AB74" s="249" t="str">
        <f>ArCondicionado!AK89</f>
        <v/>
      </c>
      <c r="AC74" s="81"/>
      <c r="AD74" s="81"/>
      <c r="AE74" s="2"/>
    </row>
    <row r="75" spans="1:31" s="30" customFormat="1" ht="20.100000000000001" customHeight="1" x14ac:dyDescent="0.25">
      <c r="A75" s="161">
        <v>60</v>
      </c>
      <c r="B75" s="72"/>
      <c r="C75" s="73"/>
      <c r="D75" s="73"/>
      <c r="E75" s="73"/>
      <c r="F75" s="72"/>
      <c r="G75" s="72"/>
      <c r="H75" s="72"/>
      <c r="I75" s="72"/>
      <c r="J75" s="144"/>
      <c r="K75" s="144"/>
      <c r="L75" s="73"/>
      <c r="M75" s="144"/>
      <c r="N75" s="389"/>
      <c r="O75" s="389"/>
      <c r="P75" s="72" t="s">
        <v>5879</v>
      </c>
      <c r="Q75" s="144"/>
      <c r="R75" s="144"/>
      <c r="S75" s="144"/>
      <c r="T75" s="73"/>
      <c r="U75" s="144"/>
      <c r="V75" s="73"/>
      <c r="W75" s="75" t="str">
        <f>IF(ISERROR(VLOOKUP($I75,Aux_Lista!$A$2:$L$12,9,FALSE)),"",VLOOKUP($I75,Aux_Lista!$A$2:$L$12,9,FALSE))</f>
        <v/>
      </c>
      <c r="X75" s="76" t="str">
        <f>IF(ISERROR(VLOOKUP($I75,Aux_Lista!$A$2:$L$12,10,FALSE)^-1),"",VLOOKUP($I75,Aux_Lista!$A$2:$L$12,10,FALSE)^-1)</f>
        <v/>
      </c>
      <c r="Y75" s="76" t="str">
        <f>IF(ISERROR(VLOOKUP($I75,Aux_Lista!$A$2:$L$12,11,FALSE)),"",VLOOKUP($I75,Aux_Lista!$A$2:$L$12,11,FALSE))</f>
        <v/>
      </c>
      <c r="Z75" s="2"/>
      <c r="AA75" s="80">
        <f>ArCondicionado!F90</f>
        <v>0</v>
      </c>
      <c r="AB75" s="249" t="str">
        <f>ArCondicionado!AK90</f>
        <v/>
      </c>
      <c r="AC75" s="81"/>
      <c r="AD75" s="81"/>
      <c r="AE75" s="2"/>
    </row>
    <row r="76" spans="1:31" s="30" customFormat="1" ht="20.100000000000001" customHeight="1" x14ac:dyDescent="0.25">
      <c r="A76" s="160">
        <v>61</v>
      </c>
      <c r="B76" s="72"/>
      <c r="C76" s="73"/>
      <c r="D76" s="73"/>
      <c r="E76" s="73"/>
      <c r="F76" s="72"/>
      <c r="G76" s="72"/>
      <c r="H76" s="72"/>
      <c r="I76" s="72"/>
      <c r="J76" s="144"/>
      <c r="K76" s="144"/>
      <c r="L76" s="73"/>
      <c r="M76" s="144"/>
      <c r="N76" s="389"/>
      <c r="O76" s="389"/>
      <c r="P76" s="72" t="s">
        <v>5879</v>
      </c>
      <c r="Q76" s="144"/>
      <c r="R76" s="144"/>
      <c r="S76" s="144"/>
      <c r="T76" s="73"/>
      <c r="U76" s="144"/>
      <c r="V76" s="73"/>
      <c r="W76" s="75" t="str">
        <f>IF(ISERROR(VLOOKUP($I76,Aux_Lista!$A$2:$L$12,9,FALSE)),"",VLOOKUP($I76,Aux_Lista!$A$2:$L$12,9,FALSE))</f>
        <v/>
      </c>
      <c r="X76" s="76" t="str">
        <f>IF(ISERROR(VLOOKUP($I76,Aux_Lista!$A$2:$L$12,10,FALSE)^-1),"",VLOOKUP($I76,Aux_Lista!$A$2:$L$12,10,FALSE)^-1)</f>
        <v/>
      </c>
      <c r="Y76" s="76" t="str">
        <f>IF(ISERROR(VLOOKUP($I76,Aux_Lista!$A$2:$L$12,11,FALSE)),"",VLOOKUP($I76,Aux_Lista!$A$2:$L$12,11,FALSE))</f>
        <v/>
      </c>
      <c r="Z76" s="2"/>
      <c r="AA76" s="80">
        <f>ArCondicionado!F91</f>
        <v>0</v>
      </c>
      <c r="AB76" s="249" t="str">
        <f>ArCondicionado!AK91</f>
        <v/>
      </c>
      <c r="AC76" s="81"/>
      <c r="AD76" s="81"/>
      <c r="AE76" s="2"/>
    </row>
    <row r="77" spans="1:31" s="30" customFormat="1" ht="20.100000000000001" customHeight="1" x14ac:dyDescent="0.25">
      <c r="A77" s="161">
        <v>62</v>
      </c>
      <c r="B77" s="72"/>
      <c r="C77" s="73"/>
      <c r="D77" s="73"/>
      <c r="E77" s="73"/>
      <c r="F77" s="72"/>
      <c r="G77" s="72"/>
      <c r="H77" s="72"/>
      <c r="I77" s="72"/>
      <c r="J77" s="144"/>
      <c r="K77" s="144"/>
      <c r="L77" s="73"/>
      <c r="M77" s="144"/>
      <c r="N77" s="389"/>
      <c r="O77" s="389"/>
      <c r="P77" s="72" t="s">
        <v>5879</v>
      </c>
      <c r="Q77" s="144"/>
      <c r="R77" s="144"/>
      <c r="S77" s="144"/>
      <c r="T77" s="73"/>
      <c r="U77" s="144"/>
      <c r="V77" s="73"/>
      <c r="W77" s="75" t="str">
        <f>IF(ISERROR(VLOOKUP($I77,Aux_Lista!$A$2:$L$12,9,FALSE)),"",VLOOKUP($I77,Aux_Lista!$A$2:$L$12,9,FALSE))</f>
        <v/>
      </c>
      <c r="X77" s="76" t="str">
        <f>IF(ISERROR(VLOOKUP($I77,Aux_Lista!$A$2:$L$12,10,FALSE)^-1),"",VLOOKUP($I77,Aux_Lista!$A$2:$L$12,10,FALSE)^-1)</f>
        <v/>
      </c>
      <c r="Y77" s="76" t="str">
        <f>IF(ISERROR(VLOOKUP($I77,Aux_Lista!$A$2:$L$12,11,FALSE)),"",VLOOKUP($I77,Aux_Lista!$A$2:$L$12,11,FALSE))</f>
        <v/>
      </c>
      <c r="Z77" s="2"/>
      <c r="AA77" s="80">
        <f>ArCondicionado!F92</f>
        <v>0</v>
      </c>
      <c r="AB77" s="249" t="str">
        <f>ArCondicionado!AK92</f>
        <v/>
      </c>
      <c r="AC77" s="81"/>
      <c r="AD77" s="81"/>
      <c r="AE77" s="2"/>
    </row>
    <row r="78" spans="1:31" s="30" customFormat="1" ht="20.100000000000001" customHeight="1" x14ac:dyDescent="0.25">
      <c r="A78" s="160">
        <v>63</v>
      </c>
      <c r="B78" s="72"/>
      <c r="C78" s="73"/>
      <c r="D78" s="73"/>
      <c r="E78" s="73"/>
      <c r="F78" s="72"/>
      <c r="G78" s="72"/>
      <c r="H78" s="72"/>
      <c r="I78" s="72"/>
      <c r="J78" s="144"/>
      <c r="K78" s="144"/>
      <c r="L78" s="73"/>
      <c r="M78" s="144"/>
      <c r="N78" s="389"/>
      <c r="O78" s="389"/>
      <c r="P78" s="72" t="s">
        <v>5879</v>
      </c>
      <c r="Q78" s="144"/>
      <c r="R78" s="144"/>
      <c r="S78" s="144"/>
      <c r="T78" s="73"/>
      <c r="U78" s="144"/>
      <c r="V78" s="73"/>
      <c r="W78" s="75" t="str">
        <f>IF(ISERROR(VLOOKUP($I78,Aux_Lista!$A$2:$L$12,9,FALSE)),"",VLOOKUP($I78,Aux_Lista!$A$2:$L$12,9,FALSE))</f>
        <v/>
      </c>
      <c r="X78" s="76" t="str">
        <f>IF(ISERROR(VLOOKUP($I78,Aux_Lista!$A$2:$L$12,10,FALSE)^-1),"",VLOOKUP($I78,Aux_Lista!$A$2:$L$12,10,FALSE)^-1)</f>
        <v/>
      </c>
      <c r="Y78" s="76" t="str">
        <f>IF(ISERROR(VLOOKUP($I78,Aux_Lista!$A$2:$L$12,11,FALSE)),"",VLOOKUP($I78,Aux_Lista!$A$2:$L$12,11,FALSE))</f>
        <v/>
      </c>
      <c r="Z78" s="2"/>
      <c r="AA78" s="80">
        <f>ArCondicionado!F93</f>
        <v>0</v>
      </c>
      <c r="AB78" s="249" t="str">
        <f>ArCondicionado!AK93</f>
        <v/>
      </c>
      <c r="AC78" s="81"/>
      <c r="AD78" s="81"/>
      <c r="AE78" s="2"/>
    </row>
    <row r="79" spans="1:31" s="30" customFormat="1" ht="20.100000000000001" customHeight="1" x14ac:dyDescent="0.25">
      <c r="A79" s="161">
        <v>64</v>
      </c>
      <c r="B79" s="72"/>
      <c r="C79" s="73"/>
      <c r="D79" s="73"/>
      <c r="E79" s="73"/>
      <c r="F79" s="72"/>
      <c r="G79" s="72"/>
      <c r="H79" s="72"/>
      <c r="I79" s="72"/>
      <c r="J79" s="144"/>
      <c r="K79" s="144"/>
      <c r="L79" s="73"/>
      <c r="M79" s="144"/>
      <c r="N79" s="389"/>
      <c r="O79" s="389"/>
      <c r="P79" s="72" t="s">
        <v>5879</v>
      </c>
      <c r="Q79" s="144"/>
      <c r="R79" s="144"/>
      <c r="S79" s="144"/>
      <c r="T79" s="73"/>
      <c r="U79" s="144"/>
      <c r="V79" s="73"/>
      <c r="W79" s="75" t="str">
        <f>IF(ISERROR(VLOOKUP($I79,Aux_Lista!$A$2:$L$12,9,FALSE)),"",VLOOKUP($I79,Aux_Lista!$A$2:$L$12,9,FALSE))</f>
        <v/>
      </c>
      <c r="X79" s="76" t="str">
        <f>IF(ISERROR(VLOOKUP($I79,Aux_Lista!$A$2:$L$12,10,FALSE)^-1),"",VLOOKUP($I79,Aux_Lista!$A$2:$L$12,10,FALSE)^-1)</f>
        <v/>
      </c>
      <c r="Y79" s="76" t="str">
        <f>IF(ISERROR(VLOOKUP($I79,Aux_Lista!$A$2:$L$12,11,FALSE)),"",VLOOKUP($I79,Aux_Lista!$A$2:$L$12,11,FALSE))</f>
        <v/>
      </c>
      <c r="Z79" s="2"/>
      <c r="AA79" s="80">
        <f>ArCondicionado!F94</f>
        <v>0</v>
      </c>
      <c r="AB79" s="249" t="str">
        <f>ArCondicionado!AK94</f>
        <v/>
      </c>
      <c r="AC79" s="81"/>
      <c r="AD79" s="81"/>
      <c r="AE79" s="2"/>
    </row>
    <row r="80" spans="1:31" s="30" customFormat="1" ht="20.100000000000001" customHeight="1" x14ac:dyDescent="0.25">
      <c r="A80" s="160">
        <v>65</v>
      </c>
      <c r="B80" s="72"/>
      <c r="C80" s="73"/>
      <c r="D80" s="73"/>
      <c r="E80" s="73"/>
      <c r="F80" s="72"/>
      <c r="G80" s="72"/>
      <c r="H80" s="72"/>
      <c r="I80" s="72"/>
      <c r="J80" s="144"/>
      <c r="K80" s="144"/>
      <c r="L80" s="73"/>
      <c r="M80" s="144"/>
      <c r="N80" s="389"/>
      <c r="O80" s="389"/>
      <c r="P80" s="72" t="s">
        <v>5879</v>
      </c>
      <c r="Q80" s="144"/>
      <c r="R80" s="144"/>
      <c r="S80" s="144"/>
      <c r="T80" s="73"/>
      <c r="U80" s="144"/>
      <c r="V80" s="73"/>
      <c r="W80" s="75" t="str">
        <f>IF(ISERROR(VLOOKUP($I80,Aux_Lista!$A$2:$L$12,9,FALSE)),"",VLOOKUP($I80,Aux_Lista!$A$2:$L$12,9,FALSE))</f>
        <v/>
      </c>
      <c r="X80" s="76" t="str">
        <f>IF(ISERROR(VLOOKUP($I80,Aux_Lista!$A$2:$L$12,10,FALSE)^-1),"",VLOOKUP($I80,Aux_Lista!$A$2:$L$12,10,FALSE)^-1)</f>
        <v/>
      </c>
      <c r="Y80" s="76" t="str">
        <f>IF(ISERROR(VLOOKUP($I80,Aux_Lista!$A$2:$L$12,11,FALSE)),"",VLOOKUP($I80,Aux_Lista!$A$2:$L$12,11,FALSE))</f>
        <v/>
      </c>
      <c r="Z80" s="2"/>
      <c r="AA80" s="80">
        <f>ArCondicionado!F95</f>
        <v>0</v>
      </c>
      <c r="AB80" s="249" t="str">
        <f>ArCondicionado!AK95</f>
        <v/>
      </c>
      <c r="AC80" s="81"/>
      <c r="AD80" s="81"/>
      <c r="AE80" s="2"/>
    </row>
    <row r="81" spans="1:31" s="30" customFormat="1" ht="20.100000000000001" customHeight="1" x14ac:dyDescent="0.25">
      <c r="A81" s="161">
        <v>66</v>
      </c>
      <c r="B81" s="72"/>
      <c r="C81" s="73"/>
      <c r="D81" s="73"/>
      <c r="E81" s="73"/>
      <c r="F81" s="72"/>
      <c r="G81" s="72"/>
      <c r="H81" s="72"/>
      <c r="I81" s="72"/>
      <c r="J81" s="144"/>
      <c r="K81" s="144"/>
      <c r="L81" s="73"/>
      <c r="M81" s="144"/>
      <c r="N81" s="389"/>
      <c r="O81" s="389"/>
      <c r="P81" s="72" t="s">
        <v>5879</v>
      </c>
      <c r="Q81" s="144"/>
      <c r="R81" s="144"/>
      <c r="S81" s="144"/>
      <c r="T81" s="73"/>
      <c r="U81" s="144"/>
      <c r="V81" s="73"/>
      <c r="W81" s="75" t="str">
        <f>IF(ISERROR(VLOOKUP($I81,Aux_Lista!$A$2:$L$12,9,FALSE)),"",VLOOKUP($I81,Aux_Lista!$A$2:$L$12,9,FALSE))</f>
        <v/>
      </c>
      <c r="X81" s="76" t="str">
        <f>IF(ISERROR(VLOOKUP($I81,Aux_Lista!$A$2:$L$12,10,FALSE)^-1),"",VLOOKUP($I81,Aux_Lista!$A$2:$L$12,10,FALSE)^-1)</f>
        <v/>
      </c>
      <c r="Y81" s="76" t="str">
        <f>IF(ISERROR(VLOOKUP($I81,Aux_Lista!$A$2:$L$12,11,FALSE)),"",VLOOKUP($I81,Aux_Lista!$A$2:$L$12,11,FALSE))</f>
        <v/>
      </c>
      <c r="Z81" s="2"/>
      <c r="AA81" s="80">
        <f>ArCondicionado!F96</f>
        <v>0</v>
      </c>
      <c r="AB81" s="249" t="str">
        <f>ArCondicionado!AK96</f>
        <v/>
      </c>
      <c r="AC81" s="81"/>
      <c r="AD81" s="81"/>
      <c r="AE81" s="2"/>
    </row>
    <row r="82" spans="1:31" s="30" customFormat="1" ht="20.100000000000001" customHeight="1" x14ac:dyDescent="0.25">
      <c r="A82" s="160">
        <v>67</v>
      </c>
      <c r="B82" s="72"/>
      <c r="C82" s="73"/>
      <c r="D82" s="73"/>
      <c r="E82" s="73"/>
      <c r="F82" s="72"/>
      <c r="G82" s="72"/>
      <c r="H82" s="72"/>
      <c r="I82" s="72"/>
      <c r="J82" s="144"/>
      <c r="K82" s="144"/>
      <c r="L82" s="73"/>
      <c r="M82" s="144"/>
      <c r="N82" s="389"/>
      <c r="O82" s="389"/>
      <c r="P82" s="72" t="s">
        <v>5879</v>
      </c>
      <c r="Q82" s="144"/>
      <c r="R82" s="144"/>
      <c r="S82" s="144"/>
      <c r="T82" s="73"/>
      <c r="U82" s="144"/>
      <c r="V82" s="73"/>
      <c r="W82" s="75" t="str">
        <f>IF(ISERROR(VLOOKUP($I82,Aux_Lista!$A$2:$L$12,9,FALSE)),"",VLOOKUP($I82,Aux_Lista!$A$2:$L$12,9,FALSE))</f>
        <v/>
      </c>
      <c r="X82" s="76" t="str">
        <f>IF(ISERROR(VLOOKUP($I82,Aux_Lista!$A$2:$L$12,10,FALSE)^-1),"",VLOOKUP($I82,Aux_Lista!$A$2:$L$12,10,FALSE)^-1)</f>
        <v/>
      </c>
      <c r="Y82" s="76" t="str">
        <f>IF(ISERROR(VLOOKUP($I82,Aux_Lista!$A$2:$L$12,11,FALSE)),"",VLOOKUP($I82,Aux_Lista!$A$2:$L$12,11,FALSE))</f>
        <v/>
      </c>
      <c r="Z82" s="2"/>
      <c r="AA82" s="80">
        <f>ArCondicionado!F97</f>
        <v>0</v>
      </c>
      <c r="AB82" s="249" t="str">
        <f>ArCondicionado!AK97</f>
        <v/>
      </c>
      <c r="AC82" s="81"/>
      <c r="AD82" s="81"/>
      <c r="AE82" s="2"/>
    </row>
    <row r="83" spans="1:31" s="30" customFormat="1" ht="20.100000000000001" customHeight="1" x14ac:dyDescent="0.25">
      <c r="A83" s="161">
        <v>68</v>
      </c>
      <c r="B83" s="72"/>
      <c r="C83" s="73"/>
      <c r="D83" s="73"/>
      <c r="E83" s="73"/>
      <c r="F83" s="72"/>
      <c r="G83" s="72"/>
      <c r="H83" s="72"/>
      <c r="I83" s="72"/>
      <c r="J83" s="144"/>
      <c r="K83" s="144"/>
      <c r="L83" s="73"/>
      <c r="M83" s="144"/>
      <c r="N83" s="389"/>
      <c r="O83" s="389"/>
      <c r="P83" s="72" t="s">
        <v>5879</v>
      </c>
      <c r="Q83" s="144"/>
      <c r="R83" s="144"/>
      <c r="S83" s="144"/>
      <c r="T83" s="73"/>
      <c r="U83" s="144"/>
      <c r="V83" s="73"/>
      <c r="W83" s="75" t="str">
        <f>IF(ISERROR(VLOOKUP($I83,Aux_Lista!$A$2:$L$12,9,FALSE)),"",VLOOKUP($I83,Aux_Lista!$A$2:$L$12,9,FALSE))</f>
        <v/>
      </c>
      <c r="X83" s="76" t="str">
        <f>IF(ISERROR(VLOOKUP($I83,Aux_Lista!$A$2:$L$12,10,FALSE)^-1),"",VLOOKUP($I83,Aux_Lista!$A$2:$L$12,10,FALSE)^-1)</f>
        <v/>
      </c>
      <c r="Y83" s="76" t="str">
        <f>IF(ISERROR(VLOOKUP($I83,Aux_Lista!$A$2:$L$12,11,FALSE)),"",VLOOKUP($I83,Aux_Lista!$A$2:$L$12,11,FALSE))</f>
        <v/>
      </c>
      <c r="Z83" s="2"/>
      <c r="AA83" s="80">
        <f>ArCondicionado!F98</f>
        <v>0</v>
      </c>
      <c r="AB83" s="249" t="str">
        <f>ArCondicionado!AK98</f>
        <v/>
      </c>
      <c r="AC83" s="81"/>
      <c r="AD83" s="81"/>
      <c r="AE83" s="2"/>
    </row>
    <row r="84" spans="1:31" s="30" customFormat="1" ht="20.100000000000001" customHeight="1" x14ac:dyDescent="0.25">
      <c r="A84" s="160">
        <v>69</v>
      </c>
      <c r="B84" s="72"/>
      <c r="C84" s="73"/>
      <c r="D84" s="73"/>
      <c r="E84" s="73"/>
      <c r="F84" s="72"/>
      <c r="G84" s="72"/>
      <c r="H84" s="72"/>
      <c r="I84" s="72"/>
      <c r="J84" s="144"/>
      <c r="K84" s="144"/>
      <c r="L84" s="73"/>
      <c r="M84" s="144"/>
      <c r="N84" s="389"/>
      <c r="O84" s="389"/>
      <c r="P84" s="72" t="s">
        <v>5879</v>
      </c>
      <c r="Q84" s="144"/>
      <c r="R84" s="144"/>
      <c r="S84" s="144"/>
      <c r="T84" s="73"/>
      <c r="U84" s="144"/>
      <c r="V84" s="73"/>
      <c r="W84" s="75" t="str">
        <f>IF(ISERROR(VLOOKUP($I84,Aux_Lista!$A$2:$L$12,9,FALSE)),"",VLOOKUP($I84,Aux_Lista!$A$2:$L$12,9,FALSE))</f>
        <v/>
      </c>
      <c r="X84" s="76" t="str">
        <f>IF(ISERROR(VLOOKUP($I84,Aux_Lista!$A$2:$L$12,10,FALSE)^-1),"",VLOOKUP($I84,Aux_Lista!$A$2:$L$12,10,FALSE)^-1)</f>
        <v/>
      </c>
      <c r="Y84" s="76" t="str">
        <f>IF(ISERROR(VLOOKUP($I84,Aux_Lista!$A$2:$L$12,11,FALSE)),"",VLOOKUP($I84,Aux_Lista!$A$2:$L$12,11,FALSE))</f>
        <v/>
      </c>
      <c r="Z84" s="2"/>
      <c r="AA84" s="80">
        <f>ArCondicionado!F99</f>
        <v>0</v>
      </c>
      <c r="AB84" s="249" t="str">
        <f>ArCondicionado!AK99</f>
        <v/>
      </c>
      <c r="AC84" s="81"/>
      <c r="AD84" s="81"/>
      <c r="AE84" s="2"/>
    </row>
    <row r="85" spans="1:31" s="30" customFormat="1" ht="20.100000000000001" customHeight="1" x14ac:dyDescent="0.25">
      <c r="A85" s="161">
        <v>70</v>
      </c>
      <c r="B85" s="72"/>
      <c r="C85" s="73"/>
      <c r="D85" s="73"/>
      <c r="E85" s="73"/>
      <c r="F85" s="72"/>
      <c r="G85" s="72"/>
      <c r="H85" s="72"/>
      <c r="I85" s="72"/>
      <c r="J85" s="144"/>
      <c r="K85" s="144"/>
      <c r="L85" s="73"/>
      <c r="M85" s="144"/>
      <c r="N85" s="389"/>
      <c r="O85" s="389"/>
      <c r="P85" s="72" t="s">
        <v>5879</v>
      </c>
      <c r="Q85" s="144"/>
      <c r="R85" s="144"/>
      <c r="S85" s="144"/>
      <c r="T85" s="73"/>
      <c r="U85" s="144"/>
      <c r="V85" s="73"/>
      <c r="W85" s="75" t="str">
        <f>IF(ISERROR(VLOOKUP($I85,Aux_Lista!$A$2:$L$12,9,FALSE)),"",VLOOKUP($I85,Aux_Lista!$A$2:$L$12,9,FALSE))</f>
        <v/>
      </c>
      <c r="X85" s="76" t="str">
        <f>IF(ISERROR(VLOOKUP($I85,Aux_Lista!$A$2:$L$12,10,FALSE)^-1),"",VLOOKUP($I85,Aux_Lista!$A$2:$L$12,10,FALSE)^-1)</f>
        <v/>
      </c>
      <c r="Y85" s="76" t="str">
        <f>IF(ISERROR(VLOOKUP($I85,Aux_Lista!$A$2:$L$12,11,FALSE)),"",VLOOKUP($I85,Aux_Lista!$A$2:$L$12,11,FALSE))</f>
        <v/>
      </c>
      <c r="Z85" s="2"/>
      <c r="AA85" s="80">
        <f>ArCondicionado!F100</f>
        <v>0</v>
      </c>
      <c r="AB85" s="249" t="str">
        <f>ArCondicionado!AK100</f>
        <v/>
      </c>
      <c r="AC85" s="81"/>
      <c r="AD85" s="81"/>
      <c r="AE85" s="2"/>
    </row>
    <row r="86" spans="1:31" s="30" customFormat="1" ht="20.100000000000001" customHeight="1" x14ac:dyDescent="0.25">
      <c r="A86" s="160">
        <v>71</v>
      </c>
      <c r="B86" s="72"/>
      <c r="C86" s="73"/>
      <c r="D86" s="73"/>
      <c r="E86" s="73"/>
      <c r="F86" s="72"/>
      <c r="G86" s="72"/>
      <c r="H86" s="72"/>
      <c r="I86" s="72"/>
      <c r="J86" s="144"/>
      <c r="K86" s="144"/>
      <c r="L86" s="73"/>
      <c r="M86" s="144"/>
      <c r="N86" s="389"/>
      <c r="O86" s="389"/>
      <c r="P86" s="72" t="s">
        <v>5879</v>
      </c>
      <c r="Q86" s="144"/>
      <c r="R86" s="144"/>
      <c r="S86" s="144"/>
      <c r="T86" s="73"/>
      <c r="U86" s="144"/>
      <c r="V86" s="73"/>
      <c r="W86" s="75" t="str">
        <f>IF(ISERROR(VLOOKUP($I86,Aux_Lista!$A$2:$L$12,9,FALSE)),"",VLOOKUP($I86,Aux_Lista!$A$2:$L$12,9,FALSE))</f>
        <v/>
      </c>
      <c r="X86" s="76" t="str">
        <f>IF(ISERROR(VLOOKUP($I86,Aux_Lista!$A$2:$L$12,10,FALSE)^-1),"",VLOOKUP($I86,Aux_Lista!$A$2:$L$12,10,FALSE)^-1)</f>
        <v/>
      </c>
      <c r="Y86" s="76" t="str">
        <f>IF(ISERROR(VLOOKUP($I86,Aux_Lista!$A$2:$L$12,11,FALSE)),"",VLOOKUP($I86,Aux_Lista!$A$2:$L$12,11,FALSE))</f>
        <v/>
      </c>
      <c r="Z86" s="2"/>
      <c r="AA86" s="80">
        <f>ArCondicionado!F101</f>
        <v>0</v>
      </c>
      <c r="AB86" s="249" t="str">
        <f>ArCondicionado!AK101</f>
        <v/>
      </c>
      <c r="AC86" s="81"/>
      <c r="AD86" s="81"/>
      <c r="AE86" s="2"/>
    </row>
    <row r="87" spans="1:31" s="30" customFormat="1" ht="20.100000000000001" customHeight="1" x14ac:dyDescent="0.25">
      <c r="A87" s="161">
        <v>72</v>
      </c>
      <c r="B87" s="72"/>
      <c r="C87" s="73"/>
      <c r="D87" s="73"/>
      <c r="E87" s="73"/>
      <c r="F87" s="72"/>
      <c r="G87" s="72"/>
      <c r="H87" s="72"/>
      <c r="I87" s="72"/>
      <c r="J87" s="144"/>
      <c r="K87" s="144"/>
      <c r="L87" s="73"/>
      <c r="M87" s="144"/>
      <c r="N87" s="389"/>
      <c r="O87" s="389"/>
      <c r="P87" s="72" t="s">
        <v>5879</v>
      </c>
      <c r="Q87" s="144"/>
      <c r="R87" s="144"/>
      <c r="S87" s="144"/>
      <c r="T87" s="73"/>
      <c r="U87" s="144"/>
      <c r="V87" s="73"/>
      <c r="W87" s="75" t="str">
        <f>IF(ISERROR(VLOOKUP($I87,Aux_Lista!$A$2:$L$12,9,FALSE)),"",VLOOKUP($I87,Aux_Lista!$A$2:$L$12,9,FALSE))</f>
        <v/>
      </c>
      <c r="X87" s="76" t="str">
        <f>IF(ISERROR(VLOOKUP($I87,Aux_Lista!$A$2:$L$12,10,FALSE)^-1),"",VLOOKUP($I87,Aux_Lista!$A$2:$L$12,10,FALSE)^-1)</f>
        <v/>
      </c>
      <c r="Y87" s="76" t="str">
        <f>IF(ISERROR(VLOOKUP($I87,Aux_Lista!$A$2:$L$12,11,FALSE)),"",VLOOKUP($I87,Aux_Lista!$A$2:$L$12,11,FALSE))</f>
        <v/>
      </c>
      <c r="Z87" s="2"/>
      <c r="AA87" s="80">
        <f>ArCondicionado!F102</f>
        <v>0</v>
      </c>
      <c r="AB87" s="249" t="str">
        <f>ArCondicionado!AK102</f>
        <v/>
      </c>
      <c r="AC87" s="81"/>
      <c r="AD87" s="81"/>
      <c r="AE87" s="2"/>
    </row>
    <row r="88" spans="1:31" s="30" customFormat="1" ht="20.100000000000001" customHeight="1" x14ac:dyDescent="0.25">
      <c r="A88" s="160">
        <v>73</v>
      </c>
      <c r="B88" s="72"/>
      <c r="C88" s="73"/>
      <c r="D88" s="73"/>
      <c r="E88" s="73"/>
      <c r="F88" s="72"/>
      <c r="G88" s="72"/>
      <c r="H88" s="72"/>
      <c r="I88" s="72"/>
      <c r="J88" s="144"/>
      <c r="K88" s="144"/>
      <c r="L88" s="73"/>
      <c r="M88" s="144"/>
      <c r="N88" s="389"/>
      <c r="O88" s="389"/>
      <c r="P88" s="72" t="s">
        <v>5879</v>
      </c>
      <c r="Q88" s="144"/>
      <c r="R88" s="144"/>
      <c r="S88" s="144"/>
      <c r="T88" s="73"/>
      <c r="U88" s="144"/>
      <c r="V88" s="73"/>
      <c r="W88" s="75" t="str">
        <f>IF(ISERROR(VLOOKUP($I88,Aux_Lista!$A$2:$L$12,9,FALSE)),"",VLOOKUP($I88,Aux_Lista!$A$2:$L$12,9,FALSE))</f>
        <v/>
      </c>
      <c r="X88" s="76" t="str">
        <f>IF(ISERROR(VLOOKUP($I88,Aux_Lista!$A$2:$L$12,10,FALSE)^-1),"",VLOOKUP($I88,Aux_Lista!$A$2:$L$12,10,FALSE)^-1)</f>
        <v/>
      </c>
      <c r="Y88" s="76" t="str">
        <f>IF(ISERROR(VLOOKUP($I88,Aux_Lista!$A$2:$L$12,11,FALSE)),"",VLOOKUP($I88,Aux_Lista!$A$2:$L$12,11,FALSE))</f>
        <v/>
      </c>
      <c r="Z88" s="2"/>
      <c r="AA88" s="80">
        <f>ArCondicionado!F103</f>
        <v>0</v>
      </c>
      <c r="AB88" s="249" t="str">
        <f>ArCondicionado!AK103</f>
        <v/>
      </c>
      <c r="AC88" s="81"/>
      <c r="AD88" s="81"/>
      <c r="AE88" s="2"/>
    </row>
    <row r="89" spans="1:31" s="30" customFormat="1" ht="20.100000000000001" customHeight="1" x14ac:dyDescent="0.25">
      <c r="A89" s="161">
        <v>74</v>
      </c>
      <c r="B89" s="72"/>
      <c r="C89" s="73"/>
      <c r="D89" s="73"/>
      <c r="E89" s="73"/>
      <c r="F89" s="72"/>
      <c r="G89" s="72"/>
      <c r="H89" s="72"/>
      <c r="I89" s="72"/>
      <c r="J89" s="144"/>
      <c r="K89" s="144"/>
      <c r="L89" s="73"/>
      <c r="M89" s="144"/>
      <c r="N89" s="389"/>
      <c r="O89" s="389"/>
      <c r="P89" s="72" t="s">
        <v>5879</v>
      </c>
      <c r="Q89" s="144"/>
      <c r="R89" s="144"/>
      <c r="S89" s="144"/>
      <c r="T89" s="73"/>
      <c r="U89" s="144"/>
      <c r="V89" s="73"/>
      <c r="W89" s="75" t="str">
        <f>IF(ISERROR(VLOOKUP($I89,Aux_Lista!$A$2:$L$12,9,FALSE)),"",VLOOKUP($I89,Aux_Lista!$A$2:$L$12,9,FALSE))</f>
        <v/>
      </c>
      <c r="X89" s="76" t="str">
        <f>IF(ISERROR(VLOOKUP($I89,Aux_Lista!$A$2:$L$12,10,FALSE)^-1),"",VLOOKUP($I89,Aux_Lista!$A$2:$L$12,10,FALSE)^-1)</f>
        <v/>
      </c>
      <c r="Y89" s="76" t="str">
        <f>IF(ISERROR(VLOOKUP($I89,Aux_Lista!$A$2:$L$12,11,FALSE)),"",VLOOKUP($I89,Aux_Lista!$A$2:$L$12,11,FALSE))</f>
        <v/>
      </c>
      <c r="Z89" s="2"/>
      <c r="AA89" s="80">
        <f>ArCondicionado!F104</f>
        <v>0</v>
      </c>
      <c r="AB89" s="249" t="str">
        <f>ArCondicionado!AK104</f>
        <v/>
      </c>
      <c r="AC89" s="81"/>
      <c r="AD89" s="81"/>
      <c r="AE89" s="2"/>
    </row>
    <row r="90" spans="1:31" s="30" customFormat="1" ht="20.100000000000001" customHeight="1" x14ac:dyDescent="0.25">
      <c r="A90" s="160">
        <v>75</v>
      </c>
      <c r="B90" s="72"/>
      <c r="C90" s="73"/>
      <c r="D90" s="73"/>
      <c r="E90" s="73"/>
      <c r="F90" s="72"/>
      <c r="G90" s="72"/>
      <c r="H90" s="72"/>
      <c r="I90" s="72"/>
      <c r="J90" s="144"/>
      <c r="K90" s="144"/>
      <c r="L90" s="73"/>
      <c r="M90" s="144"/>
      <c r="N90" s="389"/>
      <c r="O90" s="389"/>
      <c r="P90" s="72" t="s">
        <v>5879</v>
      </c>
      <c r="Q90" s="144"/>
      <c r="R90" s="144"/>
      <c r="S90" s="144"/>
      <c r="T90" s="73"/>
      <c r="U90" s="144"/>
      <c r="V90" s="73"/>
      <c r="W90" s="75" t="str">
        <f>IF(ISERROR(VLOOKUP($I90,Aux_Lista!$A$2:$L$12,9,FALSE)),"",VLOOKUP($I90,Aux_Lista!$A$2:$L$12,9,FALSE))</f>
        <v/>
      </c>
      <c r="X90" s="76" t="str">
        <f>IF(ISERROR(VLOOKUP($I90,Aux_Lista!$A$2:$L$12,10,FALSE)^-1),"",VLOOKUP($I90,Aux_Lista!$A$2:$L$12,10,FALSE)^-1)</f>
        <v/>
      </c>
      <c r="Y90" s="76" t="str">
        <f>IF(ISERROR(VLOOKUP($I90,Aux_Lista!$A$2:$L$12,11,FALSE)),"",VLOOKUP($I90,Aux_Lista!$A$2:$L$12,11,FALSE))</f>
        <v/>
      </c>
      <c r="Z90" s="2"/>
      <c r="AA90" s="80">
        <f>ArCondicionado!F105</f>
        <v>0</v>
      </c>
      <c r="AB90" s="249" t="str">
        <f>ArCondicionado!AK105</f>
        <v/>
      </c>
      <c r="AC90" s="81"/>
      <c r="AD90" s="81"/>
      <c r="AE90" s="2"/>
    </row>
    <row r="91" spans="1:31" s="30" customFormat="1" ht="20.100000000000001" customHeight="1" x14ac:dyDescent="0.25">
      <c r="A91" s="161">
        <v>76</v>
      </c>
      <c r="B91" s="72"/>
      <c r="C91" s="73"/>
      <c r="D91" s="73"/>
      <c r="E91" s="73"/>
      <c r="F91" s="72"/>
      <c r="G91" s="72"/>
      <c r="H91" s="72"/>
      <c r="I91" s="72"/>
      <c r="J91" s="144"/>
      <c r="K91" s="144"/>
      <c r="L91" s="73"/>
      <c r="M91" s="144"/>
      <c r="N91" s="389"/>
      <c r="O91" s="389"/>
      <c r="P91" s="72" t="s">
        <v>5879</v>
      </c>
      <c r="Q91" s="144"/>
      <c r="R91" s="144"/>
      <c r="S91" s="144"/>
      <c r="T91" s="73"/>
      <c r="U91" s="144"/>
      <c r="V91" s="73"/>
      <c r="W91" s="75" t="str">
        <f>IF(ISERROR(VLOOKUP($I91,Aux_Lista!$A$2:$L$12,9,FALSE)),"",VLOOKUP($I91,Aux_Lista!$A$2:$L$12,9,FALSE))</f>
        <v/>
      </c>
      <c r="X91" s="76" t="str">
        <f>IF(ISERROR(VLOOKUP($I91,Aux_Lista!$A$2:$L$12,10,FALSE)^-1),"",VLOOKUP($I91,Aux_Lista!$A$2:$L$12,10,FALSE)^-1)</f>
        <v/>
      </c>
      <c r="Y91" s="76" t="str">
        <f>IF(ISERROR(VLOOKUP($I91,Aux_Lista!$A$2:$L$12,11,FALSE)),"",VLOOKUP($I91,Aux_Lista!$A$2:$L$12,11,FALSE))</f>
        <v/>
      </c>
      <c r="Z91" s="2"/>
      <c r="AA91" s="80">
        <f>ArCondicionado!F106</f>
        <v>0</v>
      </c>
      <c r="AB91" s="249" t="str">
        <f>ArCondicionado!AK106</f>
        <v/>
      </c>
      <c r="AC91" s="81"/>
      <c r="AD91" s="81"/>
      <c r="AE91" s="2"/>
    </row>
    <row r="92" spans="1:31" s="30" customFormat="1" ht="20.100000000000001" customHeight="1" x14ac:dyDescent="0.25">
      <c r="A92" s="160">
        <v>77</v>
      </c>
      <c r="B92" s="72"/>
      <c r="C92" s="73"/>
      <c r="D92" s="73"/>
      <c r="E92" s="73"/>
      <c r="F92" s="72"/>
      <c r="G92" s="72"/>
      <c r="H92" s="72"/>
      <c r="I92" s="72"/>
      <c r="J92" s="144"/>
      <c r="K92" s="144"/>
      <c r="L92" s="73"/>
      <c r="M92" s="144"/>
      <c r="N92" s="389"/>
      <c r="O92" s="389"/>
      <c r="P92" s="72" t="s">
        <v>5879</v>
      </c>
      <c r="Q92" s="144"/>
      <c r="R92" s="144"/>
      <c r="S92" s="144"/>
      <c r="T92" s="73"/>
      <c r="U92" s="144"/>
      <c r="V92" s="73"/>
      <c r="W92" s="75" t="str">
        <f>IF(ISERROR(VLOOKUP($I92,Aux_Lista!$A$2:$L$12,9,FALSE)),"",VLOOKUP($I92,Aux_Lista!$A$2:$L$12,9,FALSE))</f>
        <v/>
      </c>
      <c r="X92" s="76" t="str">
        <f>IF(ISERROR(VLOOKUP($I92,Aux_Lista!$A$2:$L$12,10,FALSE)^-1),"",VLOOKUP($I92,Aux_Lista!$A$2:$L$12,10,FALSE)^-1)</f>
        <v/>
      </c>
      <c r="Y92" s="76" t="str">
        <f>IF(ISERROR(VLOOKUP($I92,Aux_Lista!$A$2:$L$12,11,FALSE)),"",VLOOKUP($I92,Aux_Lista!$A$2:$L$12,11,FALSE))</f>
        <v/>
      </c>
      <c r="Z92" s="2"/>
      <c r="AA92" s="80">
        <f>ArCondicionado!F107</f>
        <v>0</v>
      </c>
      <c r="AB92" s="249" t="str">
        <f>ArCondicionado!AK107</f>
        <v/>
      </c>
      <c r="AC92" s="81"/>
      <c r="AD92" s="81"/>
      <c r="AE92" s="2"/>
    </row>
    <row r="93" spans="1:31" s="30" customFormat="1" ht="20.100000000000001" customHeight="1" x14ac:dyDescent="0.25">
      <c r="A93" s="161">
        <v>78</v>
      </c>
      <c r="B93" s="72"/>
      <c r="C93" s="73"/>
      <c r="D93" s="73"/>
      <c r="E93" s="73"/>
      <c r="F93" s="72"/>
      <c r="G93" s="72"/>
      <c r="H93" s="72"/>
      <c r="I93" s="72"/>
      <c r="J93" s="144"/>
      <c r="K93" s="144"/>
      <c r="L93" s="73"/>
      <c r="M93" s="144"/>
      <c r="N93" s="389"/>
      <c r="O93" s="389"/>
      <c r="P93" s="72" t="s">
        <v>5879</v>
      </c>
      <c r="Q93" s="144"/>
      <c r="R93" s="144"/>
      <c r="S93" s="144"/>
      <c r="T93" s="73"/>
      <c r="U93" s="144"/>
      <c r="V93" s="73"/>
      <c r="W93" s="75" t="str">
        <f>IF(ISERROR(VLOOKUP($I93,Aux_Lista!$A$2:$L$12,9,FALSE)),"",VLOOKUP($I93,Aux_Lista!$A$2:$L$12,9,FALSE))</f>
        <v/>
      </c>
      <c r="X93" s="76" t="str">
        <f>IF(ISERROR(VLOOKUP($I93,Aux_Lista!$A$2:$L$12,10,FALSE)^-1),"",VLOOKUP($I93,Aux_Lista!$A$2:$L$12,10,FALSE)^-1)</f>
        <v/>
      </c>
      <c r="Y93" s="76" t="str">
        <f>IF(ISERROR(VLOOKUP($I93,Aux_Lista!$A$2:$L$12,11,FALSE)),"",VLOOKUP($I93,Aux_Lista!$A$2:$L$12,11,FALSE))</f>
        <v/>
      </c>
      <c r="Z93" s="2"/>
      <c r="AA93" s="80">
        <f>ArCondicionado!F108</f>
        <v>0</v>
      </c>
      <c r="AB93" s="249" t="str">
        <f>ArCondicionado!AK108</f>
        <v/>
      </c>
      <c r="AC93" s="81"/>
      <c r="AD93" s="81"/>
      <c r="AE93" s="2"/>
    </row>
    <row r="94" spans="1:31" s="30" customFormat="1" ht="20.100000000000001" customHeight="1" x14ac:dyDescent="0.25">
      <c r="A94" s="160">
        <v>79</v>
      </c>
      <c r="B94" s="72"/>
      <c r="C94" s="73"/>
      <c r="D94" s="73"/>
      <c r="E94" s="73"/>
      <c r="F94" s="72"/>
      <c r="G94" s="72"/>
      <c r="H94" s="72"/>
      <c r="I94" s="72"/>
      <c r="J94" s="144"/>
      <c r="K94" s="144"/>
      <c r="L94" s="73"/>
      <c r="M94" s="144"/>
      <c r="N94" s="389"/>
      <c r="O94" s="389"/>
      <c r="P94" s="72" t="s">
        <v>5879</v>
      </c>
      <c r="Q94" s="144"/>
      <c r="R94" s="144"/>
      <c r="S94" s="144"/>
      <c r="T94" s="73"/>
      <c r="U94" s="144"/>
      <c r="V94" s="73"/>
      <c r="W94" s="75" t="str">
        <f>IF(ISERROR(VLOOKUP($I94,Aux_Lista!$A$2:$L$12,9,FALSE)),"",VLOOKUP($I94,Aux_Lista!$A$2:$L$12,9,FALSE))</f>
        <v/>
      </c>
      <c r="X94" s="76" t="str">
        <f>IF(ISERROR(VLOOKUP($I94,Aux_Lista!$A$2:$L$12,10,FALSE)^-1),"",VLOOKUP($I94,Aux_Lista!$A$2:$L$12,10,FALSE)^-1)</f>
        <v/>
      </c>
      <c r="Y94" s="76" t="str">
        <f>IF(ISERROR(VLOOKUP($I94,Aux_Lista!$A$2:$L$12,11,FALSE)),"",VLOOKUP($I94,Aux_Lista!$A$2:$L$12,11,FALSE))</f>
        <v/>
      </c>
      <c r="Z94" s="2"/>
      <c r="AA94" s="80">
        <f>ArCondicionado!F109</f>
        <v>0</v>
      </c>
      <c r="AB94" s="249" t="str">
        <f>ArCondicionado!AK109</f>
        <v/>
      </c>
      <c r="AC94" s="81"/>
      <c r="AD94" s="81"/>
      <c r="AE94" s="2"/>
    </row>
    <row r="95" spans="1:31" s="30" customFormat="1" ht="20.100000000000001" customHeight="1" x14ac:dyDescent="0.25">
      <c r="A95" s="161">
        <v>80</v>
      </c>
      <c r="B95" s="72"/>
      <c r="C95" s="73"/>
      <c r="D95" s="73"/>
      <c r="E95" s="73"/>
      <c r="F95" s="72"/>
      <c r="G95" s="72"/>
      <c r="H95" s="72"/>
      <c r="I95" s="72"/>
      <c r="J95" s="144"/>
      <c r="K95" s="144"/>
      <c r="L95" s="73"/>
      <c r="M95" s="144"/>
      <c r="N95" s="389"/>
      <c r="O95" s="389"/>
      <c r="P95" s="72" t="s">
        <v>5879</v>
      </c>
      <c r="Q95" s="144"/>
      <c r="R95" s="144"/>
      <c r="S95" s="144"/>
      <c r="T95" s="73"/>
      <c r="U95" s="144"/>
      <c r="V95" s="73"/>
      <c r="W95" s="75" t="str">
        <f>IF(ISERROR(VLOOKUP($I95,Aux_Lista!$A$2:$L$12,9,FALSE)),"",VLOOKUP($I95,Aux_Lista!$A$2:$L$12,9,FALSE))</f>
        <v/>
      </c>
      <c r="X95" s="76" t="str">
        <f>IF(ISERROR(VLOOKUP($I95,Aux_Lista!$A$2:$L$12,10,FALSE)^-1),"",VLOOKUP($I95,Aux_Lista!$A$2:$L$12,10,FALSE)^-1)</f>
        <v/>
      </c>
      <c r="Y95" s="76" t="str">
        <f>IF(ISERROR(VLOOKUP($I95,Aux_Lista!$A$2:$L$12,11,FALSE)),"",VLOOKUP($I95,Aux_Lista!$A$2:$L$12,11,FALSE))</f>
        <v/>
      </c>
      <c r="Z95" s="2"/>
      <c r="AA95" s="80">
        <f>ArCondicionado!F110</f>
        <v>0</v>
      </c>
      <c r="AB95" s="249" t="str">
        <f>ArCondicionado!AK110</f>
        <v/>
      </c>
      <c r="AC95" s="81"/>
      <c r="AD95" s="81"/>
      <c r="AE95" s="2"/>
    </row>
    <row r="96" spans="1:31" s="30" customFormat="1" ht="20.100000000000001" customHeight="1" x14ac:dyDescent="0.25">
      <c r="A96" s="160">
        <v>81</v>
      </c>
      <c r="B96" s="72"/>
      <c r="C96" s="73"/>
      <c r="D96" s="73"/>
      <c r="E96" s="73"/>
      <c r="F96" s="72"/>
      <c r="G96" s="72"/>
      <c r="H96" s="72"/>
      <c r="I96" s="72"/>
      <c r="J96" s="144"/>
      <c r="K96" s="144"/>
      <c r="L96" s="73"/>
      <c r="M96" s="144"/>
      <c r="N96" s="389"/>
      <c r="O96" s="389"/>
      <c r="P96" s="72" t="s">
        <v>5879</v>
      </c>
      <c r="Q96" s="144"/>
      <c r="R96" s="144"/>
      <c r="S96" s="144"/>
      <c r="T96" s="73"/>
      <c r="U96" s="144"/>
      <c r="V96" s="73"/>
      <c r="W96" s="75" t="str">
        <f>IF(ISERROR(VLOOKUP($I96,Aux_Lista!$A$2:$L$12,9,FALSE)),"",VLOOKUP($I96,Aux_Lista!$A$2:$L$12,9,FALSE))</f>
        <v/>
      </c>
      <c r="X96" s="76" t="str">
        <f>IF(ISERROR(VLOOKUP($I96,Aux_Lista!$A$2:$L$12,10,FALSE)^-1),"",VLOOKUP($I96,Aux_Lista!$A$2:$L$12,10,FALSE)^-1)</f>
        <v/>
      </c>
      <c r="Y96" s="76" t="str">
        <f>IF(ISERROR(VLOOKUP($I96,Aux_Lista!$A$2:$L$12,11,FALSE)),"",VLOOKUP($I96,Aux_Lista!$A$2:$L$12,11,FALSE))</f>
        <v/>
      </c>
      <c r="Z96" s="2"/>
      <c r="AA96" s="80">
        <f>ArCondicionado!F111</f>
        <v>0</v>
      </c>
      <c r="AB96" s="249" t="str">
        <f>ArCondicionado!AK111</f>
        <v/>
      </c>
      <c r="AC96" s="81"/>
      <c r="AD96" s="81"/>
      <c r="AE96" s="2"/>
    </row>
    <row r="97" spans="1:31" s="30" customFormat="1" ht="20.100000000000001" customHeight="1" x14ac:dyDescent="0.25">
      <c r="A97" s="161">
        <v>82</v>
      </c>
      <c r="B97" s="72"/>
      <c r="C97" s="73"/>
      <c r="D97" s="73"/>
      <c r="E97" s="73"/>
      <c r="F97" s="72"/>
      <c r="G97" s="72"/>
      <c r="H97" s="72"/>
      <c r="I97" s="72"/>
      <c r="J97" s="144"/>
      <c r="K97" s="144"/>
      <c r="L97" s="73"/>
      <c r="M97" s="144"/>
      <c r="N97" s="389"/>
      <c r="O97" s="389"/>
      <c r="P97" s="72" t="s">
        <v>5879</v>
      </c>
      <c r="Q97" s="144"/>
      <c r="R97" s="144"/>
      <c r="S97" s="144"/>
      <c r="T97" s="73"/>
      <c r="U97" s="144"/>
      <c r="V97" s="73"/>
      <c r="W97" s="75" t="str">
        <f>IF(ISERROR(VLOOKUP($I97,Aux_Lista!$A$2:$L$12,9,FALSE)),"",VLOOKUP($I97,Aux_Lista!$A$2:$L$12,9,FALSE))</f>
        <v/>
      </c>
      <c r="X97" s="76" t="str">
        <f>IF(ISERROR(VLOOKUP($I97,Aux_Lista!$A$2:$L$12,10,FALSE)^-1),"",VLOOKUP($I97,Aux_Lista!$A$2:$L$12,10,FALSE)^-1)</f>
        <v/>
      </c>
      <c r="Y97" s="76" t="str">
        <f>IF(ISERROR(VLOOKUP($I97,Aux_Lista!$A$2:$L$12,11,FALSE)),"",VLOOKUP($I97,Aux_Lista!$A$2:$L$12,11,FALSE))</f>
        <v/>
      </c>
      <c r="Z97" s="2"/>
      <c r="AA97" s="80">
        <f>ArCondicionado!F112</f>
        <v>0</v>
      </c>
      <c r="AB97" s="249" t="str">
        <f>ArCondicionado!AK112</f>
        <v/>
      </c>
      <c r="AC97" s="81"/>
      <c r="AD97" s="81"/>
      <c r="AE97" s="2"/>
    </row>
    <row r="98" spans="1:31" s="30" customFormat="1" ht="20.100000000000001" customHeight="1" x14ac:dyDescent="0.25">
      <c r="A98" s="160">
        <v>83</v>
      </c>
      <c r="B98" s="72"/>
      <c r="C98" s="73"/>
      <c r="D98" s="73"/>
      <c r="E98" s="73"/>
      <c r="F98" s="72"/>
      <c r="G98" s="72"/>
      <c r="H98" s="72"/>
      <c r="I98" s="72"/>
      <c r="J98" s="144"/>
      <c r="K98" s="144"/>
      <c r="L98" s="73"/>
      <c r="M98" s="144"/>
      <c r="N98" s="389"/>
      <c r="O98" s="389"/>
      <c r="P98" s="72" t="s">
        <v>5879</v>
      </c>
      <c r="Q98" s="144"/>
      <c r="R98" s="144"/>
      <c r="S98" s="144"/>
      <c r="T98" s="73"/>
      <c r="U98" s="144"/>
      <c r="V98" s="73"/>
      <c r="W98" s="75" t="str">
        <f>IF(ISERROR(VLOOKUP($I98,Aux_Lista!$A$2:$L$12,9,FALSE)),"",VLOOKUP($I98,Aux_Lista!$A$2:$L$12,9,FALSE))</f>
        <v/>
      </c>
      <c r="X98" s="76" t="str">
        <f>IF(ISERROR(VLOOKUP($I98,Aux_Lista!$A$2:$L$12,10,FALSE)^-1),"",VLOOKUP($I98,Aux_Lista!$A$2:$L$12,10,FALSE)^-1)</f>
        <v/>
      </c>
      <c r="Y98" s="76" t="str">
        <f>IF(ISERROR(VLOOKUP($I98,Aux_Lista!$A$2:$L$12,11,FALSE)),"",VLOOKUP($I98,Aux_Lista!$A$2:$L$12,11,FALSE))</f>
        <v/>
      </c>
      <c r="Z98" s="2"/>
      <c r="AA98" s="80">
        <f>ArCondicionado!F113</f>
        <v>0</v>
      </c>
      <c r="AB98" s="249" t="str">
        <f>ArCondicionado!AK113</f>
        <v/>
      </c>
      <c r="AC98" s="81"/>
      <c r="AD98" s="81"/>
      <c r="AE98" s="2"/>
    </row>
    <row r="99" spans="1:31" s="30" customFormat="1" ht="20.100000000000001" customHeight="1" x14ac:dyDescent="0.25">
      <c r="A99" s="161">
        <v>84</v>
      </c>
      <c r="B99" s="72"/>
      <c r="C99" s="73"/>
      <c r="D99" s="73"/>
      <c r="E99" s="73"/>
      <c r="F99" s="72"/>
      <c r="G99" s="72"/>
      <c r="H99" s="72"/>
      <c r="I99" s="72"/>
      <c r="J99" s="144"/>
      <c r="K99" s="144"/>
      <c r="L99" s="73"/>
      <c r="M99" s="144"/>
      <c r="N99" s="389"/>
      <c r="O99" s="389"/>
      <c r="P99" s="72" t="s">
        <v>5879</v>
      </c>
      <c r="Q99" s="144"/>
      <c r="R99" s="144"/>
      <c r="S99" s="144"/>
      <c r="T99" s="73"/>
      <c r="U99" s="144"/>
      <c r="V99" s="73"/>
      <c r="W99" s="75" t="str">
        <f>IF(ISERROR(VLOOKUP($I99,Aux_Lista!$A$2:$L$12,9,FALSE)),"",VLOOKUP($I99,Aux_Lista!$A$2:$L$12,9,FALSE))</f>
        <v/>
      </c>
      <c r="X99" s="76" t="str">
        <f>IF(ISERROR(VLOOKUP($I99,Aux_Lista!$A$2:$L$12,10,FALSE)^-1),"",VLOOKUP($I99,Aux_Lista!$A$2:$L$12,10,FALSE)^-1)</f>
        <v/>
      </c>
      <c r="Y99" s="76" t="str">
        <f>IF(ISERROR(VLOOKUP($I99,Aux_Lista!$A$2:$L$12,11,FALSE)),"",VLOOKUP($I99,Aux_Lista!$A$2:$L$12,11,FALSE))</f>
        <v/>
      </c>
      <c r="Z99" s="2"/>
      <c r="AA99" s="80">
        <f>ArCondicionado!F114</f>
        <v>0</v>
      </c>
      <c r="AB99" s="249" t="str">
        <f>ArCondicionado!AK114</f>
        <v/>
      </c>
      <c r="AC99" s="81"/>
      <c r="AD99" s="81"/>
      <c r="AE99" s="2"/>
    </row>
    <row r="100" spans="1:31" s="30" customFormat="1" ht="20.100000000000001" customHeight="1" x14ac:dyDescent="0.25">
      <c r="A100" s="160">
        <v>85</v>
      </c>
      <c r="B100" s="72"/>
      <c r="C100" s="73"/>
      <c r="D100" s="73"/>
      <c r="E100" s="73"/>
      <c r="F100" s="72"/>
      <c r="G100" s="72"/>
      <c r="H100" s="72"/>
      <c r="I100" s="72"/>
      <c r="J100" s="144"/>
      <c r="K100" s="144"/>
      <c r="L100" s="73"/>
      <c r="M100" s="144"/>
      <c r="N100" s="389"/>
      <c r="O100" s="389"/>
      <c r="P100" s="72" t="s">
        <v>5879</v>
      </c>
      <c r="Q100" s="144"/>
      <c r="R100" s="144"/>
      <c r="S100" s="144"/>
      <c r="T100" s="73"/>
      <c r="U100" s="144"/>
      <c r="V100" s="73"/>
      <c r="W100" s="75" t="str">
        <f>IF(ISERROR(VLOOKUP($I100,Aux_Lista!$A$2:$L$12,9,FALSE)),"",VLOOKUP($I100,Aux_Lista!$A$2:$L$12,9,FALSE))</f>
        <v/>
      </c>
      <c r="X100" s="76" t="str">
        <f>IF(ISERROR(VLOOKUP($I100,Aux_Lista!$A$2:$L$12,10,FALSE)^-1),"",VLOOKUP($I100,Aux_Lista!$A$2:$L$12,10,FALSE)^-1)</f>
        <v/>
      </c>
      <c r="Y100" s="76" t="str">
        <f>IF(ISERROR(VLOOKUP($I100,Aux_Lista!$A$2:$L$12,11,FALSE)),"",VLOOKUP($I100,Aux_Lista!$A$2:$L$12,11,FALSE))</f>
        <v/>
      </c>
      <c r="Z100" s="2"/>
      <c r="AA100" s="80">
        <f>ArCondicionado!F115</f>
        <v>0</v>
      </c>
      <c r="AB100" s="249" t="str">
        <f>ArCondicionado!AK115</f>
        <v/>
      </c>
      <c r="AC100" s="81"/>
      <c r="AD100" s="81"/>
      <c r="AE100" s="2"/>
    </row>
    <row r="101" spans="1:31" s="30" customFormat="1" ht="20.100000000000001" customHeight="1" x14ac:dyDescent="0.25">
      <c r="A101" s="161">
        <v>86</v>
      </c>
      <c r="B101" s="72"/>
      <c r="C101" s="73"/>
      <c r="D101" s="73"/>
      <c r="E101" s="73"/>
      <c r="F101" s="72"/>
      <c r="G101" s="72"/>
      <c r="H101" s="72"/>
      <c r="I101" s="72"/>
      <c r="J101" s="144"/>
      <c r="K101" s="144"/>
      <c r="L101" s="73"/>
      <c r="M101" s="144"/>
      <c r="N101" s="389"/>
      <c r="O101" s="389"/>
      <c r="P101" s="72" t="s">
        <v>5879</v>
      </c>
      <c r="Q101" s="144"/>
      <c r="R101" s="144"/>
      <c r="S101" s="144"/>
      <c r="T101" s="73"/>
      <c r="U101" s="144"/>
      <c r="V101" s="73"/>
      <c r="W101" s="75" t="str">
        <f>IF(ISERROR(VLOOKUP($I101,Aux_Lista!$A$2:$L$12,9,FALSE)),"",VLOOKUP($I101,Aux_Lista!$A$2:$L$12,9,FALSE))</f>
        <v/>
      </c>
      <c r="X101" s="76" t="str">
        <f>IF(ISERROR(VLOOKUP($I101,Aux_Lista!$A$2:$L$12,10,FALSE)^-1),"",VLOOKUP($I101,Aux_Lista!$A$2:$L$12,10,FALSE)^-1)</f>
        <v/>
      </c>
      <c r="Y101" s="76" t="str">
        <f>IF(ISERROR(VLOOKUP($I101,Aux_Lista!$A$2:$L$12,11,FALSE)),"",VLOOKUP($I101,Aux_Lista!$A$2:$L$12,11,FALSE))</f>
        <v/>
      </c>
      <c r="Z101" s="2"/>
      <c r="AA101" s="80">
        <f>ArCondicionado!F116</f>
        <v>0</v>
      </c>
      <c r="AB101" s="249" t="str">
        <f>ArCondicionado!AK116</f>
        <v/>
      </c>
      <c r="AC101" s="81"/>
      <c r="AD101" s="81"/>
      <c r="AE101" s="2"/>
    </row>
    <row r="102" spans="1:31" s="30" customFormat="1" ht="20.100000000000001" customHeight="1" x14ac:dyDescent="0.25">
      <c r="A102" s="160">
        <v>87</v>
      </c>
      <c r="B102" s="72"/>
      <c r="C102" s="73"/>
      <c r="D102" s="73"/>
      <c r="E102" s="73"/>
      <c r="F102" s="72"/>
      <c r="G102" s="72"/>
      <c r="H102" s="72"/>
      <c r="I102" s="72"/>
      <c r="J102" s="144"/>
      <c r="K102" s="144"/>
      <c r="L102" s="73"/>
      <c r="M102" s="144"/>
      <c r="N102" s="389"/>
      <c r="O102" s="389"/>
      <c r="P102" s="72" t="s">
        <v>5879</v>
      </c>
      <c r="Q102" s="144"/>
      <c r="R102" s="144"/>
      <c r="S102" s="144"/>
      <c r="T102" s="73"/>
      <c r="U102" s="144"/>
      <c r="V102" s="73"/>
      <c r="W102" s="75" t="str">
        <f>IF(ISERROR(VLOOKUP($I102,Aux_Lista!$A$2:$L$12,9,FALSE)),"",VLOOKUP($I102,Aux_Lista!$A$2:$L$12,9,FALSE))</f>
        <v/>
      </c>
      <c r="X102" s="76" t="str">
        <f>IF(ISERROR(VLOOKUP($I102,Aux_Lista!$A$2:$L$12,10,FALSE)^-1),"",VLOOKUP($I102,Aux_Lista!$A$2:$L$12,10,FALSE)^-1)</f>
        <v/>
      </c>
      <c r="Y102" s="76" t="str">
        <f>IF(ISERROR(VLOOKUP($I102,Aux_Lista!$A$2:$L$12,11,FALSE)),"",VLOOKUP($I102,Aux_Lista!$A$2:$L$12,11,FALSE))</f>
        <v/>
      </c>
      <c r="Z102" s="2"/>
      <c r="AA102" s="80">
        <f>ArCondicionado!F117</f>
        <v>0</v>
      </c>
      <c r="AB102" s="249" t="str">
        <f>ArCondicionado!AK117</f>
        <v/>
      </c>
      <c r="AC102" s="81"/>
      <c r="AD102" s="81"/>
      <c r="AE102" s="2"/>
    </row>
    <row r="103" spans="1:31" s="30" customFormat="1" ht="20.100000000000001" customHeight="1" x14ac:dyDescent="0.25">
      <c r="A103" s="161">
        <v>88</v>
      </c>
      <c r="B103" s="72"/>
      <c r="C103" s="73"/>
      <c r="D103" s="73"/>
      <c r="E103" s="73"/>
      <c r="F103" s="72"/>
      <c r="G103" s="72"/>
      <c r="H103" s="72"/>
      <c r="I103" s="72"/>
      <c r="J103" s="144"/>
      <c r="K103" s="144"/>
      <c r="L103" s="73"/>
      <c r="M103" s="144"/>
      <c r="N103" s="389"/>
      <c r="O103" s="389"/>
      <c r="P103" s="72" t="s">
        <v>5879</v>
      </c>
      <c r="Q103" s="144"/>
      <c r="R103" s="144"/>
      <c r="S103" s="144"/>
      <c r="T103" s="73"/>
      <c r="U103" s="144"/>
      <c r="V103" s="73"/>
      <c r="W103" s="75" t="str">
        <f>IF(ISERROR(VLOOKUP($I103,Aux_Lista!$A$2:$L$12,9,FALSE)),"",VLOOKUP($I103,Aux_Lista!$A$2:$L$12,9,FALSE))</f>
        <v/>
      </c>
      <c r="X103" s="76" t="str">
        <f>IF(ISERROR(VLOOKUP($I103,Aux_Lista!$A$2:$L$12,10,FALSE)^-1),"",VLOOKUP($I103,Aux_Lista!$A$2:$L$12,10,FALSE)^-1)</f>
        <v/>
      </c>
      <c r="Y103" s="76" t="str">
        <f>IF(ISERROR(VLOOKUP($I103,Aux_Lista!$A$2:$L$12,11,FALSE)),"",VLOOKUP($I103,Aux_Lista!$A$2:$L$12,11,FALSE))</f>
        <v/>
      </c>
      <c r="Z103" s="2"/>
      <c r="AA103" s="80">
        <f>ArCondicionado!F118</f>
        <v>0</v>
      </c>
      <c r="AB103" s="249" t="str">
        <f>ArCondicionado!AK118</f>
        <v/>
      </c>
      <c r="AC103" s="81"/>
      <c r="AD103" s="81"/>
      <c r="AE103" s="2"/>
    </row>
    <row r="104" spans="1:31" s="30" customFormat="1" ht="20.100000000000001" customHeight="1" x14ac:dyDescent="0.25">
      <c r="A104" s="160">
        <v>89</v>
      </c>
      <c r="B104" s="72"/>
      <c r="C104" s="73"/>
      <c r="D104" s="73"/>
      <c r="E104" s="73"/>
      <c r="F104" s="72"/>
      <c r="G104" s="72"/>
      <c r="H104" s="72"/>
      <c r="I104" s="72"/>
      <c r="J104" s="144"/>
      <c r="K104" s="144"/>
      <c r="L104" s="73"/>
      <c r="M104" s="144"/>
      <c r="N104" s="389"/>
      <c r="O104" s="389"/>
      <c r="P104" s="72" t="s">
        <v>5879</v>
      </c>
      <c r="Q104" s="144"/>
      <c r="R104" s="144"/>
      <c r="S104" s="144"/>
      <c r="T104" s="73"/>
      <c r="U104" s="144"/>
      <c r="V104" s="73"/>
      <c r="W104" s="75" t="str">
        <f>IF(ISERROR(VLOOKUP($I104,Aux_Lista!$A$2:$L$12,9,FALSE)),"",VLOOKUP($I104,Aux_Lista!$A$2:$L$12,9,FALSE))</f>
        <v/>
      </c>
      <c r="X104" s="76" t="str">
        <f>IF(ISERROR(VLOOKUP($I104,Aux_Lista!$A$2:$L$12,10,FALSE)^-1),"",VLOOKUP($I104,Aux_Lista!$A$2:$L$12,10,FALSE)^-1)</f>
        <v/>
      </c>
      <c r="Y104" s="76" t="str">
        <f>IF(ISERROR(VLOOKUP($I104,Aux_Lista!$A$2:$L$12,11,FALSE)),"",VLOOKUP($I104,Aux_Lista!$A$2:$L$12,11,FALSE))</f>
        <v/>
      </c>
      <c r="Z104" s="2"/>
      <c r="AA104" s="80">
        <f>ArCondicionado!F119</f>
        <v>0</v>
      </c>
      <c r="AB104" s="249" t="str">
        <f>ArCondicionado!AK119</f>
        <v/>
      </c>
      <c r="AC104" s="81"/>
      <c r="AD104" s="81"/>
      <c r="AE104" s="2"/>
    </row>
    <row r="105" spans="1:31" s="30" customFormat="1" ht="20.100000000000001" customHeight="1" x14ac:dyDescent="0.25">
      <c r="A105" s="161">
        <v>90</v>
      </c>
      <c r="B105" s="72"/>
      <c r="C105" s="73"/>
      <c r="D105" s="73"/>
      <c r="E105" s="73"/>
      <c r="F105" s="72"/>
      <c r="G105" s="72"/>
      <c r="H105" s="72"/>
      <c r="I105" s="72"/>
      <c r="J105" s="144"/>
      <c r="K105" s="144"/>
      <c r="L105" s="73"/>
      <c r="M105" s="144"/>
      <c r="N105" s="389"/>
      <c r="O105" s="389"/>
      <c r="P105" s="72" t="s">
        <v>5879</v>
      </c>
      <c r="Q105" s="144"/>
      <c r="R105" s="144"/>
      <c r="S105" s="144"/>
      <c r="T105" s="73"/>
      <c r="U105" s="144"/>
      <c r="V105" s="73"/>
      <c r="W105" s="75" t="str">
        <f>IF(ISERROR(VLOOKUP($I105,Aux_Lista!$A$2:$L$12,9,FALSE)),"",VLOOKUP($I105,Aux_Lista!$A$2:$L$12,9,FALSE))</f>
        <v/>
      </c>
      <c r="X105" s="76" t="str">
        <f>IF(ISERROR(VLOOKUP($I105,Aux_Lista!$A$2:$L$12,10,FALSE)^-1),"",VLOOKUP($I105,Aux_Lista!$A$2:$L$12,10,FALSE)^-1)</f>
        <v/>
      </c>
      <c r="Y105" s="76" t="str">
        <f>IF(ISERROR(VLOOKUP($I105,Aux_Lista!$A$2:$L$12,11,FALSE)),"",VLOOKUP($I105,Aux_Lista!$A$2:$L$12,11,FALSE))</f>
        <v/>
      </c>
      <c r="Z105" s="2"/>
      <c r="AA105" s="80">
        <f>ArCondicionado!F120</f>
        <v>0</v>
      </c>
      <c r="AB105" s="249" t="str">
        <f>ArCondicionado!AK120</f>
        <v/>
      </c>
      <c r="AC105" s="81"/>
      <c r="AD105" s="81"/>
      <c r="AE105" s="2"/>
    </row>
    <row r="106" spans="1:31" s="30" customFormat="1" ht="20.100000000000001" customHeight="1" x14ac:dyDescent="0.25">
      <c r="A106" s="160">
        <v>91</v>
      </c>
      <c r="B106" s="72"/>
      <c r="C106" s="73"/>
      <c r="D106" s="73"/>
      <c r="E106" s="73"/>
      <c r="F106" s="72"/>
      <c r="G106" s="72"/>
      <c r="H106" s="72"/>
      <c r="I106" s="72"/>
      <c r="J106" s="144"/>
      <c r="K106" s="144"/>
      <c r="L106" s="73"/>
      <c r="M106" s="144"/>
      <c r="N106" s="389"/>
      <c r="O106" s="389"/>
      <c r="P106" s="72" t="s">
        <v>5879</v>
      </c>
      <c r="Q106" s="144"/>
      <c r="R106" s="144"/>
      <c r="S106" s="144"/>
      <c r="T106" s="73"/>
      <c r="U106" s="144"/>
      <c r="V106" s="73"/>
      <c r="W106" s="75" t="str">
        <f>IF(ISERROR(VLOOKUP($I106,Aux_Lista!$A$2:$L$12,9,FALSE)),"",VLOOKUP($I106,Aux_Lista!$A$2:$L$12,9,FALSE))</f>
        <v/>
      </c>
      <c r="X106" s="76" t="str">
        <f>IF(ISERROR(VLOOKUP($I106,Aux_Lista!$A$2:$L$12,10,FALSE)^-1),"",VLOOKUP($I106,Aux_Lista!$A$2:$L$12,10,FALSE)^-1)</f>
        <v/>
      </c>
      <c r="Y106" s="76" t="str">
        <f>IF(ISERROR(VLOOKUP($I106,Aux_Lista!$A$2:$L$12,11,FALSE)),"",VLOOKUP($I106,Aux_Lista!$A$2:$L$12,11,FALSE))</f>
        <v/>
      </c>
      <c r="Z106" s="2"/>
      <c r="AA106" s="80">
        <f>ArCondicionado!F121</f>
        <v>0</v>
      </c>
      <c r="AB106" s="249" t="str">
        <f>ArCondicionado!AK121</f>
        <v/>
      </c>
      <c r="AC106" s="81"/>
      <c r="AD106" s="81"/>
      <c r="AE106" s="2"/>
    </row>
    <row r="107" spans="1:31" s="30" customFormat="1" ht="20.100000000000001" customHeight="1" x14ac:dyDescent="0.25">
      <c r="A107" s="161">
        <v>92</v>
      </c>
      <c r="B107" s="72"/>
      <c r="C107" s="73"/>
      <c r="D107" s="73"/>
      <c r="E107" s="73"/>
      <c r="F107" s="72"/>
      <c r="G107" s="72"/>
      <c r="H107" s="72"/>
      <c r="I107" s="72"/>
      <c r="J107" s="144"/>
      <c r="K107" s="144"/>
      <c r="L107" s="73"/>
      <c r="M107" s="144"/>
      <c r="N107" s="389"/>
      <c r="O107" s="389"/>
      <c r="P107" s="72" t="s">
        <v>5879</v>
      </c>
      <c r="Q107" s="144"/>
      <c r="R107" s="144"/>
      <c r="S107" s="144"/>
      <c r="T107" s="73"/>
      <c r="U107" s="144"/>
      <c r="V107" s="73"/>
      <c r="W107" s="75" t="str">
        <f>IF(ISERROR(VLOOKUP($I107,Aux_Lista!$A$2:$L$12,9,FALSE)),"",VLOOKUP($I107,Aux_Lista!$A$2:$L$12,9,FALSE))</f>
        <v/>
      </c>
      <c r="X107" s="76" t="str">
        <f>IF(ISERROR(VLOOKUP($I107,Aux_Lista!$A$2:$L$12,10,FALSE)^-1),"",VLOOKUP($I107,Aux_Lista!$A$2:$L$12,10,FALSE)^-1)</f>
        <v/>
      </c>
      <c r="Y107" s="76" t="str">
        <f>IF(ISERROR(VLOOKUP($I107,Aux_Lista!$A$2:$L$12,11,FALSE)),"",VLOOKUP($I107,Aux_Lista!$A$2:$L$12,11,FALSE))</f>
        <v/>
      </c>
      <c r="Z107" s="2"/>
      <c r="AA107" s="80">
        <f>ArCondicionado!F122</f>
        <v>0</v>
      </c>
      <c r="AB107" s="249" t="str">
        <f>ArCondicionado!AK122</f>
        <v/>
      </c>
      <c r="AC107" s="81"/>
      <c r="AD107" s="81"/>
      <c r="AE107" s="2"/>
    </row>
    <row r="108" spans="1:31" s="30" customFormat="1" ht="20.100000000000001" customHeight="1" x14ac:dyDescent="0.25">
      <c r="A108" s="160">
        <v>93</v>
      </c>
      <c r="B108" s="72"/>
      <c r="C108" s="73"/>
      <c r="D108" s="73"/>
      <c r="E108" s="73"/>
      <c r="F108" s="72"/>
      <c r="G108" s="72"/>
      <c r="H108" s="72"/>
      <c r="I108" s="72"/>
      <c r="J108" s="144"/>
      <c r="K108" s="144"/>
      <c r="L108" s="73"/>
      <c r="M108" s="144"/>
      <c r="N108" s="389"/>
      <c r="O108" s="389"/>
      <c r="P108" s="72" t="s">
        <v>5879</v>
      </c>
      <c r="Q108" s="144"/>
      <c r="R108" s="144"/>
      <c r="S108" s="144"/>
      <c r="T108" s="73"/>
      <c r="U108" s="144"/>
      <c r="V108" s="73"/>
      <c r="W108" s="75" t="str">
        <f>IF(ISERROR(VLOOKUP($I108,Aux_Lista!$A$2:$L$12,9,FALSE)),"",VLOOKUP($I108,Aux_Lista!$A$2:$L$12,9,FALSE))</f>
        <v/>
      </c>
      <c r="X108" s="76" t="str">
        <f>IF(ISERROR(VLOOKUP($I108,Aux_Lista!$A$2:$L$12,10,FALSE)^-1),"",VLOOKUP($I108,Aux_Lista!$A$2:$L$12,10,FALSE)^-1)</f>
        <v/>
      </c>
      <c r="Y108" s="76" t="str">
        <f>IF(ISERROR(VLOOKUP($I108,Aux_Lista!$A$2:$L$12,11,FALSE)),"",VLOOKUP($I108,Aux_Lista!$A$2:$L$12,11,FALSE))</f>
        <v/>
      </c>
      <c r="Z108" s="2"/>
      <c r="AA108" s="80">
        <f>ArCondicionado!F123</f>
        <v>0</v>
      </c>
      <c r="AB108" s="249" t="str">
        <f>ArCondicionado!AK123</f>
        <v/>
      </c>
      <c r="AC108" s="81"/>
      <c r="AD108" s="81"/>
      <c r="AE108" s="2"/>
    </row>
    <row r="109" spans="1:31" s="30" customFormat="1" ht="20.100000000000001" customHeight="1" x14ac:dyDescent="0.25">
      <c r="A109" s="161">
        <v>94</v>
      </c>
      <c r="B109" s="72"/>
      <c r="C109" s="73"/>
      <c r="D109" s="73"/>
      <c r="E109" s="73"/>
      <c r="F109" s="72"/>
      <c r="G109" s="72"/>
      <c r="H109" s="72"/>
      <c r="I109" s="72"/>
      <c r="J109" s="144"/>
      <c r="K109" s="144"/>
      <c r="L109" s="73"/>
      <c r="M109" s="144"/>
      <c r="N109" s="389"/>
      <c r="O109" s="389"/>
      <c r="P109" s="72" t="s">
        <v>5879</v>
      </c>
      <c r="Q109" s="144"/>
      <c r="R109" s="144"/>
      <c r="S109" s="144"/>
      <c r="T109" s="73"/>
      <c r="U109" s="144"/>
      <c r="V109" s="73"/>
      <c r="W109" s="75" t="str">
        <f>IF(ISERROR(VLOOKUP($I109,Aux_Lista!$A$2:$L$12,9,FALSE)),"",VLOOKUP($I109,Aux_Lista!$A$2:$L$12,9,FALSE))</f>
        <v/>
      </c>
      <c r="X109" s="76" t="str">
        <f>IF(ISERROR(VLOOKUP($I109,Aux_Lista!$A$2:$L$12,10,FALSE)^-1),"",VLOOKUP($I109,Aux_Lista!$A$2:$L$12,10,FALSE)^-1)</f>
        <v/>
      </c>
      <c r="Y109" s="76" t="str">
        <f>IF(ISERROR(VLOOKUP($I109,Aux_Lista!$A$2:$L$12,11,FALSE)),"",VLOOKUP($I109,Aux_Lista!$A$2:$L$12,11,FALSE))</f>
        <v/>
      </c>
      <c r="Z109" s="2"/>
      <c r="AA109" s="80">
        <f>ArCondicionado!F124</f>
        <v>0</v>
      </c>
      <c r="AB109" s="249" t="str">
        <f>ArCondicionado!AK124</f>
        <v/>
      </c>
      <c r="AC109" s="81"/>
      <c r="AD109" s="81"/>
      <c r="AE109" s="2"/>
    </row>
    <row r="110" spans="1:31" s="30" customFormat="1" ht="20.100000000000001" customHeight="1" x14ac:dyDescent="0.25">
      <c r="A110" s="160">
        <v>95</v>
      </c>
      <c r="B110" s="72"/>
      <c r="C110" s="73"/>
      <c r="D110" s="73"/>
      <c r="E110" s="73"/>
      <c r="F110" s="72"/>
      <c r="G110" s="72"/>
      <c r="H110" s="72"/>
      <c r="I110" s="72"/>
      <c r="J110" s="144"/>
      <c r="K110" s="144"/>
      <c r="L110" s="73"/>
      <c r="M110" s="144"/>
      <c r="N110" s="389"/>
      <c r="O110" s="389"/>
      <c r="P110" s="72" t="s">
        <v>5879</v>
      </c>
      <c r="Q110" s="144"/>
      <c r="R110" s="144"/>
      <c r="S110" s="144"/>
      <c r="T110" s="73"/>
      <c r="U110" s="144"/>
      <c r="V110" s="73"/>
      <c r="W110" s="75" t="str">
        <f>IF(ISERROR(VLOOKUP($I110,Aux_Lista!$A$2:$L$12,9,FALSE)),"",VLOOKUP($I110,Aux_Lista!$A$2:$L$12,9,FALSE))</f>
        <v/>
      </c>
      <c r="X110" s="76" t="str">
        <f>IF(ISERROR(VLOOKUP($I110,Aux_Lista!$A$2:$L$12,10,FALSE)^-1),"",VLOOKUP($I110,Aux_Lista!$A$2:$L$12,10,FALSE)^-1)</f>
        <v/>
      </c>
      <c r="Y110" s="76" t="str">
        <f>IF(ISERROR(VLOOKUP($I110,Aux_Lista!$A$2:$L$12,11,FALSE)),"",VLOOKUP($I110,Aux_Lista!$A$2:$L$12,11,FALSE))</f>
        <v/>
      </c>
      <c r="Z110" s="2"/>
      <c r="AA110" s="80">
        <f>ArCondicionado!F125</f>
        <v>0</v>
      </c>
      <c r="AB110" s="249" t="str">
        <f>ArCondicionado!AK125</f>
        <v/>
      </c>
      <c r="AC110" s="81"/>
      <c r="AD110" s="81"/>
      <c r="AE110" s="2"/>
    </row>
    <row r="111" spans="1:31" s="30" customFormat="1" ht="20.100000000000001" customHeight="1" x14ac:dyDescent="0.25">
      <c r="A111" s="161">
        <v>96</v>
      </c>
      <c r="B111" s="72"/>
      <c r="C111" s="73"/>
      <c r="D111" s="73"/>
      <c r="E111" s="73"/>
      <c r="F111" s="72"/>
      <c r="G111" s="72"/>
      <c r="H111" s="72"/>
      <c r="I111" s="72"/>
      <c r="J111" s="144"/>
      <c r="K111" s="144"/>
      <c r="L111" s="73"/>
      <c r="M111" s="144"/>
      <c r="N111" s="389"/>
      <c r="O111" s="389"/>
      <c r="P111" s="72" t="s">
        <v>5879</v>
      </c>
      <c r="Q111" s="144"/>
      <c r="R111" s="144"/>
      <c r="S111" s="144"/>
      <c r="T111" s="73"/>
      <c r="U111" s="144"/>
      <c r="V111" s="73"/>
      <c r="W111" s="75" t="str">
        <f>IF(ISERROR(VLOOKUP($I111,Aux_Lista!$A$2:$L$12,9,FALSE)),"",VLOOKUP($I111,Aux_Lista!$A$2:$L$12,9,FALSE))</f>
        <v/>
      </c>
      <c r="X111" s="76" t="str">
        <f>IF(ISERROR(VLOOKUP($I111,Aux_Lista!$A$2:$L$12,10,FALSE)^-1),"",VLOOKUP($I111,Aux_Lista!$A$2:$L$12,10,FALSE)^-1)</f>
        <v/>
      </c>
      <c r="Y111" s="76" t="str">
        <f>IF(ISERROR(VLOOKUP($I111,Aux_Lista!$A$2:$L$12,11,FALSE)),"",VLOOKUP($I111,Aux_Lista!$A$2:$L$12,11,FALSE))</f>
        <v/>
      </c>
      <c r="Z111" s="2"/>
      <c r="AA111" s="80">
        <f>ArCondicionado!F126</f>
        <v>0</v>
      </c>
      <c r="AB111" s="249" t="str">
        <f>ArCondicionado!AK126</f>
        <v/>
      </c>
      <c r="AC111" s="81"/>
      <c r="AD111" s="81"/>
      <c r="AE111" s="2"/>
    </row>
    <row r="112" spans="1:31" s="30" customFormat="1" ht="20.100000000000001" customHeight="1" x14ac:dyDescent="0.25">
      <c r="A112" s="160">
        <v>97</v>
      </c>
      <c r="B112" s="72"/>
      <c r="C112" s="73"/>
      <c r="D112" s="73"/>
      <c r="E112" s="73"/>
      <c r="F112" s="72"/>
      <c r="G112" s="72"/>
      <c r="H112" s="72"/>
      <c r="I112" s="72"/>
      <c r="J112" s="144"/>
      <c r="K112" s="144"/>
      <c r="L112" s="73"/>
      <c r="M112" s="144"/>
      <c r="N112" s="389"/>
      <c r="O112" s="389"/>
      <c r="P112" s="72" t="s">
        <v>5879</v>
      </c>
      <c r="Q112" s="144"/>
      <c r="R112" s="144"/>
      <c r="S112" s="144"/>
      <c r="T112" s="73"/>
      <c r="U112" s="144"/>
      <c r="V112" s="73"/>
      <c r="W112" s="75" t="str">
        <f>IF(ISERROR(VLOOKUP($I112,Aux_Lista!$A$2:$L$12,9,FALSE)),"",VLOOKUP($I112,Aux_Lista!$A$2:$L$12,9,FALSE))</f>
        <v/>
      </c>
      <c r="X112" s="76" t="str">
        <f>IF(ISERROR(VLOOKUP($I112,Aux_Lista!$A$2:$L$12,10,FALSE)^-1),"",VLOOKUP($I112,Aux_Lista!$A$2:$L$12,10,FALSE)^-1)</f>
        <v/>
      </c>
      <c r="Y112" s="76" t="str">
        <f>IF(ISERROR(VLOOKUP($I112,Aux_Lista!$A$2:$L$12,11,FALSE)),"",VLOOKUP($I112,Aux_Lista!$A$2:$L$12,11,FALSE))</f>
        <v/>
      </c>
      <c r="Z112" s="2"/>
      <c r="AA112" s="80">
        <f>ArCondicionado!F127</f>
        <v>0</v>
      </c>
      <c r="AB112" s="249" t="str">
        <f>ArCondicionado!AK127</f>
        <v/>
      </c>
      <c r="AC112" s="81"/>
      <c r="AD112" s="81"/>
      <c r="AE112" s="2"/>
    </row>
    <row r="113" spans="1:31" s="30" customFormat="1" ht="20.100000000000001" customHeight="1" x14ac:dyDescent="0.25">
      <c r="A113" s="161">
        <v>98</v>
      </c>
      <c r="B113" s="72"/>
      <c r="C113" s="73"/>
      <c r="D113" s="73"/>
      <c r="E113" s="73"/>
      <c r="F113" s="72"/>
      <c r="G113" s="72"/>
      <c r="H113" s="72"/>
      <c r="I113" s="72"/>
      <c r="J113" s="144"/>
      <c r="K113" s="144"/>
      <c r="L113" s="73"/>
      <c r="M113" s="144"/>
      <c r="N113" s="389"/>
      <c r="O113" s="389"/>
      <c r="P113" s="72" t="s">
        <v>5879</v>
      </c>
      <c r="Q113" s="144"/>
      <c r="R113" s="144"/>
      <c r="S113" s="144"/>
      <c r="T113" s="73"/>
      <c r="U113" s="144"/>
      <c r="V113" s="73"/>
      <c r="W113" s="75" t="str">
        <f>IF(ISERROR(VLOOKUP($I113,Aux_Lista!$A$2:$L$12,9,FALSE)),"",VLOOKUP($I113,Aux_Lista!$A$2:$L$12,9,FALSE))</f>
        <v/>
      </c>
      <c r="X113" s="76" t="str">
        <f>IF(ISERROR(VLOOKUP($I113,Aux_Lista!$A$2:$L$12,10,FALSE)^-1),"",VLOOKUP($I113,Aux_Lista!$A$2:$L$12,10,FALSE)^-1)</f>
        <v/>
      </c>
      <c r="Y113" s="76" t="str">
        <f>IF(ISERROR(VLOOKUP($I113,Aux_Lista!$A$2:$L$12,11,FALSE)),"",VLOOKUP($I113,Aux_Lista!$A$2:$L$12,11,FALSE))</f>
        <v/>
      </c>
      <c r="Z113" s="2"/>
      <c r="AA113" s="80">
        <f>ArCondicionado!F128</f>
        <v>0</v>
      </c>
      <c r="AB113" s="249" t="str">
        <f>ArCondicionado!AK128</f>
        <v/>
      </c>
      <c r="AC113" s="81"/>
      <c r="AD113" s="81"/>
      <c r="AE113" s="2"/>
    </row>
    <row r="114" spans="1:31" s="30" customFormat="1" ht="20.100000000000001" customHeight="1" x14ac:dyDescent="0.25">
      <c r="A114" s="160">
        <v>99</v>
      </c>
      <c r="B114" s="72"/>
      <c r="C114" s="73"/>
      <c r="D114" s="73"/>
      <c r="E114" s="73"/>
      <c r="F114" s="72"/>
      <c r="G114" s="72"/>
      <c r="H114" s="72"/>
      <c r="I114" s="72"/>
      <c r="J114" s="144"/>
      <c r="K114" s="144"/>
      <c r="L114" s="73"/>
      <c r="M114" s="144"/>
      <c r="N114" s="389"/>
      <c r="O114" s="389"/>
      <c r="P114" s="72" t="s">
        <v>5879</v>
      </c>
      <c r="Q114" s="144"/>
      <c r="R114" s="144"/>
      <c r="S114" s="144"/>
      <c r="T114" s="73"/>
      <c r="U114" s="144"/>
      <c r="V114" s="73"/>
      <c r="W114" s="75" t="str">
        <f>IF(ISERROR(VLOOKUP($I114,Aux_Lista!$A$2:$L$12,9,FALSE)),"",VLOOKUP($I114,Aux_Lista!$A$2:$L$12,9,FALSE))</f>
        <v/>
      </c>
      <c r="X114" s="76" t="str">
        <f>IF(ISERROR(VLOOKUP($I114,Aux_Lista!$A$2:$L$12,10,FALSE)^-1),"",VLOOKUP($I114,Aux_Lista!$A$2:$L$12,10,FALSE)^-1)</f>
        <v/>
      </c>
      <c r="Y114" s="76" t="str">
        <f>IF(ISERROR(VLOOKUP($I114,Aux_Lista!$A$2:$L$12,11,FALSE)),"",VLOOKUP($I114,Aux_Lista!$A$2:$L$12,11,FALSE))</f>
        <v/>
      </c>
      <c r="Z114" s="2"/>
      <c r="AA114" s="80">
        <f>ArCondicionado!F129</f>
        <v>0</v>
      </c>
      <c r="AB114" s="249" t="str">
        <f>ArCondicionado!AK129</f>
        <v/>
      </c>
      <c r="AC114" s="81"/>
      <c r="AD114" s="81"/>
      <c r="AE114" s="2"/>
    </row>
    <row r="115" spans="1:31" s="30" customFormat="1" ht="20.100000000000001" customHeight="1" x14ac:dyDescent="0.25">
      <c r="A115" s="161">
        <v>100</v>
      </c>
      <c r="B115" s="72"/>
      <c r="C115" s="73"/>
      <c r="D115" s="73"/>
      <c r="E115" s="73"/>
      <c r="F115" s="72"/>
      <c r="G115" s="72"/>
      <c r="H115" s="72"/>
      <c r="I115" s="72"/>
      <c r="J115" s="144"/>
      <c r="K115" s="144"/>
      <c r="L115" s="73"/>
      <c r="M115" s="144"/>
      <c r="N115" s="389"/>
      <c r="O115" s="389"/>
      <c r="P115" s="72" t="s">
        <v>5879</v>
      </c>
      <c r="Q115" s="144"/>
      <c r="R115" s="144"/>
      <c r="S115" s="144"/>
      <c r="T115" s="73"/>
      <c r="U115" s="144"/>
      <c r="V115" s="73"/>
      <c r="W115" s="75" t="str">
        <f>IF(ISERROR(VLOOKUP($I115,Aux_Lista!$A$2:$L$12,9,FALSE)),"",VLOOKUP($I115,Aux_Lista!$A$2:$L$12,9,FALSE))</f>
        <v/>
      </c>
      <c r="X115" s="76" t="str">
        <f>IF(ISERROR(VLOOKUP($I115,Aux_Lista!$A$2:$L$12,10,FALSE)^-1),"",VLOOKUP($I115,Aux_Lista!$A$2:$L$12,10,FALSE)^-1)</f>
        <v/>
      </c>
      <c r="Y115" s="76" t="str">
        <f>IF(ISERROR(VLOOKUP($I115,Aux_Lista!$A$2:$L$12,11,FALSE)),"",VLOOKUP($I115,Aux_Lista!$A$2:$L$12,11,FALSE))</f>
        <v/>
      </c>
      <c r="Z115" s="2"/>
      <c r="AA115" s="80">
        <f>ArCondicionado!F130</f>
        <v>0</v>
      </c>
      <c r="AB115" s="249" t="str">
        <f>ArCondicionado!AK130</f>
        <v/>
      </c>
      <c r="AC115" s="81"/>
      <c r="AD115" s="81"/>
      <c r="AE115" s="2"/>
    </row>
  </sheetData>
  <protectedRanges>
    <protectedRange sqref="C9" name="MetodoEnvoltoria"/>
    <protectedRange sqref="B16:W115" name="envoltoria"/>
    <protectedRange sqref="AC16:AD115" name="cargatermica"/>
  </protectedRanges>
  <mergeCells count="3">
    <mergeCell ref="AD10:AD11"/>
    <mergeCell ref="V14:Y14"/>
    <mergeCell ref="E7:H11"/>
  </mergeCells>
  <phoneticPr fontId="34" type="noConversion"/>
  <conditionalFormatting sqref="AB16:AB115">
    <cfRule type="cellIs" dxfId="87" priority="25" operator="equal">
      <formula>"Não se aplica"</formula>
    </cfRule>
    <cfRule type="cellIs" dxfId="86" priority="26" operator="equal">
      <formula>"Não"</formula>
    </cfRule>
    <cfRule type="cellIs" dxfId="85" priority="27" operator="equal">
      <formula>"Sim"</formula>
    </cfRule>
  </conditionalFormatting>
  <conditionalFormatting sqref="P16">
    <cfRule type="expression" dxfId="84" priority="70">
      <formula>$F16="Interna"</formula>
    </cfRule>
  </conditionalFormatting>
  <conditionalFormatting sqref="O16:O20">
    <cfRule type="expression" dxfId="83" priority="9">
      <formula>$F16="Interna"</formula>
    </cfRule>
  </conditionalFormatting>
  <conditionalFormatting sqref="N16:N20 N21:O115">
    <cfRule type="expression" dxfId="82" priority="7">
      <formula>$F16="Interna"</formula>
    </cfRule>
  </conditionalFormatting>
  <conditionalFormatting sqref="Q16:Q115">
    <cfRule type="expression" dxfId="81" priority="5">
      <formula>$F16="Interna"</formula>
    </cfRule>
  </conditionalFormatting>
  <conditionalFormatting sqref="R16:R115">
    <cfRule type="expression" dxfId="80" priority="4">
      <formula>$F16="Interna"</formula>
    </cfRule>
  </conditionalFormatting>
  <conditionalFormatting sqref="S16:S115">
    <cfRule type="expression" dxfId="79" priority="3">
      <formula>$F16="Interna"</formula>
    </cfRule>
  </conditionalFormatting>
  <conditionalFormatting sqref="J16:J115">
    <cfRule type="expression" dxfId="78" priority="1">
      <formula>$F16="Interna"</formula>
    </cfRule>
  </conditionalFormatting>
  <dataValidations count="7">
    <dataValidation type="custom" allowBlank="1" showInputMessage="1" showErrorMessage="1" sqref="E20 E25:E115" xr:uid="{1415FA02-1149-4BBA-AC46-0E3BB8350FFF}">
      <formula1>AND(E20&gt;=2.6,E20&lt;=6.6)</formula1>
    </dataValidation>
    <dataValidation type="custom" allowBlank="1" showInputMessage="1" showErrorMessage="1" errorTitle="FORA DO INTERVALO!" error="VERIFIQUE O INTERVALO ACEITÁVEL!" promptTitle="VERIFIQUE O INTERVALO ACEITÁVEL!" sqref="E16:E19 E21:E24" xr:uid="{FFEF9292-319B-4AE0-919A-F90018363376}">
      <formula1>AND(E16&gt;=2.6,E16&lt;=6.6)</formula1>
    </dataValidation>
    <dataValidation type="custom" allowBlank="1" showInputMessage="1" showErrorMessage="1" errorTitle="FORA DO INTERVALO!" error="VERIFIQUE O INTERVALO ACEITÁVEL!" promptTitle="VERIFIQUE O INTERVALO ACEITÁVEL!" sqref="Q16:T115 O16:O115" xr:uid="{CA30FC85-452C-49D0-ACF4-596FF2CDE61B}">
      <formula1>AND(O16&gt;=0,O16&lt;=90)</formula1>
    </dataValidation>
    <dataValidation type="custom" allowBlank="1" showInputMessage="1" showErrorMessage="1" errorTitle="FORA DO INTERVALO!" error="VERIFIQUE O INTERVALO ACEITÁVEL!" promptTitle="VERIFIQUE O INTERVALO ACEITÁVEL!" sqref="V16:V115" xr:uid="{B7532E24-54D6-4D1D-B66E-1BA92DCB2A61}">
      <formula1>AND(V16&gt;=4,V16&lt;=40)</formula1>
    </dataValidation>
    <dataValidation type="custom" allowBlank="1" showInputMessage="1" showErrorMessage="1" errorTitle="FORA DO INTERVALO!" error="VERIFIQUE O INTERVALO ACEITÁVEL!" sqref="W16:W115" xr:uid="{990F065E-2D5F-4D0B-AC57-A6FB4750D309}">
      <formula1>AND(W16&gt;=4,W16&lt;=40)</formula1>
    </dataValidation>
    <dataValidation type="list" allowBlank="1" showInputMessage="1" showErrorMessage="1" sqref="C9" xr:uid="{30C4D855-10F7-4B25-A3AB-7511AA8678C6}">
      <formula1>"Método Simplificado,Método de Simulação"</formula1>
    </dataValidation>
    <dataValidation type="list" allowBlank="1" showInputMessage="1" showErrorMessage="1" sqref="P16:P115" xr:uid="{26472DA4-255C-4DF0-9EC1-75DB4F8770B9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EBE3AEAB-9A27-4A84-BE7D-3A57E9CE7EF4}">
          <x14:formula1>
            <xm:f>Aux_Lista!$C$2:$C$3</xm:f>
          </x14:formula1>
          <xm:sqref>F16:F115</xm:sqref>
        </x14:dataValidation>
        <x14:dataValidation type="list" allowBlank="1" showInputMessage="1" showErrorMessage="1" xr:uid="{9F1D4969-8155-4B50-9815-EE71E17DE6A2}">
          <x14:formula1>
            <xm:f>Componentes!$B$12:$B$61</xm:f>
          </x14:formula1>
          <xm:sqref>J16:J115</xm:sqref>
        </x14:dataValidation>
        <x14:dataValidation type="list" allowBlank="1" showInputMessage="1" showErrorMessage="1" xr:uid="{F7DBFC5D-D028-4149-8C90-4B4EBA7FB615}">
          <x14:formula1>
            <xm:f>Componentes!$K$12:$K$61</xm:f>
          </x14:formula1>
          <xm:sqref>N21:N115 L16:L115</xm:sqref>
        </x14:dataValidation>
        <x14:dataValidation type="list" allowBlank="1" showInputMessage="1" showErrorMessage="1" xr:uid="{8A249324-10DA-44B9-B9C6-7FA652EB0466}">
          <x14:formula1>
            <xm:f>Componentes!$T$12:$T$61</xm:f>
          </x14:formula1>
          <xm:sqref>N16:N115</xm:sqref>
        </x14:dataValidation>
        <x14:dataValidation type="list" allowBlank="1" showInputMessage="1" showErrorMessage="1" xr:uid="{3FC1D75F-A364-4C3F-A00C-BFFCE582540D}">
          <x14:formula1>
            <xm:f>Aux_Lista!$E$2:$E$10</xm:f>
          </x14:formula1>
          <xm:sqref>G16:G115</xm:sqref>
        </x14:dataValidation>
        <x14:dataValidation type="list" allowBlank="1" showInputMessage="1" showErrorMessage="1" xr:uid="{53761E5D-CB1E-4ADF-AA63-41A28CCC7C39}">
          <x14:formula1>
            <xm:f>Aux_Lista!$A$2:$A$11</xm:f>
          </x14:formula1>
          <xm:sqref>I16:I115</xm:sqref>
        </x14:dataValidation>
        <x14:dataValidation type="list" allowBlank="1" showInputMessage="1" showErrorMessage="1" xr:uid="{F28EE274-F0F3-4C76-A20D-1CB899707A35}">
          <x14:formula1>
            <xm:f>Componentes!$P$12:$P$61</xm:f>
          </x14:formula1>
          <xm:sqref>M16:M115</xm:sqref>
        </x14:dataValidation>
        <x14:dataValidation type="list" allowBlank="1" showInputMessage="1" showErrorMessage="1" xr:uid="{90FF80FC-5CD2-4D50-8B82-24FEF2A085A9}">
          <x14:formula1>
            <xm:f>Componentes!$G$12:$G$61</xm:f>
          </x14:formula1>
          <xm:sqref>K16:K115</xm:sqref>
        </x14:dataValidation>
        <x14:dataValidation type="list" allowBlank="1" showInputMessage="1" showErrorMessage="1" xr:uid="{82DBAB26-8F42-4730-B9DF-62CA2876889D}">
          <x14:formula1>
            <xm:f>Componentes!$X$12:$X$61</xm:f>
          </x14:formula1>
          <xm:sqref>U16:U115</xm:sqref>
        </x14:dataValidation>
        <x14:dataValidation type="list" allowBlank="1" showInputMessage="1" showErrorMessage="1" xr:uid="{C12E90F9-A370-4B2A-B53F-1E59DCC0D60C}">
          <x14:formula1>
            <xm:f>Aux_Lista!$N$2:$N$7</xm:f>
          </x14:formula1>
          <xm:sqref>B16:B115</xm:sqref>
        </x14:dataValidation>
        <x14:dataValidation type="list" allowBlank="1" showInputMessage="1" showErrorMessage="1" xr:uid="{57EF6717-7977-4012-AFD1-8F01DE3803ED}">
          <x14:formula1>
            <xm:f>Aux_Lista!$V$2:$V$3</xm:f>
          </x14:formula1>
          <xm:sqref>H16:H115</xm:sqref>
        </x14:dataValidation>
        <x14:dataValidation type="list" allowBlank="1" showInputMessage="1" showErrorMessage="1" errorTitle="FORA DO INTERVALO!" error="VERIFIQUE O INTERVALO ACEITÁVEL!" promptTitle="VERIFIQUE O INTERVALO ACEITÁVEL!" xr:uid="{66C433F2-90BD-4921-B23C-1EA4886280A8}">
          <x14:formula1>
            <xm:f>Aux_Lista!$C$2:$C$3</xm:f>
          </x14:formula1>
          <xm:sqref>F16:F115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L130"/>
  <sheetViews>
    <sheetView showGridLines="0" zoomScale="85" zoomScaleNormal="85" workbookViewId="0">
      <selection activeCell="G15" sqref="G15"/>
    </sheetView>
  </sheetViews>
  <sheetFormatPr defaultColWidth="9.140625" defaultRowHeight="15" x14ac:dyDescent="0.25"/>
  <cols>
    <col min="1" max="1" width="5.7109375" customWidth="1"/>
    <col min="2" max="3" width="25.7109375" customWidth="1"/>
    <col min="4" max="4" width="14.5703125" bestFit="1" customWidth="1"/>
    <col min="5" max="5" width="14.5703125" customWidth="1"/>
    <col min="6" max="6" width="25.7109375" customWidth="1"/>
    <col min="7" max="7" width="35.42578125" bestFit="1" customWidth="1"/>
    <col min="8" max="10" width="20.7109375" customWidth="1"/>
    <col min="11" max="14" width="10.7109375" customWidth="1"/>
    <col min="15" max="15" width="15.42578125" customWidth="1"/>
    <col min="16" max="16" width="5.7109375" customWidth="1"/>
    <col min="17" max="19" width="15.7109375" customWidth="1"/>
    <col min="20" max="20" width="14.42578125" customWidth="1"/>
    <col min="21" max="21" width="13.85546875" bestFit="1" customWidth="1"/>
    <col min="22" max="22" width="13.28515625" bestFit="1" customWidth="1"/>
    <col min="23" max="23" width="14.42578125" customWidth="1"/>
    <col min="24" max="24" width="12.7109375" bestFit="1" customWidth="1"/>
    <col min="25" max="27" width="14.42578125" customWidth="1"/>
    <col min="28" max="28" width="15.7109375" customWidth="1"/>
    <col min="29" max="33" width="13.140625" customWidth="1"/>
    <col min="34" max="34" width="12.5703125" customWidth="1"/>
    <col min="35" max="36" width="10.85546875" customWidth="1"/>
    <col min="37" max="37" width="15.28515625" customWidth="1"/>
    <col min="38" max="38" width="5.7109375" style="248" customWidth="1"/>
    <col min="39" max="16384" width="9.140625" style="28"/>
  </cols>
  <sheetData>
    <row r="1" spans="1:38" ht="20.100000000000001" customHeight="1" x14ac:dyDescent="0.25">
      <c r="R1" t="s">
        <v>6082</v>
      </c>
      <c r="S1">
        <f>VLOOKUP(Geral!C16,Aux_Lista!A:L,10,FALSE)</f>
        <v>10</v>
      </c>
    </row>
    <row r="2" spans="1:38" ht="20.100000000000001" customHeight="1" x14ac:dyDescent="0.25">
      <c r="G2" s="47" t="s">
        <v>198</v>
      </c>
      <c r="H2" s="144" t="s">
        <v>197</v>
      </c>
      <c r="I2" s="145" t="s">
        <v>196</v>
      </c>
      <c r="J2" s="146" t="s">
        <v>195</v>
      </c>
      <c r="K2" s="147" t="s">
        <v>5493</v>
      </c>
      <c r="L2" s="189" t="s">
        <v>5800</v>
      </c>
      <c r="R2" t="s">
        <v>6083</v>
      </c>
      <c r="S2">
        <f>VLOOKUP(Geral!C16,Aux_Lista!A:L,11,FALSE)</f>
        <v>10</v>
      </c>
    </row>
    <row r="3" spans="1:38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330"/>
    </row>
    <row r="5" spans="1:38" ht="18.75" x14ac:dyDescent="0.3">
      <c r="A5" s="39"/>
      <c r="B5" s="40" t="s">
        <v>178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31"/>
    </row>
    <row r="6" spans="1:38" x14ac:dyDescent="0.25">
      <c r="X6" s="318"/>
      <c r="Y6" s="318"/>
      <c r="Z6" s="318"/>
      <c r="AA6" s="318"/>
    </row>
    <row r="7" spans="1:38" ht="30" customHeight="1" x14ac:dyDescent="0.25">
      <c r="B7" s="68" t="s">
        <v>171</v>
      </c>
      <c r="C7" s="69" t="str">
        <f>Geral!C7</f>
        <v>Exemplo Ltda</v>
      </c>
      <c r="E7" s="400" t="str">
        <f>IF(C9="Método de Simulação","PREENCHER A ABA 'Opc_Simulação' PRIMEIRO!","")</f>
        <v/>
      </c>
      <c r="F7" s="400"/>
      <c r="G7" s="400"/>
      <c r="H7" s="400"/>
      <c r="I7" s="400"/>
      <c r="J7" s="400"/>
      <c r="K7" s="400"/>
      <c r="L7" s="400"/>
      <c r="X7" s="318"/>
      <c r="Y7" s="318"/>
      <c r="Z7" s="318"/>
      <c r="AA7" s="318"/>
      <c r="AC7" s="182" t="s">
        <v>5488</v>
      </c>
      <c r="AD7" s="181">
        <f>Geral!C14</f>
        <v>3</v>
      </c>
    </row>
    <row r="8" spans="1:38" ht="30" customHeight="1" x14ac:dyDescent="0.25">
      <c r="B8" s="68" t="s">
        <v>122</v>
      </c>
      <c r="C8" s="69" t="str">
        <f>Geral!C10</f>
        <v>Projeto</v>
      </c>
      <c r="D8" s="13"/>
      <c r="E8" s="400"/>
      <c r="F8" s="400"/>
      <c r="G8" s="400"/>
      <c r="H8" s="400"/>
      <c r="I8" s="400"/>
      <c r="J8" s="400"/>
      <c r="K8" s="400"/>
      <c r="L8" s="400"/>
      <c r="X8" s="318"/>
      <c r="Y8" s="318"/>
      <c r="Z8" s="318"/>
      <c r="AA8" s="318"/>
    </row>
    <row r="9" spans="1:38" ht="30" customHeight="1" x14ac:dyDescent="0.25">
      <c r="B9" s="68" t="s">
        <v>5768</v>
      </c>
      <c r="C9" s="315" t="str">
        <f>Envoltória!C9</f>
        <v>Método Simplificado</v>
      </c>
      <c r="D9" s="13"/>
      <c r="E9" s="400"/>
      <c r="F9" s="400"/>
      <c r="G9" s="400"/>
      <c r="H9" s="400"/>
      <c r="I9" s="400"/>
      <c r="J9" s="400"/>
      <c r="K9" s="400"/>
      <c r="L9" s="400"/>
      <c r="X9" s="318"/>
      <c r="Y9" s="318"/>
      <c r="Z9" s="318"/>
      <c r="AA9" s="318"/>
    </row>
    <row r="10" spans="1:38" ht="30" customHeight="1" x14ac:dyDescent="0.25">
      <c r="B10" s="68" t="s">
        <v>5978</v>
      </c>
      <c r="C10" s="315">
        <f>((Envoltória!C10/Aux_Lista!B17)+(L23))</f>
        <v>30547.295330487639</v>
      </c>
      <c r="D10" s="13"/>
      <c r="E10" s="400"/>
      <c r="F10" s="400"/>
      <c r="G10" s="400"/>
      <c r="H10" s="400"/>
      <c r="I10" s="400"/>
      <c r="J10" s="400"/>
      <c r="K10" s="400"/>
      <c r="L10" s="400"/>
      <c r="X10" s="318"/>
      <c r="Y10" s="318"/>
      <c r="Z10" s="318"/>
      <c r="AA10" s="318"/>
      <c r="AC10" s="135" t="s">
        <v>34</v>
      </c>
      <c r="AD10" s="136" t="s">
        <v>25</v>
      </c>
      <c r="AE10" s="137" t="s">
        <v>105</v>
      </c>
      <c r="AF10" s="138" t="s">
        <v>5741</v>
      </c>
      <c r="AG10" s="139" t="s">
        <v>5742</v>
      </c>
      <c r="AH10" s="52"/>
      <c r="AI10" s="66" t="s">
        <v>5747</v>
      </c>
      <c r="AJ10" s="60"/>
      <c r="AK10" s="60"/>
    </row>
    <row r="11" spans="1:38" ht="30" customHeight="1" x14ac:dyDescent="0.25">
      <c r="B11" s="68" t="s">
        <v>5979</v>
      </c>
      <c r="C11" s="315">
        <f>IF(C9="Método de Simulação",Opc_Simulação!X12,C21+C22)</f>
        <v>12698.813176790833</v>
      </c>
      <c r="D11" s="13"/>
      <c r="E11" s="400"/>
      <c r="F11" s="400"/>
      <c r="G11" s="400"/>
      <c r="H11" s="400"/>
      <c r="I11" s="400"/>
      <c r="J11" s="400"/>
      <c r="K11" s="400"/>
      <c r="L11" s="400"/>
      <c r="X11" s="318"/>
      <c r="Y11" s="318"/>
      <c r="Z11" s="318"/>
      <c r="AA11" s="318"/>
      <c r="AB11" s="68" t="s">
        <v>5746</v>
      </c>
      <c r="AC11" s="182" t="s">
        <v>14</v>
      </c>
      <c r="AD11" s="182">
        <f>AC12</f>
        <v>0.51</v>
      </c>
      <c r="AE11" s="182">
        <f>AD12</f>
        <v>0.34</v>
      </c>
      <c r="AF11" s="182">
        <f>AE12</f>
        <v>0.17</v>
      </c>
      <c r="AG11" s="182">
        <f>AF12</f>
        <v>0</v>
      </c>
      <c r="AH11" s="52"/>
      <c r="AI11" s="396" t="str">
        <f>IF(C9="","",
IF(AK13&gt;=0,IF(C12&gt;=AC12,AC10,
IF(AND(C12&gt;=AD12,C12&lt;AD11),AD10,
IF(AND(C12&gt;=AE12,C12&lt;AE11),AE10,
IF(AND(C12&gt;=AF12,C12&lt;=AF11),AF10,
AG10)))),
IF(C12&gt;=AC12,AD10,
IF(AND(C12&gt;=AD12,C12&lt;AD11),AD10,
IF(AND(C12&gt;=AE12,C12&lt;AE11),AE10,
IF(AND(C12&gt;=AF12,C12&lt;=AF11),AF10,
AG10))))))</f>
        <v>A</v>
      </c>
      <c r="AJ11" s="241"/>
      <c r="AK11" s="241"/>
    </row>
    <row r="12" spans="1:38" ht="30" customHeight="1" x14ac:dyDescent="0.25">
      <c r="B12" s="68" t="s">
        <v>5799</v>
      </c>
      <c r="C12" s="183">
        <f>IF(ISERROR((C10-C11)/C10),0,(C10-C11)/C10)</f>
        <v>0.58429009706411494</v>
      </c>
      <c r="D12" s="13"/>
      <c r="E12" s="400"/>
      <c r="F12" s="400"/>
      <c r="G12" s="400"/>
      <c r="H12" s="400"/>
      <c r="I12" s="400"/>
      <c r="J12" s="400"/>
      <c r="K12" s="400"/>
      <c r="L12" s="400"/>
      <c r="X12" s="318"/>
      <c r="Y12" s="318"/>
      <c r="Z12" s="318"/>
      <c r="AA12" s="318"/>
      <c r="AB12" s="68" t="s">
        <v>5745</v>
      </c>
      <c r="AC12" s="182">
        <f>IF($AD$7&lt;=3,0.51,IF($AD$7&lt;=6,0.48,0.43))</f>
        <v>0.51</v>
      </c>
      <c r="AD12" s="182">
        <f>IF($AD$7&lt;=3,0.34,IF($AD$7&lt;=6,0.32,0.29))</f>
        <v>0.34</v>
      </c>
      <c r="AE12" s="182">
        <f>IF($AD$7&lt;=3,0.17,IF($AD$7&lt;=6,0.16,0.14))</f>
        <v>0.17</v>
      </c>
      <c r="AF12" s="182">
        <v>0</v>
      </c>
      <c r="AG12" s="182" t="s">
        <v>14</v>
      </c>
      <c r="AI12" s="396"/>
      <c r="AJ12" s="241"/>
      <c r="AK12" s="241"/>
    </row>
    <row r="13" spans="1:38" ht="30" customHeight="1" x14ac:dyDescent="0.25">
      <c r="B13" s="68" t="s">
        <v>5773</v>
      </c>
      <c r="C13" s="79" t="str">
        <f>AI11</f>
        <v>A</v>
      </c>
      <c r="D13" s="13"/>
      <c r="E13" s="400"/>
      <c r="F13" s="400"/>
      <c r="G13" s="400"/>
      <c r="H13" s="400"/>
      <c r="I13" s="400"/>
      <c r="J13" s="400"/>
      <c r="K13" s="400"/>
      <c r="L13" s="400"/>
      <c r="X13" s="318"/>
      <c r="Y13" s="318"/>
      <c r="Z13" s="318"/>
      <c r="AA13" s="318"/>
      <c r="AK13" s="248">
        <f>COUNTBLANK(AK31:AK130)+SUM(AL:AL)-100</f>
        <v>0</v>
      </c>
    </row>
    <row r="14" spans="1:38" ht="15" customHeight="1" x14ac:dyDescent="0.25">
      <c r="K14" s="154"/>
      <c r="L14" s="154"/>
      <c r="M14" s="154"/>
      <c r="N14" s="154"/>
      <c r="O14" s="154"/>
      <c r="Q14" s="154"/>
      <c r="R14" s="154"/>
      <c r="S14" s="154"/>
      <c r="X14" s="318"/>
      <c r="Y14" s="318"/>
      <c r="Z14" s="318"/>
      <c r="AA14" s="318"/>
      <c r="AK14" s="248">
        <f>COUNTBLANK(AK32:AK131)+SUM(AL:AL)-100</f>
        <v>1</v>
      </c>
    </row>
    <row r="15" spans="1:38" ht="30" customHeight="1" x14ac:dyDescent="0.25">
      <c r="B15" s="68" t="s">
        <v>6074</v>
      </c>
      <c r="C15" s="325" t="s">
        <v>6095</v>
      </c>
      <c r="K15" s="154"/>
      <c r="L15" s="154"/>
      <c r="M15" s="154"/>
      <c r="N15" s="154"/>
      <c r="O15" s="154"/>
      <c r="Q15" s="154"/>
      <c r="R15" s="154"/>
      <c r="S15" s="154"/>
      <c r="X15" s="318"/>
      <c r="Y15" s="318"/>
      <c r="Z15" s="318"/>
      <c r="AA15" s="318"/>
      <c r="AK15" s="248"/>
    </row>
    <row r="16" spans="1:38" ht="45" customHeight="1" x14ac:dyDescent="0.25">
      <c r="B16" s="68" t="s">
        <v>6073</v>
      </c>
      <c r="C16" s="77">
        <f>SUM(H31:H130)</f>
        <v>52.721999999999994</v>
      </c>
      <c r="K16" s="154"/>
      <c r="L16" s="154"/>
      <c r="M16" s="154"/>
      <c r="N16" s="154"/>
      <c r="O16" s="154"/>
      <c r="Q16" s="154"/>
      <c r="R16" s="154"/>
      <c r="S16" s="154"/>
      <c r="X16" s="318"/>
      <c r="Y16" s="318"/>
      <c r="Z16" s="318"/>
      <c r="AA16" s="318"/>
      <c r="AK16" s="248"/>
    </row>
    <row r="17" spans="1:38" ht="15" customHeight="1" x14ac:dyDescent="0.25">
      <c r="K17" s="154"/>
      <c r="L17" s="154"/>
      <c r="M17" s="154"/>
      <c r="N17" s="154"/>
      <c r="O17" s="154"/>
      <c r="Q17" s="154"/>
      <c r="R17" s="154"/>
      <c r="S17" s="154"/>
      <c r="X17" s="318"/>
      <c r="Y17" s="318"/>
      <c r="Z17" s="318"/>
      <c r="AA17" s="318"/>
      <c r="AK17" s="248"/>
    </row>
    <row r="18" spans="1:38" ht="45" customHeight="1" x14ac:dyDescent="0.25">
      <c r="B18" s="68" t="s">
        <v>6119</v>
      </c>
      <c r="C18" s="77">
        <f>IF(ISERROR(SUMIFS(E:E,G:G,"Baixa capacidade (até 17.6kW)")/((SUMIFS(E:E,G:G,"Baixa capacidade (até 17.6kW)")/L22)+L23)),0,
SUMIFS(E:E,G:G,"Baixa capacidade (até 17.6kW)")/((SUMIFS(E:E,G:G,"Baixa capacidade (até 17.6kW)")/L22)+L23))</f>
        <v>5.9893502157829959</v>
      </c>
      <c r="K18" s="154"/>
      <c r="L18" s="154"/>
      <c r="M18" s="154"/>
      <c r="N18" s="154"/>
      <c r="O18" s="154"/>
      <c r="Q18" s="154"/>
      <c r="R18" s="154"/>
      <c r="S18" s="154"/>
      <c r="X18" s="318"/>
      <c r="Y18" s="318"/>
      <c r="Z18" s="318"/>
      <c r="AA18" s="318"/>
      <c r="AK18" s="248"/>
    </row>
    <row r="19" spans="1:38" ht="45" customHeight="1" x14ac:dyDescent="0.25">
      <c r="B19" s="68" t="s">
        <v>6085</v>
      </c>
      <c r="C19" s="329">
        <v>0</v>
      </c>
      <c r="K19" s="154"/>
      <c r="L19" s="154"/>
      <c r="M19" s="154"/>
      <c r="N19" s="154"/>
      <c r="O19" s="358"/>
      <c r="Q19" s="154"/>
      <c r="R19" s="154"/>
      <c r="S19" s="154"/>
      <c r="X19" s="318"/>
      <c r="Y19" s="318"/>
      <c r="Z19" s="318"/>
      <c r="AA19" s="318"/>
      <c r="AK19" s="248"/>
    </row>
    <row r="20" spans="1:38" ht="15" customHeight="1" x14ac:dyDescent="0.25">
      <c r="J20" s="403" t="s">
        <v>6120</v>
      </c>
      <c r="K20" s="403"/>
      <c r="L20" s="403"/>
      <c r="M20" s="154"/>
      <c r="N20" s="154"/>
      <c r="O20" s="154"/>
      <c r="Q20" s="154"/>
      <c r="R20" s="154"/>
      <c r="S20" s="154"/>
      <c r="AH20" s="318"/>
      <c r="AI20" s="318"/>
      <c r="AJ20" s="318"/>
      <c r="AK20" s="318"/>
    </row>
    <row r="21" spans="1:38" ht="35.1" customHeight="1" x14ac:dyDescent="0.25">
      <c r="B21" s="68" t="s">
        <v>6076</v>
      </c>
      <c r="C21" s="316">
        <f>IF(C15="Naturalmente ventilada",0,
(SUMIFS(E:E,G:G,"Baixa capacidade (até 17.6kW)")/C18)+L23
)</f>
        <v>12698.813176790833</v>
      </c>
      <c r="J21" s="404"/>
      <c r="K21" s="404"/>
      <c r="L21" s="404"/>
      <c r="M21" s="154"/>
      <c r="N21" s="154"/>
      <c r="O21" s="154"/>
      <c r="Q21" s="154"/>
      <c r="R21" s="154"/>
      <c r="S21" s="154"/>
      <c r="AH21" s="318"/>
      <c r="AI21" s="318"/>
      <c r="AJ21" s="318"/>
      <c r="AK21" s="318"/>
    </row>
    <row r="22" spans="1:38" ht="35.1" customHeight="1" x14ac:dyDescent="0.25">
      <c r="B22" s="68" t="s">
        <v>6077</v>
      </c>
      <c r="C22" s="320">
        <f>SUM(N:N)</f>
        <v>0</v>
      </c>
      <c r="I22" s="358"/>
      <c r="J22" s="401" t="s">
        <v>6118</v>
      </c>
      <c r="K22" s="402"/>
      <c r="L22" s="360">
        <f>SUM(L31:L130)/SUM(H31:H130)</f>
        <v>6.0000000000000009</v>
      </c>
      <c r="M22" s="154"/>
      <c r="N22" s="154"/>
      <c r="O22" s="154"/>
      <c r="Q22" s="154"/>
      <c r="R22" s="154"/>
      <c r="S22" s="154"/>
      <c r="AH22" s="318"/>
      <c r="AI22" s="318"/>
      <c r="AJ22" s="318"/>
      <c r="AK22" s="318"/>
    </row>
    <row r="23" spans="1:38" ht="35.1" customHeight="1" x14ac:dyDescent="0.25">
      <c r="B23" s="319" t="s">
        <v>6078</v>
      </c>
      <c r="C23" s="321" t="str">
        <f>IF(AK13=0,"Sim","Não")</f>
        <v>Sim</v>
      </c>
      <c r="J23" s="401" t="s">
        <v>6116</v>
      </c>
      <c r="K23" s="402"/>
      <c r="L23" s="359">
        <f>SUM(P:P)</f>
        <v>22.5</v>
      </c>
      <c r="M23" s="154"/>
      <c r="N23" s="154"/>
      <c r="O23" s="154"/>
      <c r="Q23" s="154"/>
      <c r="R23" s="154"/>
      <c r="S23" s="154"/>
      <c r="AH23" s="318"/>
      <c r="AI23" s="318"/>
      <c r="AJ23" s="318"/>
      <c r="AK23" s="318"/>
    </row>
    <row r="24" spans="1:38" ht="15" customHeight="1" x14ac:dyDescent="0.25">
      <c r="M24" s="154"/>
      <c r="N24" s="154"/>
      <c r="O24" s="154"/>
      <c r="Q24" s="154"/>
      <c r="R24" s="154"/>
      <c r="S24" s="154"/>
      <c r="AH24" s="318"/>
      <c r="AI24" s="318"/>
      <c r="AJ24" s="318"/>
      <c r="AK24" s="318"/>
    </row>
    <row r="25" spans="1:38" ht="20.100000000000001" customHeight="1" x14ac:dyDescent="0.25">
      <c r="A25" s="322"/>
      <c r="B25" s="67" t="s">
        <v>6079</v>
      </c>
      <c r="C25" s="322"/>
      <c r="D25" s="322"/>
      <c r="E25" s="322"/>
      <c r="F25" s="322"/>
      <c r="G25" s="322"/>
      <c r="H25" s="322"/>
      <c r="I25" s="322"/>
      <c r="J25" s="322"/>
      <c r="K25" s="323"/>
      <c r="L25" s="323"/>
      <c r="M25" s="323"/>
      <c r="N25" s="323"/>
      <c r="O25" s="323"/>
      <c r="P25" s="322"/>
      <c r="Q25" s="323"/>
      <c r="R25" s="323"/>
      <c r="S25" s="323"/>
      <c r="T25" s="322"/>
      <c r="U25" s="322"/>
      <c r="V25" s="322"/>
      <c r="W25" s="322"/>
      <c r="X25" s="322"/>
      <c r="Y25" s="322"/>
      <c r="Z25" s="322"/>
      <c r="AA25" s="322"/>
      <c r="AB25" s="322"/>
      <c r="AC25" s="322"/>
      <c r="AD25" s="322"/>
      <c r="AE25" s="322"/>
      <c r="AF25" s="322"/>
      <c r="AG25" s="322"/>
      <c r="AH25" s="324"/>
      <c r="AI25" s="324"/>
      <c r="AJ25" s="324"/>
      <c r="AK25" s="324"/>
      <c r="AL25" s="332"/>
    </row>
    <row r="26" spans="1:38" ht="15" customHeight="1" x14ac:dyDescent="0.25">
      <c r="M26" s="154"/>
      <c r="N26" s="154"/>
      <c r="O26" s="154"/>
      <c r="Q26" s="154"/>
      <c r="R26" s="154"/>
      <c r="S26" s="154"/>
      <c r="AH26" s="318"/>
      <c r="AI26" s="318"/>
      <c r="AJ26" s="318"/>
      <c r="AK26" s="318"/>
    </row>
    <row r="27" spans="1:38" ht="15" customHeight="1" x14ac:dyDescent="0.25">
      <c r="Q27" s="425" t="s">
        <v>65</v>
      </c>
      <c r="R27" s="426"/>
      <c r="S27" s="426"/>
      <c r="T27" s="426"/>
      <c r="U27" s="426"/>
      <c r="V27" s="426"/>
      <c r="W27" s="426"/>
      <c r="X27" s="426"/>
      <c r="Y27" s="426"/>
      <c r="Z27" s="426"/>
      <c r="AA27" s="426"/>
      <c r="AB27" s="426"/>
      <c r="AC27" s="426"/>
      <c r="AD27" s="426"/>
      <c r="AE27" s="426"/>
      <c r="AF27" s="426"/>
      <c r="AG27" s="426"/>
      <c r="AH27" s="426"/>
      <c r="AI27" s="426"/>
      <c r="AJ27" s="426"/>
      <c r="AK27" s="426"/>
    </row>
    <row r="28" spans="1:38" s="30" customFormat="1" ht="35.1" customHeight="1" x14ac:dyDescent="0.25">
      <c r="A28" s="2"/>
      <c r="B28" s="44"/>
      <c r="C28" s="44"/>
      <c r="D28" s="44"/>
      <c r="E28" s="44"/>
      <c r="F28" s="44"/>
      <c r="G28" s="44"/>
      <c r="H28" s="44"/>
      <c r="I28" s="44"/>
      <c r="J28" s="44"/>
      <c r="K28" s="434" t="s">
        <v>6122</v>
      </c>
      <c r="L28" s="435"/>
      <c r="M28" s="427" t="s">
        <v>6121</v>
      </c>
      <c r="N28" s="427"/>
      <c r="O28" s="428"/>
      <c r="P28"/>
      <c r="Q28" s="421" t="s">
        <v>66</v>
      </c>
      <c r="R28" s="422"/>
      <c r="S28" s="429" t="s">
        <v>67</v>
      </c>
      <c r="T28" s="430"/>
      <c r="U28" s="430"/>
      <c r="V28" s="430"/>
      <c r="W28" s="430"/>
      <c r="X28" s="430"/>
      <c r="Y28" s="430"/>
      <c r="Z28" s="430"/>
      <c r="AA28" s="430"/>
      <c r="AB28" s="430"/>
      <c r="AC28" s="430"/>
      <c r="AD28" s="430"/>
      <c r="AE28" s="430"/>
      <c r="AF28" s="430"/>
      <c r="AG28" s="430"/>
      <c r="AH28" s="430"/>
      <c r="AI28" s="430"/>
      <c r="AJ28" s="431"/>
      <c r="AK28" s="243"/>
      <c r="AL28" s="333"/>
    </row>
    <row r="29" spans="1:38" s="31" customFormat="1" ht="15" customHeight="1" x14ac:dyDescent="0.25">
      <c r="A29" s="3"/>
      <c r="B29" s="405" t="s">
        <v>86</v>
      </c>
      <c r="C29" s="407" t="s">
        <v>181</v>
      </c>
      <c r="D29" s="407" t="s">
        <v>87</v>
      </c>
      <c r="E29" s="407" t="s">
        <v>6075</v>
      </c>
      <c r="F29" s="407" t="s">
        <v>6089</v>
      </c>
      <c r="G29" s="407" t="s">
        <v>6090</v>
      </c>
      <c r="H29" s="407" t="s">
        <v>6125</v>
      </c>
      <c r="I29" s="411" t="s">
        <v>6087</v>
      </c>
      <c r="J29" s="415" t="s">
        <v>6081</v>
      </c>
      <c r="K29" s="409" t="s">
        <v>6080</v>
      </c>
      <c r="L29" s="413" t="s">
        <v>6117</v>
      </c>
      <c r="M29" s="409" t="s">
        <v>6080</v>
      </c>
      <c r="N29" s="413" t="s">
        <v>6084</v>
      </c>
      <c r="O29" s="432" t="s">
        <v>6091</v>
      </c>
      <c r="P29"/>
      <c r="Q29" s="419" t="s">
        <v>5888</v>
      </c>
      <c r="R29" s="239"/>
      <c r="S29" s="419" t="s">
        <v>5890</v>
      </c>
      <c r="T29" s="417" t="s">
        <v>68</v>
      </c>
      <c r="U29" s="417" t="s">
        <v>69</v>
      </c>
      <c r="V29" s="417" t="s">
        <v>70</v>
      </c>
      <c r="W29" s="417" t="s">
        <v>71</v>
      </c>
      <c r="X29" s="417" t="s">
        <v>72</v>
      </c>
      <c r="Y29" s="417" t="s">
        <v>73</v>
      </c>
      <c r="Z29" s="417" t="s">
        <v>74</v>
      </c>
      <c r="AA29" s="417" t="s">
        <v>76</v>
      </c>
      <c r="AB29" s="417" t="s">
        <v>83</v>
      </c>
      <c r="AC29" s="417" t="s">
        <v>78</v>
      </c>
      <c r="AD29" s="417" t="s">
        <v>79</v>
      </c>
      <c r="AE29" s="436" t="s">
        <v>77</v>
      </c>
      <c r="AF29" s="436"/>
      <c r="AG29" s="436"/>
      <c r="AH29" s="417" t="s">
        <v>75</v>
      </c>
      <c r="AI29" s="417" t="s">
        <v>5888</v>
      </c>
      <c r="AJ29" s="246"/>
      <c r="AK29" s="423" t="s">
        <v>5884</v>
      </c>
      <c r="AL29" s="334"/>
    </row>
    <row r="30" spans="1:38" s="31" customFormat="1" ht="33.75" customHeight="1" x14ac:dyDescent="0.25">
      <c r="A30" s="3"/>
      <c r="B30" s="406"/>
      <c r="C30" s="408"/>
      <c r="D30" s="408"/>
      <c r="E30" s="408"/>
      <c r="F30" s="408"/>
      <c r="G30" s="408"/>
      <c r="H30" s="408"/>
      <c r="I30" s="412"/>
      <c r="J30" s="416"/>
      <c r="K30" s="410"/>
      <c r="L30" s="414"/>
      <c r="M30" s="410"/>
      <c r="N30" s="414"/>
      <c r="O30" s="433"/>
      <c r="P30"/>
      <c r="Q30" s="420"/>
      <c r="R30" s="240" t="s">
        <v>5887</v>
      </c>
      <c r="S30" s="420"/>
      <c r="T30" s="418"/>
      <c r="U30" s="418"/>
      <c r="V30" s="418"/>
      <c r="W30" s="418"/>
      <c r="X30" s="418"/>
      <c r="Y30" s="418"/>
      <c r="Z30" s="418"/>
      <c r="AA30" s="418"/>
      <c r="AB30" s="418"/>
      <c r="AC30" s="418"/>
      <c r="AD30" s="418"/>
      <c r="AE30" s="247" t="s">
        <v>80</v>
      </c>
      <c r="AF30" s="247" t="s">
        <v>81</v>
      </c>
      <c r="AG30" s="247" t="s">
        <v>82</v>
      </c>
      <c r="AH30" s="418"/>
      <c r="AI30" s="418"/>
      <c r="AJ30" s="247" t="s">
        <v>5887</v>
      </c>
      <c r="AK30" s="424"/>
      <c r="AL30" s="334"/>
    </row>
    <row r="31" spans="1:38" s="32" customFormat="1" x14ac:dyDescent="0.25">
      <c r="A31" s="155">
        <v>1</v>
      </c>
      <c r="B31" s="218" t="s">
        <v>5798</v>
      </c>
      <c r="C31" s="190" t="str">
        <f>IF(Envoltória!C16="","",Envoltória!C16)</f>
        <v>Sala 01 ZT1</v>
      </c>
      <c r="D31" s="190">
        <f>IF(Envoltória!D16="","",Envoltória!D16)</f>
        <v>92.25</v>
      </c>
      <c r="E31" s="317">
        <f>Envoltória!AD16</f>
        <v>14094</v>
      </c>
      <c r="F31" s="218" t="s">
        <v>6220</v>
      </c>
      <c r="G31" s="317" t="str">
        <f>IF(C31="","",VLOOKUP(F31,Componentes!$AB:$AG,2,FALSE))</f>
        <v>Baixa capacidade (até 17.6kW)</v>
      </c>
      <c r="H31" s="317">
        <f>IF(F31="","",VLOOKUP(F31,Componentes!$AB:$AG,3,FALSE))</f>
        <v>10.5444</v>
      </c>
      <c r="I31" s="190" t="str">
        <f>IF(F31="","",VLOOKUP(F31,Componentes!$AB:$AG,4,FALSE))</f>
        <v>IDRS</v>
      </c>
      <c r="J31" s="190">
        <f>IF(F31="","",VLOOKUP(F31,Componentes!$AB:$AG,6,FALSE))</f>
        <v>45</v>
      </c>
      <c r="K31" s="190">
        <f>IF(F31="","",IF(I31&lt;&gt;"SPLV",VLOOKUP(F31,Componentes!$AB:$AG,5,FALSE),""))</f>
        <v>6</v>
      </c>
      <c r="L31" s="184">
        <f>IF(F31="","",IF(K31="","",IF(I31="COP",1.062*K31*H31,K31*H31)))</f>
        <v>63.266399999999997</v>
      </c>
      <c r="M31" s="190" t="str">
        <f>IF(OR(I31="SPLV",I31="k"),VLOOKUP(F31,Componentes!$AB:$AG,5,FALSE),"")</f>
        <v/>
      </c>
      <c r="N31" s="185" t="str">
        <f t="shared" ref="N31:N62" si="0">IF(M31="","",E31/M31)</f>
        <v/>
      </c>
      <c r="O31" s="186"/>
      <c r="P31">
        <f>IF(Envoltória!D16="","",J31*$S$1*$S$2/1000)</f>
        <v>4.5</v>
      </c>
      <c r="Q31" s="242"/>
      <c r="R31" s="92" t="s">
        <v>5836</v>
      </c>
      <c r="S31" s="244" t="s">
        <v>5836</v>
      </c>
      <c r="T31" s="244" t="s">
        <v>5836</v>
      </c>
      <c r="U31" s="244" t="s">
        <v>5836</v>
      </c>
      <c r="V31" s="244" t="s">
        <v>5836</v>
      </c>
      <c r="W31" s="244" t="s">
        <v>5836</v>
      </c>
      <c r="X31" s="244" t="s">
        <v>5836</v>
      </c>
      <c r="Y31" s="244" t="s">
        <v>5836</v>
      </c>
      <c r="Z31" s="244" t="s">
        <v>5836</v>
      </c>
      <c r="AA31" s="244" t="s">
        <v>5836</v>
      </c>
      <c r="AB31" s="244" t="s">
        <v>5836</v>
      </c>
      <c r="AC31" s="244" t="s">
        <v>5836</v>
      </c>
      <c r="AD31" s="244" t="s">
        <v>5836</v>
      </c>
      <c r="AE31" s="244" t="s">
        <v>5836</v>
      </c>
      <c r="AF31" s="244" t="s">
        <v>5836</v>
      </c>
      <c r="AG31" s="244" t="s">
        <v>5836</v>
      </c>
      <c r="AH31" s="244" t="s">
        <v>5836</v>
      </c>
      <c r="AI31" s="244"/>
      <c r="AJ31" s="244" t="s">
        <v>5836</v>
      </c>
      <c r="AK31" s="245" t="str">
        <f>IF(I31="","",IF(H31&lt;=17.6,
IF(R31="Sim","Sim","Não"),
IF(AND(S31="Sim",OR(T31="Sim",T31="Não se aplica"),OR(U31="Sim",U31="Não se aplica"),OR(V31="Sim",V31="Não se aplica"),OR(W31="Sim",W31="Não se aplica"),OR(X31="Sim",X31="Não se aplica"),OR(Y31="Sim",Y31="Não se aplica"),OR(Z31="Sim",Z31="Não se aplica"),OR(AA31="Sim",AA31="Não se aplica"),OR(AB31="Sim",AB31="Não se aplica"),OR(AC31="Sim",AC31="Não se aplica"),OR(AD31="Sim",AD31="Não se aplica"),OR(AE31="Sim",AE31="Não se aplica"),OR(AF31="Sim",AF31="Não se aplica"),OR(AG31="Sim",AG31="Não se aplica"),OR(AH31="Sim",AH31="Não se aplica"),OR(AJ31="Sim",AJ31="Não se aplica")),"Sim","Não")
))</f>
        <v>Sim</v>
      </c>
      <c r="AL31" s="335">
        <f>IF(AK31="Sim",1,0)</f>
        <v>1</v>
      </c>
    </row>
    <row r="32" spans="1:38" s="32" customFormat="1" x14ac:dyDescent="0.25">
      <c r="A32" s="155">
        <v>2</v>
      </c>
      <c r="B32" s="218" t="s">
        <v>5798</v>
      </c>
      <c r="C32" s="190" t="str">
        <f>IF(Envoltória!C17="","",Envoltória!C17)</f>
        <v>Sala 01 ZT2</v>
      </c>
      <c r="D32" s="190">
        <f>IF(Envoltória!D17="","",Envoltória!D17)</f>
        <v>92.25</v>
      </c>
      <c r="E32" s="317">
        <f>Envoltória!AD17</f>
        <v>9984.7822666167613</v>
      </c>
      <c r="F32" s="218" t="s">
        <v>6220</v>
      </c>
      <c r="G32" s="317" t="str">
        <f>IF(C32="","",VLOOKUP(F32,Componentes!$AB:$AG,2,FALSE))</f>
        <v>Baixa capacidade (até 17.6kW)</v>
      </c>
      <c r="H32" s="317">
        <f>IF(F32="","",VLOOKUP(F32,Componentes!$AB:$AG,3,FALSE))</f>
        <v>10.5444</v>
      </c>
      <c r="I32" s="190" t="str">
        <f>IF(F32="","",VLOOKUP(F32,Componentes!$AB:$AG,4,FALSE))</f>
        <v>IDRS</v>
      </c>
      <c r="J32" s="190">
        <f>IF(F32="","",VLOOKUP(F32,Componentes!$AB:$AG,6,FALSE))</f>
        <v>45</v>
      </c>
      <c r="K32" s="190">
        <f>IF(F32="","",IF(I32&lt;&gt;"SPLV",VLOOKUP(F32,Componentes!$AB:$AG,5,FALSE),""))</f>
        <v>6</v>
      </c>
      <c r="L32" s="184">
        <f t="shared" ref="L32:L95" si="1">IF(F32="","",IF(K32="","",IF(I32="COP",1.062*K32*H32,K32*H32)))</f>
        <v>63.266399999999997</v>
      </c>
      <c r="M32" s="190" t="str">
        <f>IF(OR(I32="SPLV",I32="k"),VLOOKUP(F32,Componentes!$AB:$AG,5,FALSE),"")</f>
        <v/>
      </c>
      <c r="N32" s="185" t="str">
        <f t="shared" si="0"/>
        <v/>
      </c>
      <c r="O32" s="186"/>
      <c r="P32">
        <f>IF(Envoltória!D17="","",J32*$S$1*$S$2/1000)</f>
        <v>4.5</v>
      </c>
      <c r="Q32" s="242"/>
      <c r="R32" s="92" t="s">
        <v>5836</v>
      </c>
      <c r="S32" s="244" t="s">
        <v>5836</v>
      </c>
      <c r="T32" s="244" t="s">
        <v>5836</v>
      </c>
      <c r="U32" s="244" t="s">
        <v>5836</v>
      </c>
      <c r="V32" s="244" t="s">
        <v>5836</v>
      </c>
      <c r="W32" s="244" t="s">
        <v>5836</v>
      </c>
      <c r="X32" s="244" t="s">
        <v>5836</v>
      </c>
      <c r="Y32" s="244" t="s">
        <v>5836</v>
      </c>
      <c r="Z32" s="244" t="s">
        <v>5836</v>
      </c>
      <c r="AA32" s="244" t="s">
        <v>5836</v>
      </c>
      <c r="AB32" s="244" t="s">
        <v>5889</v>
      </c>
      <c r="AC32" s="244" t="s">
        <v>5836</v>
      </c>
      <c r="AD32" s="244" t="s">
        <v>5836</v>
      </c>
      <c r="AE32" s="244" t="s">
        <v>5836</v>
      </c>
      <c r="AF32" s="244" t="s">
        <v>5889</v>
      </c>
      <c r="AG32" s="244" t="s">
        <v>5836</v>
      </c>
      <c r="AH32" s="244" t="s">
        <v>5836</v>
      </c>
      <c r="AI32" s="244"/>
      <c r="AJ32" s="244" t="s">
        <v>5836</v>
      </c>
      <c r="AK32" s="245" t="str">
        <f t="shared" ref="AK32:AK95" si="2">IF(I32="","",IF(H32&lt;=17.6,
IF(R32="Sim","Sim","Não"),
IF(AND(S32="Sim",OR(T32="Sim",T32="Não se aplica"),OR(U32="Sim",U32="Não se aplica"),OR(V32="Sim",V32="Não se aplica"),OR(W32="Sim",W32="Não se aplica"),OR(X32="Sim",X32="Não se aplica"),OR(Y32="Sim",Y32="Não se aplica"),OR(Z32="Sim",Z32="Não se aplica"),OR(AA32="Sim",AA32="Não se aplica"),OR(AB32="Sim",AB32="Não se aplica"),OR(AC32="Sim",AC32="Não se aplica"),OR(AD32="Sim",AD32="Não se aplica"),OR(AE32="Sim",AE32="Não se aplica"),OR(AF32="Sim",AF32="Não se aplica"),OR(AG32="Sim",AG32="Não se aplica"),OR(AH32="Sim",AH32="Não se aplica"),OR(AJ32="Sim",AJ32="Não se aplica")),"Sim","Não")
))</f>
        <v>Sim</v>
      </c>
      <c r="AL32" s="335">
        <f t="shared" ref="AL32:AL95" si="3">IF(AK32="Sim",1,0)</f>
        <v>1</v>
      </c>
    </row>
    <row r="33" spans="1:38" s="32" customFormat="1" x14ac:dyDescent="0.25">
      <c r="A33" s="155">
        <v>3</v>
      </c>
      <c r="B33" s="218" t="s">
        <v>5798</v>
      </c>
      <c r="C33" s="190" t="str">
        <f>IF(Envoltória!C18="","",Envoltória!C18)</f>
        <v>Sala 01 ZT3</v>
      </c>
      <c r="D33" s="190">
        <f>IF(Envoltória!D18="","",Envoltória!D18)</f>
        <v>92.25</v>
      </c>
      <c r="E33" s="317">
        <f>Envoltória!AD18</f>
        <v>10048.760856628336</v>
      </c>
      <c r="F33" s="218" t="s">
        <v>6220</v>
      </c>
      <c r="G33" s="317" t="str">
        <f>IF(C33="","",VLOOKUP(F33,Componentes!$AB:$AG,2,FALSE))</f>
        <v>Baixa capacidade (até 17.6kW)</v>
      </c>
      <c r="H33" s="317">
        <f>IF(F33="","",VLOOKUP(F33,Componentes!$AB:$AG,3,FALSE))</f>
        <v>10.5444</v>
      </c>
      <c r="I33" s="190" t="str">
        <f>IF(F33="","",VLOOKUP(F33,Componentes!$AB:$AG,4,FALSE))</f>
        <v>IDRS</v>
      </c>
      <c r="J33" s="190">
        <f>IF(F33="","",VLOOKUP(F33,Componentes!$AB:$AG,6,FALSE))</f>
        <v>45</v>
      </c>
      <c r="K33" s="190">
        <f>IF(F33="","",IF(I33&lt;&gt;"SPLV",VLOOKUP(F33,Componentes!$AB:$AG,5,FALSE),""))</f>
        <v>6</v>
      </c>
      <c r="L33" s="184">
        <f t="shared" si="1"/>
        <v>63.266399999999997</v>
      </c>
      <c r="M33" s="190" t="str">
        <f>IF(OR(I33="SPLV",I33="k"),VLOOKUP(F33,Componentes!$AB:$AG,5,FALSE),"")</f>
        <v/>
      </c>
      <c r="N33" s="185" t="str">
        <f t="shared" si="0"/>
        <v/>
      </c>
      <c r="O33" s="186"/>
      <c r="P33">
        <f>IF(Envoltória!D18="","",J33*$S$1*$S$2/1000)</f>
        <v>4.5</v>
      </c>
      <c r="Q33" s="242"/>
      <c r="R33" s="92" t="s">
        <v>5836</v>
      </c>
      <c r="S33" s="91"/>
      <c r="T33" s="244"/>
      <c r="U33" s="244"/>
      <c r="V33" s="244"/>
      <c r="W33" s="244"/>
      <c r="X33" s="244"/>
      <c r="Y33" s="244"/>
      <c r="Z33" s="244"/>
      <c r="AA33" s="244"/>
      <c r="AB33" s="244"/>
      <c r="AC33" s="244"/>
      <c r="AD33" s="244"/>
      <c r="AE33" s="244"/>
      <c r="AF33" s="244"/>
      <c r="AG33" s="244"/>
      <c r="AH33" s="244"/>
      <c r="AI33" s="244"/>
      <c r="AJ33" s="244"/>
      <c r="AK33" s="245" t="str">
        <f t="shared" si="2"/>
        <v>Sim</v>
      </c>
      <c r="AL33" s="335">
        <f t="shared" si="3"/>
        <v>1</v>
      </c>
    </row>
    <row r="34" spans="1:38" s="32" customFormat="1" x14ac:dyDescent="0.25">
      <c r="A34" s="155">
        <v>4</v>
      </c>
      <c r="B34" s="218" t="s">
        <v>5798</v>
      </c>
      <c r="C34" s="190" t="str">
        <f>IF(Envoltória!C19="","",Envoltória!C19)</f>
        <v>Sala 01 ZT4</v>
      </c>
      <c r="D34" s="190">
        <f>IF(Envoltória!D19="","",Envoltória!D19)</f>
        <v>92.25</v>
      </c>
      <c r="E34" s="317">
        <f>Envoltória!AD19</f>
        <v>13398</v>
      </c>
      <c r="F34" s="218" t="s">
        <v>6220</v>
      </c>
      <c r="G34" s="317" t="str">
        <f>IF(C34="","",VLOOKUP(F34,Componentes!$AB:$AG,2,FALSE))</f>
        <v>Baixa capacidade (até 17.6kW)</v>
      </c>
      <c r="H34" s="317">
        <f>IF(F34="","",VLOOKUP(F34,Componentes!$AB:$AG,3,FALSE))</f>
        <v>10.5444</v>
      </c>
      <c r="I34" s="190" t="str">
        <f>IF(F34="","",VLOOKUP(F34,Componentes!$AB:$AG,4,FALSE))</f>
        <v>IDRS</v>
      </c>
      <c r="J34" s="190">
        <f>IF(F34="","",VLOOKUP(F34,Componentes!$AB:$AG,6,FALSE))</f>
        <v>45</v>
      </c>
      <c r="K34" s="190">
        <f>IF(F34="","",IF(I34&lt;&gt;"SPLV",VLOOKUP(F34,Componentes!$AB:$AG,5,FALSE),""))</f>
        <v>6</v>
      </c>
      <c r="L34" s="184">
        <f t="shared" si="1"/>
        <v>63.266399999999997</v>
      </c>
      <c r="M34" s="190" t="str">
        <f>IF(OR(I34="SPLV",I34="k"),VLOOKUP(F34,Componentes!$AB:$AG,5,FALSE),"")</f>
        <v/>
      </c>
      <c r="N34" s="185" t="str">
        <f t="shared" si="0"/>
        <v/>
      </c>
      <c r="O34" s="186"/>
      <c r="P34">
        <f>IF(Envoltória!D19="","",J34*$S$1*$S$2/1000)</f>
        <v>4.5</v>
      </c>
      <c r="Q34" s="242"/>
      <c r="R34" s="92" t="s">
        <v>5836</v>
      </c>
      <c r="S34" s="91"/>
      <c r="T34" s="24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244"/>
      <c r="AJ34" s="244"/>
      <c r="AK34" s="245" t="str">
        <f t="shared" si="2"/>
        <v>Sim</v>
      </c>
      <c r="AL34" s="335">
        <f t="shared" si="3"/>
        <v>1</v>
      </c>
    </row>
    <row r="35" spans="1:38" s="32" customFormat="1" x14ac:dyDescent="0.25">
      <c r="A35" s="155">
        <v>5</v>
      </c>
      <c r="B35" s="218" t="s">
        <v>5798</v>
      </c>
      <c r="C35" s="190" t="str">
        <f>IF(Envoltória!C20="","",Envoltória!C20)</f>
        <v>Sala 01 ZT5</v>
      </c>
      <c r="D35" s="190">
        <f>IF(Envoltória!D20="","",Envoltória!D20)</f>
        <v>256</v>
      </c>
      <c r="E35" s="317">
        <f>Envoltória!AD20</f>
        <v>28397.335937499905</v>
      </c>
      <c r="F35" s="218" t="s">
        <v>6220</v>
      </c>
      <c r="G35" s="317" t="str">
        <f>IF(C35="","",VLOOKUP(F35,Componentes!$AB:$AG,2,FALSE))</f>
        <v>Baixa capacidade (até 17.6kW)</v>
      </c>
      <c r="H35" s="317">
        <f>IF(F35="","",VLOOKUP(F35,Componentes!$AB:$AG,3,FALSE))</f>
        <v>10.5444</v>
      </c>
      <c r="I35" s="190" t="str">
        <f>IF(F35="","",VLOOKUP(F35,Componentes!$AB:$AG,4,FALSE))</f>
        <v>IDRS</v>
      </c>
      <c r="J35" s="190">
        <f>IF(F35="","",VLOOKUP(F35,Componentes!$AB:$AG,6,FALSE))</f>
        <v>45</v>
      </c>
      <c r="K35" s="190">
        <f>IF(F35="","",IF(I35&lt;&gt;"SPLV",VLOOKUP(F35,Componentes!$AB:$AG,5,FALSE),""))</f>
        <v>6</v>
      </c>
      <c r="L35" s="184">
        <f t="shared" si="1"/>
        <v>63.266399999999997</v>
      </c>
      <c r="M35" s="190" t="str">
        <f>IF(OR(I35="SPLV",I35="k"),VLOOKUP(F35,Componentes!$AB:$AG,5,FALSE),"")</f>
        <v/>
      </c>
      <c r="N35" s="185" t="str">
        <f t="shared" si="0"/>
        <v/>
      </c>
      <c r="O35" s="186"/>
      <c r="P35">
        <f>IF(Envoltória!D20="","",J35*$S$1*$S$2/1000)</f>
        <v>4.5</v>
      </c>
      <c r="Q35" s="242"/>
      <c r="R35" s="92" t="s">
        <v>5836</v>
      </c>
      <c r="S35" s="91"/>
      <c r="T35" s="244"/>
      <c r="U35" s="244"/>
      <c r="V35" s="244"/>
      <c r="W35" s="244"/>
      <c r="X35" s="244"/>
      <c r="Y35" s="244"/>
      <c r="Z35" s="244"/>
      <c r="AA35" s="244"/>
      <c r="AB35" s="244"/>
      <c r="AC35" s="244"/>
      <c r="AD35" s="244"/>
      <c r="AE35" s="244"/>
      <c r="AF35" s="244"/>
      <c r="AG35" s="244"/>
      <c r="AH35" s="244"/>
      <c r="AI35" s="244"/>
      <c r="AJ35" s="244"/>
      <c r="AK35" s="245" t="str">
        <f t="shared" si="2"/>
        <v>Sim</v>
      </c>
      <c r="AL35" s="335">
        <f t="shared" si="3"/>
        <v>1</v>
      </c>
    </row>
    <row r="36" spans="1:38" x14ac:dyDescent="0.25">
      <c r="A36" s="155">
        <v>6</v>
      </c>
      <c r="B36" s="218"/>
      <c r="C36" s="190" t="str">
        <f>IF(Envoltória!C21="","",Envoltória!C21)</f>
        <v/>
      </c>
      <c r="D36" s="190" t="str">
        <f>IF(Envoltória!D21="","",Envoltória!D21)</f>
        <v/>
      </c>
      <c r="E36" s="317">
        <f>Envoltória!AD21</f>
        <v>0</v>
      </c>
      <c r="F36" s="218"/>
      <c r="G36" s="317" t="str">
        <f>IF(C36="","",VLOOKUP(F36,Componentes!$AB:$AG,2,FALSE))</f>
        <v/>
      </c>
      <c r="H36" s="317" t="str">
        <f>IF(F36="","",VLOOKUP(F36,Componentes!$AB:$AG,3,FALSE))</f>
        <v/>
      </c>
      <c r="I36" s="190" t="str">
        <f>IF(F36="","",VLOOKUP(F36,Componentes!$AB:$AG,4,FALSE))</f>
        <v/>
      </c>
      <c r="J36" s="190" t="str">
        <f>IF(F36="","",VLOOKUP(F36,Componentes!$AB:$AG,6,FALSE))</f>
        <v/>
      </c>
      <c r="K36" s="190" t="str">
        <f>IF(F36="","",IF(I36&lt;&gt;"SPLV",VLOOKUP(F36,Componentes!$AB:$AG,5,FALSE),""))</f>
        <v/>
      </c>
      <c r="L36" s="184" t="str">
        <f t="shared" si="1"/>
        <v/>
      </c>
      <c r="M36" s="190" t="str">
        <f>IF(OR(I36="SPLV",I36="k"),VLOOKUP(F36,Componentes!$AB:$AG,5,FALSE),"")</f>
        <v/>
      </c>
      <c r="N36" s="185" t="str">
        <f t="shared" si="0"/>
        <v/>
      </c>
      <c r="O36" s="186"/>
      <c r="P36" t="str">
        <f>IF(Envoltória!D21="","",J36*$S$1*$S$2/1000)</f>
        <v/>
      </c>
      <c r="Q36" s="242"/>
      <c r="R36" s="92"/>
      <c r="S36" s="91"/>
      <c r="T36" s="244"/>
      <c r="U36" s="244"/>
      <c r="V36" s="244"/>
      <c r="W36" s="244"/>
      <c r="X36" s="244"/>
      <c r="Y36" s="244"/>
      <c r="Z36" s="244"/>
      <c r="AA36" s="244"/>
      <c r="AB36" s="244"/>
      <c r="AC36" s="244"/>
      <c r="AD36" s="244"/>
      <c r="AE36" s="244"/>
      <c r="AF36" s="244"/>
      <c r="AG36" s="244"/>
      <c r="AH36" s="244"/>
      <c r="AI36" s="244"/>
      <c r="AJ36" s="244"/>
      <c r="AK36" s="245" t="str">
        <f t="shared" si="2"/>
        <v/>
      </c>
      <c r="AL36" s="335">
        <f t="shared" si="3"/>
        <v>0</v>
      </c>
    </row>
    <row r="37" spans="1:38" x14ac:dyDescent="0.25">
      <c r="A37" s="155">
        <v>7</v>
      </c>
      <c r="B37" s="218"/>
      <c r="C37" s="190" t="str">
        <f>IF(Envoltória!C22="","",Envoltória!C22)</f>
        <v/>
      </c>
      <c r="D37" s="190" t="str">
        <f>IF(Envoltória!D22="","",Envoltória!D22)</f>
        <v/>
      </c>
      <c r="E37" s="317">
        <f>Envoltória!AD22</f>
        <v>0</v>
      </c>
      <c r="F37" s="218"/>
      <c r="G37" s="317" t="str">
        <f>IF(C37="","",VLOOKUP(F37,Componentes!$AB:$AG,2,FALSE))</f>
        <v/>
      </c>
      <c r="H37" s="317" t="str">
        <f>IF(F37="","",VLOOKUP(F37,Componentes!$AB:$AG,3,FALSE))</f>
        <v/>
      </c>
      <c r="I37" s="190" t="str">
        <f>IF(F37="","",VLOOKUP(F37,Componentes!$AB:$AG,4,FALSE))</f>
        <v/>
      </c>
      <c r="J37" s="190" t="str">
        <f>IF(F37="","",VLOOKUP(F37,Componentes!$AB:$AG,6,FALSE))</f>
        <v/>
      </c>
      <c r="K37" s="190" t="str">
        <f>IF(F37="","",IF(I37&lt;&gt;"SPLV",VLOOKUP(F37,Componentes!$AB:$AG,5,FALSE),""))</f>
        <v/>
      </c>
      <c r="L37" s="184" t="str">
        <f t="shared" si="1"/>
        <v/>
      </c>
      <c r="M37" s="190" t="str">
        <f>IF(OR(I37="SPLV",I37="k"),VLOOKUP(F37,Componentes!$AB:$AG,5,FALSE),"")</f>
        <v/>
      </c>
      <c r="N37" s="185" t="str">
        <f t="shared" si="0"/>
        <v/>
      </c>
      <c r="O37" s="186"/>
      <c r="P37" t="str">
        <f>IF(Envoltória!D22="","",J37*$S$1*$S$2/1000)</f>
        <v/>
      </c>
      <c r="Q37" s="242"/>
      <c r="R37" s="92"/>
      <c r="S37" s="91"/>
      <c r="T37" s="244"/>
      <c r="U37" s="244"/>
      <c r="V37" s="244"/>
      <c r="W37" s="244"/>
      <c r="X37" s="244"/>
      <c r="Y37" s="244"/>
      <c r="Z37" s="244"/>
      <c r="AA37" s="244"/>
      <c r="AB37" s="244"/>
      <c r="AC37" s="244"/>
      <c r="AD37" s="244"/>
      <c r="AE37" s="244"/>
      <c r="AF37" s="244"/>
      <c r="AG37" s="244"/>
      <c r="AH37" s="244"/>
      <c r="AI37" s="244"/>
      <c r="AJ37" s="244"/>
      <c r="AK37" s="245" t="str">
        <f t="shared" si="2"/>
        <v/>
      </c>
      <c r="AL37" s="335">
        <f t="shared" si="3"/>
        <v>0</v>
      </c>
    </row>
    <row r="38" spans="1:38" x14ac:dyDescent="0.25">
      <c r="A38" s="155">
        <v>8</v>
      </c>
      <c r="B38" s="218"/>
      <c r="C38" s="190" t="str">
        <f>IF(Envoltória!C23="","",Envoltória!C23)</f>
        <v/>
      </c>
      <c r="D38" s="190" t="str">
        <f>IF(Envoltória!D23="","",Envoltória!D23)</f>
        <v/>
      </c>
      <c r="E38" s="317">
        <f>Envoltória!AD23</f>
        <v>0</v>
      </c>
      <c r="F38" s="218"/>
      <c r="G38" s="317" t="str">
        <f>IF(C38="","",VLOOKUP(F38,Componentes!$AB:$AG,2,FALSE))</f>
        <v/>
      </c>
      <c r="H38" s="317" t="str">
        <f>IF(F38="","",VLOOKUP(F38,Componentes!$AB:$AG,3,FALSE))</f>
        <v/>
      </c>
      <c r="I38" s="190" t="str">
        <f>IF(F38="","",VLOOKUP(F38,Componentes!$AB:$AG,4,FALSE))</f>
        <v/>
      </c>
      <c r="J38" s="190" t="str">
        <f>IF(F38="","",VLOOKUP(F38,Componentes!$AB:$AG,6,FALSE))</f>
        <v/>
      </c>
      <c r="K38" s="190" t="str">
        <f>IF(F38="","",IF(I38&lt;&gt;"SPLV",VLOOKUP(F38,Componentes!$AB:$AG,5,FALSE),""))</f>
        <v/>
      </c>
      <c r="L38" s="184" t="str">
        <f t="shared" si="1"/>
        <v/>
      </c>
      <c r="M38" s="190" t="str">
        <f>IF(OR(I38="SPLV",I38="k"),VLOOKUP(F38,Componentes!$AB:$AG,5,FALSE),"")</f>
        <v/>
      </c>
      <c r="N38" s="185" t="str">
        <f t="shared" si="0"/>
        <v/>
      </c>
      <c r="O38" s="186"/>
      <c r="P38" t="str">
        <f>IF(Envoltória!D23="","",J38*$S$1*$S$2/1000)</f>
        <v/>
      </c>
      <c r="Q38" s="242"/>
      <c r="R38" s="92"/>
      <c r="S38" s="91"/>
      <c r="T38" s="244"/>
      <c r="U38" s="244"/>
      <c r="V38" s="244"/>
      <c r="W38" s="244"/>
      <c r="X38" s="244"/>
      <c r="Y38" s="244"/>
      <c r="Z38" s="244"/>
      <c r="AA38" s="244"/>
      <c r="AB38" s="244"/>
      <c r="AC38" s="244"/>
      <c r="AD38" s="244"/>
      <c r="AE38" s="244"/>
      <c r="AF38" s="244"/>
      <c r="AG38" s="244"/>
      <c r="AH38" s="244"/>
      <c r="AI38" s="244"/>
      <c r="AJ38" s="244"/>
      <c r="AK38" s="245" t="str">
        <f t="shared" si="2"/>
        <v/>
      </c>
      <c r="AL38" s="335">
        <f t="shared" si="3"/>
        <v>0</v>
      </c>
    </row>
    <row r="39" spans="1:38" x14ac:dyDescent="0.25">
      <c r="A39" s="155">
        <v>9</v>
      </c>
      <c r="B39" s="218"/>
      <c r="C39" s="190" t="str">
        <f>IF(Envoltória!C24="","",Envoltória!C24)</f>
        <v/>
      </c>
      <c r="D39" s="190" t="str">
        <f>IF(Envoltória!D24="","",Envoltória!D24)</f>
        <v/>
      </c>
      <c r="E39" s="317">
        <f>Envoltória!AD24</f>
        <v>0</v>
      </c>
      <c r="F39" s="218"/>
      <c r="G39" s="317" t="str">
        <f>IF(C39="","",VLOOKUP(F39,Componentes!$AB:$AG,2,FALSE))</f>
        <v/>
      </c>
      <c r="H39" s="317" t="str">
        <f>IF(F39="","",VLOOKUP(F39,Componentes!$AB:$AG,3,FALSE))</f>
        <v/>
      </c>
      <c r="I39" s="190" t="str">
        <f>IF(F39="","",VLOOKUP(F39,Componentes!$AB:$AG,4,FALSE))</f>
        <v/>
      </c>
      <c r="J39" s="190" t="str">
        <f>IF(F39="","",VLOOKUP(F39,Componentes!$AB:$AG,6,FALSE))</f>
        <v/>
      </c>
      <c r="K39" s="190" t="str">
        <f>IF(F39="","",IF(I39&lt;&gt;"SPLV",VLOOKUP(F39,Componentes!$AB:$AG,5,FALSE),""))</f>
        <v/>
      </c>
      <c r="L39" s="184" t="str">
        <f t="shared" si="1"/>
        <v/>
      </c>
      <c r="M39" s="190" t="str">
        <f>IF(OR(I39="SPLV",I39="k"),VLOOKUP(F39,Componentes!$AB:$AG,5,FALSE),"")</f>
        <v/>
      </c>
      <c r="N39" s="185" t="str">
        <f t="shared" si="0"/>
        <v/>
      </c>
      <c r="O39" s="186"/>
      <c r="P39" t="str">
        <f>IF(Envoltória!D24="","",J39*$S$1*$S$2/1000)</f>
        <v/>
      </c>
      <c r="Q39" s="242"/>
      <c r="R39" s="92"/>
      <c r="S39" s="91"/>
      <c r="T39" s="244"/>
      <c r="U39" s="244"/>
      <c r="V39" s="244"/>
      <c r="W39" s="244"/>
      <c r="X39" s="244"/>
      <c r="Y39" s="244"/>
      <c r="Z39" s="244"/>
      <c r="AA39" s="244"/>
      <c r="AB39" s="244"/>
      <c r="AC39" s="244"/>
      <c r="AD39" s="244"/>
      <c r="AE39" s="244"/>
      <c r="AF39" s="244"/>
      <c r="AG39" s="244"/>
      <c r="AH39" s="244"/>
      <c r="AI39" s="244"/>
      <c r="AJ39" s="244"/>
      <c r="AK39" s="245" t="str">
        <f t="shared" si="2"/>
        <v/>
      </c>
      <c r="AL39" s="335">
        <f t="shared" si="3"/>
        <v>0</v>
      </c>
    </row>
    <row r="40" spans="1:38" x14ac:dyDescent="0.25">
      <c r="A40" s="155">
        <v>10</v>
      </c>
      <c r="B40" s="218"/>
      <c r="C40" s="190" t="str">
        <f>IF(Envoltória!C25="","",Envoltória!C25)</f>
        <v/>
      </c>
      <c r="D40" s="190" t="str">
        <f>IF(Envoltória!D25="","",Envoltória!D25)</f>
        <v/>
      </c>
      <c r="E40" s="317">
        <f>Envoltória!AD25</f>
        <v>0</v>
      </c>
      <c r="F40" s="218"/>
      <c r="G40" s="317" t="str">
        <f>IF(C40="","",VLOOKUP(F40,Componentes!$AB:$AG,2,FALSE))</f>
        <v/>
      </c>
      <c r="H40" s="317" t="str">
        <f>IF(F40="","",VLOOKUP(F40,Componentes!$AB:$AG,3,FALSE))</f>
        <v/>
      </c>
      <c r="I40" s="190" t="str">
        <f>IF(F40="","",VLOOKUP(F40,Componentes!$AB:$AG,4,FALSE))</f>
        <v/>
      </c>
      <c r="J40" s="190" t="str">
        <f>IF(F40="","",VLOOKUP(F40,Componentes!$AB:$AG,6,FALSE))</f>
        <v/>
      </c>
      <c r="K40" s="190" t="str">
        <f>IF(F40="","",IF(I40&lt;&gt;"SPLV",VLOOKUP(F40,Componentes!$AB:$AG,5,FALSE),""))</f>
        <v/>
      </c>
      <c r="L40" s="184" t="str">
        <f t="shared" si="1"/>
        <v/>
      </c>
      <c r="M40" s="190" t="str">
        <f>IF(OR(I40="SPLV",I40="k"),VLOOKUP(F40,Componentes!$AB:$AG,5,FALSE),"")</f>
        <v/>
      </c>
      <c r="N40" s="185" t="str">
        <f t="shared" si="0"/>
        <v/>
      </c>
      <c r="O40" s="186"/>
      <c r="P40" t="str">
        <f>IF(Envoltória!D25="","",J40*$S$1*$S$2/1000)</f>
        <v/>
      </c>
      <c r="Q40" s="242"/>
      <c r="R40" s="92"/>
      <c r="S40" s="91"/>
      <c r="T40" s="244"/>
      <c r="U40" s="244"/>
      <c r="V40" s="244"/>
      <c r="W40" s="244"/>
      <c r="X40" s="244"/>
      <c r="Y40" s="244"/>
      <c r="Z40" s="244"/>
      <c r="AA40" s="244"/>
      <c r="AB40" s="244"/>
      <c r="AC40" s="244"/>
      <c r="AD40" s="244"/>
      <c r="AE40" s="244"/>
      <c r="AF40" s="244"/>
      <c r="AG40" s="244"/>
      <c r="AH40" s="244"/>
      <c r="AI40" s="244"/>
      <c r="AJ40" s="244"/>
      <c r="AK40" s="245" t="str">
        <f t="shared" si="2"/>
        <v/>
      </c>
      <c r="AL40" s="335">
        <f t="shared" si="3"/>
        <v>0</v>
      </c>
    </row>
    <row r="41" spans="1:38" x14ac:dyDescent="0.25">
      <c r="A41" s="155">
        <v>11</v>
      </c>
      <c r="B41" s="218"/>
      <c r="C41" s="190" t="str">
        <f>IF(Envoltória!C26="","",Envoltória!C26)</f>
        <v/>
      </c>
      <c r="D41" s="190" t="str">
        <f>IF(Envoltória!D26="","",Envoltória!D26)</f>
        <v/>
      </c>
      <c r="E41" s="317">
        <f>Envoltória!AD26</f>
        <v>0</v>
      </c>
      <c r="F41" s="218"/>
      <c r="G41" s="317" t="str">
        <f>IF(C41="","",VLOOKUP(F41,Componentes!$AB:$AG,2,FALSE))</f>
        <v/>
      </c>
      <c r="H41" s="317" t="str">
        <f>IF(F41="","",VLOOKUP(F41,Componentes!$AB:$AG,3,FALSE))</f>
        <v/>
      </c>
      <c r="I41" s="190" t="str">
        <f>IF(F41="","",VLOOKUP(F41,Componentes!$AB:$AG,4,FALSE))</f>
        <v/>
      </c>
      <c r="J41" s="190" t="str">
        <f>IF(F41="","",VLOOKUP(F41,Componentes!$AB:$AG,6,FALSE))</f>
        <v/>
      </c>
      <c r="K41" s="190" t="str">
        <f>IF(F41="","",IF(I41&lt;&gt;"SPLV",VLOOKUP(F41,Componentes!$AB:$AG,5,FALSE),""))</f>
        <v/>
      </c>
      <c r="L41" s="184" t="str">
        <f t="shared" si="1"/>
        <v/>
      </c>
      <c r="M41" s="190" t="str">
        <f>IF(OR(I41="SPLV",I41="k"),VLOOKUP(F41,Componentes!$AB:$AG,5,FALSE),"")</f>
        <v/>
      </c>
      <c r="N41" s="185" t="str">
        <f t="shared" si="0"/>
        <v/>
      </c>
      <c r="O41" s="186"/>
      <c r="P41" t="str">
        <f>IF(Envoltória!D26="","",J41*$S$1*$S$2/1000)</f>
        <v/>
      </c>
      <c r="Q41" s="242"/>
      <c r="R41" s="92"/>
      <c r="S41" s="91"/>
      <c r="T41" s="244"/>
      <c r="U41" s="244"/>
      <c r="V41" s="244"/>
      <c r="W41" s="244"/>
      <c r="X41" s="244"/>
      <c r="Y41" s="244"/>
      <c r="Z41" s="244"/>
      <c r="AA41" s="244"/>
      <c r="AB41" s="244"/>
      <c r="AC41" s="244"/>
      <c r="AD41" s="244"/>
      <c r="AE41" s="244"/>
      <c r="AF41" s="244"/>
      <c r="AG41" s="244"/>
      <c r="AH41" s="244"/>
      <c r="AI41" s="244"/>
      <c r="AJ41" s="244"/>
      <c r="AK41" s="245" t="str">
        <f t="shared" si="2"/>
        <v/>
      </c>
      <c r="AL41" s="335">
        <f t="shared" si="3"/>
        <v>0</v>
      </c>
    </row>
    <row r="42" spans="1:38" x14ac:dyDescent="0.25">
      <c r="A42" s="155">
        <v>12</v>
      </c>
      <c r="B42" s="218"/>
      <c r="C42" s="190" t="str">
        <f>IF(Envoltória!C27="","",Envoltória!C27)</f>
        <v/>
      </c>
      <c r="D42" s="190" t="str">
        <f>IF(Envoltória!D27="","",Envoltória!D27)</f>
        <v/>
      </c>
      <c r="E42" s="317">
        <f>Envoltória!AD27</f>
        <v>0</v>
      </c>
      <c r="F42" s="218"/>
      <c r="G42" s="317" t="str">
        <f>IF(C42="","",VLOOKUP(F42,Componentes!$AB:$AG,2,FALSE))</f>
        <v/>
      </c>
      <c r="H42" s="317" t="str">
        <f>IF(F42="","",VLOOKUP(F42,Componentes!$AB:$AG,3,FALSE))</f>
        <v/>
      </c>
      <c r="I42" s="190" t="str">
        <f>IF(F42="","",VLOOKUP(F42,Componentes!$AB:$AG,4,FALSE))</f>
        <v/>
      </c>
      <c r="J42" s="190" t="str">
        <f>IF(F42="","",VLOOKUP(F42,Componentes!$AB:$AG,6,FALSE))</f>
        <v/>
      </c>
      <c r="K42" s="190" t="str">
        <f>IF(F42="","",IF(I42&lt;&gt;"SPLV",VLOOKUP(F42,Componentes!$AB:$AG,5,FALSE),""))</f>
        <v/>
      </c>
      <c r="L42" s="184" t="str">
        <f t="shared" si="1"/>
        <v/>
      </c>
      <c r="M42" s="190" t="str">
        <f>IF(OR(I42="SPLV",I42="k"),VLOOKUP(F42,Componentes!$AB:$AG,5,FALSE),"")</f>
        <v/>
      </c>
      <c r="N42" s="185" t="str">
        <f t="shared" si="0"/>
        <v/>
      </c>
      <c r="O42" s="186"/>
      <c r="P42" t="str">
        <f>IF(Envoltória!D27="","",J42*$S$1*$S$2/1000)</f>
        <v/>
      </c>
      <c r="Q42" s="242"/>
      <c r="R42" s="92"/>
      <c r="S42" s="91"/>
      <c r="T42" s="244"/>
      <c r="U42" s="244"/>
      <c r="V42" s="244"/>
      <c r="W42" s="244"/>
      <c r="X42" s="244"/>
      <c r="Y42" s="244"/>
      <c r="Z42" s="244"/>
      <c r="AA42" s="244"/>
      <c r="AB42" s="244"/>
      <c r="AC42" s="244"/>
      <c r="AD42" s="244"/>
      <c r="AE42" s="244"/>
      <c r="AF42" s="244"/>
      <c r="AG42" s="244"/>
      <c r="AH42" s="244"/>
      <c r="AI42" s="244"/>
      <c r="AJ42" s="244"/>
      <c r="AK42" s="245" t="str">
        <f t="shared" si="2"/>
        <v/>
      </c>
      <c r="AL42" s="335">
        <f t="shared" si="3"/>
        <v>0</v>
      </c>
    </row>
    <row r="43" spans="1:38" x14ac:dyDescent="0.25">
      <c r="A43" s="155">
        <v>13</v>
      </c>
      <c r="B43" s="218"/>
      <c r="C43" s="190" t="str">
        <f>IF(Envoltória!C28="","",Envoltória!C28)</f>
        <v/>
      </c>
      <c r="D43" s="190" t="str">
        <f>IF(Envoltória!D28="","",Envoltória!D28)</f>
        <v/>
      </c>
      <c r="E43" s="317">
        <f>Envoltória!AD28</f>
        <v>0</v>
      </c>
      <c r="F43" s="218"/>
      <c r="G43" s="317" t="str">
        <f>IF(C43="","",VLOOKUP(F43,Componentes!$AB:$AG,2,FALSE))</f>
        <v/>
      </c>
      <c r="H43" s="317" t="str">
        <f>IF(F43="","",VLOOKUP(F43,Componentes!$AB:$AG,3,FALSE))</f>
        <v/>
      </c>
      <c r="I43" s="190" t="str">
        <f>IF(F43="","",VLOOKUP(F43,Componentes!$AB:$AG,4,FALSE))</f>
        <v/>
      </c>
      <c r="J43" s="190" t="str">
        <f>IF(F43="","",VLOOKUP(F43,Componentes!$AB:$AG,6,FALSE))</f>
        <v/>
      </c>
      <c r="K43" s="190" t="str">
        <f>IF(F43="","",IF(I43&lt;&gt;"SPLV",VLOOKUP(F43,Componentes!$AB:$AG,5,FALSE),""))</f>
        <v/>
      </c>
      <c r="L43" s="184" t="str">
        <f t="shared" si="1"/>
        <v/>
      </c>
      <c r="M43" s="190" t="str">
        <f>IF(OR(I43="SPLV",I43="k"),VLOOKUP(F43,Componentes!$AB:$AG,5,FALSE),"")</f>
        <v/>
      </c>
      <c r="N43" s="185" t="str">
        <f t="shared" si="0"/>
        <v/>
      </c>
      <c r="O43" s="186"/>
      <c r="P43" t="str">
        <f>IF(Envoltória!D28="","",J43*$S$1*$S$2/1000)</f>
        <v/>
      </c>
      <c r="Q43" s="242"/>
      <c r="R43" s="92"/>
      <c r="S43" s="91"/>
      <c r="T43" s="244"/>
      <c r="U43" s="244"/>
      <c r="V43" s="244"/>
      <c r="W43" s="244"/>
      <c r="X43" s="244"/>
      <c r="Y43" s="244"/>
      <c r="Z43" s="244"/>
      <c r="AA43" s="244"/>
      <c r="AB43" s="244"/>
      <c r="AC43" s="244"/>
      <c r="AD43" s="244"/>
      <c r="AE43" s="244"/>
      <c r="AF43" s="244"/>
      <c r="AG43" s="244"/>
      <c r="AH43" s="244"/>
      <c r="AI43" s="244"/>
      <c r="AJ43" s="244"/>
      <c r="AK43" s="245" t="str">
        <f t="shared" si="2"/>
        <v/>
      </c>
      <c r="AL43" s="335">
        <f t="shared" si="3"/>
        <v>0</v>
      </c>
    </row>
    <row r="44" spans="1:38" x14ac:dyDescent="0.25">
      <c r="A44" s="155">
        <v>14</v>
      </c>
      <c r="B44" s="218"/>
      <c r="C44" s="190" t="str">
        <f>IF(Envoltória!C29="","",Envoltória!C29)</f>
        <v/>
      </c>
      <c r="D44" s="190" t="str">
        <f>IF(Envoltória!D29="","",Envoltória!D29)</f>
        <v/>
      </c>
      <c r="E44" s="317">
        <f>Envoltória!AD29</f>
        <v>0</v>
      </c>
      <c r="F44" s="218"/>
      <c r="G44" s="317" t="str">
        <f>IF(C44="","",VLOOKUP(F44,Componentes!$AB:$AG,2,FALSE))</f>
        <v/>
      </c>
      <c r="H44" s="317" t="str">
        <f>IF(F44="","",VLOOKUP(F44,Componentes!$AB:$AG,3,FALSE))</f>
        <v/>
      </c>
      <c r="I44" s="190" t="str">
        <f>IF(F44="","",VLOOKUP(F44,Componentes!$AB:$AG,4,FALSE))</f>
        <v/>
      </c>
      <c r="J44" s="190" t="str">
        <f>IF(F44="","",VLOOKUP(F44,Componentes!$AB:$AG,6,FALSE))</f>
        <v/>
      </c>
      <c r="K44" s="190" t="str">
        <f>IF(F44="","",IF(I44&lt;&gt;"SPLV",VLOOKUP(F44,Componentes!$AB:$AG,5,FALSE),""))</f>
        <v/>
      </c>
      <c r="L44" s="184" t="str">
        <f t="shared" si="1"/>
        <v/>
      </c>
      <c r="M44" s="190" t="str">
        <f>IF(OR(I44="SPLV",I44="k"),VLOOKUP(F44,Componentes!$AB:$AG,5,FALSE),"")</f>
        <v/>
      </c>
      <c r="N44" s="185" t="str">
        <f t="shared" si="0"/>
        <v/>
      </c>
      <c r="O44" s="186"/>
      <c r="P44" t="str">
        <f>IF(Envoltória!D29="","",J44*$S$1*$S$2/1000)</f>
        <v/>
      </c>
      <c r="Q44" s="242"/>
      <c r="R44" s="92"/>
      <c r="S44" s="91"/>
      <c r="T44" s="244"/>
      <c r="U44" s="244"/>
      <c r="V44" s="244"/>
      <c r="W44" s="244"/>
      <c r="X44" s="244"/>
      <c r="Y44" s="244"/>
      <c r="Z44" s="244"/>
      <c r="AA44" s="244"/>
      <c r="AB44" s="244"/>
      <c r="AC44" s="244"/>
      <c r="AD44" s="244"/>
      <c r="AE44" s="244"/>
      <c r="AF44" s="244"/>
      <c r="AG44" s="244"/>
      <c r="AH44" s="244"/>
      <c r="AI44" s="244"/>
      <c r="AJ44" s="244"/>
      <c r="AK44" s="245" t="str">
        <f t="shared" si="2"/>
        <v/>
      </c>
      <c r="AL44" s="335">
        <f t="shared" si="3"/>
        <v>0</v>
      </c>
    </row>
    <row r="45" spans="1:38" x14ac:dyDescent="0.25">
      <c r="A45" s="155">
        <v>15</v>
      </c>
      <c r="B45" s="218"/>
      <c r="C45" s="190" t="str">
        <f>IF(Envoltória!C30="","",Envoltória!C30)</f>
        <v/>
      </c>
      <c r="D45" s="190" t="str">
        <f>IF(Envoltória!D30="","",Envoltória!D30)</f>
        <v/>
      </c>
      <c r="E45" s="317">
        <f>Envoltória!AD30</f>
        <v>0</v>
      </c>
      <c r="F45" s="218"/>
      <c r="G45" s="317" t="str">
        <f>IF(C45="","",VLOOKUP(F45,Componentes!$AB:$AG,2,FALSE))</f>
        <v/>
      </c>
      <c r="H45" s="317" t="str">
        <f>IF(F45="","",VLOOKUP(F45,Componentes!$AB:$AG,3,FALSE))</f>
        <v/>
      </c>
      <c r="I45" s="190" t="str">
        <f>IF(F45="","",VLOOKUP(F45,Componentes!$AB:$AG,4,FALSE))</f>
        <v/>
      </c>
      <c r="J45" s="190" t="str">
        <f>IF(F45="","",VLOOKUP(F45,Componentes!$AB:$AG,6,FALSE))</f>
        <v/>
      </c>
      <c r="K45" s="190" t="str">
        <f>IF(F45="","",IF(I45&lt;&gt;"SPLV",VLOOKUP(F45,Componentes!$AB:$AG,5,FALSE),""))</f>
        <v/>
      </c>
      <c r="L45" s="184" t="str">
        <f t="shared" si="1"/>
        <v/>
      </c>
      <c r="M45" s="190" t="str">
        <f>IF(OR(I45="SPLV",I45="k"),VLOOKUP(F45,Componentes!$AB:$AG,5,FALSE),"")</f>
        <v/>
      </c>
      <c r="N45" s="185" t="str">
        <f t="shared" si="0"/>
        <v/>
      </c>
      <c r="O45" s="186"/>
      <c r="P45" t="str">
        <f>IF(Envoltória!D30="","",J45*$S$1*$S$2/1000)</f>
        <v/>
      </c>
      <c r="Q45" s="242"/>
      <c r="R45" s="92"/>
      <c r="S45" s="91"/>
      <c r="T45" s="244"/>
      <c r="U45" s="244"/>
      <c r="V45" s="244"/>
      <c r="W45" s="244"/>
      <c r="X45" s="244"/>
      <c r="Y45" s="244"/>
      <c r="Z45" s="244"/>
      <c r="AA45" s="244"/>
      <c r="AB45" s="244"/>
      <c r="AC45" s="244"/>
      <c r="AD45" s="244"/>
      <c r="AE45" s="244"/>
      <c r="AF45" s="244"/>
      <c r="AG45" s="244"/>
      <c r="AH45" s="244"/>
      <c r="AI45" s="244"/>
      <c r="AJ45" s="244"/>
      <c r="AK45" s="245" t="str">
        <f t="shared" si="2"/>
        <v/>
      </c>
      <c r="AL45" s="335">
        <f t="shared" si="3"/>
        <v>0</v>
      </c>
    </row>
    <row r="46" spans="1:38" x14ac:dyDescent="0.25">
      <c r="A46" s="155">
        <v>16</v>
      </c>
      <c r="B46" s="218"/>
      <c r="C46" s="190" t="str">
        <f>IF(Envoltória!C31="","",Envoltória!C31)</f>
        <v/>
      </c>
      <c r="D46" s="190" t="str">
        <f>IF(Envoltória!D31="","",Envoltória!D31)</f>
        <v/>
      </c>
      <c r="E46" s="317">
        <f>Envoltória!AD31</f>
        <v>0</v>
      </c>
      <c r="F46" s="218"/>
      <c r="G46" s="317" t="str">
        <f>IF(C46="","",VLOOKUP(F46,Componentes!$AB:$AG,2,FALSE))</f>
        <v/>
      </c>
      <c r="H46" s="317" t="str">
        <f>IF(F46="","",VLOOKUP(F46,Componentes!$AB:$AG,3,FALSE))</f>
        <v/>
      </c>
      <c r="I46" s="190" t="str">
        <f>IF(F46="","",VLOOKUP(F46,Componentes!$AB:$AG,4,FALSE))</f>
        <v/>
      </c>
      <c r="J46" s="190" t="str">
        <f>IF(F46="","",VLOOKUP(F46,Componentes!$AB:$AG,6,FALSE))</f>
        <v/>
      </c>
      <c r="K46" s="190" t="str">
        <f>IF(F46="","",IF(I46&lt;&gt;"SPLV",VLOOKUP(F46,Componentes!$AB:$AG,5,FALSE),""))</f>
        <v/>
      </c>
      <c r="L46" s="184" t="str">
        <f t="shared" si="1"/>
        <v/>
      </c>
      <c r="M46" s="190" t="str">
        <f>IF(OR(I46="SPLV",I46="k"),VLOOKUP(F46,Componentes!$AB:$AG,5,FALSE),"")</f>
        <v/>
      </c>
      <c r="N46" s="185" t="str">
        <f t="shared" si="0"/>
        <v/>
      </c>
      <c r="O46" s="186"/>
      <c r="P46" t="str">
        <f>IF(Envoltória!D31="","",J46*$S$1*$S$2/1000)</f>
        <v/>
      </c>
      <c r="Q46" s="242"/>
      <c r="R46" s="92"/>
      <c r="S46" s="91"/>
      <c r="T46" s="244"/>
      <c r="U46" s="244"/>
      <c r="V46" s="244"/>
      <c r="W46" s="244"/>
      <c r="X46" s="244"/>
      <c r="Y46" s="244"/>
      <c r="Z46" s="244"/>
      <c r="AA46" s="244"/>
      <c r="AB46" s="244"/>
      <c r="AC46" s="244"/>
      <c r="AD46" s="244"/>
      <c r="AE46" s="244"/>
      <c r="AF46" s="244"/>
      <c r="AG46" s="244"/>
      <c r="AH46" s="244"/>
      <c r="AI46" s="244"/>
      <c r="AJ46" s="244"/>
      <c r="AK46" s="245" t="str">
        <f t="shared" si="2"/>
        <v/>
      </c>
      <c r="AL46" s="335">
        <f t="shared" si="3"/>
        <v>0</v>
      </c>
    </row>
    <row r="47" spans="1:38" x14ac:dyDescent="0.25">
      <c r="A47" s="155">
        <v>17</v>
      </c>
      <c r="B47" s="218"/>
      <c r="C47" s="190" t="str">
        <f>IF(Envoltória!C32="","",Envoltória!C32)</f>
        <v/>
      </c>
      <c r="D47" s="190" t="str">
        <f>IF(Envoltória!D32="","",Envoltória!D32)</f>
        <v/>
      </c>
      <c r="E47" s="317">
        <f>Envoltória!AD32</f>
        <v>0</v>
      </c>
      <c r="F47" s="218"/>
      <c r="G47" s="317" t="str">
        <f>IF(C47="","",VLOOKUP(F47,Componentes!$AB:$AG,2,FALSE))</f>
        <v/>
      </c>
      <c r="H47" s="317" t="str">
        <f>IF(F47="","",VLOOKUP(F47,Componentes!$AB:$AG,3,FALSE))</f>
        <v/>
      </c>
      <c r="I47" s="190" t="str">
        <f>IF(F47="","",VLOOKUP(F47,Componentes!$AB:$AG,4,FALSE))</f>
        <v/>
      </c>
      <c r="J47" s="190" t="str">
        <f>IF(F47="","",VLOOKUP(F47,Componentes!$AB:$AG,6,FALSE))</f>
        <v/>
      </c>
      <c r="K47" s="190" t="str">
        <f>IF(F47="","",IF(I47&lt;&gt;"SPLV",VLOOKUP(F47,Componentes!$AB:$AG,5,FALSE),""))</f>
        <v/>
      </c>
      <c r="L47" s="184" t="str">
        <f t="shared" si="1"/>
        <v/>
      </c>
      <c r="M47" s="190" t="str">
        <f>IF(OR(I47="SPLV",I47="k"),VLOOKUP(F47,Componentes!$AB:$AG,5,FALSE),"")</f>
        <v/>
      </c>
      <c r="N47" s="185" t="str">
        <f t="shared" si="0"/>
        <v/>
      </c>
      <c r="O47" s="186"/>
      <c r="P47" t="str">
        <f>IF(Envoltória!D32="","",J47*$S$1*$S$2/1000)</f>
        <v/>
      </c>
      <c r="Q47" s="242"/>
      <c r="R47" s="92"/>
      <c r="S47" s="91"/>
      <c r="T47" s="244"/>
      <c r="U47" s="244"/>
      <c r="V47" s="244"/>
      <c r="W47" s="244"/>
      <c r="X47" s="244"/>
      <c r="Y47" s="244"/>
      <c r="Z47" s="244"/>
      <c r="AA47" s="244"/>
      <c r="AB47" s="244"/>
      <c r="AC47" s="244"/>
      <c r="AD47" s="244"/>
      <c r="AE47" s="244"/>
      <c r="AF47" s="244"/>
      <c r="AG47" s="244"/>
      <c r="AH47" s="244"/>
      <c r="AI47" s="244"/>
      <c r="AJ47" s="244"/>
      <c r="AK47" s="245" t="str">
        <f t="shared" si="2"/>
        <v/>
      </c>
      <c r="AL47" s="335">
        <f t="shared" si="3"/>
        <v>0</v>
      </c>
    </row>
    <row r="48" spans="1:38" x14ac:dyDescent="0.25">
      <c r="A48" s="155">
        <v>18</v>
      </c>
      <c r="B48" s="218"/>
      <c r="C48" s="190" t="str">
        <f>IF(Envoltória!C33="","",Envoltória!C33)</f>
        <v/>
      </c>
      <c r="D48" s="190" t="str">
        <f>IF(Envoltória!D33="","",Envoltória!D33)</f>
        <v/>
      </c>
      <c r="E48" s="317">
        <f>Envoltória!AD33</f>
        <v>0</v>
      </c>
      <c r="F48" s="218"/>
      <c r="G48" s="317" t="str">
        <f>IF(C48="","",VLOOKUP(F48,Componentes!$AB:$AG,2,FALSE))</f>
        <v/>
      </c>
      <c r="H48" s="317" t="str">
        <f>IF(F48="","",VLOOKUP(F48,Componentes!$AB:$AG,3,FALSE))</f>
        <v/>
      </c>
      <c r="I48" s="190" t="str">
        <f>IF(F48="","",VLOOKUP(F48,Componentes!$AB:$AG,4,FALSE))</f>
        <v/>
      </c>
      <c r="J48" s="190" t="str">
        <f>IF(F48="","",VLOOKUP(F48,Componentes!$AB:$AG,6,FALSE))</f>
        <v/>
      </c>
      <c r="K48" s="190" t="str">
        <f>IF(F48="","",IF(I48&lt;&gt;"SPLV",VLOOKUP(F48,Componentes!$AB:$AG,5,FALSE),""))</f>
        <v/>
      </c>
      <c r="L48" s="184" t="str">
        <f t="shared" si="1"/>
        <v/>
      </c>
      <c r="M48" s="190" t="str">
        <f>IF(OR(I48="SPLV",I48="k"),VLOOKUP(F48,Componentes!$AB:$AG,5,FALSE),"")</f>
        <v/>
      </c>
      <c r="N48" s="185" t="str">
        <f t="shared" si="0"/>
        <v/>
      </c>
      <c r="O48" s="186"/>
      <c r="P48" t="str">
        <f>IF(Envoltória!D33="","",J48*$S$1*$S$2/1000)</f>
        <v/>
      </c>
      <c r="Q48" s="242"/>
      <c r="R48" s="92"/>
      <c r="S48" s="91"/>
      <c r="T48" s="244"/>
      <c r="U48" s="244"/>
      <c r="V48" s="244"/>
      <c r="W48" s="244"/>
      <c r="X48" s="244"/>
      <c r="Y48" s="244"/>
      <c r="Z48" s="244"/>
      <c r="AA48" s="244"/>
      <c r="AB48" s="244"/>
      <c r="AC48" s="244"/>
      <c r="AD48" s="244"/>
      <c r="AE48" s="244"/>
      <c r="AF48" s="244"/>
      <c r="AG48" s="244"/>
      <c r="AH48" s="244"/>
      <c r="AI48" s="244"/>
      <c r="AJ48" s="244"/>
      <c r="AK48" s="245" t="str">
        <f t="shared" si="2"/>
        <v/>
      </c>
      <c r="AL48" s="335">
        <f t="shared" si="3"/>
        <v>0</v>
      </c>
    </row>
    <row r="49" spans="1:38" x14ac:dyDescent="0.25">
      <c r="A49" s="155">
        <v>19</v>
      </c>
      <c r="B49" s="218"/>
      <c r="C49" s="190" t="str">
        <f>IF(Envoltória!C34="","",Envoltória!C34)</f>
        <v/>
      </c>
      <c r="D49" s="190" t="str">
        <f>IF(Envoltória!D34="","",Envoltória!D34)</f>
        <v/>
      </c>
      <c r="E49" s="317">
        <f>Envoltória!AD34</f>
        <v>0</v>
      </c>
      <c r="F49" s="218"/>
      <c r="G49" s="317" t="str">
        <f>IF(C49="","",VLOOKUP(F49,Componentes!$AB:$AG,2,FALSE))</f>
        <v/>
      </c>
      <c r="H49" s="317" t="str">
        <f>IF(F49="","",VLOOKUP(F49,Componentes!$AB:$AG,3,FALSE))</f>
        <v/>
      </c>
      <c r="I49" s="190" t="str">
        <f>IF(F49="","",VLOOKUP(F49,Componentes!$AB:$AG,4,FALSE))</f>
        <v/>
      </c>
      <c r="J49" s="190" t="str">
        <f>IF(F49="","",VLOOKUP(F49,Componentes!$AB:$AG,6,FALSE))</f>
        <v/>
      </c>
      <c r="K49" s="190" t="str">
        <f>IF(F49="","",IF(I49&lt;&gt;"SPLV",VLOOKUP(F49,Componentes!$AB:$AG,5,FALSE),""))</f>
        <v/>
      </c>
      <c r="L49" s="184" t="str">
        <f t="shared" si="1"/>
        <v/>
      </c>
      <c r="M49" s="190" t="str">
        <f>IF(OR(I49="SPLV",I49="k"),VLOOKUP(F49,Componentes!$AB:$AG,5,FALSE),"")</f>
        <v/>
      </c>
      <c r="N49" s="185" t="str">
        <f t="shared" si="0"/>
        <v/>
      </c>
      <c r="O49" s="186"/>
      <c r="P49" t="str">
        <f>IF(Envoltória!D34="","",J49*$S$1*$S$2/1000)</f>
        <v/>
      </c>
      <c r="Q49" s="242"/>
      <c r="R49" s="92"/>
      <c r="S49" s="91"/>
      <c r="T49" s="244"/>
      <c r="U49" s="244"/>
      <c r="V49" s="244"/>
      <c r="W49" s="244"/>
      <c r="X49" s="244"/>
      <c r="Y49" s="244"/>
      <c r="Z49" s="244"/>
      <c r="AA49" s="244"/>
      <c r="AB49" s="244"/>
      <c r="AC49" s="244"/>
      <c r="AD49" s="244"/>
      <c r="AE49" s="244"/>
      <c r="AF49" s="244"/>
      <c r="AG49" s="244"/>
      <c r="AH49" s="244"/>
      <c r="AI49" s="244"/>
      <c r="AJ49" s="244"/>
      <c r="AK49" s="245" t="str">
        <f t="shared" si="2"/>
        <v/>
      </c>
      <c r="AL49" s="335">
        <f t="shared" si="3"/>
        <v>0</v>
      </c>
    </row>
    <row r="50" spans="1:38" x14ac:dyDescent="0.25">
      <c r="A50" s="155">
        <v>20</v>
      </c>
      <c r="B50" s="218"/>
      <c r="C50" s="190" t="str">
        <f>IF(Envoltória!C35="","",Envoltória!C35)</f>
        <v/>
      </c>
      <c r="D50" s="190" t="str">
        <f>IF(Envoltória!D35="","",Envoltória!D35)</f>
        <v/>
      </c>
      <c r="E50" s="317">
        <f>Envoltória!AD35</f>
        <v>0</v>
      </c>
      <c r="F50" s="218"/>
      <c r="G50" s="317" t="str">
        <f>IF(C50="","",VLOOKUP(F50,Componentes!$AB:$AG,2,FALSE))</f>
        <v/>
      </c>
      <c r="H50" s="317" t="str">
        <f>IF(F50="","",VLOOKUP(F50,Componentes!$AB:$AG,3,FALSE))</f>
        <v/>
      </c>
      <c r="I50" s="190" t="str">
        <f>IF(F50="","",VLOOKUP(F50,Componentes!$AB:$AG,4,FALSE))</f>
        <v/>
      </c>
      <c r="J50" s="190" t="str">
        <f>IF(F50="","",VLOOKUP(F50,Componentes!$AB:$AG,6,FALSE))</f>
        <v/>
      </c>
      <c r="K50" s="190" t="str">
        <f>IF(F50="","",IF(I50&lt;&gt;"SPLV",VLOOKUP(F50,Componentes!$AB:$AG,5,FALSE),""))</f>
        <v/>
      </c>
      <c r="L50" s="184" t="str">
        <f t="shared" si="1"/>
        <v/>
      </c>
      <c r="M50" s="190" t="str">
        <f>IF(OR(I50="SPLV",I50="k"),VLOOKUP(F50,Componentes!$AB:$AG,5,FALSE),"")</f>
        <v/>
      </c>
      <c r="N50" s="185" t="str">
        <f t="shared" si="0"/>
        <v/>
      </c>
      <c r="O50" s="186"/>
      <c r="P50" t="str">
        <f>IF(Envoltória!D35="","",J50*$S$1*$S$2/1000)</f>
        <v/>
      </c>
      <c r="Q50" s="242"/>
      <c r="R50" s="92"/>
      <c r="S50" s="91"/>
      <c r="T50" s="244"/>
      <c r="U50" s="244"/>
      <c r="V50" s="244"/>
      <c r="W50" s="244"/>
      <c r="X50" s="244"/>
      <c r="Y50" s="244"/>
      <c r="Z50" s="244"/>
      <c r="AA50" s="244"/>
      <c r="AB50" s="244"/>
      <c r="AC50" s="244"/>
      <c r="AD50" s="244"/>
      <c r="AE50" s="244"/>
      <c r="AF50" s="244"/>
      <c r="AG50" s="244"/>
      <c r="AH50" s="244"/>
      <c r="AI50" s="244"/>
      <c r="AJ50" s="244"/>
      <c r="AK50" s="245" t="str">
        <f t="shared" si="2"/>
        <v/>
      </c>
      <c r="AL50" s="335">
        <f t="shared" si="3"/>
        <v>0</v>
      </c>
    </row>
    <row r="51" spans="1:38" x14ac:dyDescent="0.25">
      <c r="A51" s="155">
        <v>21</v>
      </c>
      <c r="B51" s="218"/>
      <c r="C51" s="190" t="str">
        <f>IF(Envoltória!C36="","",Envoltória!C36)</f>
        <v/>
      </c>
      <c r="D51" s="190" t="str">
        <f>IF(Envoltória!D36="","",Envoltória!D36)</f>
        <v/>
      </c>
      <c r="E51" s="317">
        <f>Envoltória!AD36</f>
        <v>0</v>
      </c>
      <c r="F51" s="218"/>
      <c r="G51" s="317" t="str">
        <f>IF(C51="","",VLOOKUP(F51,Componentes!$AB:$AG,2,FALSE))</f>
        <v/>
      </c>
      <c r="H51" s="317" t="str">
        <f>IF(F51="","",VLOOKUP(F51,Componentes!$AB:$AG,3,FALSE))</f>
        <v/>
      </c>
      <c r="I51" s="190" t="str">
        <f>IF(F51="","",VLOOKUP(F51,Componentes!$AB:$AG,4,FALSE))</f>
        <v/>
      </c>
      <c r="J51" s="190" t="str">
        <f>IF(F51="","",VLOOKUP(F51,Componentes!$AB:$AG,6,FALSE))</f>
        <v/>
      </c>
      <c r="K51" s="190" t="str">
        <f>IF(F51="","",IF(I51&lt;&gt;"SPLV",VLOOKUP(F51,Componentes!$AB:$AG,5,FALSE),""))</f>
        <v/>
      </c>
      <c r="L51" s="184" t="str">
        <f t="shared" si="1"/>
        <v/>
      </c>
      <c r="M51" s="190" t="str">
        <f>IF(OR(I51="SPLV",I51="k"),VLOOKUP(F51,Componentes!$AB:$AG,5,FALSE),"")</f>
        <v/>
      </c>
      <c r="N51" s="185" t="str">
        <f t="shared" si="0"/>
        <v/>
      </c>
      <c r="O51" s="186"/>
      <c r="P51" t="str">
        <f>IF(Envoltória!D36="","",J51*$S$1*$S$2/1000)</f>
        <v/>
      </c>
      <c r="Q51" s="242"/>
      <c r="R51" s="92"/>
      <c r="S51" s="91"/>
      <c r="T51" s="244"/>
      <c r="U51" s="244"/>
      <c r="V51" s="244"/>
      <c r="W51" s="244"/>
      <c r="X51" s="244"/>
      <c r="Y51" s="244"/>
      <c r="Z51" s="244"/>
      <c r="AA51" s="244"/>
      <c r="AB51" s="244"/>
      <c r="AC51" s="244"/>
      <c r="AD51" s="244"/>
      <c r="AE51" s="244"/>
      <c r="AF51" s="244"/>
      <c r="AG51" s="244"/>
      <c r="AH51" s="244"/>
      <c r="AI51" s="244"/>
      <c r="AJ51" s="244"/>
      <c r="AK51" s="245" t="str">
        <f t="shared" si="2"/>
        <v/>
      </c>
      <c r="AL51" s="335">
        <f t="shared" si="3"/>
        <v>0</v>
      </c>
    </row>
    <row r="52" spans="1:38" x14ac:dyDescent="0.25">
      <c r="A52" s="155">
        <v>22</v>
      </c>
      <c r="B52" s="218"/>
      <c r="C52" s="190" t="str">
        <f>IF(Envoltória!C37="","",Envoltória!C37)</f>
        <v/>
      </c>
      <c r="D52" s="190" t="str">
        <f>IF(Envoltória!D37="","",Envoltória!D37)</f>
        <v/>
      </c>
      <c r="E52" s="317">
        <f>Envoltória!AD37</f>
        <v>0</v>
      </c>
      <c r="F52" s="218"/>
      <c r="G52" s="317" t="str">
        <f>IF(C52="","",VLOOKUP(F52,Componentes!$AB:$AG,2,FALSE))</f>
        <v/>
      </c>
      <c r="H52" s="317" t="str">
        <f>IF(F52="","",VLOOKUP(F52,Componentes!$AB:$AG,3,FALSE))</f>
        <v/>
      </c>
      <c r="I52" s="190" t="str">
        <f>IF(F52="","",VLOOKUP(F52,Componentes!$AB:$AG,4,FALSE))</f>
        <v/>
      </c>
      <c r="J52" s="190" t="str">
        <f>IF(F52="","",VLOOKUP(F52,Componentes!$AB:$AG,6,FALSE))</f>
        <v/>
      </c>
      <c r="K52" s="190" t="str">
        <f>IF(F52="","",IF(I52&lt;&gt;"SPLV",VLOOKUP(F52,Componentes!$AB:$AG,5,FALSE),""))</f>
        <v/>
      </c>
      <c r="L52" s="184" t="str">
        <f t="shared" si="1"/>
        <v/>
      </c>
      <c r="M52" s="190" t="str">
        <f>IF(OR(I52="SPLV",I52="k"),VLOOKUP(F52,Componentes!$AB:$AG,5,FALSE),"")</f>
        <v/>
      </c>
      <c r="N52" s="185" t="str">
        <f t="shared" si="0"/>
        <v/>
      </c>
      <c r="O52" s="186"/>
      <c r="P52" t="str">
        <f>IF(Envoltória!D37="","",J52*$S$1*$S$2/1000)</f>
        <v/>
      </c>
      <c r="Q52" s="242"/>
      <c r="R52" s="92"/>
      <c r="S52" s="91"/>
      <c r="T52" s="24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244"/>
      <c r="AJ52" s="244"/>
      <c r="AK52" s="245" t="str">
        <f t="shared" si="2"/>
        <v/>
      </c>
      <c r="AL52" s="335">
        <f t="shared" si="3"/>
        <v>0</v>
      </c>
    </row>
    <row r="53" spans="1:38" x14ac:dyDescent="0.25">
      <c r="A53" s="155">
        <v>23</v>
      </c>
      <c r="B53" s="218"/>
      <c r="C53" s="190" t="str">
        <f>IF(Envoltória!C38="","",Envoltória!C38)</f>
        <v/>
      </c>
      <c r="D53" s="190" t="str">
        <f>IF(Envoltória!D38="","",Envoltória!D38)</f>
        <v/>
      </c>
      <c r="E53" s="317">
        <f>Envoltória!AD38</f>
        <v>0</v>
      </c>
      <c r="F53" s="218"/>
      <c r="G53" s="317" t="str">
        <f>IF(C53="","",VLOOKUP(F53,Componentes!$AB:$AG,2,FALSE))</f>
        <v/>
      </c>
      <c r="H53" s="317" t="str">
        <f>IF(F53="","",VLOOKUP(F53,Componentes!$AB:$AG,3,FALSE))</f>
        <v/>
      </c>
      <c r="I53" s="190" t="str">
        <f>IF(F53="","",VLOOKUP(F53,Componentes!$AB:$AG,4,FALSE))</f>
        <v/>
      </c>
      <c r="J53" s="190" t="str">
        <f>IF(F53="","",VLOOKUP(F53,Componentes!$AB:$AG,6,FALSE))</f>
        <v/>
      </c>
      <c r="K53" s="190" t="str">
        <f>IF(F53="","",IF(I53&lt;&gt;"SPLV",VLOOKUP(F53,Componentes!$AB:$AG,5,FALSE),""))</f>
        <v/>
      </c>
      <c r="L53" s="184" t="str">
        <f t="shared" si="1"/>
        <v/>
      </c>
      <c r="M53" s="190" t="str">
        <f>IF(OR(I53="SPLV",I53="k"),VLOOKUP(F53,Componentes!$AB:$AG,5,FALSE),"")</f>
        <v/>
      </c>
      <c r="N53" s="185" t="str">
        <f t="shared" si="0"/>
        <v/>
      </c>
      <c r="O53" s="186"/>
      <c r="P53" t="str">
        <f>IF(Envoltória!D38="","",J53*$S$1*$S$2/1000)</f>
        <v/>
      </c>
      <c r="Q53" s="242"/>
      <c r="R53" s="92"/>
      <c r="S53" s="91"/>
      <c r="T53" s="244"/>
      <c r="U53" s="244"/>
      <c r="V53" s="244"/>
      <c r="W53" s="244"/>
      <c r="X53" s="244"/>
      <c r="Y53" s="244"/>
      <c r="Z53" s="244"/>
      <c r="AA53" s="244"/>
      <c r="AB53" s="244"/>
      <c r="AC53" s="244"/>
      <c r="AD53" s="244"/>
      <c r="AE53" s="244"/>
      <c r="AF53" s="244"/>
      <c r="AG53" s="244"/>
      <c r="AH53" s="244"/>
      <c r="AI53" s="244"/>
      <c r="AJ53" s="244"/>
      <c r="AK53" s="245" t="str">
        <f t="shared" si="2"/>
        <v/>
      </c>
      <c r="AL53" s="335">
        <f t="shared" si="3"/>
        <v>0</v>
      </c>
    </row>
    <row r="54" spans="1:38" x14ac:dyDescent="0.25">
      <c r="A54" s="155">
        <v>24</v>
      </c>
      <c r="B54" s="218"/>
      <c r="C54" s="190" t="str">
        <f>IF(Envoltória!C39="","",Envoltória!C39)</f>
        <v/>
      </c>
      <c r="D54" s="190" t="str">
        <f>IF(Envoltória!D39="","",Envoltória!D39)</f>
        <v/>
      </c>
      <c r="E54" s="317">
        <f>Envoltória!AD39</f>
        <v>0</v>
      </c>
      <c r="F54" s="218"/>
      <c r="G54" s="317" t="str">
        <f>IF(C54="","",VLOOKUP(F54,Componentes!$AB:$AG,2,FALSE))</f>
        <v/>
      </c>
      <c r="H54" s="317" t="str">
        <f>IF(F54="","",VLOOKUP(F54,Componentes!$AB:$AG,3,FALSE))</f>
        <v/>
      </c>
      <c r="I54" s="190" t="str">
        <f>IF(F54="","",VLOOKUP(F54,Componentes!$AB:$AG,4,FALSE))</f>
        <v/>
      </c>
      <c r="J54" s="190" t="str">
        <f>IF(F54="","",VLOOKUP(F54,Componentes!$AB:$AG,6,FALSE))</f>
        <v/>
      </c>
      <c r="K54" s="190" t="str">
        <f>IF(F54="","",IF(I54&lt;&gt;"SPLV",VLOOKUP(F54,Componentes!$AB:$AG,5,FALSE),""))</f>
        <v/>
      </c>
      <c r="L54" s="184" t="str">
        <f t="shared" si="1"/>
        <v/>
      </c>
      <c r="M54" s="190" t="str">
        <f>IF(OR(I54="SPLV",I54="k"),VLOOKUP(F54,Componentes!$AB:$AG,5,FALSE),"")</f>
        <v/>
      </c>
      <c r="N54" s="185" t="str">
        <f t="shared" si="0"/>
        <v/>
      </c>
      <c r="O54" s="186"/>
      <c r="P54" t="str">
        <f>IF(Envoltória!D39="","",J54*$S$1*$S$2/1000)</f>
        <v/>
      </c>
      <c r="Q54" s="242"/>
      <c r="R54" s="92"/>
      <c r="S54" s="91"/>
      <c r="T54" s="244"/>
      <c r="U54" s="244"/>
      <c r="V54" s="244"/>
      <c r="W54" s="244"/>
      <c r="X54" s="244"/>
      <c r="Y54" s="244"/>
      <c r="Z54" s="244"/>
      <c r="AA54" s="244"/>
      <c r="AB54" s="244"/>
      <c r="AC54" s="244"/>
      <c r="AD54" s="244"/>
      <c r="AE54" s="244"/>
      <c r="AF54" s="244"/>
      <c r="AG54" s="244"/>
      <c r="AH54" s="244"/>
      <c r="AI54" s="244"/>
      <c r="AJ54" s="244"/>
      <c r="AK54" s="245" t="str">
        <f t="shared" si="2"/>
        <v/>
      </c>
      <c r="AL54" s="335">
        <f t="shared" si="3"/>
        <v>0</v>
      </c>
    </row>
    <row r="55" spans="1:38" x14ac:dyDescent="0.25">
      <c r="A55" s="155">
        <v>25</v>
      </c>
      <c r="B55" s="218"/>
      <c r="C55" s="190" t="str">
        <f>IF(Envoltória!C40="","",Envoltória!C40)</f>
        <v/>
      </c>
      <c r="D55" s="190" t="str">
        <f>IF(Envoltória!D40="","",Envoltória!D40)</f>
        <v/>
      </c>
      <c r="E55" s="317">
        <f>Envoltória!AD40</f>
        <v>0</v>
      </c>
      <c r="F55" s="218"/>
      <c r="G55" s="317" t="str">
        <f>IF(C55="","",VLOOKUP(F55,Componentes!$AB:$AG,2,FALSE))</f>
        <v/>
      </c>
      <c r="H55" s="317" t="str">
        <f>IF(F55="","",VLOOKUP(F55,Componentes!$AB:$AG,3,FALSE))</f>
        <v/>
      </c>
      <c r="I55" s="190" t="str">
        <f>IF(F55="","",VLOOKUP(F55,Componentes!$AB:$AG,4,FALSE))</f>
        <v/>
      </c>
      <c r="J55" s="190" t="str">
        <f>IF(F55="","",VLOOKUP(F55,Componentes!$AB:$AG,6,FALSE))</f>
        <v/>
      </c>
      <c r="K55" s="190" t="str">
        <f>IF(F55="","",IF(I55&lt;&gt;"SPLV",VLOOKUP(F55,Componentes!$AB:$AG,5,FALSE),""))</f>
        <v/>
      </c>
      <c r="L55" s="184" t="str">
        <f t="shared" si="1"/>
        <v/>
      </c>
      <c r="M55" s="190" t="str">
        <f>IF(OR(I55="SPLV",I55="k"),VLOOKUP(F55,Componentes!$AB:$AG,5,FALSE),"")</f>
        <v/>
      </c>
      <c r="N55" s="185" t="str">
        <f t="shared" si="0"/>
        <v/>
      </c>
      <c r="O55" s="186"/>
      <c r="P55" t="str">
        <f>IF(Envoltória!D40="","",J55*$S$1*$S$2/1000)</f>
        <v/>
      </c>
      <c r="Q55" s="242"/>
      <c r="R55" s="92"/>
      <c r="S55" s="91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  <c r="AJ55" s="244"/>
      <c r="AK55" s="245" t="str">
        <f t="shared" si="2"/>
        <v/>
      </c>
      <c r="AL55" s="335">
        <f t="shared" si="3"/>
        <v>0</v>
      </c>
    </row>
    <row r="56" spans="1:38" x14ac:dyDescent="0.25">
      <c r="A56" s="155">
        <v>26</v>
      </c>
      <c r="B56" s="218"/>
      <c r="C56" s="190" t="str">
        <f>IF(Envoltória!C41="","",Envoltória!C41)</f>
        <v/>
      </c>
      <c r="D56" s="190" t="str">
        <f>IF(Envoltória!D41="","",Envoltória!D41)</f>
        <v/>
      </c>
      <c r="E56" s="317">
        <f>Envoltória!AD41</f>
        <v>0</v>
      </c>
      <c r="F56" s="218"/>
      <c r="G56" s="317" t="str">
        <f>IF(C56="","",VLOOKUP(F56,Componentes!$AB:$AG,2,FALSE))</f>
        <v/>
      </c>
      <c r="H56" s="317" t="str">
        <f>IF(F56="","",VLOOKUP(F56,Componentes!$AB:$AG,3,FALSE))</f>
        <v/>
      </c>
      <c r="I56" s="190" t="str">
        <f>IF(F56="","",VLOOKUP(F56,Componentes!$AB:$AG,4,FALSE))</f>
        <v/>
      </c>
      <c r="J56" s="190" t="str">
        <f>IF(F56="","",VLOOKUP(F56,Componentes!$AB:$AG,6,FALSE))</f>
        <v/>
      </c>
      <c r="K56" s="190" t="str">
        <f>IF(F56="","",IF(I56&lt;&gt;"SPLV",VLOOKUP(F56,Componentes!$AB:$AG,5,FALSE),""))</f>
        <v/>
      </c>
      <c r="L56" s="184" t="str">
        <f t="shared" si="1"/>
        <v/>
      </c>
      <c r="M56" s="190" t="str">
        <f>IF(OR(I56="SPLV",I56="k"),VLOOKUP(F56,Componentes!$AB:$AG,5,FALSE),"")</f>
        <v/>
      </c>
      <c r="N56" s="185" t="str">
        <f t="shared" si="0"/>
        <v/>
      </c>
      <c r="O56" s="186"/>
      <c r="P56" t="str">
        <f>IF(Envoltória!D41="","",J56*$S$1*$S$2/1000)</f>
        <v/>
      </c>
      <c r="Q56" s="242"/>
      <c r="R56" s="92"/>
      <c r="S56" s="91"/>
      <c r="T56" s="244"/>
      <c r="U56" s="244"/>
      <c r="V56" s="244"/>
      <c r="W56" s="244"/>
      <c r="X56" s="244"/>
      <c r="Y56" s="244"/>
      <c r="Z56" s="244"/>
      <c r="AA56" s="244"/>
      <c r="AB56" s="244"/>
      <c r="AC56" s="244"/>
      <c r="AD56" s="244"/>
      <c r="AE56" s="244"/>
      <c r="AF56" s="244"/>
      <c r="AG56" s="244"/>
      <c r="AH56" s="244"/>
      <c r="AI56" s="244"/>
      <c r="AJ56" s="244"/>
      <c r="AK56" s="245" t="str">
        <f t="shared" si="2"/>
        <v/>
      </c>
      <c r="AL56" s="335">
        <f t="shared" si="3"/>
        <v>0</v>
      </c>
    </row>
    <row r="57" spans="1:38" x14ac:dyDescent="0.25">
      <c r="A57" s="155">
        <v>27</v>
      </c>
      <c r="B57" s="218"/>
      <c r="C57" s="190" t="str">
        <f>IF(Envoltória!C42="","",Envoltória!C42)</f>
        <v/>
      </c>
      <c r="D57" s="190" t="str">
        <f>IF(Envoltória!D42="","",Envoltória!D42)</f>
        <v/>
      </c>
      <c r="E57" s="317">
        <f>Envoltória!AD42</f>
        <v>0</v>
      </c>
      <c r="F57" s="218"/>
      <c r="G57" s="317" t="str">
        <f>IF(C57="","",VLOOKUP(F57,Componentes!$AB:$AG,2,FALSE))</f>
        <v/>
      </c>
      <c r="H57" s="317" t="str">
        <f>IF(F57="","",VLOOKUP(F57,Componentes!$AB:$AG,3,FALSE))</f>
        <v/>
      </c>
      <c r="I57" s="190" t="str">
        <f>IF(F57="","",VLOOKUP(F57,Componentes!$AB:$AG,4,FALSE))</f>
        <v/>
      </c>
      <c r="J57" s="190" t="str">
        <f>IF(F57="","",VLOOKUP(F57,Componentes!$AB:$AG,6,FALSE))</f>
        <v/>
      </c>
      <c r="K57" s="190" t="str">
        <f>IF(F57="","",IF(I57&lt;&gt;"SPLV",VLOOKUP(F57,Componentes!$AB:$AG,5,FALSE),""))</f>
        <v/>
      </c>
      <c r="L57" s="184" t="str">
        <f t="shared" si="1"/>
        <v/>
      </c>
      <c r="M57" s="190" t="str">
        <f>IF(OR(I57="SPLV",I57="k"),VLOOKUP(F57,Componentes!$AB:$AG,5,FALSE),"")</f>
        <v/>
      </c>
      <c r="N57" s="185" t="str">
        <f t="shared" si="0"/>
        <v/>
      </c>
      <c r="O57" s="186"/>
      <c r="P57" t="str">
        <f>IF(Envoltória!D42="","",J57*$S$1*$S$2/1000)</f>
        <v/>
      </c>
      <c r="Q57" s="242"/>
      <c r="R57" s="92"/>
      <c r="S57" s="91"/>
      <c r="T57" s="244"/>
      <c r="U57" s="244"/>
      <c r="V57" s="244"/>
      <c r="W57" s="244"/>
      <c r="X57" s="244"/>
      <c r="Y57" s="244"/>
      <c r="Z57" s="244"/>
      <c r="AA57" s="244"/>
      <c r="AB57" s="244"/>
      <c r="AC57" s="244"/>
      <c r="AD57" s="244"/>
      <c r="AE57" s="244"/>
      <c r="AF57" s="244"/>
      <c r="AG57" s="244"/>
      <c r="AH57" s="244"/>
      <c r="AI57" s="244"/>
      <c r="AJ57" s="244"/>
      <c r="AK57" s="245" t="str">
        <f t="shared" si="2"/>
        <v/>
      </c>
      <c r="AL57" s="335">
        <f t="shared" si="3"/>
        <v>0</v>
      </c>
    </row>
    <row r="58" spans="1:38" x14ac:dyDescent="0.25">
      <c r="A58" s="155">
        <v>28</v>
      </c>
      <c r="B58" s="218"/>
      <c r="C58" s="190" t="str">
        <f>IF(Envoltória!C43="","",Envoltória!C43)</f>
        <v/>
      </c>
      <c r="D58" s="190" t="str">
        <f>IF(Envoltória!D43="","",Envoltória!D43)</f>
        <v/>
      </c>
      <c r="E58" s="317">
        <f>Envoltória!AD43</f>
        <v>0</v>
      </c>
      <c r="F58" s="218"/>
      <c r="G58" s="317" t="str">
        <f>IF(C58="","",VLOOKUP(F58,Componentes!$AB:$AG,2,FALSE))</f>
        <v/>
      </c>
      <c r="H58" s="317" t="str">
        <f>IF(F58="","",VLOOKUP(F58,Componentes!$AB:$AG,3,FALSE))</f>
        <v/>
      </c>
      <c r="I58" s="190" t="str">
        <f>IF(F58="","",VLOOKUP(F58,Componentes!$AB:$AG,4,FALSE))</f>
        <v/>
      </c>
      <c r="J58" s="190" t="str">
        <f>IF(F58="","",VLOOKUP(F58,Componentes!$AB:$AG,6,FALSE))</f>
        <v/>
      </c>
      <c r="K58" s="190" t="str">
        <f>IF(F58="","",IF(I58&lt;&gt;"SPLV",VLOOKUP(F58,Componentes!$AB:$AG,5,FALSE),""))</f>
        <v/>
      </c>
      <c r="L58" s="184" t="str">
        <f t="shared" si="1"/>
        <v/>
      </c>
      <c r="M58" s="190" t="str">
        <f>IF(OR(I58="SPLV",I58="k"),VLOOKUP(F58,Componentes!$AB:$AG,5,FALSE),"")</f>
        <v/>
      </c>
      <c r="N58" s="185" t="str">
        <f t="shared" si="0"/>
        <v/>
      </c>
      <c r="O58" s="186"/>
      <c r="P58" t="str">
        <f>IF(Envoltória!D43="","",J58*$S$1*$S$2/1000)</f>
        <v/>
      </c>
      <c r="Q58" s="242"/>
      <c r="R58" s="92"/>
      <c r="S58" s="91"/>
      <c r="T58" s="244"/>
      <c r="U58" s="244"/>
      <c r="V58" s="244"/>
      <c r="W58" s="244"/>
      <c r="X58" s="244"/>
      <c r="Y58" s="244"/>
      <c r="Z58" s="244"/>
      <c r="AA58" s="244"/>
      <c r="AB58" s="244"/>
      <c r="AC58" s="244"/>
      <c r="AD58" s="244"/>
      <c r="AE58" s="244"/>
      <c r="AF58" s="244"/>
      <c r="AG58" s="244"/>
      <c r="AH58" s="244"/>
      <c r="AI58" s="244"/>
      <c r="AJ58" s="244"/>
      <c r="AK58" s="245" t="str">
        <f t="shared" si="2"/>
        <v/>
      </c>
      <c r="AL58" s="335">
        <f t="shared" si="3"/>
        <v>0</v>
      </c>
    </row>
    <row r="59" spans="1:38" x14ac:dyDescent="0.25">
      <c r="A59" s="155">
        <v>29</v>
      </c>
      <c r="B59" s="218"/>
      <c r="C59" s="190" t="str">
        <f>IF(Envoltória!C44="","",Envoltória!C44)</f>
        <v/>
      </c>
      <c r="D59" s="190" t="str">
        <f>IF(Envoltória!D44="","",Envoltória!D44)</f>
        <v/>
      </c>
      <c r="E59" s="317">
        <f>Envoltória!AD44</f>
        <v>0</v>
      </c>
      <c r="F59" s="218"/>
      <c r="G59" s="317" t="str">
        <f>IF(C59="","",VLOOKUP(F59,Componentes!$AB:$AG,2,FALSE))</f>
        <v/>
      </c>
      <c r="H59" s="317" t="str">
        <f>IF(F59="","",VLOOKUP(F59,Componentes!$AB:$AG,3,FALSE))</f>
        <v/>
      </c>
      <c r="I59" s="190" t="str">
        <f>IF(F59="","",VLOOKUP(F59,Componentes!$AB:$AG,4,FALSE))</f>
        <v/>
      </c>
      <c r="J59" s="190" t="str">
        <f>IF(F59="","",VLOOKUP(F59,Componentes!$AB:$AG,6,FALSE))</f>
        <v/>
      </c>
      <c r="K59" s="190" t="str">
        <f>IF(F59="","",IF(I59&lt;&gt;"SPLV",VLOOKUP(F59,Componentes!$AB:$AG,5,FALSE),""))</f>
        <v/>
      </c>
      <c r="L59" s="184" t="str">
        <f t="shared" si="1"/>
        <v/>
      </c>
      <c r="M59" s="190" t="str">
        <f>IF(OR(I59="SPLV",I59="k"),VLOOKUP(F59,Componentes!$AB:$AG,5,FALSE),"")</f>
        <v/>
      </c>
      <c r="N59" s="185" t="str">
        <f t="shared" si="0"/>
        <v/>
      </c>
      <c r="O59" s="186"/>
      <c r="P59" t="str">
        <f>IF(Envoltória!D44="","",J59*$S$1*$S$2/1000)</f>
        <v/>
      </c>
      <c r="Q59" s="242"/>
      <c r="R59" s="92"/>
      <c r="S59" s="91"/>
      <c r="T59" s="244"/>
      <c r="U59" s="244"/>
      <c r="V59" s="244"/>
      <c r="W59" s="244"/>
      <c r="X59" s="244"/>
      <c r="Y59" s="244"/>
      <c r="Z59" s="244"/>
      <c r="AA59" s="244"/>
      <c r="AB59" s="244"/>
      <c r="AC59" s="244"/>
      <c r="AD59" s="244"/>
      <c r="AE59" s="244"/>
      <c r="AF59" s="244"/>
      <c r="AG59" s="244"/>
      <c r="AH59" s="244"/>
      <c r="AI59" s="244"/>
      <c r="AJ59" s="244"/>
      <c r="AK59" s="245" t="str">
        <f t="shared" si="2"/>
        <v/>
      </c>
      <c r="AL59" s="335">
        <f t="shared" si="3"/>
        <v>0</v>
      </c>
    </row>
    <row r="60" spans="1:38" x14ac:dyDescent="0.25">
      <c r="A60" s="155">
        <v>30</v>
      </c>
      <c r="B60" s="218"/>
      <c r="C60" s="190" t="str">
        <f>IF(Envoltória!C45="","",Envoltória!C45)</f>
        <v/>
      </c>
      <c r="D60" s="190" t="str">
        <f>IF(Envoltória!D45="","",Envoltória!D45)</f>
        <v/>
      </c>
      <c r="E60" s="317">
        <f>Envoltória!AD45</f>
        <v>0</v>
      </c>
      <c r="F60" s="218"/>
      <c r="G60" s="317" t="str">
        <f>IF(C60="","",VLOOKUP(F60,Componentes!$AB:$AG,2,FALSE))</f>
        <v/>
      </c>
      <c r="H60" s="317" t="str">
        <f>IF(F60="","",VLOOKUP(F60,Componentes!$AB:$AG,3,FALSE))</f>
        <v/>
      </c>
      <c r="I60" s="190" t="str">
        <f>IF(F60="","",VLOOKUP(F60,Componentes!$AB:$AG,4,FALSE))</f>
        <v/>
      </c>
      <c r="J60" s="190" t="str">
        <f>IF(F60="","",VLOOKUP(F60,Componentes!$AB:$AG,6,FALSE))</f>
        <v/>
      </c>
      <c r="K60" s="190" t="str">
        <f>IF(F60="","",IF(I60&lt;&gt;"SPLV",VLOOKUP(F60,Componentes!$AB:$AG,5,FALSE),""))</f>
        <v/>
      </c>
      <c r="L60" s="184" t="str">
        <f t="shared" si="1"/>
        <v/>
      </c>
      <c r="M60" s="190" t="str">
        <f>IF(OR(I60="SPLV",I60="k"),VLOOKUP(F60,Componentes!$AB:$AG,5,FALSE),"")</f>
        <v/>
      </c>
      <c r="N60" s="185" t="str">
        <f t="shared" si="0"/>
        <v/>
      </c>
      <c r="O60" s="186"/>
      <c r="P60" t="str">
        <f>IF(Envoltória!D45="","",J60*$S$1*$S$2/1000)</f>
        <v/>
      </c>
      <c r="Q60" s="242"/>
      <c r="R60" s="92"/>
      <c r="S60" s="91"/>
      <c r="T60" s="244"/>
      <c r="U60" s="244"/>
      <c r="V60" s="244"/>
      <c r="W60" s="244"/>
      <c r="X60" s="244"/>
      <c r="Y60" s="244"/>
      <c r="Z60" s="244"/>
      <c r="AA60" s="244"/>
      <c r="AB60" s="244"/>
      <c r="AC60" s="244"/>
      <c r="AD60" s="244"/>
      <c r="AE60" s="244"/>
      <c r="AF60" s="244"/>
      <c r="AG60" s="244"/>
      <c r="AH60" s="244"/>
      <c r="AI60" s="244"/>
      <c r="AJ60" s="244"/>
      <c r="AK60" s="245" t="str">
        <f t="shared" si="2"/>
        <v/>
      </c>
      <c r="AL60" s="335">
        <f t="shared" si="3"/>
        <v>0</v>
      </c>
    </row>
    <row r="61" spans="1:38" x14ac:dyDescent="0.25">
      <c r="A61" s="155">
        <v>31</v>
      </c>
      <c r="B61" s="218"/>
      <c r="C61" s="190" t="str">
        <f>IF(Envoltória!C46="","",Envoltória!C46)</f>
        <v/>
      </c>
      <c r="D61" s="190" t="str">
        <f>IF(Envoltória!D46="","",Envoltória!D46)</f>
        <v/>
      </c>
      <c r="E61" s="317">
        <f>Envoltória!AD46</f>
        <v>0</v>
      </c>
      <c r="F61" s="218"/>
      <c r="G61" s="317" t="str">
        <f>IF(C61="","",VLOOKUP(F61,Componentes!$AB:$AG,2,FALSE))</f>
        <v/>
      </c>
      <c r="H61" s="317" t="str">
        <f>IF(F61="","",VLOOKUP(F61,Componentes!$AB:$AG,3,FALSE))</f>
        <v/>
      </c>
      <c r="I61" s="190" t="str">
        <f>IF(F61="","",VLOOKUP(F61,Componentes!$AB:$AG,4,FALSE))</f>
        <v/>
      </c>
      <c r="J61" s="190" t="str">
        <f>IF(F61="","",VLOOKUP(F61,Componentes!$AB:$AG,6,FALSE))</f>
        <v/>
      </c>
      <c r="K61" s="190" t="str">
        <f>IF(F61="","",IF(I61&lt;&gt;"SPLV",VLOOKUP(F61,Componentes!$AB:$AG,5,FALSE),""))</f>
        <v/>
      </c>
      <c r="L61" s="184" t="str">
        <f t="shared" si="1"/>
        <v/>
      </c>
      <c r="M61" s="190" t="str">
        <f>IF(OR(I61="SPLV",I61="k"),VLOOKUP(F61,Componentes!$AB:$AG,5,FALSE),"")</f>
        <v/>
      </c>
      <c r="N61" s="185" t="str">
        <f t="shared" si="0"/>
        <v/>
      </c>
      <c r="O61" s="186"/>
      <c r="P61" t="str">
        <f>IF(Envoltória!D46="","",J61*$S$1*$S$2/1000)</f>
        <v/>
      </c>
      <c r="Q61" s="242"/>
      <c r="R61" s="92"/>
      <c r="S61" s="91"/>
      <c r="T61" s="244"/>
      <c r="U61" s="244"/>
      <c r="V61" s="244"/>
      <c r="W61" s="244"/>
      <c r="X61" s="244"/>
      <c r="Y61" s="244"/>
      <c r="Z61" s="244"/>
      <c r="AA61" s="244"/>
      <c r="AB61" s="244"/>
      <c r="AC61" s="244"/>
      <c r="AD61" s="244"/>
      <c r="AE61" s="244"/>
      <c r="AF61" s="244"/>
      <c r="AG61" s="244"/>
      <c r="AH61" s="244"/>
      <c r="AI61" s="244"/>
      <c r="AJ61" s="244"/>
      <c r="AK61" s="245" t="str">
        <f t="shared" si="2"/>
        <v/>
      </c>
      <c r="AL61" s="335">
        <f t="shared" si="3"/>
        <v>0</v>
      </c>
    </row>
    <row r="62" spans="1:38" x14ac:dyDescent="0.25">
      <c r="A62" s="155">
        <v>32</v>
      </c>
      <c r="B62" s="218"/>
      <c r="C62" s="190" t="str">
        <f>IF(Envoltória!C47="","",Envoltória!C47)</f>
        <v/>
      </c>
      <c r="D62" s="190" t="str">
        <f>IF(Envoltória!D47="","",Envoltória!D47)</f>
        <v/>
      </c>
      <c r="E62" s="317">
        <f>Envoltória!AD47</f>
        <v>0</v>
      </c>
      <c r="F62" s="218"/>
      <c r="G62" s="317" t="str">
        <f>IF(C62="","",VLOOKUP(F62,Componentes!$AB:$AG,2,FALSE))</f>
        <v/>
      </c>
      <c r="H62" s="317" t="str">
        <f>IF(F62="","",VLOOKUP(F62,Componentes!$AB:$AG,3,FALSE))</f>
        <v/>
      </c>
      <c r="I62" s="190" t="str">
        <f>IF(F62="","",VLOOKUP(F62,Componentes!$AB:$AG,4,FALSE))</f>
        <v/>
      </c>
      <c r="J62" s="190" t="str">
        <f>IF(F62="","",VLOOKUP(F62,Componentes!$AB:$AG,6,FALSE))</f>
        <v/>
      </c>
      <c r="K62" s="190" t="str">
        <f>IF(F62="","",IF(I62&lt;&gt;"SPLV",VLOOKUP(F62,Componentes!$AB:$AG,5,FALSE),""))</f>
        <v/>
      </c>
      <c r="L62" s="184" t="str">
        <f t="shared" si="1"/>
        <v/>
      </c>
      <c r="M62" s="190" t="str">
        <f>IF(OR(I62="SPLV",I62="k"),VLOOKUP(F62,Componentes!$AB:$AG,5,FALSE),"")</f>
        <v/>
      </c>
      <c r="N62" s="185" t="str">
        <f t="shared" si="0"/>
        <v/>
      </c>
      <c r="O62" s="186"/>
      <c r="P62" t="str">
        <f>IF(Envoltória!D47="","",J62*$S$1*$S$2/1000)</f>
        <v/>
      </c>
      <c r="Q62" s="242"/>
      <c r="R62" s="92"/>
      <c r="S62" s="91"/>
      <c r="T62" s="244"/>
      <c r="U62" s="244"/>
      <c r="V62" s="244"/>
      <c r="W62" s="244"/>
      <c r="X62" s="244"/>
      <c r="Y62" s="244"/>
      <c r="Z62" s="244"/>
      <c r="AA62" s="244"/>
      <c r="AB62" s="244"/>
      <c r="AC62" s="244"/>
      <c r="AD62" s="244"/>
      <c r="AE62" s="244"/>
      <c r="AF62" s="244"/>
      <c r="AG62" s="244"/>
      <c r="AH62" s="244"/>
      <c r="AI62" s="244"/>
      <c r="AJ62" s="244"/>
      <c r="AK62" s="245" t="str">
        <f t="shared" si="2"/>
        <v/>
      </c>
      <c r="AL62" s="335">
        <f t="shared" si="3"/>
        <v>0</v>
      </c>
    </row>
    <row r="63" spans="1:38" x14ac:dyDescent="0.25">
      <c r="A63" s="155">
        <v>33</v>
      </c>
      <c r="B63" s="218"/>
      <c r="C63" s="190" t="str">
        <f>IF(Envoltória!C48="","",Envoltória!C48)</f>
        <v/>
      </c>
      <c r="D63" s="190" t="str">
        <f>IF(Envoltória!D48="","",Envoltória!D48)</f>
        <v/>
      </c>
      <c r="E63" s="317">
        <f>Envoltória!AD48</f>
        <v>0</v>
      </c>
      <c r="F63" s="218"/>
      <c r="G63" s="317" t="str">
        <f>IF(C63="","",VLOOKUP(F63,Componentes!$AB:$AG,2,FALSE))</f>
        <v/>
      </c>
      <c r="H63" s="317" t="str">
        <f>IF(F63="","",VLOOKUP(F63,Componentes!$AB:$AG,3,FALSE))</f>
        <v/>
      </c>
      <c r="I63" s="190" t="str">
        <f>IF(F63="","",VLOOKUP(F63,Componentes!$AB:$AG,4,FALSE))</f>
        <v/>
      </c>
      <c r="J63" s="190" t="str">
        <f>IF(F63="","",VLOOKUP(F63,Componentes!$AB:$AG,6,FALSE))</f>
        <v/>
      </c>
      <c r="K63" s="190" t="str">
        <f>IF(F63="","",IF(I63&lt;&gt;"SPLV",VLOOKUP(F63,Componentes!$AB:$AG,5,FALSE),""))</f>
        <v/>
      </c>
      <c r="L63" s="184" t="str">
        <f t="shared" si="1"/>
        <v/>
      </c>
      <c r="M63" s="190" t="str">
        <f>IF(OR(I63="SPLV",I63="k"),VLOOKUP(F63,Componentes!$AB:$AG,5,FALSE),"")</f>
        <v/>
      </c>
      <c r="N63" s="185" t="str">
        <f t="shared" ref="N63:N94" si="4">IF(M63="","",E63/M63)</f>
        <v/>
      </c>
      <c r="O63" s="186"/>
      <c r="P63" t="str">
        <f>IF(Envoltória!D48="","",J63*$S$1*$S$2/1000)</f>
        <v/>
      </c>
      <c r="Q63" s="242"/>
      <c r="R63" s="92"/>
      <c r="S63" s="91"/>
      <c r="T63" s="244"/>
      <c r="U63" s="244"/>
      <c r="V63" s="244"/>
      <c r="W63" s="244"/>
      <c r="X63" s="244"/>
      <c r="Y63" s="244"/>
      <c r="Z63" s="244"/>
      <c r="AA63" s="244"/>
      <c r="AB63" s="244"/>
      <c r="AC63" s="244"/>
      <c r="AD63" s="244"/>
      <c r="AE63" s="244"/>
      <c r="AF63" s="244"/>
      <c r="AG63" s="244"/>
      <c r="AH63" s="244"/>
      <c r="AI63" s="244"/>
      <c r="AJ63" s="244"/>
      <c r="AK63" s="245" t="str">
        <f t="shared" si="2"/>
        <v/>
      </c>
      <c r="AL63" s="335">
        <f t="shared" si="3"/>
        <v>0</v>
      </c>
    </row>
    <row r="64" spans="1:38" x14ac:dyDescent="0.25">
      <c r="A64" s="155">
        <v>34</v>
      </c>
      <c r="B64" s="218"/>
      <c r="C64" s="190" t="str">
        <f>IF(Envoltória!C49="","",Envoltória!C49)</f>
        <v/>
      </c>
      <c r="D64" s="190" t="str">
        <f>IF(Envoltória!D49="","",Envoltória!D49)</f>
        <v/>
      </c>
      <c r="E64" s="317">
        <f>Envoltória!AD49</f>
        <v>0</v>
      </c>
      <c r="F64" s="218"/>
      <c r="G64" s="317" t="str">
        <f>IF(C64="","",VLOOKUP(F64,Componentes!$AB:$AG,2,FALSE))</f>
        <v/>
      </c>
      <c r="H64" s="317" t="str">
        <f>IF(F64="","",VLOOKUP(F64,Componentes!$AB:$AG,3,FALSE))</f>
        <v/>
      </c>
      <c r="I64" s="190" t="str">
        <f>IF(F64="","",VLOOKUP(F64,Componentes!$AB:$AG,4,FALSE))</f>
        <v/>
      </c>
      <c r="J64" s="190" t="str">
        <f>IF(F64="","",VLOOKUP(F64,Componentes!$AB:$AG,6,FALSE))</f>
        <v/>
      </c>
      <c r="K64" s="190" t="str">
        <f>IF(F64="","",IF(I64&lt;&gt;"SPLV",VLOOKUP(F64,Componentes!$AB:$AG,5,FALSE),""))</f>
        <v/>
      </c>
      <c r="L64" s="184" t="str">
        <f t="shared" si="1"/>
        <v/>
      </c>
      <c r="M64" s="190" t="str">
        <f>IF(OR(I64="SPLV",I64="k"),VLOOKUP(F64,Componentes!$AB:$AG,5,FALSE),"")</f>
        <v/>
      </c>
      <c r="N64" s="185" t="str">
        <f t="shared" si="4"/>
        <v/>
      </c>
      <c r="O64" s="186"/>
      <c r="P64" t="str">
        <f>IF(Envoltória!D49="","",J64*$S$1*$S$2/1000)</f>
        <v/>
      </c>
      <c r="Q64" s="242"/>
      <c r="R64" s="92"/>
      <c r="S64" s="91"/>
      <c r="T64" s="244"/>
      <c r="U64" s="244"/>
      <c r="V64" s="244"/>
      <c r="W64" s="244"/>
      <c r="X64" s="244"/>
      <c r="Y64" s="244"/>
      <c r="Z64" s="244"/>
      <c r="AA64" s="244"/>
      <c r="AB64" s="244"/>
      <c r="AC64" s="244"/>
      <c r="AD64" s="244"/>
      <c r="AE64" s="244"/>
      <c r="AF64" s="244"/>
      <c r="AG64" s="244"/>
      <c r="AH64" s="244"/>
      <c r="AI64" s="244"/>
      <c r="AJ64" s="244"/>
      <c r="AK64" s="245" t="str">
        <f t="shared" si="2"/>
        <v/>
      </c>
      <c r="AL64" s="335">
        <f t="shared" si="3"/>
        <v>0</v>
      </c>
    </row>
    <row r="65" spans="1:38" x14ac:dyDescent="0.25">
      <c r="A65" s="155">
        <v>35</v>
      </c>
      <c r="B65" s="218"/>
      <c r="C65" s="190" t="str">
        <f>IF(Envoltória!C50="","",Envoltória!C50)</f>
        <v/>
      </c>
      <c r="D65" s="190" t="str">
        <f>IF(Envoltória!D50="","",Envoltória!D50)</f>
        <v/>
      </c>
      <c r="E65" s="317">
        <f>Envoltória!AD50</f>
        <v>0</v>
      </c>
      <c r="F65" s="218"/>
      <c r="G65" s="317" t="str">
        <f>IF(C65="","",VLOOKUP(F65,Componentes!$AB:$AG,2,FALSE))</f>
        <v/>
      </c>
      <c r="H65" s="317" t="str">
        <f>IF(F65="","",VLOOKUP(F65,Componentes!$AB:$AG,3,FALSE))</f>
        <v/>
      </c>
      <c r="I65" s="190" t="str">
        <f>IF(F65="","",VLOOKUP(F65,Componentes!$AB:$AG,4,FALSE))</f>
        <v/>
      </c>
      <c r="J65" s="190" t="str">
        <f>IF(F65="","",VLOOKUP(F65,Componentes!$AB:$AG,6,FALSE))</f>
        <v/>
      </c>
      <c r="K65" s="190" t="str">
        <f>IF(F65="","",IF(I65&lt;&gt;"SPLV",VLOOKUP(F65,Componentes!$AB:$AG,5,FALSE),""))</f>
        <v/>
      </c>
      <c r="L65" s="184" t="str">
        <f t="shared" si="1"/>
        <v/>
      </c>
      <c r="M65" s="190" t="str">
        <f>IF(OR(I65="SPLV",I65="k"),VLOOKUP(F65,Componentes!$AB:$AG,5,FALSE),"")</f>
        <v/>
      </c>
      <c r="N65" s="185" t="str">
        <f t="shared" si="4"/>
        <v/>
      </c>
      <c r="O65" s="186"/>
      <c r="P65" t="str">
        <f>IF(Envoltória!D50="","",J65*$S$1*$S$2/1000)</f>
        <v/>
      </c>
      <c r="Q65" s="242"/>
      <c r="R65" s="92"/>
      <c r="S65" s="91"/>
      <c r="T65" s="244"/>
      <c r="U65" s="244"/>
      <c r="V65" s="244"/>
      <c r="W65" s="244"/>
      <c r="X65" s="244"/>
      <c r="Y65" s="244"/>
      <c r="Z65" s="244"/>
      <c r="AA65" s="244"/>
      <c r="AB65" s="244"/>
      <c r="AC65" s="244"/>
      <c r="AD65" s="244"/>
      <c r="AE65" s="244"/>
      <c r="AF65" s="244"/>
      <c r="AG65" s="244"/>
      <c r="AH65" s="244"/>
      <c r="AI65" s="244"/>
      <c r="AJ65" s="244"/>
      <c r="AK65" s="245" t="str">
        <f t="shared" si="2"/>
        <v/>
      </c>
      <c r="AL65" s="335">
        <f t="shared" si="3"/>
        <v>0</v>
      </c>
    </row>
    <row r="66" spans="1:38" x14ac:dyDescent="0.25">
      <c r="A66" s="155">
        <v>36</v>
      </c>
      <c r="B66" s="218"/>
      <c r="C66" s="190" t="str">
        <f>IF(Envoltória!C51="","",Envoltória!C51)</f>
        <v/>
      </c>
      <c r="D66" s="190" t="str">
        <f>IF(Envoltória!D51="","",Envoltória!D51)</f>
        <v/>
      </c>
      <c r="E66" s="317">
        <f>Envoltória!AD51</f>
        <v>0</v>
      </c>
      <c r="F66" s="218"/>
      <c r="G66" s="317" t="str">
        <f>IF(C66="","",VLOOKUP(F66,Componentes!$AB:$AG,2,FALSE))</f>
        <v/>
      </c>
      <c r="H66" s="317" t="str">
        <f>IF(F66="","",VLOOKUP(F66,Componentes!$AB:$AG,3,FALSE))</f>
        <v/>
      </c>
      <c r="I66" s="190" t="str">
        <f>IF(F66="","",VLOOKUP(F66,Componentes!$AB:$AG,4,FALSE))</f>
        <v/>
      </c>
      <c r="J66" s="190" t="str">
        <f>IF(F66="","",VLOOKUP(F66,Componentes!$AB:$AG,6,FALSE))</f>
        <v/>
      </c>
      <c r="K66" s="190" t="str">
        <f>IF(F66="","",IF(I66&lt;&gt;"SPLV",VLOOKUP(F66,Componentes!$AB:$AG,5,FALSE),""))</f>
        <v/>
      </c>
      <c r="L66" s="184" t="str">
        <f t="shared" si="1"/>
        <v/>
      </c>
      <c r="M66" s="190" t="str">
        <f>IF(OR(I66="SPLV",I66="k"),VLOOKUP(F66,Componentes!$AB:$AG,5,FALSE),"")</f>
        <v/>
      </c>
      <c r="N66" s="185" t="str">
        <f t="shared" si="4"/>
        <v/>
      </c>
      <c r="O66" s="186"/>
      <c r="P66" t="str">
        <f>IF(Envoltória!D51="","",J66*$S$1*$S$2/1000)</f>
        <v/>
      </c>
      <c r="Q66" s="242"/>
      <c r="R66" s="92"/>
      <c r="S66" s="91"/>
      <c r="T66" s="244"/>
      <c r="U66" s="244"/>
      <c r="V66" s="244"/>
      <c r="W66" s="244"/>
      <c r="X66" s="244"/>
      <c r="Y66" s="244"/>
      <c r="Z66" s="244"/>
      <c r="AA66" s="244"/>
      <c r="AB66" s="244"/>
      <c r="AC66" s="244"/>
      <c r="AD66" s="244"/>
      <c r="AE66" s="244"/>
      <c r="AF66" s="244"/>
      <c r="AG66" s="244"/>
      <c r="AH66" s="244"/>
      <c r="AI66" s="244"/>
      <c r="AJ66" s="244"/>
      <c r="AK66" s="245" t="str">
        <f t="shared" si="2"/>
        <v/>
      </c>
      <c r="AL66" s="335">
        <f t="shared" si="3"/>
        <v>0</v>
      </c>
    </row>
    <row r="67" spans="1:38" x14ac:dyDescent="0.25">
      <c r="A67" s="155">
        <v>37</v>
      </c>
      <c r="B67" s="218"/>
      <c r="C67" s="190" t="str">
        <f>IF(Envoltória!C52="","",Envoltória!C52)</f>
        <v/>
      </c>
      <c r="D67" s="190" t="str">
        <f>IF(Envoltória!D52="","",Envoltória!D52)</f>
        <v/>
      </c>
      <c r="E67" s="317">
        <f>Envoltória!AD52</f>
        <v>0</v>
      </c>
      <c r="F67" s="218"/>
      <c r="G67" s="317" t="str">
        <f>IF(C67="","",VLOOKUP(F67,Componentes!$AB:$AG,2,FALSE))</f>
        <v/>
      </c>
      <c r="H67" s="317" t="str">
        <f>IF(F67="","",VLOOKUP(F67,Componentes!$AB:$AG,3,FALSE))</f>
        <v/>
      </c>
      <c r="I67" s="190" t="str">
        <f>IF(F67="","",VLOOKUP(F67,Componentes!$AB:$AG,4,FALSE))</f>
        <v/>
      </c>
      <c r="J67" s="190" t="str">
        <f>IF(F67="","",VLOOKUP(F67,Componentes!$AB:$AG,6,FALSE))</f>
        <v/>
      </c>
      <c r="K67" s="190" t="str">
        <f>IF(F67="","",IF(I67&lt;&gt;"SPLV",VLOOKUP(F67,Componentes!$AB:$AG,5,FALSE),""))</f>
        <v/>
      </c>
      <c r="L67" s="184" t="str">
        <f t="shared" si="1"/>
        <v/>
      </c>
      <c r="M67" s="190" t="str">
        <f>IF(OR(I67="SPLV",I67="k"),VLOOKUP(F67,Componentes!$AB:$AG,5,FALSE),"")</f>
        <v/>
      </c>
      <c r="N67" s="185" t="str">
        <f t="shared" si="4"/>
        <v/>
      </c>
      <c r="O67" s="186"/>
      <c r="P67" t="str">
        <f>IF(Envoltória!D52="","",J67*$S$1*$S$2/1000)</f>
        <v/>
      </c>
      <c r="Q67" s="242"/>
      <c r="R67" s="92"/>
      <c r="S67" s="91"/>
      <c r="T67" s="244"/>
      <c r="U67" s="244"/>
      <c r="V67" s="244"/>
      <c r="W67" s="244"/>
      <c r="X67" s="244"/>
      <c r="Y67" s="244"/>
      <c r="Z67" s="244"/>
      <c r="AA67" s="244"/>
      <c r="AB67" s="244"/>
      <c r="AC67" s="244"/>
      <c r="AD67" s="244"/>
      <c r="AE67" s="244"/>
      <c r="AF67" s="244"/>
      <c r="AG67" s="244"/>
      <c r="AH67" s="244"/>
      <c r="AI67" s="244"/>
      <c r="AJ67" s="244"/>
      <c r="AK67" s="245" t="str">
        <f t="shared" si="2"/>
        <v/>
      </c>
      <c r="AL67" s="335">
        <f t="shared" si="3"/>
        <v>0</v>
      </c>
    </row>
    <row r="68" spans="1:38" x14ac:dyDescent="0.25">
      <c r="A68" s="155">
        <v>38</v>
      </c>
      <c r="B68" s="218"/>
      <c r="C68" s="190" t="str">
        <f>IF(Envoltória!C53="","",Envoltória!C53)</f>
        <v/>
      </c>
      <c r="D68" s="190" t="str">
        <f>IF(Envoltória!D53="","",Envoltória!D53)</f>
        <v/>
      </c>
      <c r="E68" s="317">
        <f>Envoltória!AD53</f>
        <v>0</v>
      </c>
      <c r="F68" s="218"/>
      <c r="G68" s="317" t="str">
        <f>IF(C68="","",VLOOKUP(F68,Componentes!$AB:$AG,2,FALSE))</f>
        <v/>
      </c>
      <c r="H68" s="317" t="str">
        <f>IF(F68="","",VLOOKUP(F68,Componentes!$AB:$AG,3,FALSE))</f>
        <v/>
      </c>
      <c r="I68" s="190" t="str">
        <f>IF(F68="","",VLOOKUP(F68,Componentes!$AB:$AG,4,FALSE))</f>
        <v/>
      </c>
      <c r="J68" s="190" t="str">
        <f>IF(F68="","",VLOOKUP(F68,Componentes!$AB:$AG,6,FALSE))</f>
        <v/>
      </c>
      <c r="K68" s="190" t="str">
        <f>IF(F68="","",IF(I68&lt;&gt;"SPLV",VLOOKUP(F68,Componentes!$AB:$AG,5,FALSE),""))</f>
        <v/>
      </c>
      <c r="L68" s="184" t="str">
        <f t="shared" si="1"/>
        <v/>
      </c>
      <c r="M68" s="190" t="str">
        <f>IF(OR(I68="SPLV",I68="k"),VLOOKUP(F68,Componentes!$AB:$AG,5,FALSE),"")</f>
        <v/>
      </c>
      <c r="N68" s="185" t="str">
        <f t="shared" si="4"/>
        <v/>
      </c>
      <c r="O68" s="186"/>
      <c r="P68" t="str">
        <f>IF(Envoltória!D53="","",J68*$S$1*$S$2/1000)</f>
        <v/>
      </c>
      <c r="Q68" s="242"/>
      <c r="R68" s="92"/>
      <c r="S68" s="91"/>
      <c r="T68" s="244"/>
      <c r="U68" s="244"/>
      <c r="V68" s="244"/>
      <c r="W68" s="244"/>
      <c r="X68" s="244"/>
      <c r="Y68" s="244"/>
      <c r="Z68" s="244"/>
      <c r="AA68" s="244"/>
      <c r="AB68" s="244"/>
      <c r="AC68" s="244"/>
      <c r="AD68" s="244"/>
      <c r="AE68" s="244"/>
      <c r="AF68" s="244"/>
      <c r="AG68" s="244"/>
      <c r="AH68" s="244"/>
      <c r="AI68" s="244"/>
      <c r="AJ68" s="244"/>
      <c r="AK68" s="245" t="str">
        <f t="shared" si="2"/>
        <v/>
      </c>
      <c r="AL68" s="335">
        <f t="shared" si="3"/>
        <v>0</v>
      </c>
    </row>
    <row r="69" spans="1:38" x14ac:dyDescent="0.25">
      <c r="A69" s="155">
        <v>39</v>
      </c>
      <c r="B69" s="218"/>
      <c r="C69" s="190" t="str">
        <f>IF(Envoltória!C54="","",Envoltória!C54)</f>
        <v/>
      </c>
      <c r="D69" s="190" t="str">
        <f>IF(Envoltória!D54="","",Envoltória!D54)</f>
        <v/>
      </c>
      <c r="E69" s="317">
        <f>Envoltória!AD54</f>
        <v>0</v>
      </c>
      <c r="F69" s="218"/>
      <c r="G69" s="317" t="str">
        <f>IF(C69="","",VLOOKUP(F69,Componentes!$AB:$AG,2,FALSE))</f>
        <v/>
      </c>
      <c r="H69" s="317" t="str">
        <f>IF(F69="","",VLOOKUP(F69,Componentes!$AB:$AG,3,FALSE))</f>
        <v/>
      </c>
      <c r="I69" s="190" t="str">
        <f>IF(F69="","",VLOOKUP(F69,Componentes!$AB:$AG,4,FALSE))</f>
        <v/>
      </c>
      <c r="J69" s="190" t="str">
        <f>IF(F69="","",VLOOKUP(F69,Componentes!$AB:$AG,6,FALSE))</f>
        <v/>
      </c>
      <c r="K69" s="190" t="str">
        <f>IF(F69="","",IF(I69&lt;&gt;"SPLV",VLOOKUP(F69,Componentes!$AB:$AG,5,FALSE),""))</f>
        <v/>
      </c>
      <c r="L69" s="184" t="str">
        <f t="shared" si="1"/>
        <v/>
      </c>
      <c r="M69" s="190" t="str">
        <f>IF(OR(I69="SPLV",I69="k"),VLOOKUP(F69,Componentes!$AB:$AG,5,FALSE),"")</f>
        <v/>
      </c>
      <c r="N69" s="185" t="str">
        <f t="shared" si="4"/>
        <v/>
      </c>
      <c r="O69" s="186"/>
      <c r="P69" t="str">
        <f>IF(Envoltória!D54="","",J69*$S$1*$S$2/1000)</f>
        <v/>
      </c>
      <c r="Q69" s="242"/>
      <c r="R69" s="92"/>
      <c r="S69" s="91"/>
      <c r="T69" s="244"/>
      <c r="U69" s="244"/>
      <c r="V69" s="244"/>
      <c r="W69" s="244"/>
      <c r="X69" s="244"/>
      <c r="Y69" s="244"/>
      <c r="Z69" s="244"/>
      <c r="AA69" s="244"/>
      <c r="AB69" s="244"/>
      <c r="AC69" s="244"/>
      <c r="AD69" s="244"/>
      <c r="AE69" s="244"/>
      <c r="AF69" s="244"/>
      <c r="AG69" s="244"/>
      <c r="AH69" s="244"/>
      <c r="AI69" s="244"/>
      <c r="AJ69" s="244"/>
      <c r="AK69" s="245" t="str">
        <f t="shared" si="2"/>
        <v/>
      </c>
      <c r="AL69" s="335">
        <f t="shared" si="3"/>
        <v>0</v>
      </c>
    </row>
    <row r="70" spans="1:38" x14ac:dyDescent="0.25">
      <c r="A70" s="155">
        <v>40</v>
      </c>
      <c r="B70" s="218"/>
      <c r="C70" s="190" t="str">
        <f>IF(Envoltória!C55="","",Envoltória!C55)</f>
        <v/>
      </c>
      <c r="D70" s="190" t="str">
        <f>IF(Envoltória!D55="","",Envoltória!D55)</f>
        <v/>
      </c>
      <c r="E70" s="317">
        <f>Envoltória!AD55</f>
        <v>0</v>
      </c>
      <c r="F70" s="218"/>
      <c r="G70" s="317" t="str">
        <f>IF(C70="","",VLOOKUP(F70,Componentes!$AB:$AG,2,FALSE))</f>
        <v/>
      </c>
      <c r="H70" s="317" t="str">
        <f>IF(F70="","",VLOOKUP(F70,Componentes!$AB:$AG,3,FALSE))</f>
        <v/>
      </c>
      <c r="I70" s="190" t="str">
        <f>IF(F70="","",VLOOKUP(F70,Componentes!$AB:$AG,4,FALSE))</f>
        <v/>
      </c>
      <c r="J70" s="190" t="str">
        <f>IF(F70="","",VLOOKUP(F70,Componentes!$AB:$AG,6,FALSE))</f>
        <v/>
      </c>
      <c r="K70" s="190" t="str">
        <f>IF(F70="","",IF(I70&lt;&gt;"SPLV",VLOOKUP(F70,Componentes!$AB:$AG,5,FALSE),""))</f>
        <v/>
      </c>
      <c r="L70" s="184" t="str">
        <f t="shared" si="1"/>
        <v/>
      </c>
      <c r="M70" s="190" t="str">
        <f>IF(OR(I70="SPLV",I70="k"),VLOOKUP(F70,Componentes!$AB:$AG,5,FALSE),"")</f>
        <v/>
      </c>
      <c r="N70" s="185" t="str">
        <f t="shared" si="4"/>
        <v/>
      </c>
      <c r="O70" s="186"/>
      <c r="P70" t="str">
        <f>IF(Envoltória!D55="","",J70*$S$1*$S$2/1000)</f>
        <v/>
      </c>
      <c r="Q70" s="242"/>
      <c r="R70" s="92"/>
      <c r="S70" s="91"/>
      <c r="T70" s="244"/>
      <c r="U70" s="244"/>
      <c r="V70" s="244"/>
      <c r="W70" s="244"/>
      <c r="X70" s="244"/>
      <c r="Y70" s="244"/>
      <c r="Z70" s="244"/>
      <c r="AA70" s="244"/>
      <c r="AB70" s="244"/>
      <c r="AC70" s="244"/>
      <c r="AD70" s="244"/>
      <c r="AE70" s="244"/>
      <c r="AF70" s="244"/>
      <c r="AG70" s="244"/>
      <c r="AH70" s="244"/>
      <c r="AI70" s="244"/>
      <c r="AJ70" s="244"/>
      <c r="AK70" s="245" t="str">
        <f t="shared" si="2"/>
        <v/>
      </c>
      <c r="AL70" s="335">
        <f t="shared" si="3"/>
        <v>0</v>
      </c>
    </row>
    <row r="71" spans="1:38" x14ac:dyDescent="0.25">
      <c r="A71" s="155">
        <v>41</v>
      </c>
      <c r="B71" s="218"/>
      <c r="C71" s="190" t="str">
        <f>IF(Envoltória!C56="","",Envoltória!C56)</f>
        <v/>
      </c>
      <c r="D71" s="190" t="str">
        <f>IF(Envoltória!D56="","",Envoltória!D56)</f>
        <v/>
      </c>
      <c r="E71" s="317">
        <f>Envoltória!AD56</f>
        <v>0</v>
      </c>
      <c r="F71" s="218"/>
      <c r="G71" s="317" t="str">
        <f>IF(C71="","",VLOOKUP(F71,Componentes!$AB:$AG,2,FALSE))</f>
        <v/>
      </c>
      <c r="H71" s="317" t="str">
        <f>IF(F71="","",VLOOKUP(F71,Componentes!$AB:$AG,3,FALSE))</f>
        <v/>
      </c>
      <c r="I71" s="190" t="str">
        <f>IF(F71="","",VLOOKUP(F71,Componentes!$AB:$AG,4,FALSE))</f>
        <v/>
      </c>
      <c r="J71" s="190" t="str">
        <f>IF(F71="","",VLOOKUP(F71,Componentes!$AB:$AG,6,FALSE))</f>
        <v/>
      </c>
      <c r="K71" s="190" t="str">
        <f>IF(F71="","",IF(I71&lt;&gt;"SPLV",VLOOKUP(F71,Componentes!$AB:$AG,5,FALSE),""))</f>
        <v/>
      </c>
      <c r="L71" s="184" t="str">
        <f t="shared" si="1"/>
        <v/>
      </c>
      <c r="M71" s="190" t="str">
        <f>IF(OR(I71="SPLV",I71="k"),VLOOKUP(F71,Componentes!$AB:$AG,5,FALSE),"")</f>
        <v/>
      </c>
      <c r="N71" s="185" t="str">
        <f t="shared" si="4"/>
        <v/>
      </c>
      <c r="O71" s="186"/>
      <c r="P71" t="str">
        <f>IF(Envoltória!D56="","",J71*$S$1*$S$2/1000)</f>
        <v/>
      </c>
      <c r="Q71" s="242"/>
      <c r="R71" s="92"/>
      <c r="S71" s="91"/>
      <c r="T71" s="244"/>
      <c r="U71" s="244"/>
      <c r="V71" s="244"/>
      <c r="W71" s="244"/>
      <c r="X71" s="244"/>
      <c r="Y71" s="244"/>
      <c r="Z71" s="244"/>
      <c r="AA71" s="244"/>
      <c r="AB71" s="244"/>
      <c r="AC71" s="244"/>
      <c r="AD71" s="244"/>
      <c r="AE71" s="244"/>
      <c r="AF71" s="244"/>
      <c r="AG71" s="244"/>
      <c r="AH71" s="244"/>
      <c r="AI71" s="244"/>
      <c r="AJ71" s="244"/>
      <c r="AK71" s="245" t="str">
        <f t="shared" si="2"/>
        <v/>
      </c>
      <c r="AL71" s="335">
        <f t="shared" si="3"/>
        <v>0</v>
      </c>
    </row>
    <row r="72" spans="1:38" x14ac:dyDescent="0.25">
      <c r="A72" s="155">
        <v>42</v>
      </c>
      <c r="B72" s="218"/>
      <c r="C72" s="190" t="str">
        <f>IF(Envoltória!C57="","",Envoltória!C57)</f>
        <v/>
      </c>
      <c r="D72" s="190" t="str">
        <f>IF(Envoltória!D57="","",Envoltória!D57)</f>
        <v/>
      </c>
      <c r="E72" s="317">
        <f>Envoltória!AD57</f>
        <v>0</v>
      </c>
      <c r="F72" s="218"/>
      <c r="G72" s="317" t="str">
        <f>IF(C72="","",VLOOKUP(F72,Componentes!$AB:$AG,2,FALSE))</f>
        <v/>
      </c>
      <c r="H72" s="317" t="str">
        <f>IF(F72="","",VLOOKUP(F72,Componentes!$AB:$AG,3,FALSE))</f>
        <v/>
      </c>
      <c r="I72" s="190" t="str">
        <f>IF(F72="","",VLOOKUP(F72,Componentes!$AB:$AG,4,FALSE))</f>
        <v/>
      </c>
      <c r="J72" s="190" t="str">
        <f>IF(F72="","",VLOOKUP(F72,Componentes!$AB:$AG,6,FALSE))</f>
        <v/>
      </c>
      <c r="K72" s="190" t="str">
        <f>IF(F72="","",IF(I72&lt;&gt;"SPLV",VLOOKUP(F72,Componentes!$AB:$AG,5,FALSE),""))</f>
        <v/>
      </c>
      <c r="L72" s="184" t="str">
        <f t="shared" si="1"/>
        <v/>
      </c>
      <c r="M72" s="190" t="str">
        <f>IF(OR(I72="SPLV",I72="k"),VLOOKUP(F72,Componentes!$AB:$AG,5,FALSE),"")</f>
        <v/>
      </c>
      <c r="N72" s="185" t="str">
        <f t="shared" si="4"/>
        <v/>
      </c>
      <c r="O72" s="186"/>
      <c r="P72" t="str">
        <f>IF(Envoltória!D57="","",J72*$S$1*$S$2/1000)</f>
        <v/>
      </c>
      <c r="Q72" s="242"/>
      <c r="R72" s="92"/>
      <c r="S72" s="91"/>
      <c r="T72" s="244"/>
      <c r="U72" s="244"/>
      <c r="V72" s="244"/>
      <c r="W72" s="244"/>
      <c r="X72" s="244"/>
      <c r="Y72" s="244"/>
      <c r="Z72" s="244"/>
      <c r="AA72" s="244"/>
      <c r="AB72" s="244"/>
      <c r="AC72" s="244"/>
      <c r="AD72" s="244"/>
      <c r="AE72" s="244"/>
      <c r="AF72" s="244"/>
      <c r="AG72" s="244"/>
      <c r="AH72" s="244"/>
      <c r="AI72" s="244"/>
      <c r="AJ72" s="244"/>
      <c r="AK72" s="245" t="str">
        <f t="shared" si="2"/>
        <v/>
      </c>
      <c r="AL72" s="335">
        <f t="shared" si="3"/>
        <v>0</v>
      </c>
    </row>
    <row r="73" spans="1:38" x14ac:dyDescent="0.25">
      <c r="A73" s="155">
        <v>43</v>
      </c>
      <c r="B73" s="218"/>
      <c r="C73" s="190" t="str">
        <f>IF(Envoltória!C58="","",Envoltória!C58)</f>
        <v/>
      </c>
      <c r="D73" s="190" t="str">
        <f>IF(Envoltória!D58="","",Envoltória!D58)</f>
        <v/>
      </c>
      <c r="E73" s="317">
        <f>Envoltória!AD58</f>
        <v>0</v>
      </c>
      <c r="F73" s="218"/>
      <c r="G73" s="317" t="str">
        <f>IF(C73="","",VLOOKUP(F73,Componentes!$AB:$AG,2,FALSE))</f>
        <v/>
      </c>
      <c r="H73" s="317" t="str">
        <f>IF(F73="","",VLOOKUP(F73,Componentes!$AB:$AG,3,FALSE))</f>
        <v/>
      </c>
      <c r="I73" s="190" t="str">
        <f>IF(F73="","",VLOOKUP(F73,Componentes!$AB:$AG,4,FALSE))</f>
        <v/>
      </c>
      <c r="J73" s="190" t="str">
        <f>IF(F73="","",VLOOKUP(F73,Componentes!$AB:$AG,6,FALSE))</f>
        <v/>
      </c>
      <c r="K73" s="190" t="str">
        <f>IF(F73="","",IF(I73&lt;&gt;"SPLV",VLOOKUP(F73,Componentes!$AB:$AG,5,FALSE),""))</f>
        <v/>
      </c>
      <c r="L73" s="184" t="str">
        <f t="shared" si="1"/>
        <v/>
      </c>
      <c r="M73" s="190" t="str">
        <f>IF(OR(I73="SPLV",I73="k"),VLOOKUP(F73,Componentes!$AB:$AG,5,FALSE),"")</f>
        <v/>
      </c>
      <c r="N73" s="185" t="str">
        <f t="shared" si="4"/>
        <v/>
      </c>
      <c r="O73" s="186"/>
      <c r="P73" t="str">
        <f>IF(Envoltória!D58="","",J73*$S$1*$S$2/1000)</f>
        <v/>
      </c>
      <c r="Q73" s="242"/>
      <c r="R73" s="92"/>
      <c r="S73" s="91"/>
      <c r="T73" s="244"/>
      <c r="U73" s="244"/>
      <c r="V73" s="244"/>
      <c r="W73" s="244"/>
      <c r="X73" s="244"/>
      <c r="Y73" s="244"/>
      <c r="Z73" s="244"/>
      <c r="AA73" s="244"/>
      <c r="AB73" s="244"/>
      <c r="AC73" s="244"/>
      <c r="AD73" s="244"/>
      <c r="AE73" s="244"/>
      <c r="AF73" s="244"/>
      <c r="AG73" s="244"/>
      <c r="AH73" s="244"/>
      <c r="AI73" s="244"/>
      <c r="AJ73" s="244"/>
      <c r="AK73" s="245" t="str">
        <f t="shared" si="2"/>
        <v/>
      </c>
      <c r="AL73" s="335">
        <f t="shared" si="3"/>
        <v>0</v>
      </c>
    </row>
    <row r="74" spans="1:38" x14ac:dyDescent="0.25">
      <c r="A74" s="155">
        <v>44</v>
      </c>
      <c r="B74" s="218"/>
      <c r="C74" s="190" t="str">
        <f>IF(Envoltória!C59="","",Envoltória!C59)</f>
        <v/>
      </c>
      <c r="D74" s="190" t="str">
        <f>IF(Envoltória!D59="","",Envoltória!D59)</f>
        <v/>
      </c>
      <c r="E74" s="317">
        <f>Envoltória!AD59</f>
        <v>0</v>
      </c>
      <c r="F74" s="218"/>
      <c r="G74" s="317" t="str">
        <f>IF(C74="","",VLOOKUP(F74,Componentes!$AB:$AG,2,FALSE))</f>
        <v/>
      </c>
      <c r="H74" s="317" t="str">
        <f>IF(F74="","",VLOOKUP(F74,Componentes!$AB:$AG,3,FALSE))</f>
        <v/>
      </c>
      <c r="I74" s="190" t="str">
        <f>IF(F74="","",VLOOKUP(F74,Componentes!$AB:$AG,4,FALSE))</f>
        <v/>
      </c>
      <c r="J74" s="190" t="str">
        <f>IF(F74="","",VLOOKUP(F74,Componentes!$AB:$AG,6,FALSE))</f>
        <v/>
      </c>
      <c r="K74" s="190" t="str">
        <f>IF(F74="","",IF(I74&lt;&gt;"SPLV",VLOOKUP(F74,Componentes!$AB:$AG,5,FALSE),""))</f>
        <v/>
      </c>
      <c r="L74" s="184" t="str">
        <f t="shared" si="1"/>
        <v/>
      </c>
      <c r="M74" s="190" t="str">
        <f>IF(OR(I74="SPLV",I74="k"),VLOOKUP(F74,Componentes!$AB:$AG,5,FALSE),"")</f>
        <v/>
      </c>
      <c r="N74" s="185" t="str">
        <f t="shared" si="4"/>
        <v/>
      </c>
      <c r="O74" s="186"/>
      <c r="P74" t="str">
        <f>IF(Envoltória!D59="","",J74*$S$1*$S$2/1000)</f>
        <v/>
      </c>
      <c r="Q74" s="242"/>
      <c r="R74" s="92"/>
      <c r="S74" s="91"/>
      <c r="T74" s="244"/>
      <c r="U74" s="244"/>
      <c r="V74" s="244"/>
      <c r="W74" s="244"/>
      <c r="X74" s="244"/>
      <c r="Y74" s="244"/>
      <c r="Z74" s="244"/>
      <c r="AA74" s="244"/>
      <c r="AB74" s="244"/>
      <c r="AC74" s="244"/>
      <c r="AD74" s="244"/>
      <c r="AE74" s="244"/>
      <c r="AF74" s="244"/>
      <c r="AG74" s="244"/>
      <c r="AH74" s="244"/>
      <c r="AI74" s="244"/>
      <c r="AJ74" s="244"/>
      <c r="AK74" s="245" t="str">
        <f t="shared" si="2"/>
        <v/>
      </c>
      <c r="AL74" s="335">
        <f t="shared" si="3"/>
        <v>0</v>
      </c>
    </row>
    <row r="75" spans="1:38" x14ac:dyDescent="0.25">
      <c r="A75" s="155">
        <v>45</v>
      </c>
      <c r="B75" s="218"/>
      <c r="C75" s="190" t="str">
        <f>IF(Envoltória!C60="","",Envoltória!C60)</f>
        <v/>
      </c>
      <c r="D75" s="190" t="str">
        <f>IF(Envoltória!D60="","",Envoltória!D60)</f>
        <v/>
      </c>
      <c r="E75" s="317">
        <f>Envoltória!AD60</f>
        <v>0</v>
      </c>
      <c r="F75" s="218"/>
      <c r="G75" s="317" t="str">
        <f>IF(C75="","",VLOOKUP(F75,Componentes!$AB:$AG,2,FALSE))</f>
        <v/>
      </c>
      <c r="H75" s="317" t="str">
        <f>IF(F75="","",VLOOKUP(F75,Componentes!$AB:$AG,3,FALSE))</f>
        <v/>
      </c>
      <c r="I75" s="190" t="str">
        <f>IF(F75="","",VLOOKUP(F75,Componentes!$AB:$AG,4,FALSE))</f>
        <v/>
      </c>
      <c r="J75" s="190" t="str">
        <f>IF(F75="","",VLOOKUP(F75,Componentes!$AB:$AG,6,FALSE))</f>
        <v/>
      </c>
      <c r="K75" s="190" t="str">
        <f>IF(F75="","",IF(I75&lt;&gt;"SPLV",VLOOKUP(F75,Componentes!$AB:$AG,5,FALSE),""))</f>
        <v/>
      </c>
      <c r="L75" s="184" t="str">
        <f t="shared" si="1"/>
        <v/>
      </c>
      <c r="M75" s="190" t="str">
        <f>IF(OR(I75="SPLV",I75="k"),VLOOKUP(F75,Componentes!$AB:$AG,5,FALSE),"")</f>
        <v/>
      </c>
      <c r="N75" s="185" t="str">
        <f t="shared" si="4"/>
        <v/>
      </c>
      <c r="O75" s="186"/>
      <c r="P75" t="str">
        <f>IF(Envoltória!D60="","",J75*$S$1*$S$2/1000)</f>
        <v/>
      </c>
      <c r="Q75" s="242"/>
      <c r="R75" s="92"/>
      <c r="S75" s="91"/>
      <c r="T75" s="244"/>
      <c r="U75" s="244"/>
      <c r="V75" s="244"/>
      <c r="W75" s="244"/>
      <c r="X75" s="244"/>
      <c r="Y75" s="244"/>
      <c r="Z75" s="244"/>
      <c r="AA75" s="244"/>
      <c r="AB75" s="244"/>
      <c r="AC75" s="244"/>
      <c r="AD75" s="244"/>
      <c r="AE75" s="244"/>
      <c r="AF75" s="244"/>
      <c r="AG75" s="244"/>
      <c r="AH75" s="244"/>
      <c r="AI75" s="244"/>
      <c r="AJ75" s="244"/>
      <c r="AK75" s="245" t="str">
        <f t="shared" si="2"/>
        <v/>
      </c>
      <c r="AL75" s="335">
        <f t="shared" si="3"/>
        <v>0</v>
      </c>
    </row>
    <row r="76" spans="1:38" x14ac:dyDescent="0.25">
      <c r="A76" s="155">
        <v>46</v>
      </c>
      <c r="B76" s="218"/>
      <c r="C76" s="190" t="str">
        <f>IF(Envoltória!C61="","",Envoltória!C61)</f>
        <v/>
      </c>
      <c r="D76" s="190" t="str">
        <f>IF(Envoltória!D61="","",Envoltória!D61)</f>
        <v/>
      </c>
      <c r="E76" s="317">
        <f>Envoltória!AD61</f>
        <v>0</v>
      </c>
      <c r="F76" s="218"/>
      <c r="G76" s="317" t="str">
        <f>IF(C76="","",VLOOKUP(F76,Componentes!$AB:$AG,2,FALSE))</f>
        <v/>
      </c>
      <c r="H76" s="317" t="str">
        <f>IF(F76="","",VLOOKUP(F76,Componentes!$AB:$AG,3,FALSE))</f>
        <v/>
      </c>
      <c r="I76" s="190" t="str">
        <f>IF(F76="","",VLOOKUP(F76,Componentes!$AB:$AG,4,FALSE))</f>
        <v/>
      </c>
      <c r="J76" s="190" t="str">
        <f>IF(F76="","",VLOOKUP(F76,Componentes!$AB:$AG,6,FALSE))</f>
        <v/>
      </c>
      <c r="K76" s="190" t="str">
        <f>IF(F76="","",IF(I76&lt;&gt;"SPLV",VLOOKUP(F76,Componentes!$AB:$AG,5,FALSE),""))</f>
        <v/>
      </c>
      <c r="L76" s="184" t="str">
        <f t="shared" si="1"/>
        <v/>
      </c>
      <c r="M76" s="190" t="str">
        <f>IF(OR(I76="SPLV",I76="k"),VLOOKUP(F76,Componentes!$AB:$AG,5,FALSE),"")</f>
        <v/>
      </c>
      <c r="N76" s="185" t="str">
        <f t="shared" si="4"/>
        <v/>
      </c>
      <c r="O76" s="186"/>
      <c r="P76" t="str">
        <f>IF(Envoltória!D61="","",J76*$S$1*$S$2/1000)</f>
        <v/>
      </c>
      <c r="Q76" s="242"/>
      <c r="R76" s="92"/>
      <c r="S76" s="91"/>
      <c r="T76" s="244"/>
      <c r="U76" s="244"/>
      <c r="V76" s="244"/>
      <c r="W76" s="244"/>
      <c r="X76" s="244"/>
      <c r="Y76" s="244"/>
      <c r="Z76" s="244"/>
      <c r="AA76" s="244"/>
      <c r="AB76" s="244"/>
      <c r="AC76" s="244"/>
      <c r="AD76" s="244"/>
      <c r="AE76" s="244"/>
      <c r="AF76" s="244"/>
      <c r="AG76" s="244"/>
      <c r="AH76" s="244"/>
      <c r="AI76" s="244"/>
      <c r="AJ76" s="244"/>
      <c r="AK76" s="245" t="str">
        <f t="shared" si="2"/>
        <v/>
      </c>
      <c r="AL76" s="335">
        <f t="shared" si="3"/>
        <v>0</v>
      </c>
    </row>
    <row r="77" spans="1:38" x14ac:dyDescent="0.25">
      <c r="A77" s="155">
        <v>47</v>
      </c>
      <c r="B77" s="218"/>
      <c r="C77" s="190" t="str">
        <f>IF(Envoltória!C62="","",Envoltória!C62)</f>
        <v/>
      </c>
      <c r="D77" s="190" t="str">
        <f>IF(Envoltória!D62="","",Envoltória!D62)</f>
        <v/>
      </c>
      <c r="E77" s="317">
        <f>Envoltória!AD62</f>
        <v>0</v>
      </c>
      <c r="F77" s="218"/>
      <c r="G77" s="317" t="str">
        <f>IF(C77="","",VLOOKUP(F77,Componentes!$AB:$AG,2,FALSE))</f>
        <v/>
      </c>
      <c r="H77" s="317" t="str">
        <f>IF(F77="","",VLOOKUP(F77,Componentes!$AB:$AG,3,FALSE))</f>
        <v/>
      </c>
      <c r="I77" s="190" t="str">
        <f>IF(F77="","",VLOOKUP(F77,Componentes!$AB:$AG,4,FALSE))</f>
        <v/>
      </c>
      <c r="J77" s="190" t="str">
        <f>IF(F77="","",VLOOKUP(F77,Componentes!$AB:$AG,6,FALSE))</f>
        <v/>
      </c>
      <c r="K77" s="190" t="str">
        <f>IF(F77="","",IF(I77&lt;&gt;"SPLV",VLOOKUP(F77,Componentes!$AB:$AG,5,FALSE),""))</f>
        <v/>
      </c>
      <c r="L77" s="184" t="str">
        <f t="shared" si="1"/>
        <v/>
      </c>
      <c r="M77" s="190" t="str">
        <f>IF(OR(I77="SPLV",I77="k"),VLOOKUP(F77,Componentes!$AB:$AG,5,FALSE),"")</f>
        <v/>
      </c>
      <c r="N77" s="185" t="str">
        <f t="shared" si="4"/>
        <v/>
      </c>
      <c r="O77" s="186"/>
      <c r="P77" t="str">
        <f>IF(Envoltória!D62="","",J77*$S$1*$S$2/1000)</f>
        <v/>
      </c>
      <c r="Q77" s="242"/>
      <c r="R77" s="92"/>
      <c r="S77" s="91"/>
      <c r="T77" s="244"/>
      <c r="U77" s="244"/>
      <c r="V77" s="244"/>
      <c r="W77" s="244"/>
      <c r="X77" s="244"/>
      <c r="Y77" s="244"/>
      <c r="Z77" s="244"/>
      <c r="AA77" s="244"/>
      <c r="AB77" s="244"/>
      <c r="AC77" s="244"/>
      <c r="AD77" s="244"/>
      <c r="AE77" s="244"/>
      <c r="AF77" s="244"/>
      <c r="AG77" s="244"/>
      <c r="AH77" s="244"/>
      <c r="AI77" s="244"/>
      <c r="AJ77" s="244"/>
      <c r="AK77" s="245" t="str">
        <f t="shared" si="2"/>
        <v/>
      </c>
      <c r="AL77" s="335">
        <f t="shared" si="3"/>
        <v>0</v>
      </c>
    </row>
    <row r="78" spans="1:38" x14ac:dyDescent="0.25">
      <c r="A78" s="155">
        <v>48</v>
      </c>
      <c r="B78" s="218"/>
      <c r="C78" s="190" t="str">
        <f>IF(Envoltória!C63="","",Envoltória!C63)</f>
        <v/>
      </c>
      <c r="D78" s="190" t="str">
        <f>IF(Envoltória!D63="","",Envoltória!D63)</f>
        <v/>
      </c>
      <c r="E78" s="317">
        <f>Envoltória!AD63</f>
        <v>0</v>
      </c>
      <c r="F78" s="218"/>
      <c r="G78" s="317" t="str">
        <f>IF(C78="","",VLOOKUP(F78,Componentes!$AB:$AG,2,FALSE))</f>
        <v/>
      </c>
      <c r="H78" s="317" t="str">
        <f>IF(F78="","",VLOOKUP(F78,Componentes!$AB:$AG,3,FALSE))</f>
        <v/>
      </c>
      <c r="I78" s="190" t="str">
        <f>IF(F78="","",VLOOKUP(F78,Componentes!$AB:$AG,4,FALSE))</f>
        <v/>
      </c>
      <c r="J78" s="190" t="str">
        <f>IF(F78="","",VLOOKUP(F78,Componentes!$AB:$AG,6,FALSE))</f>
        <v/>
      </c>
      <c r="K78" s="190" t="str">
        <f>IF(F78="","",IF(I78&lt;&gt;"SPLV",VLOOKUP(F78,Componentes!$AB:$AG,5,FALSE),""))</f>
        <v/>
      </c>
      <c r="L78" s="184" t="str">
        <f t="shared" si="1"/>
        <v/>
      </c>
      <c r="M78" s="190" t="str">
        <f>IF(OR(I78="SPLV",I78="k"),VLOOKUP(F78,Componentes!$AB:$AG,5,FALSE),"")</f>
        <v/>
      </c>
      <c r="N78" s="185" t="str">
        <f t="shared" si="4"/>
        <v/>
      </c>
      <c r="O78" s="186"/>
      <c r="P78" t="str">
        <f>IF(Envoltória!D63="","",J78*$S$1*$S$2/1000)</f>
        <v/>
      </c>
      <c r="Q78" s="242"/>
      <c r="R78" s="92"/>
      <c r="S78" s="91"/>
      <c r="T78" s="244"/>
      <c r="U78" s="244"/>
      <c r="V78" s="244"/>
      <c r="W78" s="244"/>
      <c r="X78" s="244"/>
      <c r="Y78" s="244"/>
      <c r="Z78" s="244"/>
      <c r="AA78" s="244"/>
      <c r="AB78" s="244"/>
      <c r="AC78" s="244"/>
      <c r="AD78" s="244"/>
      <c r="AE78" s="244"/>
      <c r="AF78" s="244"/>
      <c r="AG78" s="244"/>
      <c r="AH78" s="244"/>
      <c r="AI78" s="244"/>
      <c r="AJ78" s="244"/>
      <c r="AK78" s="245" t="str">
        <f t="shared" si="2"/>
        <v/>
      </c>
      <c r="AL78" s="335">
        <f t="shared" si="3"/>
        <v>0</v>
      </c>
    </row>
    <row r="79" spans="1:38" x14ac:dyDescent="0.25">
      <c r="A79" s="155">
        <v>49</v>
      </c>
      <c r="B79" s="218"/>
      <c r="C79" s="190" t="str">
        <f>IF(Envoltória!C64="","",Envoltória!C64)</f>
        <v/>
      </c>
      <c r="D79" s="190" t="str">
        <f>IF(Envoltória!D64="","",Envoltória!D64)</f>
        <v/>
      </c>
      <c r="E79" s="317">
        <f>Envoltória!AD64</f>
        <v>0</v>
      </c>
      <c r="F79" s="218"/>
      <c r="G79" s="317" t="str">
        <f>IF(C79="","",VLOOKUP(F79,Componentes!$AB:$AG,2,FALSE))</f>
        <v/>
      </c>
      <c r="H79" s="317" t="str">
        <f>IF(F79="","",VLOOKUP(F79,Componentes!$AB:$AG,3,FALSE))</f>
        <v/>
      </c>
      <c r="I79" s="190" t="str">
        <f>IF(F79="","",VLOOKUP(F79,Componentes!$AB:$AG,4,FALSE))</f>
        <v/>
      </c>
      <c r="J79" s="190" t="str">
        <f>IF(F79="","",VLOOKUP(F79,Componentes!$AB:$AG,6,FALSE))</f>
        <v/>
      </c>
      <c r="K79" s="190" t="str">
        <f>IF(F79="","",IF(I79&lt;&gt;"SPLV",VLOOKUP(F79,Componentes!$AB:$AG,5,FALSE),""))</f>
        <v/>
      </c>
      <c r="L79" s="184" t="str">
        <f t="shared" si="1"/>
        <v/>
      </c>
      <c r="M79" s="190" t="str">
        <f>IF(OR(I79="SPLV",I79="k"),VLOOKUP(F79,Componentes!$AB:$AG,5,FALSE),"")</f>
        <v/>
      </c>
      <c r="N79" s="185" t="str">
        <f t="shared" si="4"/>
        <v/>
      </c>
      <c r="O79" s="186"/>
      <c r="P79" t="str">
        <f>IF(Envoltória!D64="","",J79*$S$1*$S$2/1000)</f>
        <v/>
      </c>
      <c r="Q79" s="242"/>
      <c r="R79" s="92"/>
      <c r="S79" s="91"/>
      <c r="T79" s="244"/>
      <c r="U79" s="244"/>
      <c r="V79" s="244"/>
      <c r="W79" s="244"/>
      <c r="X79" s="244"/>
      <c r="Y79" s="244"/>
      <c r="Z79" s="244"/>
      <c r="AA79" s="244"/>
      <c r="AB79" s="244"/>
      <c r="AC79" s="244"/>
      <c r="AD79" s="244"/>
      <c r="AE79" s="244"/>
      <c r="AF79" s="244"/>
      <c r="AG79" s="244"/>
      <c r="AH79" s="244"/>
      <c r="AI79" s="244"/>
      <c r="AJ79" s="244"/>
      <c r="AK79" s="245" t="str">
        <f t="shared" si="2"/>
        <v/>
      </c>
      <c r="AL79" s="335">
        <f t="shared" si="3"/>
        <v>0</v>
      </c>
    </row>
    <row r="80" spans="1:38" x14ac:dyDescent="0.25">
      <c r="A80" s="155">
        <v>50</v>
      </c>
      <c r="B80" s="218"/>
      <c r="C80" s="190" t="str">
        <f>IF(Envoltória!C65="","",Envoltória!C65)</f>
        <v/>
      </c>
      <c r="D80" s="190" t="str">
        <f>IF(Envoltória!D65="","",Envoltória!D65)</f>
        <v/>
      </c>
      <c r="E80" s="317">
        <f>Envoltória!AD65</f>
        <v>0</v>
      </c>
      <c r="F80" s="218"/>
      <c r="G80" s="317" t="str">
        <f>IF(C80="","",VLOOKUP(F80,Componentes!$AB:$AG,2,FALSE))</f>
        <v/>
      </c>
      <c r="H80" s="317" t="str">
        <f>IF(F80="","",VLOOKUP(F80,Componentes!$AB:$AG,3,FALSE))</f>
        <v/>
      </c>
      <c r="I80" s="190" t="str">
        <f>IF(F80="","",VLOOKUP(F80,Componentes!$AB:$AG,4,FALSE))</f>
        <v/>
      </c>
      <c r="J80" s="190" t="str">
        <f>IF(F80="","",VLOOKUP(F80,Componentes!$AB:$AG,6,FALSE))</f>
        <v/>
      </c>
      <c r="K80" s="190" t="str">
        <f>IF(F80="","",IF(I80&lt;&gt;"SPLV",VLOOKUP(F80,Componentes!$AB:$AG,5,FALSE),""))</f>
        <v/>
      </c>
      <c r="L80" s="184" t="str">
        <f t="shared" si="1"/>
        <v/>
      </c>
      <c r="M80" s="190" t="str">
        <f>IF(OR(I80="SPLV",I80="k"),VLOOKUP(F80,Componentes!$AB:$AG,5,FALSE),"")</f>
        <v/>
      </c>
      <c r="N80" s="185" t="str">
        <f t="shared" si="4"/>
        <v/>
      </c>
      <c r="O80" s="186"/>
      <c r="P80" t="str">
        <f>IF(Envoltória!D65="","",J80*$S$1*$S$2/1000)</f>
        <v/>
      </c>
      <c r="Q80" s="242"/>
      <c r="R80" s="92"/>
      <c r="S80" s="91"/>
      <c r="T80" s="244"/>
      <c r="U80" s="244"/>
      <c r="V80" s="244"/>
      <c r="W80" s="244"/>
      <c r="X80" s="244"/>
      <c r="Y80" s="244"/>
      <c r="Z80" s="244"/>
      <c r="AA80" s="244"/>
      <c r="AB80" s="244"/>
      <c r="AC80" s="244"/>
      <c r="AD80" s="244"/>
      <c r="AE80" s="244"/>
      <c r="AF80" s="244"/>
      <c r="AG80" s="244"/>
      <c r="AH80" s="244"/>
      <c r="AI80" s="244"/>
      <c r="AJ80" s="244"/>
      <c r="AK80" s="245" t="str">
        <f t="shared" si="2"/>
        <v/>
      </c>
      <c r="AL80" s="335">
        <f t="shared" si="3"/>
        <v>0</v>
      </c>
    </row>
    <row r="81" spans="1:38" x14ac:dyDescent="0.25">
      <c r="A81" s="155">
        <v>51</v>
      </c>
      <c r="B81" s="218"/>
      <c r="C81" s="190" t="str">
        <f>IF(Envoltória!C66="","",Envoltória!C66)</f>
        <v/>
      </c>
      <c r="D81" s="190" t="str">
        <f>IF(Envoltória!D66="","",Envoltória!D66)</f>
        <v/>
      </c>
      <c r="E81" s="317">
        <f>Envoltória!AD66</f>
        <v>0</v>
      </c>
      <c r="F81" s="218"/>
      <c r="G81" s="317" t="str">
        <f>IF(C81="","",VLOOKUP(F81,Componentes!$AB:$AG,2,FALSE))</f>
        <v/>
      </c>
      <c r="H81" s="317" t="str">
        <f>IF(F81="","",VLOOKUP(F81,Componentes!$AB:$AG,3,FALSE))</f>
        <v/>
      </c>
      <c r="I81" s="190" t="str">
        <f>IF(F81="","",VLOOKUP(F81,Componentes!$AB:$AG,4,FALSE))</f>
        <v/>
      </c>
      <c r="J81" s="190" t="str">
        <f>IF(F81="","",VLOOKUP(F81,Componentes!$AB:$AG,6,FALSE))</f>
        <v/>
      </c>
      <c r="K81" s="190" t="str">
        <f>IF(F81="","",IF(I81&lt;&gt;"SPLV",VLOOKUP(F81,Componentes!$AB:$AG,5,FALSE),""))</f>
        <v/>
      </c>
      <c r="L81" s="184" t="str">
        <f t="shared" si="1"/>
        <v/>
      </c>
      <c r="M81" s="190" t="str">
        <f>IF(OR(I81="SPLV",I81="k"),VLOOKUP(F81,Componentes!$AB:$AG,5,FALSE),"")</f>
        <v/>
      </c>
      <c r="N81" s="185" t="str">
        <f t="shared" si="4"/>
        <v/>
      </c>
      <c r="O81" s="186"/>
      <c r="P81" t="str">
        <f>IF(Envoltória!D66="","",J81*$S$1*$S$2/1000)</f>
        <v/>
      </c>
      <c r="Q81" s="242"/>
      <c r="R81" s="92"/>
      <c r="S81" s="91"/>
      <c r="T81" s="244"/>
      <c r="U81" s="244"/>
      <c r="V81" s="244"/>
      <c r="W81" s="244"/>
      <c r="X81" s="244"/>
      <c r="Y81" s="244"/>
      <c r="Z81" s="244"/>
      <c r="AA81" s="244"/>
      <c r="AB81" s="244"/>
      <c r="AC81" s="244"/>
      <c r="AD81" s="244"/>
      <c r="AE81" s="244"/>
      <c r="AF81" s="244"/>
      <c r="AG81" s="244"/>
      <c r="AH81" s="244"/>
      <c r="AI81" s="244"/>
      <c r="AJ81" s="244"/>
      <c r="AK81" s="245" t="str">
        <f t="shared" si="2"/>
        <v/>
      </c>
      <c r="AL81" s="335">
        <f t="shared" si="3"/>
        <v>0</v>
      </c>
    </row>
    <row r="82" spans="1:38" x14ac:dyDescent="0.25">
      <c r="A82" s="155">
        <v>52</v>
      </c>
      <c r="B82" s="218"/>
      <c r="C82" s="190" t="str">
        <f>IF(Envoltória!C67="","",Envoltória!C67)</f>
        <v/>
      </c>
      <c r="D82" s="190" t="str">
        <f>IF(Envoltória!D67="","",Envoltória!D67)</f>
        <v/>
      </c>
      <c r="E82" s="317">
        <f>Envoltória!AD67</f>
        <v>0</v>
      </c>
      <c r="F82" s="218"/>
      <c r="G82" s="317" t="str">
        <f>IF(C82="","",VLOOKUP(F82,Componentes!$AB:$AG,2,FALSE))</f>
        <v/>
      </c>
      <c r="H82" s="317" t="str">
        <f>IF(F82="","",VLOOKUP(F82,Componentes!$AB:$AG,3,FALSE))</f>
        <v/>
      </c>
      <c r="I82" s="190" t="str">
        <f>IF(F82="","",VLOOKUP(F82,Componentes!$AB:$AG,4,FALSE))</f>
        <v/>
      </c>
      <c r="J82" s="190" t="str">
        <f>IF(F82="","",VLOOKUP(F82,Componentes!$AB:$AG,6,FALSE))</f>
        <v/>
      </c>
      <c r="K82" s="190" t="str">
        <f>IF(F82="","",IF(I82&lt;&gt;"SPLV",VLOOKUP(F82,Componentes!$AB:$AG,5,FALSE),""))</f>
        <v/>
      </c>
      <c r="L82" s="184" t="str">
        <f t="shared" si="1"/>
        <v/>
      </c>
      <c r="M82" s="190" t="str">
        <f>IF(OR(I82="SPLV",I82="k"),VLOOKUP(F82,Componentes!$AB:$AG,5,FALSE),"")</f>
        <v/>
      </c>
      <c r="N82" s="185" t="str">
        <f t="shared" si="4"/>
        <v/>
      </c>
      <c r="O82" s="186"/>
      <c r="P82" t="str">
        <f>IF(Envoltória!D67="","",J82*$S$1*$S$2/1000)</f>
        <v/>
      </c>
      <c r="Q82" s="242"/>
      <c r="R82" s="92"/>
      <c r="S82" s="91"/>
      <c r="T82" s="244"/>
      <c r="U82" s="244"/>
      <c r="V82" s="244"/>
      <c r="W82" s="244"/>
      <c r="X82" s="244"/>
      <c r="Y82" s="244"/>
      <c r="Z82" s="244"/>
      <c r="AA82" s="244"/>
      <c r="AB82" s="244"/>
      <c r="AC82" s="244"/>
      <c r="AD82" s="244"/>
      <c r="AE82" s="244"/>
      <c r="AF82" s="244"/>
      <c r="AG82" s="244"/>
      <c r="AH82" s="244"/>
      <c r="AI82" s="244"/>
      <c r="AJ82" s="244"/>
      <c r="AK82" s="245" t="str">
        <f t="shared" si="2"/>
        <v/>
      </c>
      <c r="AL82" s="335">
        <f t="shared" si="3"/>
        <v>0</v>
      </c>
    </row>
    <row r="83" spans="1:38" x14ac:dyDescent="0.25">
      <c r="A83" s="155">
        <v>53</v>
      </c>
      <c r="B83" s="218"/>
      <c r="C83" s="190" t="str">
        <f>IF(Envoltória!C68="","",Envoltória!C68)</f>
        <v/>
      </c>
      <c r="D83" s="190" t="str">
        <f>IF(Envoltória!D68="","",Envoltória!D68)</f>
        <v/>
      </c>
      <c r="E83" s="317">
        <f>Envoltória!AD68</f>
        <v>0</v>
      </c>
      <c r="F83" s="218"/>
      <c r="G83" s="317" t="str">
        <f>IF(C83="","",VLOOKUP(F83,Componentes!$AB:$AG,2,FALSE))</f>
        <v/>
      </c>
      <c r="H83" s="317" t="str">
        <f>IF(F83="","",VLOOKUP(F83,Componentes!$AB:$AG,3,FALSE))</f>
        <v/>
      </c>
      <c r="I83" s="190" t="str">
        <f>IF(F83="","",VLOOKUP(F83,Componentes!$AB:$AG,4,FALSE))</f>
        <v/>
      </c>
      <c r="J83" s="190" t="str">
        <f>IF(F83="","",VLOOKUP(F83,Componentes!$AB:$AG,6,FALSE))</f>
        <v/>
      </c>
      <c r="K83" s="190" t="str">
        <f>IF(F83="","",IF(I83&lt;&gt;"SPLV",VLOOKUP(F83,Componentes!$AB:$AG,5,FALSE),""))</f>
        <v/>
      </c>
      <c r="L83" s="184" t="str">
        <f t="shared" si="1"/>
        <v/>
      </c>
      <c r="M83" s="190" t="str">
        <f>IF(OR(I83="SPLV",I83="k"),VLOOKUP(F83,Componentes!$AB:$AG,5,FALSE),"")</f>
        <v/>
      </c>
      <c r="N83" s="185" t="str">
        <f t="shared" si="4"/>
        <v/>
      </c>
      <c r="O83" s="186"/>
      <c r="P83" t="str">
        <f>IF(Envoltória!D68="","",J83*$S$1*$S$2/1000)</f>
        <v/>
      </c>
      <c r="Q83" s="242"/>
      <c r="R83" s="92"/>
      <c r="S83" s="91"/>
      <c r="T83" s="244"/>
      <c r="U83" s="244"/>
      <c r="V83" s="244"/>
      <c r="W83" s="244"/>
      <c r="X83" s="244"/>
      <c r="Y83" s="244"/>
      <c r="Z83" s="244"/>
      <c r="AA83" s="244"/>
      <c r="AB83" s="244"/>
      <c r="AC83" s="244"/>
      <c r="AD83" s="244"/>
      <c r="AE83" s="244"/>
      <c r="AF83" s="244"/>
      <c r="AG83" s="244"/>
      <c r="AH83" s="244"/>
      <c r="AI83" s="244"/>
      <c r="AJ83" s="244"/>
      <c r="AK83" s="245" t="str">
        <f t="shared" si="2"/>
        <v/>
      </c>
      <c r="AL83" s="335">
        <f t="shared" si="3"/>
        <v>0</v>
      </c>
    </row>
    <row r="84" spans="1:38" x14ac:dyDescent="0.25">
      <c r="A84" s="155">
        <v>54</v>
      </c>
      <c r="B84" s="218"/>
      <c r="C84" s="190" t="str">
        <f>IF(Envoltória!C69="","",Envoltória!C69)</f>
        <v/>
      </c>
      <c r="D84" s="190" t="str">
        <f>IF(Envoltória!D69="","",Envoltória!D69)</f>
        <v/>
      </c>
      <c r="E84" s="317">
        <f>Envoltória!AD69</f>
        <v>0</v>
      </c>
      <c r="F84" s="218"/>
      <c r="G84" s="317" t="str">
        <f>IF(C84="","",VLOOKUP(F84,Componentes!$AB:$AG,2,FALSE))</f>
        <v/>
      </c>
      <c r="H84" s="317" t="str">
        <f>IF(F84="","",VLOOKUP(F84,Componentes!$AB:$AG,3,FALSE))</f>
        <v/>
      </c>
      <c r="I84" s="190" t="str">
        <f>IF(F84="","",VLOOKUP(F84,Componentes!$AB:$AG,4,FALSE))</f>
        <v/>
      </c>
      <c r="J84" s="190" t="str">
        <f>IF(F84="","",VLOOKUP(F84,Componentes!$AB:$AG,6,FALSE))</f>
        <v/>
      </c>
      <c r="K84" s="190" t="str">
        <f>IF(F84="","",IF(I84&lt;&gt;"SPLV",VLOOKUP(F84,Componentes!$AB:$AG,5,FALSE),""))</f>
        <v/>
      </c>
      <c r="L84" s="184" t="str">
        <f t="shared" si="1"/>
        <v/>
      </c>
      <c r="M84" s="190" t="str">
        <f>IF(OR(I84="SPLV",I84="k"),VLOOKUP(F84,Componentes!$AB:$AG,5,FALSE),"")</f>
        <v/>
      </c>
      <c r="N84" s="185" t="str">
        <f t="shared" si="4"/>
        <v/>
      </c>
      <c r="O84" s="186"/>
      <c r="P84" t="str">
        <f>IF(Envoltória!D69="","",J84*$S$1*$S$2/1000)</f>
        <v/>
      </c>
      <c r="Q84" s="242"/>
      <c r="R84" s="92"/>
      <c r="S84" s="91"/>
      <c r="T84" s="244"/>
      <c r="U84" s="244"/>
      <c r="V84" s="244"/>
      <c r="W84" s="244"/>
      <c r="X84" s="244"/>
      <c r="Y84" s="244"/>
      <c r="Z84" s="244"/>
      <c r="AA84" s="244"/>
      <c r="AB84" s="244"/>
      <c r="AC84" s="244"/>
      <c r="AD84" s="244"/>
      <c r="AE84" s="244"/>
      <c r="AF84" s="244"/>
      <c r="AG84" s="244"/>
      <c r="AH84" s="244"/>
      <c r="AI84" s="244"/>
      <c r="AJ84" s="244"/>
      <c r="AK84" s="245" t="str">
        <f t="shared" si="2"/>
        <v/>
      </c>
      <c r="AL84" s="335">
        <f t="shared" si="3"/>
        <v>0</v>
      </c>
    </row>
    <row r="85" spans="1:38" x14ac:dyDescent="0.25">
      <c r="A85" s="155">
        <v>55</v>
      </c>
      <c r="B85" s="218"/>
      <c r="C85" s="190" t="str">
        <f>IF(Envoltória!C70="","",Envoltória!C70)</f>
        <v/>
      </c>
      <c r="D85" s="190" t="str">
        <f>IF(Envoltória!D70="","",Envoltória!D70)</f>
        <v/>
      </c>
      <c r="E85" s="317">
        <f>Envoltória!AD70</f>
        <v>0</v>
      </c>
      <c r="F85" s="218"/>
      <c r="G85" s="317" t="str">
        <f>IF(C85="","",VLOOKUP(F85,Componentes!$AB:$AG,2,FALSE))</f>
        <v/>
      </c>
      <c r="H85" s="317" t="str">
        <f>IF(F85="","",VLOOKUP(F85,Componentes!$AB:$AG,3,FALSE))</f>
        <v/>
      </c>
      <c r="I85" s="190" t="str">
        <f>IF(F85="","",VLOOKUP(F85,Componentes!$AB:$AG,4,FALSE))</f>
        <v/>
      </c>
      <c r="J85" s="190" t="str">
        <f>IF(F85="","",VLOOKUP(F85,Componentes!$AB:$AG,6,FALSE))</f>
        <v/>
      </c>
      <c r="K85" s="190" t="str">
        <f>IF(F85="","",IF(I85&lt;&gt;"SPLV",VLOOKUP(F85,Componentes!$AB:$AG,5,FALSE),""))</f>
        <v/>
      </c>
      <c r="L85" s="184" t="str">
        <f t="shared" si="1"/>
        <v/>
      </c>
      <c r="M85" s="190" t="str">
        <f>IF(OR(I85="SPLV",I85="k"),VLOOKUP(F85,Componentes!$AB:$AG,5,FALSE),"")</f>
        <v/>
      </c>
      <c r="N85" s="185" t="str">
        <f t="shared" si="4"/>
        <v/>
      </c>
      <c r="O85" s="186"/>
      <c r="P85" t="str">
        <f>IF(Envoltória!D70="","",J85*$S$1*$S$2/1000)</f>
        <v/>
      </c>
      <c r="Q85" s="242"/>
      <c r="R85" s="92"/>
      <c r="S85" s="91"/>
      <c r="T85" s="244"/>
      <c r="U85" s="244"/>
      <c r="V85" s="244"/>
      <c r="W85" s="244"/>
      <c r="X85" s="244"/>
      <c r="Y85" s="244"/>
      <c r="Z85" s="244"/>
      <c r="AA85" s="244"/>
      <c r="AB85" s="244"/>
      <c r="AC85" s="244"/>
      <c r="AD85" s="244"/>
      <c r="AE85" s="244"/>
      <c r="AF85" s="244"/>
      <c r="AG85" s="244"/>
      <c r="AH85" s="244"/>
      <c r="AI85" s="244"/>
      <c r="AJ85" s="244"/>
      <c r="AK85" s="245" t="str">
        <f t="shared" si="2"/>
        <v/>
      </c>
      <c r="AL85" s="335">
        <f t="shared" si="3"/>
        <v>0</v>
      </c>
    </row>
    <row r="86" spans="1:38" x14ac:dyDescent="0.25">
      <c r="A86" s="155">
        <v>56</v>
      </c>
      <c r="B86" s="218"/>
      <c r="C86" s="190" t="str">
        <f>IF(Envoltória!C71="","",Envoltória!C71)</f>
        <v/>
      </c>
      <c r="D86" s="190" t="str">
        <f>IF(Envoltória!D71="","",Envoltória!D71)</f>
        <v/>
      </c>
      <c r="E86" s="317">
        <f>Envoltória!AD71</f>
        <v>0</v>
      </c>
      <c r="F86" s="218"/>
      <c r="G86" s="317" t="str">
        <f>IF(C86="","",VLOOKUP(F86,Componentes!$AB:$AG,2,FALSE))</f>
        <v/>
      </c>
      <c r="H86" s="317" t="str">
        <f>IF(F86="","",VLOOKUP(F86,Componentes!$AB:$AG,3,FALSE))</f>
        <v/>
      </c>
      <c r="I86" s="190" t="str">
        <f>IF(F86="","",VLOOKUP(F86,Componentes!$AB:$AG,4,FALSE))</f>
        <v/>
      </c>
      <c r="J86" s="190" t="str">
        <f>IF(F86="","",VLOOKUP(F86,Componentes!$AB:$AG,6,FALSE))</f>
        <v/>
      </c>
      <c r="K86" s="190" t="str">
        <f>IF(F86="","",IF(I86&lt;&gt;"SPLV",VLOOKUP(F86,Componentes!$AB:$AG,5,FALSE),""))</f>
        <v/>
      </c>
      <c r="L86" s="184" t="str">
        <f t="shared" si="1"/>
        <v/>
      </c>
      <c r="M86" s="190" t="str">
        <f>IF(OR(I86="SPLV",I86="k"),VLOOKUP(F86,Componentes!$AB:$AG,5,FALSE),"")</f>
        <v/>
      </c>
      <c r="N86" s="185" t="str">
        <f t="shared" si="4"/>
        <v/>
      </c>
      <c r="O86" s="186"/>
      <c r="P86" t="str">
        <f>IF(Envoltória!D71="","",J86*$S$1*$S$2/1000)</f>
        <v/>
      </c>
      <c r="Q86" s="242"/>
      <c r="R86" s="92"/>
      <c r="S86" s="91"/>
      <c r="T86" s="244"/>
      <c r="U86" s="244"/>
      <c r="V86" s="244"/>
      <c r="W86" s="244"/>
      <c r="X86" s="244"/>
      <c r="Y86" s="244"/>
      <c r="Z86" s="244"/>
      <c r="AA86" s="244"/>
      <c r="AB86" s="244"/>
      <c r="AC86" s="244"/>
      <c r="AD86" s="244"/>
      <c r="AE86" s="244"/>
      <c r="AF86" s="244"/>
      <c r="AG86" s="244"/>
      <c r="AH86" s="244"/>
      <c r="AI86" s="244"/>
      <c r="AJ86" s="244"/>
      <c r="AK86" s="245" t="str">
        <f t="shared" si="2"/>
        <v/>
      </c>
      <c r="AL86" s="335">
        <f t="shared" si="3"/>
        <v>0</v>
      </c>
    </row>
    <row r="87" spans="1:38" x14ac:dyDescent="0.25">
      <c r="A87" s="155">
        <v>57</v>
      </c>
      <c r="B87" s="218"/>
      <c r="C87" s="190" t="str">
        <f>IF(Envoltória!C72="","",Envoltória!C72)</f>
        <v/>
      </c>
      <c r="D87" s="190" t="str">
        <f>IF(Envoltória!D72="","",Envoltória!D72)</f>
        <v/>
      </c>
      <c r="E87" s="317">
        <f>Envoltória!AD72</f>
        <v>0</v>
      </c>
      <c r="F87" s="218"/>
      <c r="G87" s="317" t="str">
        <f>IF(C87="","",VLOOKUP(F87,Componentes!$AB:$AG,2,FALSE))</f>
        <v/>
      </c>
      <c r="H87" s="317" t="str">
        <f>IF(F87="","",VLOOKUP(F87,Componentes!$AB:$AG,3,FALSE))</f>
        <v/>
      </c>
      <c r="I87" s="190" t="str">
        <f>IF(F87="","",VLOOKUP(F87,Componentes!$AB:$AG,4,FALSE))</f>
        <v/>
      </c>
      <c r="J87" s="190" t="str">
        <f>IF(F87="","",VLOOKUP(F87,Componentes!$AB:$AG,6,FALSE))</f>
        <v/>
      </c>
      <c r="K87" s="190" t="str">
        <f>IF(F87="","",IF(I87&lt;&gt;"SPLV",VLOOKUP(F87,Componentes!$AB:$AG,5,FALSE),""))</f>
        <v/>
      </c>
      <c r="L87" s="184" t="str">
        <f t="shared" si="1"/>
        <v/>
      </c>
      <c r="M87" s="190" t="str">
        <f>IF(OR(I87="SPLV",I87="k"),VLOOKUP(F87,Componentes!$AB:$AG,5,FALSE),"")</f>
        <v/>
      </c>
      <c r="N87" s="185" t="str">
        <f t="shared" si="4"/>
        <v/>
      </c>
      <c r="O87" s="186"/>
      <c r="P87" t="str">
        <f>IF(Envoltória!D72="","",J87*$S$1*$S$2/1000)</f>
        <v/>
      </c>
      <c r="Q87" s="242"/>
      <c r="R87" s="92"/>
      <c r="S87" s="91"/>
      <c r="T87" s="244"/>
      <c r="U87" s="244"/>
      <c r="V87" s="244"/>
      <c r="W87" s="244"/>
      <c r="X87" s="244"/>
      <c r="Y87" s="244"/>
      <c r="Z87" s="244"/>
      <c r="AA87" s="244"/>
      <c r="AB87" s="244"/>
      <c r="AC87" s="244"/>
      <c r="AD87" s="244"/>
      <c r="AE87" s="244"/>
      <c r="AF87" s="244"/>
      <c r="AG87" s="244"/>
      <c r="AH87" s="244"/>
      <c r="AI87" s="244"/>
      <c r="AJ87" s="244"/>
      <c r="AK87" s="245" t="str">
        <f t="shared" si="2"/>
        <v/>
      </c>
      <c r="AL87" s="335">
        <f t="shared" si="3"/>
        <v>0</v>
      </c>
    </row>
    <row r="88" spans="1:38" x14ac:dyDescent="0.25">
      <c r="A88" s="155">
        <v>58</v>
      </c>
      <c r="B88" s="218"/>
      <c r="C88" s="190" t="str">
        <f>IF(Envoltória!C73="","",Envoltória!C73)</f>
        <v/>
      </c>
      <c r="D88" s="190" t="str">
        <f>IF(Envoltória!D73="","",Envoltória!D73)</f>
        <v/>
      </c>
      <c r="E88" s="317">
        <f>Envoltória!AD73</f>
        <v>0</v>
      </c>
      <c r="F88" s="218"/>
      <c r="G88" s="317" t="str">
        <f>IF(C88="","",VLOOKUP(F88,Componentes!$AB:$AG,2,FALSE))</f>
        <v/>
      </c>
      <c r="H88" s="317" t="str">
        <f>IF(F88="","",VLOOKUP(F88,Componentes!$AB:$AG,3,FALSE))</f>
        <v/>
      </c>
      <c r="I88" s="190" t="str">
        <f>IF(F88="","",VLOOKUP(F88,Componentes!$AB:$AG,4,FALSE))</f>
        <v/>
      </c>
      <c r="J88" s="190" t="str">
        <f>IF(F88="","",VLOOKUP(F88,Componentes!$AB:$AG,6,FALSE))</f>
        <v/>
      </c>
      <c r="K88" s="190" t="str">
        <f>IF(F88="","",IF(I88&lt;&gt;"SPLV",VLOOKUP(F88,Componentes!$AB:$AG,5,FALSE),""))</f>
        <v/>
      </c>
      <c r="L88" s="184" t="str">
        <f t="shared" si="1"/>
        <v/>
      </c>
      <c r="M88" s="190" t="str">
        <f>IF(OR(I88="SPLV",I88="k"),VLOOKUP(F88,Componentes!$AB:$AG,5,FALSE),"")</f>
        <v/>
      </c>
      <c r="N88" s="185" t="str">
        <f t="shared" si="4"/>
        <v/>
      </c>
      <c r="O88" s="186"/>
      <c r="P88" t="str">
        <f>IF(Envoltória!D73="","",J88*$S$1*$S$2/1000)</f>
        <v/>
      </c>
      <c r="Q88" s="242"/>
      <c r="R88" s="92"/>
      <c r="S88" s="91"/>
      <c r="T88" s="244"/>
      <c r="U88" s="244"/>
      <c r="V88" s="244"/>
      <c r="W88" s="244"/>
      <c r="X88" s="244"/>
      <c r="Y88" s="244"/>
      <c r="Z88" s="244"/>
      <c r="AA88" s="244"/>
      <c r="AB88" s="244"/>
      <c r="AC88" s="244"/>
      <c r="AD88" s="244"/>
      <c r="AE88" s="244"/>
      <c r="AF88" s="244"/>
      <c r="AG88" s="244"/>
      <c r="AH88" s="244"/>
      <c r="AI88" s="244"/>
      <c r="AJ88" s="244"/>
      <c r="AK88" s="245" t="str">
        <f t="shared" si="2"/>
        <v/>
      </c>
      <c r="AL88" s="335">
        <f t="shared" si="3"/>
        <v>0</v>
      </c>
    </row>
    <row r="89" spans="1:38" x14ac:dyDescent="0.25">
      <c r="A89" s="155">
        <v>59</v>
      </c>
      <c r="B89" s="218"/>
      <c r="C89" s="190" t="str">
        <f>IF(Envoltória!C74="","",Envoltória!C74)</f>
        <v/>
      </c>
      <c r="D89" s="190" t="str">
        <f>IF(Envoltória!D74="","",Envoltória!D74)</f>
        <v/>
      </c>
      <c r="E89" s="317">
        <f>Envoltória!AD74</f>
        <v>0</v>
      </c>
      <c r="F89" s="218"/>
      <c r="G89" s="317" t="str">
        <f>IF(C89="","",VLOOKUP(F89,Componentes!$AB:$AG,2,FALSE))</f>
        <v/>
      </c>
      <c r="H89" s="317" t="str">
        <f>IF(F89="","",VLOOKUP(F89,Componentes!$AB:$AG,3,FALSE))</f>
        <v/>
      </c>
      <c r="I89" s="190" t="str">
        <f>IF(F89="","",VLOOKUP(F89,Componentes!$AB:$AG,4,FALSE))</f>
        <v/>
      </c>
      <c r="J89" s="190" t="str">
        <f>IF(F89="","",VLOOKUP(F89,Componentes!$AB:$AG,6,FALSE))</f>
        <v/>
      </c>
      <c r="K89" s="190" t="str">
        <f>IF(F89="","",IF(I89&lt;&gt;"SPLV",VLOOKUP(F89,Componentes!$AB:$AG,5,FALSE),""))</f>
        <v/>
      </c>
      <c r="L89" s="184" t="str">
        <f t="shared" si="1"/>
        <v/>
      </c>
      <c r="M89" s="190" t="str">
        <f>IF(OR(I89="SPLV",I89="k"),VLOOKUP(F89,Componentes!$AB:$AG,5,FALSE),"")</f>
        <v/>
      </c>
      <c r="N89" s="185" t="str">
        <f t="shared" si="4"/>
        <v/>
      </c>
      <c r="O89" s="186"/>
      <c r="P89" t="str">
        <f>IF(Envoltória!D74="","",J89*$S$1*$S$2/1000)</f>
        <v/>
      </c>
      <c r="Q89" s="242"/>
      <c r="R89" s="92"/>
      <c r="S89" s="91"/>
      <c r="T89" s="244"/>
      <c r="U89" s="244"/>
      <c r="V89" s="244"/>
      <c r="W89" s="244"/>
      <c r="X89" s="244"/>
      <c r="Y89" s="244"/>
      <c r="Z89" s="244"/>
      <c r="AA89" s="244"/>
      <c r="AB89" s="244"/>
      <c r="AC89" s="244"/>
      <c r="AD89" s="244"/>
      <c r="AE89" s="244"/>
      <c r="AF89" s="244"/>
      <c r="AG89" s="244"/>
      <c r="AH89" s="244"/>
      <c r="AI89" s="244"/>
      <c r="AJ89" s="244"/>
      <c r="AK89" s="245" t="str">
        <f t="shared" si="2"/>
        <v/>
      </c>
      <c r="AL89" s="335">
        <f t="shared" si="3"/>
        <v>0</v>
      </c>
    </row>
    <row r="90" spans="1:38" x14ac:dyDescent="0.25">
      <c r="A90" s="155">
        <v>60</v>
      </c>
      <c r="B90" s="218"/>
      <c r="C90" s="190" t="str">
        <f>IF(Envoltória!C75="","",Envoltória!C75)</f>
        <v/>
      </c>
      <c r="D90" s="190" t="str">
        <f>IF(Envoltória!D75="","",Envoltória!D75)</f>
        <v/>
      </c>
      <c r="E90" s="317">
        <f>Envoltória!AD75</f>
        <v>0</v>
      </c>
      <c r="F90" s="218"/>
      <c r="G90" s="317" t="str">
        <f>IF(C90="","",VLOOKUP(F90,Componentes!$AB:$AG,2,FALSE))</f>
        <v/>
      </c>
      <c r="H90" s="317" t="str">
        <f>IF(F90="","",VLOOKUP(F90,Componentes!$AB:$AG,3,FALSE))</f>
        <v/>
      </c>
      <c r="I90" s="190" t="str">
        <f>IF(F90="","",VLOOKUP(F90,Componentes!$AB:$AG,4,FALSE))</f>
        <v/>
      </c>
      <c r="J90" s="190" t="str">
        <f>IF(F90="","",VLOOKUP(F90,Componentes!$AB:$AG,6,FALSE))</f>
        <v/>
      </c>
      <c r="K90" s="190" t="str">
        <f>IF(F90="","",IF(I90&lt;&gt;"SPLV",VLOOKUP(F90,Componentes!$AB:$AG,5,FALSE),""))</f>
        <v/>
      </c>
      <c r="L90" s="184" t="str">
        <f t="shared" si="1"/>
        <v/>
      </c>
      <c r="M90" s="190" t="str">
        <f>IF(OR(I90="SPLV",I90="k"),VLOOKUP(F90,Componentes!$AB:$AG,5,FALSE),"")</f>
        <v/>
      </c>
      <c r="N90" s="185" t="str">
        <f t="shared" si="4"/>
        <v/>
      </c>
      <c r="O90" s="186"/>
      <c r="P90" t="str">
        <f>IF(Envoltória!D75="","",J90*$S$1*$S$2/1000)</f>
        <v/>
      </c>
      <c r="Q90" s="242"/>
      <c r="R90" s="92"/>
      <c r="S90" s="91"/>
      <c r="T90" s="244"/>
      <c r="U90" s="244"/>
      <c r="V90" s="244"/>
      <c r="W90" s="244"/>
      <c r="X90" s="244"/>
      <c r="Y90" s="244"/>
      <c r="Z90" s="244"/>
      <c r="AA90" s="244"/>
      <c r="AB90" s="244"/>
      <c r="AC90" s="244"/>
      <c r="AD90" s="244"/>
      <c r="AE90" s="244"/>
      <c r="AF90" s="244"/>
      <c r="AG90" s="244"/>
      <c r="AH90" s="244"/>
      <c r="AI90" s="244"/>
      <c r="AJ90" s="244"/>
      <c r="AK90" s="245" t="str">
        <f t="shared" si="2"/>
        <v/>
      </c>
      <c r="AL90" s="335">
        <f t="shared" si="3"/>
        <v>0</v>
      </c>
    </row>
    <row r="91" spans="1:38" x14ac:dyDescent="0.25">
      <c r="A91" s="155">
        <v>61</v>
      </c>
      <c r="B91" s="218"/>
      <c r="C91" s="190" t="str">
        <f>IF(Envoltória!C76="","",Envoltória!C76)</f>
        <v/>
      </c>
      <c r="D91" s="190" t="str">
        <f>IF(Envoltória!D76="","",Envoltória!D76)</f>
        <v/>
      </c>
      <c r="E91" s="317">
        <f>Envoltória!AD76</f>
        <v>0</v>
      </c>
      <c r="F91" s="218"/>
      <c r="G91" s="317" t="str">
        <f>IF(C91="","",VLOOKUP(F91,Componentes!$AB:$AG,2,FALSE))</f>
        <v/>
      </c>
      <c r="H91" s="317" t="str">
        <f>IF(F91="","",VLOOKUP(F91,Componentes!$AB:$AG,3,FALSE))</f>
        <v/>
      </c>
      <c r="I91" s="190" t="str">
        <f>IF(F91="","",VLOOKUP(F91,Componentes!$AB:$AG,4,FALSE))</f>
        <v/>
      </c>
      <c r="J91" s="190" t="str">
        <f>IF(F91="","",VLOOKUP(F91,Componentes!$AB:$AG,6,FALSE))</f>
        <v/>
      </c>
      <c r="K91" s="190" t="str">
        <f>IF(F91="","",IF(I91&lt;&gt;"SPLV",VLOOKUP(F91,Componentes!$AB:$AG,5,FALSE),""))</f>
        <v/>
      </c>
      <c r="L91" s="184" t="str">
        <f t="shared" si="1"/>
        <v/>
      </c>
      <c r="M91" s="190" t="str">
        <f>IF(OR(I91="SPLV",I91="k"),VLOOKUP(F91,Componentes!$AB:$AG,5,FALSE),"")</f>
        <v/>
      </c>
      <c r="N91" s="185" t="str">
        <f t="shared" si="4"/>
        <v/>
      </c>
      <c r="O91" s="186"/>
      <c r="P91" t="str">
        <f>IF(Envoltória!D76="","",J91*$S$1*$S$2/1000)</f>
        <v/>
      </c>
      <c r="Q91" s="242"/>
      <c r="R91" s="92"/>
      <c r="S91" s="91"/>
      <c r="T91" s="244"/>
      <c r="U91" s="244"/>
      <c r="V91" s="244"/>
      <c r="W91" s="244"/>
      <c r="X91" s="244"/>
      <c r="Y91" s="244"/>
      <c r="Z91" s="244"/>
      <c r="AA91" s="244"/>
      <c r="AB91" s="244"/>
      <c r="AC91" s="244"/>
      <c r="AD91" s="244"/>
      <c r="AE91" s="244"/>
      <c r="AF91" s="244"/>
      <c r="AG91" s="244"/>
      <c r="AH91" s="244"/>
      <c r="AI91" s="244"/>
      <c r="AJ91" s="244"/>
      <c r="AK91" s="245" t="str">
        <f t="shared" si="2"/>
        <v/>
      </c>
      <c r="AL91" s="335">
        <f t="shared" si="3"/>
        <v>0</v>
      </c>
    </row>
    <row r="92" spans="1:38" x14ac:dyDescent="0.25">
      <c r="A92" s="155">
        <v>62</v>
      </c>
      <c r="B92" s="218"/>
      <c r="C92" s="190" t="str">
        <f>IF(Envoltória!C77="","",Envoltória!C77)</f>
        <v/>
      </c>
      <c r="D92" s="190" t="str">
        <f>IF(Envoltória!D77="","",Envoltória!D77)</f>
        <v/>
      </c>
      <c r="E92" s="317">
        <f>Envoltória!AD77</f>
        <v>0</v>
      </c>
      <c r="F92" s="218"/>
      <c r="G92" s="317" t="str">
        <f>IF(C92="","",VLOOKUP(F92,Componentes!$AB:$AG,2,FALSE))</f>
        <v/>
      </c>
      <c r="H92" s="317" t="str">
        <f>IF(F92="","",VLOOKUP(F92,Componentes!$AB:$AG,3,FALSE))</f>
        <v/>
      </c>
      <c r="I92" s="190" t="str">
        <f>IF(F92="","",VLOOKUP(F92,Componentes!$AB:$AG,4,FALSE))</f>
        <v/>
      </c>
      <c r="J92" s="190" t="str">
        <f>IF(F92="","",VLOOKUP(F92,Componentes!$AB:$AG,6,FALSE))</f>
        <v/>
      </c>
      <c r="K92" s="190" t="str">
        <f>IF(F92="","",IF(I92&lt;&gt;"SPLV",VLOOKUP(F92,Componentes!$AB:$AG,5,FALSE),""))</f>
        <v/>
      </c>
      <c r="L92" s="184" t="str">
        <f t="shared" si="1"/>
        <v/>
      </c>
      <c r="M92" s="190" t="str">
        <f>IF(OR(I92="SPLV",I92="k"),VLOOKUP(F92,Componentes!$AB:$AG,5,FALSE),"")</f>
        <v/>
      </c>
      <c r="N92" s="185" t="str">
        <f t="shared" si="4"/>
        <v/>
      </c>
      <c r="O92" s="186"/>
      <c r="P92" t="str">
        <f>IF(Envoltória!D77="","",J92*$S$1*$S$2/1000)</f>
        <v/>
      </c>
      <c r="Q92" s="242"/>
      <c r="R92" s="92"/>
      <c r="S92" s="91"/>
      <c r="T92" s="244"/>
      <c r="U92" s="244"/>
      <c r="V92" s="244"/>
      <c r="W92" s="244"/>
      <c r="X92" s="244"/>
      <c r="Y92" s="244"/>
      <c r="Z92" s="244"/>
      <c r="AA92" s="244"/>
      <c r="AB92" s="244"/>
      <c r="AC92" s="244"/>
      <c r="AD92" s="244"/>
      <c r="AE92" s="244"/>
      <c r="AF92" s="244"/>
      <c r="AG92" s="244"/>
      <c r="AH92" s="244"/>
      <c r="AI92" s="244"/>
      <c r="AJ92" s="244"/>
      <c r="AK92" s="245" t="str">
        <f t="shared" si="2"/>
        <v/>
      </c>
      <c r="AL92" s="335">
        <f t="shared" si="3"/>
        <v>0</v>
      </c>
    </row>
    <row r="93" spans="1:38" x14ac:dyDescent="0.25">
      <c r="A93" s="155">
        <v>63</v>
      </c>
      <c r="B93" s="218"/>
      <c r="C93" s="190" t="str">
        <f>IF(Envoltória!C78="","",Envoltória!C78)</f>
        <v/>
      </c>
      <c r="D93" s="190" t="str">
        <f>IF(Envoltória!D78="","",Envoltória!D78)</f>
        <v/>
      </c>
      <c r="E93" s="317">
        <f>Envoltória!AD78</f>
        <v>0</v>
      </c>
      <c r="F93" s="218"/>
      <c r="G93" s="317" t="str">
        <f>IF(C93="","",VLOOKUP(F93,Componentes!$AB:$AG,2,FALSE))</f>
        <v/>
      </c>
      <c r="H93" s="317" t="str">
        <f>IF(F93="","",VLOOKUP(F93,Componentes!$AB:$AG,3,FALSE))</f>
        <v/>
      </c>
      <c r="I93" s="190" t="str">
        <f>IF(F93="","",VLOOKUP(F93,Componentes!$AB:$AG,4,FALSE))</f>
        <v/>
      </c>
      <c r="J93" s="190" t="str">
        <f>IF(F93="","",VLOOKUP(F93,Componentes!$AB:$AG,6,FALSE))</f>
        <v/>
      </c>
      <c r="K93" s="190" t="str">
        <f>IF(F93="","",IF(I93&lt;&gt;"SPLV",VLOOKUP(F93,Componentes!$AB:$AG,5,FALSE),""))</f>
        <v/>
      </c>
      <c r="L93" s="184" t="str">
        <f t="shared" si="1"/>
        <v/>
      </c>
      <c r="M93" s="190" t="str">
        <f>IF(OR(I93="SPLV",I93="k"),VLOOKUP(F93,Componentes!$AB:$AG,5,FALSE),"")</f>
        <v/>
      </c>
      <c r="N93" s="185" t="str">
        <f t="shared" si="4"/>
        <v/>
      </c>
      <c r="O93" s="186"/>
      <c r="P93" t="str">
        <f>IF(Envoltória!D78="","",J93*$S$1*$S$2/1000)</f>
        <v/>
      </c>
      <c r="Q93" s="242"/>
      <c r="R93" s="92"/>
      <c r="S93" s="91"/>
      <c r="T93" s="244"/>
      <c r="U93" s="244"/>
      <c r="V93" s="244"/>
      <c r="W93" s="244"/>
      <c r="X93" s="244"/>
      <c r="Y93" s="244"/>
      <c r="Z93" s="244"/>
      <c r="AA93" s="244"/>
      <c r="AB93" s="244"/>
      <c r="AC93" s="244"/>
      <c r="AD93" s="244"/>
      <c r="AE93" s="244"/>
      <c r="AF93" s="244"/>
      <c r="AG93" s="244"/>
      <c r="AH93" s="244"/>
      <c r="AI93" s="244"/>
      <c r="AJ93" s="244"/>
      <c r="AK93" s="245" t="str">
        <f t="shared" si="2"/>
        <v/>
      </c>
      <c r="AL93" s="335">
        <f t="shared" si="3"/>
        <v>0</v>
      </c>
    </row>
    <row r="94" spans="1:38" x14ac:dyDescent="0.25">
      <c r="A94" s="155">
        <v>64</v>
      </c>
      <c r="B94" s="218"/>
      <c r="C94" s="190" t="str">
        <f>IF(Envoltória!C79="","",Envoltória!C79)</f>
        <v/>
      </c>
      <c r="D94" s="190" t="str">
        <f>IF(Envoltória!D79="","",Envoltória!D79)</f>
        <v/>
      </c>
      <c r="E94" s="317">
        <f>Envoltória!AD79</f>
        <v>0</v>
      </c>
      <c r="F94" s="218"/>
      <c r="G94" s="317" t="str">
        <f>IF(C94="","",VLOOKUP(F94,Componentes!$AB:$AG,2,FALSE))</f>
        <v/>
      </c>
      <c r="H94" s="317" t="str">
        <f>IF(F94="","",VLOOKUP(F94,Componentes!$AB:$AG,3,FALSE))</f>
        <v/>
      </c>
      <c r="I94" s="190" t="str">
        <f>IF(F94="","",VLOOKUP(F94,Componentes!$AB:$AG,4,FALSE))</f>
        <v/>
      </c>
      <c r="J94" s="190" t="str">
        <f>IF(F94="","",VLOOKUP(F94,Componentes!$AB:$AG,6,FALSE))</f>
        <v/>
      </c>
      <c r="K94" s="190" t="str">
        <f>IF(F94="","",IF(I94&lt;&gt;"SPLV",VLOOKUP(F94,Componentes!$AB:$AG,5,FALSE),""))</f>
        <v/>
      </c>
      <c r="L94" s="184" t="str">
        <f t="shared" si="1"/>
        <v/>
      </c>
      <c r="M94" s="190" t="str">
        <f>IF(OR(I94="SPLV",I94="k"),VLOOKUP(F94,Componentes!$AB:$AG,5,FALSE),"")</f>
        <v/>
      </c>
      <c r="N94" s="185" t="str">
        <f t="shared" si="4"/>
        <v/>
      </c>
      <c r="O94" s="186"/>
      <c r="P94" t="str">
        <f>IF(Envoltória!D79="","",J94*$S$1*$S$2/1000)</f>
        <v/>
      </c>
      <c r="Q94" s="242"/>
      <c r="R94" s="92"/>
      <c r="S94" s="91"/>
      <c r="T94" s="244"/>
      <c r="U94" s="244"/>
      <c r="V94" s="244"/>
      <c r="W94" s="244"/>
      <c r="X94" s="244"/>
      <c r="Y94" s="244"/>
      <c r="Z94" s="244"/>
      <c r="AA94" s="244"/>
      <c r="AB94" s="244"/>
      <c r="AC94" s="244"/>
      <c r="AD94" s="244"/>
      <c r="AE94" s="244"/>
      <c r="AF94" s="244"/>
      <c r="AG94" s="244"/>
      <c r="AH94" s="244"/>
      <c r="AI94" s="244"/>
      <c r="AJ94" s="244"/>
      <c r="AK94" s="245" t="str">
        <f t="shared" si="2"/>
        <v/>
      </c>
      <c r="AL94" s="335">
        <f t="shared" si="3"/>
        <v>0</v>
      </c>
    </row>
    <row r="95" spans="1:38" x14ac:dyDescent="0.25">
      <c r="A95" s="155">
        <v>65</v>
      </c>
      <c r="B95" s="218"/>
      <c r="C95" s="190" t="str">
        <f>IF(Envoltória!C80="","",Envoltória!C80)</f>
        <v/>
      </c>
      <c r="D95" s="190" t="str">
        <f>IF(Envoltória!D80="","",Envoltória!D80)</f>
        <v/>
      </c>
      <c r="E95" s="317">
        <f>Envoltória!AD80</f>
        <v>0</v>
      </c>
      <c r="F95" s="218"/>
      <c r="G95" s="317" t="str">
        <f>IF(C95="","",VLOOKUP(F95,Componentes!$AB:$AG,2,FALSE))</f>
        <v/>
      </c>
      <c r="H95" s="317" t="str">
        <f>IF(F95="","",VLOOKUP(F95,Componentes!$AB:$AG,3,FALSE))</f>
        <v/>
      </c>
      <c r="I95" s="190" t="str">
        <f>IF(F95="","",VLOOKUP(F95,Componentes!$AB:$AG,4,FALSE))</f>
        <v/>
      </c>
      <c r="J95" s="190" t="str">
        <f>IF(F95="","",VLOOKUP(F95,Componentes!$AB:$AG,6,FALSE))</f>
        <v/>
      </c>
      <c r="K95" s="190" t="str">
        <f>IF(F95="","",IF(I95&lt;&gt;"SPLV",VLOOKUP(F95,Componentes!$AB:$AG,5,FALSE),""))</f>
        <v/>
      </c>
      <c r="L95" s="184" t="str">
        <f t="shared" si="1"/>
        <v/>
      </c>
      <c r="M95" s="190" t="str">
        <f>IF(OR(I95="SPLV",I95="k"),VLOOKUP(F95,Componentes!$AB:$AG,5,FALSE),"")</f>
        <v/>
      </c>
      <c r="N95" s="185" t="str">
        <f t="shared" ref="N95:N126" si="5">IF(M95="","",E95/M95)</f>
        <v/>
      </c>
      <c r="O95" s="186"/>
      <c r="P95" t="str">
        <f>IF(Envoltória!D80="","",J95*$S$1*$S$2/1000)</f>
        <v/>
      </c>
      <c r="Q95" s="242"/>
      <c r="R95" s="92"/>
      <c r="S95" s="91"/>
      <c r="T95" s="244"/>
      <c r="U95" s="244"/>
      <c r="V95" s="244"/>
      <c r="W95" s="244"/>
      <c r="X95" s="244"/>
      <c r="Y95" s="244"/>
      <c r="Z95" s="244"/>
      <c r="AA95" s="244"/>
      <c r="AB95" s="244"/>
      <c r="AC95" s="244"/>
      <c r="AD95" s="244"/>
      <c r="AE95" s="244"/>
      <c r="AF95" s="244"/>
      <c r="AG95" s="244"/>
      <c r="AH95" s="244"/>
      <c r="AI95" s="244"/>
      <c r="AJ95" s="244"/>
      <c r="AK95" s="245" t="str">
        <f t="shared" si="2"/>
        <v/>
      </c>
      <c r="AL95" s="335">
        <f t="shared" si="3"/>
        <v>0</v>
      </c>
    </row>
    <row r="96" spans="1:38" x14ac:dyDescent="0.25">
      <c r="A96" s="155">
        <v>66</v>
      </c>
      <c r="B96" s="218"/>
      <c r="C96" s="190" t="str">
        <f>IF(Envoltória!C81="","",Envoltória!C81)</f>
        <v/>
      </c>
      <c r="D96" s="190" t="str">
        <f>IF(Envoltória!D81="","",Envoltória!D81)</f>
        <v/>
      </c>
      <c r="E96" s="317">
        <f>Envoltória!AD81</f>
        <v>0</v>
      </c>
      <c r="F96" s="218"/>
      <c r="G96" s="317" t="str">
        <f>IF(C96="","",VLOOKUP(F96,Componentes!$AB:$AG,2,FALSE))</f>
        <v/>
      </c>
      <c r="H96" s="317" t="str">
        <f>IF(F96="","",VLOOKUP(F96,Componentes!$AB:$AG,3,FALSE))</f>
        <v/>
      </c>
      <c r="I96" s="190" t="str">
        <f>IF(F96="","",VLOOKUP(F96,Componentes!$AB:$AG,4,FALSE))</f>
        <v/>
      </c>
      <c r="J96" s="190" t="str">
        <f>IF(F96="","",VLOOKUP(F96,Componentes!$AB:$AG,6,FALSE))</f>
        <v/>
      </c>
      <c r="K96" s="190" t="str">
        <f>IF(F96="","",IF(I96&lt;&gt;"SPLV",VLOOKUP(F96,Componentes!$AB:$AG,5,FALSE),""))</f>
        <v/>
      </c>
      <c r="L96" s="184" t="str">
        <f t="shared" ref="L96:L130" si="6">IF(F96="","",IF(K96="","",IF(I96="COP",1.062*K96*H96,K96*H96)))</f>
        <v/>
      </c>
      <c r="M96" s="190" t="str">
        <f>IF(OR(I96="SPLV",I96="k"),VLOOKUP(F96,Componentes!$AB:$AG,5,FALSE),"")</f>
        <v/>
      </c>
      <c r="N96" s="185" t="str">
        <f t="shared" si="5"/>
        <v/>
      </c>
      <c r="O96" s="186"/>
      <c r="P96" t="str">
        <f>IF(Envoltória!D81="","",J96*$S$1*$S$2/1000)</f>
        <v/>
      </c>
      <c r="Q96" s="242"/>
      <c r="R96" s="92"/>
      <c r="S96" s="91"/>
      <c r="T96" s="244"/>
      <c r="U96" s="244"/>
      <c r="V96" s="244"/>
      <c r="W96" s="244"/>
      <c r="X96" s="244"/>
      <c r="Y96" s="244"/>
      <c r="Z96" s="244"/>
      <c r="AA96" s="244"/>
      <c r="AB96" s="244"/>
      <c r="AC96" s="244"/>
      <c r="AD96" s="244"/>
      <c r="AE96" s="244"/>
      <c r="AF96" s="244"/>
      <c r="AG96" s="244"/>
      <c r="AH96" s="244"/>
      <c r="AI96" s="244"/>
      <c r="AJ96" s="244"/>
      <c r="AK96" s="245" t="str">
        <f t="shared" ref="AK96:AK130" si="7">IF(I96="","",IF(H96&lt;=17.6,
IF(R96="Sim","Sim","Não"),
IF(AND(S96="Sim",OR(T96="Sim",T96="Não se aplica"),OR(U96="Sim",U96="Não se aplica"),OR(V96="Sim",V96="Não se aplica"),OR(W96="Sim",W96="Não se aplica"),OR(X96="Sim",X96="Não se aplica"),OR(Y96="Sim",Y96="Não se aplica"),OR(Z96="Sim",Z96="Não se aplica"),OR(AA96="Sim",AA96="Não se aplica"),OR(AB96="Sim",AB96="Não se aplica"),OR(AC96="Sim",AC96="Não se aplica"),OR(AD96="Sim",AD96="Não se aplica"),OR(AE96="Sim",AE96="Não se aplica"),OR(AF96="Sim",AF96="Não se aplica"),OR(AG96="Sim",AG96="Não se aplica"),OR(AH96="Sim",AH96="Não se aplica"),OR(AJ96="Sim",AJ96="Não se aplica")),"Sim","Não")
))</f>
        <v/>
      </c>
      <c r="AL96" s="335">
        <f t="shared" ref="AL96:AL130" si="8">IF(AK96="Sim",1,0)</f>
        <v>0</v>
      </c>
    </row>
    <row r="97" spans="1:38" x14ac:dyDescent="0.25">
      <c r="A97" s="155">
        <v>67</v>
      </c>
      <c r="B97" s="218"/>
      <c r="C97" s="190" t="str">
        <f>IF(Envoltória!C82="","",Envoltória!C82)</f>
        <v/>
      </c>
      <c r="D97" s="190" t="str">
        <f>IF(Envoltória!D82="","",Envoltória!D82)</f>
        <v/>
      </c>
      <c r="E97" s="317">
        <f>Envoltória!AD82</f>
        <v>0</v>
      </c>
      <c r="F97" s="218"/>
      <c r="G97" s="317" t="str">
        <f>IF(C97="","",VLOOKUP(F97,Componentes!$AB:$AG,2,FALSE))</f>
        <v/>
      </c>
      <c r="H97" s="317" t="str">
        <f>IF(F97="","",VLOOKUP(F97,Componentes!$AB:$AG,3,FALSE))</f>
        <v/>
      </c>
      <c r="I97" s="190" t="str">
        <f>IF(F97="","",VLOOKUP(F97,Componentes!$AB:$AG,4,FALSE))</f>
        <v/>
      </c>
      <c r="J97" s="190" t="str">
        <f>IF(F97="","",VLOOKUP(F97,Componentes!$AB:$AG,6,FALSE))</f>
        <v/>
      </c>
      <c r="K97" s="190" t="str">
        <f>IF(F97="","",IF(I97&lt;&gt;"SPLV",VLOOKUP(F97,Componentes!$AB:$AG,5,FALSE),""))</f>
        <v/>
      </c>
      <c r="L97" s="184" t="str">
        <f t="shared" si="6"/>
        <v/>
      </c>
      <c r="M97" s="190" t="str">
        <f>IF(OR(I97="SPLV",I97="k"),VLOOKUP(F97,Componentes!$AB:$AG,5,FALSE),"")</f>
        <v/>
      </c>
      <c r="N97" s="185" t="str">
        <f t="shared" si="5"/>
        <v/>
      </c>
      <c r="O97" s="186"/>
      <c r="P97" t="str">
        <f>IF(Envoltória!D82="","",J97*$S$1*$S$2/1000)</f>
        <v/>
      </c>
      <c r="Q97" s="242"/>
      <c r="R97" s="92"/>
      <c r="S97" s="91"/>
      <c r="T97" s="244"/>
      <c r="U97" s="244"/>
      <c r="V97" s="244"/>
      <c r="W97" s="244"/>
      <c r="X97" s="244"/>
      <c r="Y97" s="244"/>
      <c r="Z97" s="244"/>
      <c r="AA97" s="244"/>
      <c r="AB97" s="244"/>
      <c r="AC97" s="244"/>
      <c r="AD97" s="244"/>
      <c r="AE97" s="244"/>
      <c r="AF97" s="244"/>
      <c r="AG97" s="244"/>
      <c r="AH97" s="244"/>
      <c r="AI97" s="244"/>
      <c r="AJ97" s="244"/>
      <c r="AK97" s="245" t="str">
        <f t="shared" si="7"/>
        <v/>
      </c>
      <c r="AL97" s="335">
        <f t="shared" si="8"/>
        <v>0</v>
      </c>
    </row>
    <row r="98" spans="1:38" x14ac:dyDescent="0.25">
      <c r="A98" s="155">
        <v>68</v>
      </c>
      <c r="B98" s="218"/>
      <c r="C98" s="190" t="str">
        <f>IF(Envoltória!C83="","",Envoltória!C83)</f>
        <v/>
      </c>
      <c r="D98" s="190" t="str">
        <f>IF(Envoltória!D83="","",Envoltória!D83)</f>
        <v/>
      </c>
      <c r="E98" s="317">
        <f>Envoltória!AD83</f>
        <v>0</v>
      </c>
      <c r="F98" s="218"/>
      <c r="G98" s="317" t="str">
        <f>IF(C98="","",VLOOKUP(F98,Componentes!$AB:$AG,2,FALSE))</f>
        <v/>
      </c>
      <c r="H98" s="317" t="str">
        <f>IF(F98="","",VLOOKUP(F98,Componentes!$AB:$AG,3,FALSE))</f>
        <v/>
      </c>
      <c r="I98" s="190" t="str">
        <f>IF(F98="","",VLOOKUP(F98,Componentes!$AB:$AG,4,FALSE))</f>
        <v/>
      </c>
      <c r="J98" s="190" t="str">
        <f>IF(F98="","",VLOOKUP(F98,Componentes!$AB:$AG,6,FALSE))</f>
        <v/>
      </c>
      <c r="K98" s="190" t="str">
        <f>IF(F98="","",IF(I98&lt;&gt;"SPLV",VLOOKUP(F98,Componentes!$AB:$AG,5,FALSE),""))</f>
        <v/>
      </c>
      <c r="L98" s="184" t="str">
        <f t="shared" si="6"/>
        <v/>
      </c>
      <c r="M98" s="190" t="str">
        <f>IF(OR(I98="SPLV",I98="k"),VLOOKUP(F98,Componentes!$AB:$AG,5,FALSE),"")</f>
        <v/>
      </c>
      <c r="N98" s="185" t="str">
        <f t="shared" si="5"/>
        <v/>
      </c>
      <c r="O98" s="186"/>
      <c r="P98" t="str">
        <f>IF(Envoltória!D83="","",J98*$S$1*$S$2/1000)</f>
        <v/>
      </c>
      <c r="Q98" s="242"/>
      <c r="R98" s="92"/>
      <c r="S98" s="91"/>
      <c r="T98" s="244"/>
      <c r="U98" s="244"/>
      <c r="V98" s="244"/>
      <c r="W98" s="244"/>
      <c r="X98" s="244"/>
      <c r="Y98" s="244"/>
      <c r="Z98" s="244"/>
      <c r="AA98" s="244"/>
      <c r="AB98" s="244"/>
      <c r="AC98" s="244"/>
      <c r="AD98" s="244"/>
      <c r="AE98" s="244"/>
      <c r="AF98" s="244"/>
      <c r="AG98" s="244"/>
      <c r="AH98" s="244"/>
      <c r="AI98" s="244"/>
      <c r="AJ98" s="244"/>
      <c r="AK98" s="245" t="str">
        <f t="shared" si="7"/>
        <v/>
      </c>
      <c r="AL98" s="335">
        <f t="shared" si="8"/>
        <v>0</v>
      </c>
    </row>
    <row r="99" spans="1:38" x14ac:dyDescent="0.25">
      <c r="A99" s="155">
        <v>69</v>
      </c>
      <c r="B99" s="218"/>
      <c r="C99" s="190" t="str">
        <f>IF(Envoltória!C84="","",Envoltória!C84)</f>
        <v/>
      </c>
      <c r="D99" s="190" t="str">
        <f>IF(Envoltória!D84="","",Envoltória!D84)</f>
        <v/>
      </c>
      <c r="E99" s="317">
        <f>Envoltória!AD84</f>
        <v>0</v>
      </c>
      <c r="F99" s="218"/>
      <c r="G99" s="317" t="str">
        <f>IF(C99="","",VLOOKUP(F99,Componentes!$AB:$AG,2,FALSE))</f>
        <v/>
      </c>
      <c r="H99" s="317" t="str">
        <f>IF(F99="","",VLOOKUP(F99,Componentes!$AB:$AG,3,FALSE))</f>
        <v/>
      </c>
      <c r="I99" s="190" t="str">
        <f>IF(F99="","",VLOOKUP(F99,Componentes!$AB:$AG,4,FALSE))</f>
        <v/>
      </c>
      <c r="J99" s="190" t="str">
        <f>IF(F99="","",VLOOKUP(F99,Componentes!$AB:$AG,6,FALSE))</f>
        <v/>
      </c>
      <c r="K99" s="190" t="str">
        <f>IF(F99="","",IF(I99&lt;&gt;"SPLV",VLOOKUP(F99,Componentes!$AB:$AG,5,FALSE),""))</f>
        <v/>
      </c>
      <c r="L99" s="184" t="str">
        <f t="shared" si="6"/>
        <v/>
      </c>
      <c r="M99" s="190" t="str">
        <f>IF(OR(I99="SPLV",I99="k"),VLOOKUP(F99,Componentes!$AB:$AG,5,FALSE),"")</f>
        <v/>
      </c>
      <c r="N99" s="185" t="str">
        <f t="shared" si="5"/>
        <v/>
      </c>
      <c r="O99" s="186"/>
      <c r="P99" t="str">
        <f>IF(Envoltória!D84="","",J99*$S$1*$S$2/1000)</f>
        <v/>
      </c>
      <c r="Q99" s="242"/>
      <c r="R99" s="92"/>
      <c r="S99" s="91"/>
      <c r="T99" s="244"/>
      <c r="U99" s="244"/>
      <c r="V99" s="244"/>
      <c r="W99" s="244"/>
      <c r="X99" s="244"/>
      <c r="Y99" s="244"/>
      <c r="Z99" s="244"/>
      <c r="AA99" s="244"/>
      <c r="AB99" s="244"/>
      <c r="AC99" s="244"/>
      <c r="AD99" s="244"/>
      <c r="AE99" s="244"/>
      <c r="AF99" s="244"/>
      <c r="AG99" s="244"/>
      <c r="AH99" s="244"/>
      <c r="AI99" s="244"/>
      <c r="AJ99" s="244"/>
      <c r="AK99" s="245" t="str">
        <f t="shared" si="7"/>
        <v/>
      </c>
      <c r="AL99" s="335">
        <f t="shared" si="8"/>
        <v>0</v>
      </c>
    </row>
    <row r="100" spans="1:38" x14ac:dyDescent="0.25">
      <c r="A100" s="155">
        <v>70</v>
      </c>
      <c r="B100" s="218"/>
      <c r="C100" s="190" t="str">
        <f>IF(Envoltória!C85="","",Envoltória!C85)</f>
        <v/>
      </c>
      <c r="D100" s="190" t="str">
        <f>IF(Envoltória!D85="","",Envoltória!D85)</f>
        <v/>
      </c>
      <c r="E100" s="317">
        <f>Envoltória!AD85</f>
        <v>0</v>
      </c>
      <c r="F100" s="218"/>
      <c r="G100" s="317" t="str">
        <f>IF(C100="","",VLOOKUP(F100,Componentes!$AB:$AG,2,FALSE))</f>
        <v/>
      </c>
      <c r="H100" s="317" t="str">
        <f>IF(F100="","",VLOOKUP(F100,Componentes!$AB:$AG,3,FALSE))</f>
        <v/>
      </c>
      <c r="I100" s="190" t="str">
        <f>IF(F100="","",VLOOKUP(F100,Componentes!$AB:$AG,4,FALSE))</f>
        <v/>
      </c>
      <c r="J100" s="190" t="str">
        <f>IF(F100="","",VLOOKUP(F100,Componentes!$AB:$AG,6,FALSE))</f>
        <v/>
      </c>
      <c r="K100" s="190" t="str">
        <f>IF(F100="","",IF(I100&lt;&gt;"SPLV",VLOOKUP(F100,Componentes!$AB:$AG,5,FALSE),""))</f>
        <v/>
      </c>
      <c r="L100" s="184" t="str">
        <f t="shared" si="6"/>
        <v/>
      </c>
      <c r="M100" s="190" t="str">
        <f>IF(OR(I100="SPLV",I100="k"),VLOOKUP(F100,Componentes!$AB:$AG,5,FALSE),"")</f>
        <v/>
      </c>
      <c r="N100" s="185" t="str">
        <f t="shared" si="5"/>
        <v/>
      </c>
      <c r="O100" s="186"/>
      <c r="P100" t="str">
        <f>IF(Envoltória!D85="","",J100*$S$1*$S$2/1000)</f>
        <v/>
      </c>
      <c r="Q100" s="242"/>
      <c r="R100" s="92"/>
      <c r="S100" s="91"/>
      <c r="T100" s="244"/>
      <c r="U100" s="244"/>
      <c r="V100" s="244"/>
      <c r="W100" s="244"/>
      <c r="X100" s="244"/>
      <c r="Y100" s="244"/>
      <c r="Z100" s="244"/>
      <c r="AA100" s="244"/>
      <c r="AB100" s="244"/>
      <c r="AC100" s="244"/>
      <c r="AD100" s="244"/>
      <c r="AE100" s="244"/>
      <c r="AF100" s="244"/>
      <c r="AG100" s="244"/>
      <c r="AH100" s="244"/>
      <c r="AI100" s="244"/>
      <c r="AJ100" s="244"/>
      <c r="AK100" s="245" t="str">
        <f t="shared" si="7"/>
        <v/>
      </c>
      <c r="AL100" s="335">
        <f t="shared" si="8"/>
        <v>0</v>
      </c>
    </row>
    <row r="101" spans="1:38" x14ac:dyDescent="0.25">
      <c r="A101" s="155">
        <v>71</v>
      </c>
      <c r="B101" s="218"/>
      <c r="C101" s="190" t="str">
        <f>IF(Envoltória!C86="","",Envoltória!C86)</f>
        <v/>
      </c>
      <c r="D101" s="190" t="str">
        <f>IF(Envoltória!D86="","",Envoltória!D86)</f>
        <v/>
      </c>
      <c r="E101" s="317">
        <f>Envoltória!AD86</f>
        <v>0</v>
      </c>
      <c r="F101" s="218"/>
      <c r="G101" s="317" t="str">
        <f>IF(C101="","",VLOOKUP(F101,Componentes!$AB:$AG,2,FALSE))</f>
        <v/>
      </c>
      <c r="H101" s="317" t="str">
        <f>IF(F101="","",VLOOKUP(F101,Componentes!$AB:$AG,3,FALSE))</f>
        <v/>
      </c>
      <c r="I101" s="190" t="str">
        <f>IF(F101="","",VLOOKUP(F101,Componentes!$AB:$AG,4,FALSE))</f>
        <v/>
      </c>
      <c r="J101" s="190" t="str">
        <f>IF(F101="","",VLOOKUP(F101,Componentes!$AB:$AG,6,FALSE))</f>
        <v/>
      </c>
      <c r="K101" s="190" t="str">
        <f>IF(F101="","",IF(I101&lt;&gt;"SPLV",VLOOKUP(F101,Componentes!$AB:$AG,5,FALSE),""))</f>
        <v/>
      </c>
      <c r="L101" s="184" t="str">
        <f t="shared" si="6"/>
        <v/>
      </c>
      <c r="M101" s="190" t="str">
        <f>IF(OR(I101="SPLV",I101="k"),VLOOKUP(F101,Componentes!$AB:$AG,5,FALSE),"")</f>
        <v/>
      </c>
      <c r="N101" s="185" t="str">
        <f t="shared" si="5"/>
        <v/>
      </c>
      <c r="O101" s="186"/>
      <c r="P101" t="str">
        <f>IF(Envoltória!D86="","",J101*$S$1*$S$2/1000)</f>
        <v/>
      </c>
      <c r="Q101" s="242"/>
      <c r="R101" s="92"/>
      <c r="S101" s="91"/>
      <c r="T101" s="244"/>
      <c r="U101" s="244"/>
      <c r="V101" s="244"/>
      <c r="W101" s="244"/>
      <c r="X101" s="244"/>
      <c r="Y101" s="244"/>
      <c r="Z101" s="244"/>
      <c r="AA101" s="244"/>
      <c r="AB101" s="244"/>
      <c r="AC101" s="244"/>
      <c r="AD101" s="244"/>
      <c r="AE101" s="244"/>
      <c r="AF101" s="244"/>
      <c r="AG101" s="244"/>
      <c r="AH101" s="244"/>
      <c r="AI101" s="244"/>
      <c r="AJ101" s="244"/>
      <c r="AK101" s="245" t="str">
        <f t="shared" si="7"/>
        <v/>
      </c>
      <c r="AL101" s="335">
        <f t="shared" si="8"/>
        <v>0</v>
      </c>
    </row>
    <row r="102" spans="1:38" x14ac:dyDescent="0.25">
      <c r="A102" s="155">
        <v>72</v>
      </c>
      <c r="B102" s="218"/>
      <c r="C102" s="190" t="str">
        <f>IF(Envoltória!C87="","",Envoltória!C87)</f>
        <v/>
      </c>
      <c r="D102" s="190" t="str">
        <f>IF(Envoltória!D87="","",Envoltória!D87)</f>
        <v/>
      </c>
      <c r="E102" s="317">
        <f>Envoltória!AD87</f>
        <v>0</v>
      </c>
      <c r="F102" s="218"/>
      <c r="G102" s="317" t="str">
        <f>IF(C102="","",VLOOKUP(F102,Componentes!$AB:$AG,2,FALSE))</f>
        <v/>
      </c>
      <c r="H102" s="317" t="str">
        <f>IF(F102="","",VLOOKUP(F102,Componentes!$AB:$AG,3,FALSE))</f>
        <v/>
      </c>
      <c r="I102" s="190" t="str">
        <f>IF(F102="","",VLOOKUP(F102,Componentes!$AB:$AG,4,FALSE))</f>
        <v/>
      </c>
      <c r="J102" s="190" t="str">
        <f>IF(F102="","",VLOOKUP(F102,Componentes!$AB:$AG,6,FALSE))</f>
        <v/>
      </c>
      <c r="K102" s="190" t="str">
        <f>IF(F102="","",IF(I102&lt;&gt;"SPLV",VLOOKUP(F102,Componentes!$AB:$AG,5,FALSE),""))</f>
        <v/>
      </c>
      <c r="L102" s="184" t="str">
        <f t="shared" si="6"/>
        <v/>
      </c>
      <c r="M102" s="190" t="str">
        <f>IF(OR(I102="SPLV",I102="k"),VLOOKUP(F102,Componentes!$AB:$AG,5,FALSE),"")</f>
        <v/>
      </c>
      <c r="N102" s="185" t="str">
        <f t="shared" si="5"/>
        <v/>
      </c>
      <c r="O102" s="186"/>
      <c r="P102" t="str">
        <f>IF(Envoltória!D87="","",J102*$S$1*$S$2/1000)</f>
        <v/>
      </c>
      <c r="Q102" s="242"/>
      <c r="R102" s="92"/>
      <c r="S102" s="91"/>
      <c r="T102" s="244"/>
      <c r="U102" s="244"/>
      <c r="V102" s="244"/>
      <c r="W102" s="244"/>
      <c r="X102" s="244"/>
      <c r="Y102" s="244"/>
      <c r="Z102" s="244"/>
      <c r="AA102" s="244"/>
      <c r="AB102" s="244"/>
      <c r="AC102" s="244"/>
      <c r="AD102" s="244"/>
      <c r="AE102" s="244"/>
      <c r="AF102" s="244"/>
      <c r="AG102" s="244"/>
      <c r="AH102" s="244"/>
      <c r="AI102" s="244"/>
      <c r="AJ102" s="244"/>
      <c r="AK102" s="245" t="str">
        <f t="shared" si="7"/>
        <v/>
      </c>
      <c r="AL102" s="335">
        <f t="shared" si="8"/>
        <v>0</v>
      </c>
    </row>
    <row r="103" spans="1:38" x14ac:dyDescent="0.25">
      <c r="A103" s="155">
        <v>73</v>
      </c>
      <c r="B103" s="218"/>
      <c r="C103" s="190" t="str">
        <f>IF(Envoltória!C88="","",Envoltória!C88)</f>
        <v/>
      </c>
      <c r="D103" s="190" t="str">
        <f>IF(Envoltória!D88="","",Envoltória!D88)</f>
        <v/>
      </c>
      <c r="E103" s="317">
        <f>Envoltória!AD88</f>
        <v>0</v>
      </c>
      <c r="F103" s="218"/>
      <c r="G103" s="317" t="str">
        <f>IF(C103="","",VLOOKUP(F103,Componentes!$AB:$AG,2,FALSE))</f>
        <v/>
      </c>
      <c r="H103" s="317" t="str">
        <f>IF(F103="","",VLOOKUP(F103,Componentes!$AB:$AG,3,FALSE))</f>
        <v/>
      </c>
      <c r="I103" s="190" t="str">
        <f>IF(F103="","",VLOOKUP(F103,Componentes!$AB:$AG,4,FALSE))</f>
        <v/>
      </c>
      <c r="J103" s="190" t="str">
        <f>IF(F103="","",VLOOKUP(F103,Componentes!$AB:$AG,6,FALSE))</f>
        <v/>
      </c>
      <c r="K103" s="190" t="str">
        <f>IF(F103="","",IF(I103&lt;&gt;"SPLV",VLOOKUP(F103,Componentes!$AB:$AG,5,FALSE),""))</f>
        <v/>
      </c>
      <c r="L103" s="184" t="str">
        <f t="shared" si="6"/>
        <v/>
      </c>
      <c r="M103" s="190" t="str">
        <f>IF(OR(I103="SPLV",I103="k"),VLOOKUP(F103,Componentes!$AB:$AG,5,FALSE),"")</f>
        <v/>
      </c>
      <c r="N103" s="185" t="str">
        <f t="shared" si="5"/>
        <v/>
      </c>
      <c r="O103" s="186"/>
      <c r="P103" t="str">
        <f>IF(Envoltória!D88="","",J103*$S$1*$S$2/1000)</f>
        <v/>
      </c>
      <c r="Q103" s="242"/>
      <c r="R103" s="92"/>
      <c r="S103" s="91"/>
      <c r="T103" s="244"/>
      <c r="U103" s="244"/>
      <c r="V103" s="244"/>
      <c r="W103" s="244"/>
      <c r="X103" s="244"/>
      <c r="Y103" s="244"/>
      <c r="Z103" s="244"/>
      <c r="AA103" s="244"/>
      <c r="AB103" s="244"/>
      <c r="AC103" s="244"/>
      <c r="AD103" s="244"/>
      <c r="AE103" s="244"/>
      <c r="AF103" s="244"/>
      <c r="AG103" s="244"/>
      <c r="AH103" s="244"/>
      <c r="AI103" s="244"/>
      <c r="AJ103" s="244"/>
      <c r="AK103" s="245" t="str">
        <f t="shared" si="7"/>
        <v/>
      </c>
      <c r="AL103" s="335">
        <f t="shared" si="8"/>
        <v>0</v>
      </c>
    </row>
    <row r="104" spans="1:38" x14ac:dyDescent="0.25">
      <c r="A104" s="155">
        <v>74</v>
      </c>
      <c r="B104" s="218"/>
      <c r="C104" s="190" t="str">
        <f>IF(Envoltória!C89="","",Envoltória!C89)</f>
        <v/>
      </c>
      <c r="D104" s="190" t="str">
        <f>IF(Envoltória!D89="","",Envoltória!D89)</f>
        <v/>
      </c>
      <c r="E104" s="317">
        <f>Envoltória!AD89</f>
        <v>0</v>
      </c>
      <c r="F104" s="218"/>
      <c r="G104" s="317" t="str">
        <f>IF(C104="","",VLOOKUP(F104,Componentes!$AB:$AG,2,FALSE))</f>
        <v/>
      </c>
      <c r="H104" s="317" t="str">
        <f>IF(F104="","",VLOOKUP(F104,Componentes!$AB:$AG,3,FALSE))</f>
        <v/>
      </c>
      <c r="I104" s="190" t="str">
        <f>IF(F104="","",VLOOKUP(F104,Componentes!$AB:$AG,4,FALSE))</f>
        <v/>
      </c>
      <c r="J104" s="190" t="str">
        <f>IF(F104="","",VLOOKUP(F104,Componentes!$AB:$AG,6,FALSE))</f>
        <v/>
      </c>
      <c r="K104" s="190" t="str">
        <f>IF(F104="","",IF(I104&lt;&gt;"SPLV",VLOOKUP(F104,Componentes!$AB:$AG,5,FALSE),""))</f>
        <v/>
      </c>
      <c r="L104" s="184" t="str">
        <f t="shared" si="6"/>
        <v/>
      </c>
      <c r="M104" s="190" t="str">
        <f>IF(OR(I104="SPLV",I104="k"),VLOOKUP(F104,Componentes!$AB:$AG,5,FALSE),"")</f>
        <v/>
      </c>
      <c r="N104" s="185" t="str">
        <f t="shared" si="5"/>
        <v/>
      </c>
      <c r="O104" s="186"/>
      <c r="P104" t="str">
        <f>IF(Envoltória!D89="","",J104*$S$1*$S$2/1000)</f>
        <v/>
      </c>
      <c r="Q104" s="242"/>
      <c r="R104" s="92"/>
      <c r="S104" s="91"/>
      <c r="T104" s="244"/>
      <c r="U104" s="244"/>
      <c r="V104" s="244"/>
      <c r="W104" s="244"/>
      <c r="X104" s="244"/>
      <c r="Y104" s="244"/>
      <c r="Z104" s="244"/>
      <c r="AA104" s="244"/>
      <c r="AB104" s="244"/>
      <c r="AC104" s="244"/>
      <c r="AD104" s="244"/>
      <c r="AE104" s="244"/>
      <c r="AF104" s="244"/>
      <c r="AG104" s="244"/>
      <c r="AH104" s="244"/>
      <c r="AI104" s="244"/>
      <c r="AJ104" s="244"/>
      <c r="AK104" s="245" t="str">
        <f t="shared" si="7"/>
        <v/>
      </c>
      <c r="AL104" s="335">
        <f t="shared" si="8"/>
        <v>0</v>
      </c>
    </row>
    <row r="105" spans="1:38" x14ac:dyDescent="0.25">
      <c r="A105" s="155">
        <v>75</v>
      </c>
      <c r="B105" s="218"/>
      <c r="C105" s="190" t="str">
        <f>IF(Envoltória!C90="","",Envoltória!C90)</f>
        <v/>
      </c>
      <c r="D105" s="190" t="str">
        <f>IF(Envoltória!D90="","",Envoltória!D90)</f>
        <v/>
      </c>
      <c r="E105" s="317">
        <f>Envoltória!AD90</f>
        <v>0</v>
      </c>
      <c r="F105" s="218"/>
      <c r="G105" s="317" t="str">
        <f>IF(C105="","",VLOOKUP(F105,Componentes!$AB:$AG,2,FALSE))</f>
        <v/>
      </c>
      <c r="H105" s="317" t="str">
        <f>IF(F105="","",VLOOKUP(F105,Componentes!$AB:$AG,3,FALSE))</f>
        <v/>
      </c>
      <c r="I105" s="190" t="str">
        <f>IF(F105="","",VLOOKUP(F105,Componentes!$AB:$AG,4,FALSE))</f>
        <v/>
      </c>
      <c r="J105" s="190" t="str">
        <f>IF(F105="","",VLOOKUP(F105,Componentes!$AB:$AG,6,FALSE))</f>
        <v/>
      </c>
      <c r="K105" s="190" t="str">
        <f>IF(F105="","",IF(I105&lt;&gt;"SPLV",VLOOKUP(F105,Componentes!$AB:$AG,5,FALSE),""))</f>
        <v/>
      </c>
      <c r="L105" s="184" t="str">
        <f t="shared" si="6"/>
        <v/>
      </c>
      <c r="M105" s="190" t="str">
        <f>IF(OR(I105="SPLV",I105="k"),VLOOKUP(F105,Componentes!$AB:$AG,5,FALSE),"")</f>
        <v/>
      </c>
      <c r="N105" s="185" t="str">
        <f t="shared" si="5"/>
        <v/>
      </c>
      <c r="O105" s="186"/>
      <c r="P105" t="str">
        <f>IF(Envoltória!D90="","",J105*$S$1*$S$2/1000)</f>
        <v/>
      </c>
      <c r="Q105" s="242"/>
      <c r="R105" s="92"/>
      <c r="S105" s="91"/>
      <c r="T105" s="244"/>
      <c r="U105" s="244"/>
      <c r="V105" s="244"/>
      <c r="W105" s="244"/>
      <c r="X105" s="244"/>
      <c r="Y105" s="244"/>
      <c r="Z105" s="244"/>
      <c r="AA105" s="244"/>
      <c r="AB105" s="244"/>
      <c r="AC105" s="244"/>
      <c r="AD105" s="244"/>
      <c r="AE105" s="244"/>
      <c r="AF105" s="244"/>
      <c r="AG105" s="244"/>
      <c r="AH105" s="244"/>
      <c r="AI105" s="244"/>
      <c r="AJ105" s="244"/>
      <c r="AK105" s="245" t="str">
        <f t="shared" si="7"/>
        <v/>
      </c>
      <c r="AL105" s="335">
        <f t="shared" si="8"/>
        <v>0</v>
      </c>
    </row>
    <row r="106" spans="1:38" x14ac:dyDescent="0.25">
      <c r="A106" s="155">
        <v>76</v>
      </c>
      <c r="B106" s="218"/>
      <c r="C106" s="190" t="str">
        <f>IF(Envoltória!C91="","",Envoltória!C91)</f>
        <v/>
      </c>
      <c r="D106" s="190" t="str">
        <f>IF(Envoltória!D91="","",Envoltória!D91)</f>
        <v/>
      </c>
      <c r="E106" s="317">
        <f>Envoltória!AD91</f>
        <v>0</v>
      </c>
      <c r="F106" s="218"/>
      <c r="G106" s="317" t="str">
        <f>IF(C106="","",VLOOKUP(F106,Componentes!$AB:$AG,2,FALSE))</f>
        <v/>
      </c>
      <c r="H106" s="317" t="str">
        <f>IF(F106="","",VLOOKUP(F106,Componentes!$AB:$AG,3,FALSE))</f>
        <v/>
      </c>
      <c r="I106" s="190" t="str">
        <f>IF(F106="","",VLOOKUP(F106,Componentes!$AB:$AG,4,FALSE))</f>
        <v/>
      </c>
      <c r="J106" s="190" t="str">
        <f>IF(F106="","",VLOOKUP(F106,Componentes!$AB:$AG,6,FALSE))</f>
        <v/>
      </c>
      <c r="K106" s="190" t="str">
        <f>IF(F106="","",IF(I106&lt;&gt;"SPLV",VLOOKUP(F106,Componentes!$AB:$AG,5,FALSE),""))</f>
        <v/>
      </c>
      <c r="L106" s="184" t="str">
        <f t="shared" si="6"/>
        <v/>
      </c>
      <c r="M106" s="190" t="str">
        <f>IF(OR(I106="SPLV",I106="k"),VLOOKUP(F106,Componentes!$AB:$AG,5,FALSE),"")</f>
        <v/>
      </c>
      <c r="N106" s="185" t="str">
        <f t="shared" si="5"/>
        <v/>
      </c>
      <c r="O106" s="186"/>
      <c r="P106" t="str">
        <f>IF(Envoltória!D91="","",J106*$S$1*$S$2/1000)</f>
        <v/>
      </c>
      <c r="Q106" s="242"/>
      <c r="R106" s="92"/>
      <c r="S106" s="91"/>
      <c r="T106" s="244"/>
      <c r="U106" s="244"/>
      <c r="V106" s="244"/>
      <c r="W106" s="244"/>
      <c r="X106" s="244"/>
      <c r="Y106" s="244"/>
      <c r="Z106" s="244"/>
      <c r="AA106" s="244"/>
      <c r="AB106" s="244"/>
      <c r="AC106" s="244"/>
      <c r="AD106" s="244"/>
      <c r="AE106" s="244"/>
      <c r="AF106" s="244"/>
      <c r="AG106" s="244"/>
      <c r="AH106" s="244"/>
      <c r="AI106" s="244"/>
      <c r="AJ106" s="244"/>
      <c r="AK106" s="245" t="str">
        <f t="shared" si="7"/>
        <v/>
      </c>
      <c r="AL106" s="335">
        <f t="shared" si="8"/>
        <v>0</v>
      </c>
    </row>
    <row r="107" spans="1:38" x14ac:dyDescent="0.25">
      <c r="A107" s="155">
        <v>77</v>
      </c>
      <c r="B107" s="218"/>
      <c r="C107" s="190" t="str">
        <f>IF(Envoltória!C92="","",Envoltória!C92)</f>
        <v/>
      </c>
      <c r="D107" s="190" t="str">
        <f>IF(Envoltória!D92="","",Envoltória!D92)</f>
        <v/>
      </c>
      <c r="E107" s="317">
        <f>Envoltória!AD92</f>
        <v>0</v>
      </c>
      <c r="F107" s="218"/>
      <c r="G107" s="317" t="str">
        <f>IF(C107="","",VLOOKUP(F107,Componentes!$AB:$AG,2,FALSE))</f>
        <v/>
      </c>
      <c r="H107" s="317" t="str">
        <f>IF(F107="","",VLOOKUP(F107,Componentes!$AB:$AG,3,FALSE))</f>
        <v/>
      </c>
      <c r="I107" s="190" t="str">
        <f>IF(F107="","",VLOOKUP(F107,Componentes!$AB:$AG,4,FALSE))</f>
        <v/>
      </c>
      <c r="J107" s="190" t="str">
        <f>IF(F107="","",VLOOKUP(F107,Componentes!$AB:$AG,6,FALSE))</f>
        <v/>
      </c>
      <c r="K107" s="190" t="str">
        <f>IF(F107="","",IF(I107&lt;&gt;"SPLV",VLOOKUP(F107,Componentes!$AB:$AG,5,FALSE),""))</f>
        <v/>
      </c>
      <c r="L107" s="184" t="str">
        <f t="shared" si="6"/>
        <v/>
      </c>
      <c r="M107" s="190" t="str">
        <f>IF(OR(I107="SPLV",I107="k"),VLOOKUP(F107,Componentes!$AB:$AG,5,FALSE),"")</f>
        <v/>
      </c>
      <c r="N107" s="185" t="str">
        <f t="shared" si="5"/>
        <v/>
      </c>
      <c r="O107" s="186"/>
      <c r="P107" t="str">
        <f>IF(Envoltória!D92="","",J107*$S$1*$S$2/1000)</f>
        <v/>
      </c>
      <c r="Q107" s="242"/>
      <c r="R107" s="92"/>
      <c r="S107" s="91"/>
      <c r="T107" s="244"/>
      <c r="U107" s="244"/>
      <c r="V107" s="244"/>
      <c r="W107" s="244"/>
      <c r="X107" s="244"/>
      <c r="Y107" s="244"/>
      <c r="Z107" s="244"/>
      <c r="AA107" s="244"/>
      <c r="AB107" s="244"/>
      <c r="AC107" s="244"/>
      <c r="AD107" s="244"/>
      <c r="AE107" s="244"/>
      <c r="AF107" s="244"/>
      <c r="AG107" s="244"/>
      <c r="AH107" s="244"/>
      <c r="AI107" s="244"/>
      <c r="AJ107" s="244"/>
      <c r="AK107" s="245" t="str">
        <f t="shared" si="7"/>
        <v/>
      </c>
      <c r="AL107" s="335">
        <f t="shared" si="8"/>
        <v>0</v>
      </c>
    </row>
    <row r="108" spans="1:38" x14ac:dyDescent="0.25">
      <c r="A108" s="155">
        <v>78</v>
      </c>
      <c r="B108" s="218"/>
      <c r="C108" s="190" t="str">
        <f>IF(Envoltória!C93="","",Envoltória!C93)</f>
        <v/>
      </c>
      <c r="D108" s="190" t="str">
        <f>IF(Envoltória!D93="","",Envoltória!D93)</f>
        <v/>
      </c>
      <c r="E108" s="317">
        <f>Envoltória!AD93</f>
        <v>0</v>
      </c>
      <c r="F108" s="218"/>
      <c r="G108" s="317" t="str">
        <f>IF(C108="","",VLOOKUP(F108,Componentes!$AB:$AG,2,FALSE))</f>
        <v/>
      </c>
      <c r="H108" s="317" t="str">
        <f>IF(F108="","",VLOOKUP(F108,Componentes!$AB:$AG,3,FALSE))</f>
        <v/>
      </c>
      <c r="I108" s="190" t="str">
        <f>IF(F108="","",VLOOKUP(F108,Componentes!$AB:$AG,4,FALSE))</f>
        <v/>
      </c>
      <c r="J108" s="190" t="str">
        <f>IF(F108="","",VLOOKUP(F108,Componentes!$AB:$AG,6,FALSE))</f>
        <v/>
      </c>
      <c r="K108" s="190" t="str">
        <f>IF(F108="","",IF(I108&lt;&gt;"SPLV",VLOOKUP(F108,Componentes!$AB:$AG,5,FALSE),""))</f>
        <v/>
      </c>
      <c r="L108" s="184" t="str">
        <f t="shared" si="6"/>
        <v/>
      </c>
      <c r="M108" s="190" t="str">
        <f>IF(OR(I108="SPLV",I108="k"),VLOOKUP(F108,Componentes!$AB:$AG,5,FALSE),"")</f>
        <v/>
      </c>
      <c r="N108" s="185" t="str">
        <f t="shared" si="5"/>
        <v/>
      </c>
      <c r="O108" s="186"/>
      <c r="P108" t="str">
        <f>IF(Envoltória!D93="","",J108*$S$1*$S$2/1000)</f>
        <v/>
      </c>
      <c r="Q108" s="242"/>
      <c r="R108" s="92"/>
      <c r="S108" s="91"/>
      <c r="T108" s="244"/>
      <c r="U108" s="244"/>
      <c r="V108" s="244"/>
      <c r="W108" s="244"/>
      <c r="X108" s="244"/>
      <c r="Y108" s="244"/>
      <c r="Z108" s="244"/>
      <c r="AA108" s="244"/>
      <c r="AB108" s="244"/>
      <c r="AC108" s="244"/>
      <c r="AD108" s="244"/>
      <c r="AE108" s="244"/>
      <c r="AF108" s="244"/>
      <c r="AG108" s="244"/>
      <c r="AH108" s="244"/>
      <c r="AI108" s="244"/>
      <c r="AJ108" s="244"/>
      <c r="AK108" s="245" t="str">
        <f t="shared" si="7"/>
        <v/>
      </c>
      <c r="AL108" s="335">
        <f t="shared" si="8"/>
        <v>0</v>
      </c>
    </row>
    <row r="109" spans="1:38" x14ac:dyDescent="0.25">
      <c r="A109" s="155">
        <v>79</v>
      </c>
      <c r="B109" s="218"/>
      <c r="C109" s="190" t="str">
        <f>IF(Envoltória!C94="","",Envoltória!C94)</f>
        <v/>
      </c>
      <c r="D109" s="190" t="str">
        <f>IF(Envoltória!D94="","",Envoltória!D94)</f>
        <v/>
      </c>
      <c r="E109" s="317">
        <f>Envoltória!AD94</f>
        <v>0</v>
      </c>
      <c r="F109" s="218"/>
      <c r="G109" s="317" t="str">
        <f>IF(C109="","",VLOOKUP(F109,Componentes!$AB:$AG,2,FALSE))</f>
        <v/>
      </c>
      <c r="H109" s="317" t="str">
        <f>IF(F109="","",VLOOKUP(F109,Componentes!$AB:$AG,3,FALSE))</f>
        <v/>
      </c>
      <c r="I109" s="190" t="str">
        <f>IF(F109="","",VLOOKUP(F109,Componentes!$AB:$AG,4,FALSE))</f>
        <v/>
      </c>
      <c r="J109" s="190" t="str">
        <f>IF(F109="","",VLOOKUP(F109,Componentes!$AB:$AG,6,FALSE))</f>
        <v/>
      </c>
      <c r="K109" s="190" t="str">
        <f>IF(F109="","",IF(I109&lt;&gt;"SPLV",VLOOKUP(F109,Componentes!$AB:$AG,5,FALSE),""))</f>
        <v/>
      </c>
      <c r="L109" s="184" t="str">
        <f t="shared" si="6"/>
        <v/>
      </c>
      <c r="M109" s="190" t="str">
        <f>IF(OR(I109="SPLV",I109="k"),VLOOKUP(F109,Componentes!$AB:$AG,5,FALSE),"")</f>
        <v/>
      </c>
      <c r="N109" s="185" t="str">
        <f t="shared" si="5"/>
        <v/>
      </c>
      <c r="O109" s="186"/>
      <c r="P109" t="str">
        <f>IF(Envoltória!D94="","",J109*$S$1*$S$2/1000)</f>
        <v/>
      </c>
      <c r="Q109" s="242"/>
      <c r="R109" s="92"/>
      <c r="S109" s="91"/>
      <c r="T109" s="244"/>
      <c r="U109" s="244"/>
      <c r="V109" s="244"/>
      <c r="W109" s="244"/>
      <c r="X109" s="244"/>
      <c r="Y109" s="244"/>
      <c r="Z109" s="244"/>
      <c r="AA109" s="244"/>
      <c r="AB109" s="244"/>
      <c r="AC109" s="244"/>
      <c r="AD109" s="244"/>
      <c r="AE109" s="244"/>
      <c r="AF109" s="244"/>
      <c r="AG109" s="244"/>
      <c r="AH109" s="244"/>
      <c r="AI109" s="244"/>
      <c r="AJ109" s="244"/>
      <c r="AK109" s="245" t="str">
        <f t="shared" si="7"/>
        <v/>
      </c>
      <c r="AL109" s="335">
        <f t="shared" si="8"/>
        <v>0</v>
      </c>
    </row>
    <row r="110" spans="1:38" x14ac:dyDescent="0.25">
      <c r="A110" s="155">
        <v>80</v>
      </c>
      <c r="B110" s="218"/>
      <c r="C110" s="190" t="str">
        <f>IF(Envoltória!C95="","",Envoltória!C95)</f>
        <v/>
      </c>
      <c r="D110" s="190" t="str">
        <f>IF(Envoltória!D95="","",Envoltória!D95)</f>
        <v/>
      </c>
      <c r="E110" s="317">
        <f>Envoltória!AD95</f>
        <v>0</v>
      </c>
      <c r="F110" s="218"/>
      <c r="G110" s="317" t="str">
        <f>IF(C110="","",VLOOKUP(F110,Componentes!$AB:$AG,2,FALSE))</f>
        <v/>
      </c>
      <c r="H110" s="317" t="str">
        <f>IF(F110="","",VLOOKUP(F110,Componentes!$AB:$AG,3,FALSE))</f>
        <v/>
      </c>
      <c r="I110" s="190" t="str">
        <f>IF(F110="","",VLOOKUP(F110,Componentes!$AB:$AG,4,FALSE))</f>
        <v/>
      </c>
      <c r="J110" s="190" t="str">
        <f>IF(F110="","",VLOOKUP(F110,Componentes!$AB:$AG,6,FALSE))</f>
        <v/>
      </c>
      <c r="K110" s="190" t="str">
        <f>IF(F110="","",IF(I110&lt;&gt;"SPLV",VLOOKUP(F110,Componentes!$AB:$AG,5,FALSE),""))</f>
        <v/>
      </c>
      <c r="L110" s="184" t="str">
        <f t="shared" si="6"/>
        <v/>
      </c>
      <c r="M110" s="190" t="str">
        <f>IF(OR(I110="SPLV",I110="k"),VLOOKUP(F110,Componentes!$AB:$AG,5,FALSE),"")</f>
        <v/>
      </c>
      <c r="N110" s="185" t="str">
        <f t="shared" si="5"/>
        <v/>
      </c>
      <c r="O110" s="186"/>
      <c r="P110" t="str">
        <f>IF(Envoltória!D95="","",J110*$S$1*$S$2/1000)</f>
        <v/>
      </c>
      <c r="Q110" s="242"/>
      <c r="R110" s="92"/>
      <c r="S110" s="91"/>
      <c r="T110" s="244"/>
      <c r="U110" s="244"/>
      <c r="V110" s="244"/>
      <c r="W110" s="244"/>
      <c r="X110" s="244"/>
      <c r="Y110" s="244"/>
      <c r="Z110" s="244"/>
      <c r="AA110" s="244"/>
      <c r="AB110" s="244"/>
      <c r="AC110" s="244"/>
      <c r="AD110" s="244"/>
      <c r="AE110" s="244"/>
      <c r="AF110" s="244"/>
      <c r="AG110" s="244"/>
      <c r="AH110" s="244"/>
      <c r="AI110" s="244"/>
      <c r="AJ110" s="244"/>
      <c r="AK110" s="245" t="str">
        <f t="shared" si="7"/>
        <v/>
      </c>
      <c r="AL110" s="335">
        <f t="shared" si="8"/>
        <v>0</v>
      </c>
    </row>
    <row r="111" spans="1:38" x14ac:dyDescent="0.25">
      <c r="A111" s="155">
        <v>81</v>
      </c>
      <c r="B111" s="218"/>
      <c r="C111" s="190" t="str">
        <f>IF(Envoltória!C96="","",Envoltória!C96)</f>
        <v/>
      </c>
      <c r="D111" s="190" t="str">
        <f>IF(Envoltória!D96="","",Envoltória!D96)</f>
        <v/>
      </c>
      <c r="E111" s="317">
        <f>Envoltória!AD96</f>
        <v>0</v>
      </c>
      <c r="F111" s="218"/>
      <c r="G111" s="317" t="str">
        <f>IF(C111="","",VLOOKUP(F111,Componentes!$AB:$AG,2,FALSE))</f>
        <v/>
      </c>
      <c r="H111" s="317" t="str">
        <f>IF(F111="","",VLOOKUP(F111,Componentes!$AB:$AG,3,FALSE))</f>
        <v/>
      </c>
      <c r="I111" s="190" t="str">
        <f>IF(F111="","",VLOOKUP(F111,Componentes!$AB:$AG,4,FALSE))</f>
        <v/>
      </c>
      <c r="J111" s="190" t="str">
        <f>IF(F111="","",VLOOKUP(F111,Componentes!$AB:$AG,6,FALSE))</f>
        <v/>
      </c>
      <c r="K111" s="190" t="str">
        <f>IF(F111="","",IF(I111&lt;&gt;"SPLV",VLOOKUP(F111,Componentes!$AB:$AG,5,FALSE),""))</f>
        <v/>
      </c>
      <c r="L111" s="184" t="str">
        <f t="shared" si="6"/>
        <v/>
      </c>
      <c r="M111" s="190" t="str">
        <f>IF(OR(I111="SPLV",I111="k"),VLOOKUP(F111,Componentes!$AB:$AG,5,FALSE),"")</f>
        <v/>
      </c>
      <c r="N111" s="185" t="str">
        <f t="shared" si="5"/>
        <v/>
      </c>
      <c r="O111" s="186"/>
      <c r="P111" t="str">
        <f>IF(Envoltória!D96="","",J111*$S$1*$S$2/1000)</f>
        <v/>
      </c>
      <c r="Q111" s="242"/>
      <c r="R111" s="92"/>
      <c r="S111" s="91"/>
      <c r="T111" s="244"/>
      <c r="U111" s="244"/>
      <c r="V111" s="244"/>
      <c r="W111" s="244"/>
      <c r="X111" s="244"/>
      <c r="Y111" s="244"/>
      <c r="Z111" s="244"/>
      <c r="AA111" s="244"/>
      <c r="AB111" s="244"/>
      <c r="AC111" s="244"/>
      <c r="AD111" s="244"/>
      <c r="AE111" s="244"/>
      <c r="AF111" s="244"/>
      <c r="AG111" s="244"/>
      <c r="AH111" s="244"/>
      <c r="AI111" s="244"/>
      <c r="AJ111" s="244"/>
      <c r="AK111" s="245" t="str">
        <f t="shared" si="7"/>
        <v/>
      </c>
      <c r="AL111" s="335">
        <f t="shared" si="8"/>
        <v>0</v>
      </c>
    </row>
    <row r="112" spans="1:38" x14ac:dyDescent="0.25">
      <c r="A112" s="155">
        <v>82</v>
      </c>
      <c r="B112" s="218"/>
      <c r="C112" s="190" t="str">
        <f>IF(Envoltória!C97="","",Envoltória!C97)</f>
        <v/>
      </c>
      <c r="D112" s="190" t="str">
        <f>IF(Envoltória!D97="","",Envoltória!D97)</f>
        <v/>
      </c>
      <c r="E112" s="317">
        <f>Envoltória!AD97</f>
        <v>0</v>
      </c>
      <c r="F112" s="218"/>
      <c r="G112" s="317" t="str">
        <f>IF(C112="","",VLOOKUP(F112,Componentes!$AB:$AG,2,FALSE))</f>
        <v/>
      </c>
      <c r="H112" s="317" t="str">
        <f>IF(F112="","",VLOOKUP(F112,Componentes!$AB:$AG,3,FALSE))</f>
        <v/>
      </c>
      <c r="I112" s="190" t="str">
        <f>IF(F112="","",VLOOKUP(F112,Componentes!$AB:$AG,4,FALSE))</f>
        <v/>
      </c>
      <c r="J112" s="190" t="str">
        <f>IF(F112="","",VLOOKUP(F112,Componentes!$AB:$AG,6,FALSE))</f>
        <v/>
      </c>
      <c r="K112" s="190" t="str">
        <f>IF(F112="","",IF(I112&lt;&gt;"SPLV",VLOOKUP(F112,Componentes!$AB:$AG,5,FALSE),""))</f>
        <v/>
      </c>
      <c r="L112" s="184" t="str">
        <f t="shared" si="6"/>
        <v/>
      </c>
      <c r="M112" s="190" t="str">
        <f>IF(OR(I112="SPLV",I112="k"),VLOOKUP(F112,Componentes!$AB:$AG,5,FALSE),"")</f>
        <v/>
      </c>
      <c r="N112" s="185" t="str">
        <f t="shared" si="5"/>
        <v/>
      </c>
      <c r="O112" s="186"/>
      <c r="P112" t="str">
        <f>IF(Envoltória!D97="","",J112*$S$1*$S$2/1000)</f>
        <v/>
      </c>
      <c r="Q112" s="242"/>
      <c r="R112" s="92"/>
      <c r="S112" s="91"/>
      <c r="T112" s="244"/>
      <c r="U112" s="244"/>
      <c r="V112" s="244"/>
      <c r="W112" s="244"/>
      <c r="X112" s="244"/>
      <c r="Y112" s="244"/>
      <c r="Z112" s="244"/>
      <c r="AA112" s="244"/>
      <c r="AB112" s="244"/>
      <c r="AC112" s="244"/>
      <c r="AD112" s="244"/>
      <c r="AE112" s="244"/>
      <c r="AF112" s="244"/>
      <c r="AG112" s="244"/>
      <c r="AH112" s="244"/>
      <c r="AI112" s="244"/>
      <c r="AJ112" s="244"/>
      <c r="AK112" s="245" t="str">
        <f t="shared" si="7"/>
        <v/>
      </c>
      <c r="AL112" s="335">
        <f t="shared" si="8"/>
        <v>0</v>
      </c>
    </row>
    <row r="113" spans="1:38" x14ac:dyDescent="0.25">
      <c r="A113" s="155">
        <v>83</v>
      </c>
      <c r="B113" s="218"/>
      <c r="C113" s="190" t="str">
        <f>IF(Envoltória!C98="","",Envoltória!C98)</f>
        <v/>
      </c>
      <c r="D113" s="190" t="str">
        <f>IF(Envoltória!D98="","",Envoltória!D98)</f>
        <v/>
      </c>
      <c r="E113" s="317">
        <f>Envoltória!AD98</f>
        <v>0</v>
      </c>
      <c r="F113" s="218"/>
      <c r="G113" s="317" t="str">
        <f>IF(C113="","",VLOOKUP(F113,Componentes!$AB:$AG,2,FALSE))</f>
        <v/>
      </c>
      <c r="H113" s="317" t="str">
        <f>IF(F113="","",VLOOKUP(F113,Componentes!$AB:$AG,3,FALSE))</f>
        <v/>
      </c>
      <c r="I113" s="190" t="str">
        <f>IF(F113="","",VLOOKUP(F113,Componentes!$AB:$AG,4,FALSE))</f>
        <v/>
      </c>
      <c r="J113" s="190" t="str">
        <f>IF(F113="","",VLOOKUP(F113,Componentes!$AB:$AG,6,FALSE))</f>
        <v/>
      </c>
      <c r="K113" s="190" t="str">
        <f>IF(F113="","",IF(I113&lt;&gt;"SPLV",VLOOKUP(F113,Componentes!$AB:$AG,5,FALSE),""))</f>
        <v/>
      </c>
      <c r="L113" s="184" t="str">
        <f t="shared" si="6"/>
        <v/>
      </c>
      <c r="M113" s="190" t="str">
        <f>IF(OR(I113="SPLV",I113="k"),VLOOKUP(F113,Componentes!$AB:$AG,5,FALSE),"")</f>
        <v/>
      </c>
      <c r="N113" s="185" t="str">
        <f t="shared" si="5"/>
        <v/>
      </c>
      <c r="O113" s="186"/>
      <c r="P113" t="str">
        <f>IF(Envoltória!D98="","",J113*$S$1*$S$2/1000)</f>
        <v/>
      </c>
      <c r="Q113" s="242"/>
      <c r="R113" s="92"/>
      <c r="S113" s="91"/>
      <c r="T113" s="244"/>
      <c r="U113" s="244"/>
      <c r="V113" s="244"/>
      <c r="W113" s="244"/>
      <c r="X113" s="244"/>
      <c r="Y113" s="244"/>
      <c r="Z113" s="244"/>
      <c r="AA113" s="244"/>
      <c r="AB113" s="244"/>
      <c r="AC113" s="244"/>
      <c r="AD113" s="244"/>
      <c r="AE113" s="244"/>
      <c r="AF113" s="244"/>
      <c r="AG113" s="244"/>
      <c r="AH113" s="244"/>
      <c r="AI113" s="244"/>
      <c r="AJ113" s="244"/>
      <c r="AK113" s="245" t="str">
        <f t="shared" si="7"/>
        <v/>
      </c>
      <c r="AL113" s="335">
        <f t="shared" si="8"/>
        <v>0</v>
      </c>
    </row>
    <row r="114" spans="1:38" x14ac:dyDescent="0.25">
      <c r="A114" s="155">
        <v>84</v>
      </c>
      <c r="B114" s="218"/>
      <c r="C114" s="190" t="str">
        <f>IF(Envoltória!C99="","",Envoltória!C99)</f>
        <v/>
      </c>
      <c r="D114" s="190" t="str">
        <f>IF(Envoltória!D99="","",Envoltória!D99)</f>
        <v/>
      </c>
      <c r="E114" s="317">
        <f>Envoltória!AD99</f>
        <v>0</v>
      </c>
      <c r="F114" s="218"/>
      <c r="G114" s="317" t="str">
        <f>IF(C114="","",VLOOKUP(F114,Componentes!$AB:$AG,2,FALSE))</f>
        <v/>
      </c>
      <c r="H114" s="317" t="str">
        <f>IF(F114="","",VLOOKUP(F114,Componentes!$AB:$AG,3,FALSE))</f>
        <v/>
      </c>
      <c r="I114" s="190" t="str">
        <f>IF(F114="","",VLOOKUP(F114,Componentes!$AB:$AG,4,FALSE))</f>
        <v/>
      </c>
      <c r="J114" s="190" t="str">
        <f>IF(F114="","",VLOOKUP(F114,Componentes!$AB:$AG,6,FALSE))</f>
        <v/>
      </c>
      <c r="K114" s="190" t="str">
        <f>IF(F114="","",IF(I114&lt;&gt;"SPLV",VLOOKUP(F114,Componentes!$AB:$AG,5,FALSE),""))</f>
        <v/>
      </c>
      <c r="L114" s="184" t="str">
        <f t="shared" si="6"/>
        <v/>
      </c>
      <c r="M114" s="190" t="str">
        <f>IF(OR(I114="SPLV",I114="k"),VLOOKUP(F114,Componentes!$AB:$AG,5,FALSE),"")</f>
        <v/>
      </c>
      <c r="N114" s="185" t="str">
        <f t="shared" si="5"/>
        <v/>
      </c>
      <c r="O114" s="186"/>
      <c r="P114" t="str">
        <f>IF(Envoltória!D99="","",J114*$S$1*$S$2/1000)</f>
        <v/>
      </c>
      <c r="Q114" s="242"/>
      <c r="R114" s="92"/>
      <c r="S114" s="91"/>
      <c r="T114" s="244"/>
      <c r="U114" s="244"/>
      <c r="V114" s="244"/>
      <c r="W114" s="244"/>
      <c r="X114" s="244"/>
      <c r="Y114" s="244"/>
      <c r="Z114" s="244"/>
      <c r="AA114" s="244"/>
      <c r="AB114" s="244"/>
      <c r="AC114" s="244"/>
      <c r="AD114" s="244"/>
      <c r="AE114" s="244"/>
      <c r="AF114" s="244"/>
      <c r="AG114" s="244"/>
      <c r="AH114" s="244"/>
      <c r="AI114" s="244"/>
      <c r="AJ114" s="244"/>
      <c r="AK114" s="245" t="str">
        <f t="shared" si="7"/>
        <v/>
      </c>
      <c r="AL114" s="335">
        <f t="shared" si="8"/>
        <v>0</v>
      </c>
    </row>
    <row r="115" spans="1:38" x14ac:dyDescent="0.25">
      <c r="A115" s="155">
        <v>85</v>
      </c>
      <c r="B115" s="218"/>
      <c r="C115" s="190" t="str">
        <f>IF(Envoltória!C100="","",Envoltória!C100)</f>
        <v/>
      </c>
      <c r="D115" s="190" t="str">
        <f>IF(Envoltória!D100="","",Envoltória!D100)</f>
        <v/>
      </c>
      <c r="E115" s="317">
        <f>Envoltória!AD100</f>
        <v>0</v>
      </c>
      <c r="F115" s="218"/>
      <c r="G115" s="317" t="str">
        <f>IF(C115="","",VLOOKUP(F115,Componentes!$AB:$AG,2,FALSE))</f>
        <v/>
      </c>
      <c r="H115" s="317" t="str">
        <f>IF(F115="","",VLOOKUP(F115,Componentes!$AB:$AG,3,FALSE))</f>
        <v/>
      </c>
      <c r="I115" s="190" t="str">
        <f>IF(F115="","",VLOOKUP(F115,Componentes!$AB:$AG,4,FALSE))</f>
        <v/>
      </c>
      <c r="J115" s="190" t="str">
        <f>IF(F115="","",VLOOKUP(F115,Componentes!$AB:$AG,6,FALSE))</f>
        <v/>
      </c>
      <c r="K115" s="190" t="str">
        <f>IF(F115="","",IF(I115&lt;&gt;"SPLV",VLOOKUP(F115,Componentes!$AB:$AG,5,FALSE),""))</f>
        <v/>
      </c>
      <c r="L115" s="184" t="str">
        <f t="shared" si="6"/>
        <v/>
      </c>
      <c r="M115" s="190" t="str">
        <f>IF(OR(I115="SPLV",I115="k"),VLOOKUP(F115,Componentes!$AB:$AG,5,FALSE),"")</f>
        <v/>
      </c>
      <c r="N115" s="185" t="str">
        <f t="shared" si="5"/>
        <v/>
      </c>
      <c r="O115" s="186"/>
      <c r="P115" t="str">
        <f>IF(Envoltória!D100="","",J115*$S$1*$S$2/1000)</f>
        <v/>
      </c>
      <c r="Q115" s="242"/>
      <c r="R115" s="92"/>
      <c r="S115" s="91"/>
      <c r="T115" s="244"/>
      <c r="U115" s="244"/>
      <c r="V115" s="244"/>
      <c r="W115" s="244"/>
      <c r="X115" s="244"/>
      <c r="Y115" s="244"/>
      <c r="Z115" s="244"/>
      <c r="AA115" s="244"/>
      <c r="AB115" s="244"/>
      <c r="AC115" s="244"/>
      <c r="AD115" s="244"/>
      <c r="AE115" s="244"/>
      <c r="AF115" s="244"/>
      <c r="AG115" s="244"/>
      <c r="AH115" s="244"/>
      <c r="AI115" s="244"/>
      <c r="AJ115" s="244"/>
      <c r="AK115" s="245" t="str">
        <f t="shared" si="7"/>
        <v/>
      </c>
      <c r="AL115" s="335">
        <f t="shared" si="8"/>
        <v>0</v>
      </c>
    </row>
    <row r="116" spans="1:38" x14ac:dyDescent="0.25">
      <c r="A116" s="155">
        <v>86</v>
      </c>
      <c r="B116" s="218"/>
      <c r="C116" s="190" t="str">
        <f>IF(Envoltória!C101="","",Envoltória!C101)</f>
        <v/>
      </c>
      <c r="D116" s="190" t="str">
        <f>IF(Envoltória!D101="","",Envoltória!D101)</f>
        <v/>
      </c>
      <c r="E116" s="317">
        <f>Envoltória!AD101</f>
        <v>0</v>
      </c>
      <c r="F116" s="218"/>
      <c r="G116" s="317" t="str">
        <f>IF(C116="","",VLOOKUP(F116,Componentes!$AB:$AG,2,FALSE))</f>
        <v/>
      </c>
      <c r="H116" s="317" t="str">
        <f>IF(F116="","",VLOOKUP(F116,Componentes!$AB:$AG,3,FALSE))</f>
        <v/>
      </c>
      <c r="I116" s="190" t="str">
        <f>IF(F116="","",VLOOKUP(F116,Componentes!$AB:$AG,4,FALSE))</f>
        <v/>
      </c>
      <c r="J116" s="190" t="str">
        <f>IF(F116="","",VLOOKUP(F116,Componentes!$AB:$AG,6,FALSE))</f>
        <v/>
      </c>
      <c r="K116" s="190" t="str">
        <f>IF(F116="","",IF(I116&lt;&gt;"SPLV",VLOOKUP(F116,Componentes!$AB:$AG,5,FALSE),""))</f>
        <v/>
      </c>
      <c r="L116" s="184" t="str">
        <f t="shared" si="6"/>
        <v/>
      </c>
      <c r="M116" s="190" t="str">
        <f>IF(OR(I116="SPLV",I116="k"),VLOOKUP(F116,Componentes!$AB:$AG,5,FALSE),"")</f>
        <v/>
      </c>
      <c r="N116" s="185" t="str">
        <f t="shared" si="5"/>
        <v/>
      </c>
      <c r="O116" s="186"/>
      <c r="P116" t="str">
        <f>IF(Envoltória!D101="","",J116*$S$1*$S$2/1000)</f>
        <v/>
      </c>
      <c r="Q116" s="242"/>
      <c r="R116" s="92"/>
      <c r="S116" s="91"/>
      <c r="T116" s="244"/>
      <c r="U116" s="244"/>
      <c r="V116" s="244"/>
      <c r="W116" s="244"/>
      <c r="X116" s="244"/>
      <c r="Y116" s="244"/>
      <c r="Z116" s="244"/>
      <c r="AA116" s="244"/>
      <c r="AB116" s="244"/>
      <c r="AC116" s="244"/>
      <c r="AD116" s="244"/>
      <c r="AE116" s="244"/>
      <c r="AF116" s="244"/>
      <c r="AG116" s="244"/>
      <c r="AH116" s="244"/>
      <c r="AI116" s="244"/>
      <c r="AJ116" s="244"/>
      <c r="AK116" s="245" t="str">
        <f t="shared" si="7"/>
        <v/>
      </c>
      <c r="AL116" s="335">
        <f t="shared" si="8"/>
        <v>0</v>
      </c>
    </row>
    <row r="117" spans="1:38" x14ac:dyDescent="0.25">
      <c r="A117" s="155">
        <v>87</v>
      </c>
      <c r="B117" s="218"/>
      <c r="C117" s="190" t="str">
        <f>IF(Envoltória!C102="","",Envoltória!C102)</f>
        <v/>
      </c>
      <c r="D117" s="190" t="str">
        <f>IF(Envoltória!D102="","",Envoltória!D102)</f>
        <v/>
      </c>
      <c r="E117" s="317">
        <f>Envoltória!AD102</f>
        <v>0</v>
      </c>
      <c r="F117" s="218"/>
      <c r="G117" s="317" t="str">
        <f>IF(C117="","",VLOOKUP(F117,Componentes!$AB:$AG,2,FALSE))</f>
        <v/>
      </c>
      <c r="H117" s="317" t="str">
        <f>IF(F117="","",VLOOKUP(F117,Componentes!$AB:$AG,3,FALSE))</f>
        <v/>
      </c>
      <c r="I117" s="190" t="str">
        <f>IF(F117="","",VLOOKUP(F117,Componentes!$AB:$AG,4,FALSE))</f>
        <v/>
      </c>
      <c r="J117" s="190" t="str">
        <f>IF(F117="","",VLOOKUP(F117,Componentes!$AB:$AG,6,FALSE))</f>
        <v/>
      </c>
      <c r="K117" s="190" t="str">
        <f>IF(F117="","",IF(I117&lt;&gt;"SPLV",VLOOKUP(F117,Componentes!$AB:$AG,5,FALSE),""))</f>
        <v/>
      </c>
      <c r="L117" s="184" t="str">
        <f t="shared" si="6"/>
        <v/>
      </c>
      <c r="M117" s="190" t="str">
        <f>IF(OR(I117="SPLV",I117="k"),VLOOKUP(F117,Componentes!$AB:$AG,5,FALSE),"")</f>
        <v/>
      </c>
      <c r="N117" s="185" t="str">
        <f t="shared" si="5"/>
        <v/>
      </c>
      <c r="O117" s="186"/>
      <c r="P117" t="str">
        <f>IF(Envoltória!D102="","",J117*$S$1*$S$2/1000)</f>
        <v/>
      </c>
      <c r="Q117" s="242"/>
      <c r="R117" s="92"/>
      <c r="S117" s="91"/>
      <c r="T117" s="244"/>
      <c r="U117" s="244"/>
      <c r="V117" s="244"/>
      <c r="W117" s="244"/>
      <c r="X117" s="244"/>
      <c r="Y117" s="244"/>
      <c r="Z117" s="244"/>
      <c r="AA117" s="244"/>
      <c r="AB117" s="244"/>
      <c r="AC117" s="244"/>
      <c r="AD117" s="244"/>
      <c r="AE117" s="244"/>
      <c r="AF117" s="244"/>
      <c r="AG117" s="244"/>
      <c r="AH117" s="244"/>
      <c r="AI117" s="244"/>
      <c r="AJ117" s="244"/>
      <c r="AK117" s="245" t="str">
        <f t="shared" si="7"/>
        <v/>
      </c>
      <c r="AL117" s="335">
        <f t="shared" si="8"/>
        <v>0</v>
      </c>
    </row>
    <row r="118" spans="1:38" x14ac:dyDescent="0.25">
      <c r="A118" s="155">
        <v>88</v>
      </c>
      <c r="B118" s="218"/>
      <c r="C118" s="190" t="str">
        <f>IF(Envoltória!C103="","",Envoltória!C103)</f>
        <v/>
      </c>
      <c r="D118" s="190" t="str">
        <f>IF(Envoltória!D103="","",Envoltória!D103)</f>
        <v/>
      </c>
      <c r="E118" s="317">
        <f>Envoltória!AD103</f>
        <v>0</v>
      </c>
      <c r="F118" s="218"/>
      <c r="G118" s="317" t="str">
        <f>IF(C118="","",VLOOKUP(F118,Componentes!$AB:$AG,2,FALSE))</f>
        <v/>
      </c>
      <c r="H118" s="317" t="str">
        <f>IF(F118="","",VLOOKUP(F118,Componentes!$AB:$AG,3,FALSE))</f>
        <v/>
      </c>
      <c r="I118" s="190" t="str">
        <f>IF(F118="","",VLOOKUP(F118,Componentes!$AB:$AG,4,FALSE))</f>
        <v/>
      </c>
      <c r="J118" s="190" t="str">
        <f>IF(F118="","",VLOOKUP(F118,Componentes!$AB:$AG,6,FALSE))</f>
        <v/>
      </c>
      <c r="K118" s="190" t="str">
        <f>IF(F118="","",IF(I118&lt;&gt;"SPLV",VLOOKUP(F118,Componentes!$AB:$AG,5,FALSE),""))</f>
        <v/>
      </c>
      <c r="L118" s="184" t="str">
        <f t="shared" si="6"/>
        <v/>
      </c>
      <c r="M118" s="190" t="str">
        <f>IF(OR(I118="SPLV",I118="k"),VLOOKUP(F118,Componentes!$AB:$AG,5,FALSE),"")</f>
        <v/>
      </c>
      <c r="N118" s="185" t="str">
        <f t="shared" si="5"/>
        <v/>
      </c>
      <c r="O118" s="186"/>
      <c r="P118" t="str">
        <f>IF(Envoltória!D103="","",J118*$S$1*$S$2/1000)</f>
        <v/>
      </c>
      <c r="Q118" s="242"/>
      <c r="R118" s="92"/>
      <c r="S118" s="91"/>
      <c r="T118" s="244"/>
      <c r="U118" s="244"/>
      <c r="V118" s="244"/>
      <c r="W118" s="244"/>
      <c r="X118" s="244"/>
      <c r="Y118" s="244"/>
      <c r="Z118" s="244"/>
      <c r="AA118" s="244"/>
      <c r="AB118" s="244"/>
      <c r="AC118" s="244"/>
      <c r="AD118" s="244"/>
      <c r="AE118" s="244"/>
      <c r="AF118" s="244"/>
      <c r="AG118" s="244"/>
      <c r="AH118" s="244"/>
      <c r="AI118" s="244"/>
      <c r="AJ118" s="244"/>
      <c r="AK118" s="245" t="str">
        <f t="shared" si="7"/>
        <v/>
      </c>
      <c r="AL118" s="335">
        <f t="shared" si="8"/>
        <v>0</v>
      </c>
    </row>
    <row r="119" spans="1:38" x14ac:dyDescent="0.25">
      <c r="A119" s="155">
        <v>89</v>
      </c>
      <c r="B119" s="218"/>
      <c r="C119" s="190" t="str">
        <f>IF(Envoltória!C104="","",Envoltória!C104)</f>
        <v/>
      </c>
      <c r="D119" s="190" t="str">
        <f>IF(Envoltória!D104="","",Envoltória!D104)</f>
        <v/>
      </c>
      <c r="E119" s="317">
        <f>Envoltória!AD104</f>
        <v>0</v>
      </c>
      <c r="F119" s="218"/>
      <c r="G119" s="317" t="str">
        <f>IF(C119="","",VLOOKUP(F119,Componentes!$AB:$AG,2,FALSE))</f>
        <v/>
      </c>
      <c r="H119" s="317" t="str">
        <f>IF(F119="","",VLOOKUP(F119,Componentes!$AB:$AG,3,FALSE))</f>
        <v/>
      </c>
      <c r="I119" s="190" t="str">
        <f>IF(F119="","",VLOOKUP(F119,Componentes!$AB:$AG,4,FALSE))</f>
        <v/>
      </c>
      <c r="J119" s="190" t="str">
        <f>IF(F119="","",VLOOKUP(F119,Componentes!$AB:$AG,6,FALSE))</f>
        <v/>
      </c>
      <c r="K119" s="190" t="str">
        <f>IF(F119="","",IF(I119&lt;&gt;"SPLV",VLOOKUP(F119,Componentes!$AB:$AG,5,FALSE),""))</f>
        <v/>
      </c>
      <c r="L119" s="184" t="str">
        <f t="shared" si="6"/>
        <v/>
      </c>
      <c r="M119" s="190" t="str">
        <f>IF(OR(I119="SPLV",I119="k"),VLOOKUP(F119,Componentes!$AB:$AG,5,FALSE),"")</f>
        <v/>
      </c>
      <c r="N119" s="185" t="str">
        <f t="shared" si="5"/>
        <v/>
      </c>
      <c r="O119" s="186"/>
      <c r="P119" t="str">
        <f>IF(Envoltória!D104="","",J119*$S$1*$S$2/1000)</f>
        <v/>
      </c>
      <c r="Q119" s="242"/>
      <c r="R119" s="92"/>
      <c r="S119" s="91"/>
      <c r="T119" s="244"/>
      <c r="U119" s="244"/>
      <c r="V119" s="244"/>
      <c r="W119" s="244"/>
      <c r="X119" s="244"/>
      <c r="Y119" s="244"/>
      <c r="Z119" s="244"/>
      <c r="AA119" s="244"/>
      <c r="AB119" s="244"/>
      <c r="AC119" s="244"/>
      <c r="AD119" s="244"/>
      <c r="AE119" s="244"/>
      <c r="AF119" s="244"/>
      <c r="AG119" s="244"/>
      <c r="AH119" s="244"/>
      <c r="AI119" s="244"/>
      <c r="AJ119" s="244"/>
      <c r="AK119" s="245" t="str">
        <f t="shared" si="7"/>
        <v/>
      </c>
      <c r="AL119" s="335">
        <f t="shared" si="8"/>
        <v>0</v>
      </c>
    </row>
    <row r="120" spans="1:38" x14ac:dyDescent="0.25">
      <c r="A120" s="155">
        <v>90</v>
      </c>
      <c r="B120" s="218"/>
      <c r="C120" s="190" t="str">
        <f>IF(Envoltória!C105="","",Envoltória!C105)</f>
        <v/>
      </c>
      <c r="D120" s="190" t="str">
        <f>IF(Envoltória!D105="","",Envoltória!D105)</f>
        <v/>
      </c>
      <c r="E120" s="317">
        <f>Envoltória!AD105</f>
        <v>0</v>
      </c>
      <c r="F120" s="218"/>
      <c r="G120" s="317" t="str">
        <f>IF(C120="","",VLOOKUP(F120,Componentes!$AB:$AG,2,FALSE))</f>
        <v/>
      </c>
      <c r="H120" s="317" t="str">
        <f>IF(F120="","",VLOOKUP(F120,Componentes!$AB:$AG,3,FALSE))</f>
        <v/>
      </c>
      <c r="I120" s="190" t="str">
        <f>IF(F120="","",VLOOKUP(F120,Componentes!$AB:$AG,4,FALSE))</f>
        <v/>
      </c>
      <c r="J120" s="190" t="str">
        <f>IF(F120="","",VLOOKUP(F120,Componentes!$AB:$AG,6,FALSE))</f>
        <v/>
      </c>
      <c r="K120" s="190" t="str">
        <f>IF(F120="","",IF(I120&lt;&gt;"SPLV",VLOOKUP(F120,Componentes!$AB:$AG,5,FALSE),""))</f>
        <v/>
      </c>
      <c r="L120" s="184" t="str">
        <f t="shared" si="6"/>
        <v/>
      </c>
      <c r="M120" s="190" t="str">
        <f>IF(OR(I120="SPLV",I120="k"),VLOOKUP(F120,Componentes!$AB:$AG,5,FALSE),"")</f>
        <v/>
      </c>
      <c r="N120" s="185" t="str">
        <f t="shared" si="5"/>
        <v/>
      </c>
      <c r="O120" s="186"/>
      <c r="P120" t="str">
        <f>IF(Envoltória!D105="","",J120*$S$1*$S$2/1000)</f>
        <v/>
      </c>
      <c r="Q120" s="242"/>
      <c r="R120" s="92"/>
      <c r="S120" s="91"/>
      <c r="T120" s="244"/>
      <c r="U120" s="244"/>
      <c r="V120" s="244"/>
      <c r="W120" s="244"/>
      <c r="X120" s="244"/>
      <c r="Y120" s="244"/>
      <c r="Z120" s="244"/>
      <c r="AA120" s="244"/>
      <c r="AB120" s="244"/>
      <c r="AC120" s="244"/>
      <c r="AD120" s="244"/>
      <c r="AE120" s="244"/>
      <c r="AF120" s="244"/>
      <c r="AG120" s="244"/>
      <c r="AH120" s="244"/>
      <c r="AI120" s="244"/>
      <c r="AJ120" s="244"/>
      <c r="AK120" s="245" t="str">
        <f t="shared" si="7"/>
        <v/>
      </c>
      <c r="AL120" s="335">
        <f t="shared" si="8"/>
        <v>0</v>
      </c>
    </row>
    <row r="121" spans="1:38" x14ac:dyDescent="0.25">
      <c r="A121" s="155">
        <v>91</v>
      </c>
      <c r="B121" s="218"/>
      <c r="C121" s="190" t="str">
        <f>IF(Envoltória!C106="","",Envoltória!C106)</f>
        <v/>
      </c>
      <c r="D121" s="190" t="str">
        <f>IF(Envoltória!D106="","",Envoltória!D106)</f>
        <v/>
      </c>
      <c r="E121" s="317">
        <f>Envoltória!AD106</f>
        <v>0</v>
      </c>
      <c r="F121" s="218"/>
      <c r="G121" s="317" t="str">
        <f>IF(C121="","",VLOOKUP(F121,Componentes!$AB:$AG,2,FALSE))</f>
        <v/>
      </c>
      <c r="H121" s="317" t="str">
        <f>IF(F121="","",VLOOKUP(F121,Componentes!$AB:$AG,3,FALSE))</f>
        <v/>
      </c>
      <c r="I121" s="190" t="str">
        <f>IF(F121="","",VLOOKUP(F121,Componentes!$AB:$AG,4,FALSE))</f>
        <v/>
      </c>
      <c r="J121" s="190" t="str">
        <f>IF(F121="","",VLOOKUP(F121,Componentes!$AB:$AG,6,FALSE))</f>
        <v/>
      </c>
      <c r="K121" s="190" t="str">
        <f>IF(F121="","",IF(I121&lt;&gt;"SPLV",VLOOKUP(F121,Componentes!$AB:$AG,5,FALSE),""))</f>
        <v/>
      </c>
      <c r="L121" s="184" t="str">
        <f t="shared" si="6"/>
        <v/>
      </c>
      <c r="M121" s="190" t="str">
        <f>IF(OR(I121="SPLV",I121="k"),VLOOKUP(F121,Componentes!$AB:$AG,5,FALSE),"")</f>
        <v/>
      </c>
      <c r="N121" s="185" t="str">
        <f t="shared" si="5"/>
        <v/>
      </c>
      <c r="O121" s="186"/>
      <c r="P121" t="str">
        <f>IF(Envoltória!D106="","",J121*$S$1*$S$2/1000)</f>
        <v/>
      </c>
      <c r="Q121" s="242"/>
      <c r="R121" s="92"/>
      <c r="S121" s="91"/>
      <c r="T121" s="244"/>
      <c r="U121" s="244"/>
      <c r="V121" s="244"/>
      <c r="W121" s="244"/>
      <c r="X121" s="244"/>
      <c r="Y121" s="244"/>
      <c r="Z121" s="244"/>
      <c r="AA121" s="244"/>
      <c r="AB121" s="244"/>
      <c r="AC121" s="244"/>
      <c r="AD121" s="244"/>
      <c r="AE121" s="244"/>
      <c r="AF121" s="244"/>
      <c r="AG121" s="244"/>
      <c r="AH121" s="244"/>
      <c r="AI121" s="244"/>
      <c r="AJ121" s="244"/>
      <c r="AK121" s="245" t="str">
        <f t="shared" si="7"/>
        <v/>
      </c>
      <c r="AL121" s="335">
        <f t="shared" si="8"/>
        <v>0</v>
      </c>
    </row>
    <row r="122" spans="1:38" x14ac:dyDescent="0.25">
      <c r="A122" s="155">
        <v>92</v>
      </c>
      <c r="B122" s="218"/>
      <c r="C122" s="190" t="str">
        <f>IF(Envoltória!C107="","",Envoltória!C107)</f>
        <v/>
      </c>
      <c r="D122" s="190" t="str">
        <f>IF(Envoltória!D107="","",Envoltória!D107)</f>
        <v/>
      </c>
      <c r="E122" s="317">
        <f>Envoltória!AD107</f>
        <v>0</v>
      </c>
      <c r="F122" s="218"/>
      <c r="G122" s="317" t="str">
        <f>IF(C122="","",VLOOKUP(F122,Componentes!$AB:$AG,2,FALSE))</f>
        <v/>
      </c>
      <c r="H122" s="317" t="str">
        <f>IF(F122="","",VLOOKUP(F122,Componentes!$AB:$AG,3,FALSE))</f>
        <v/>
      </c>
      <c r="I122" s="190" t="str">
        <f>IF(F122="","",VLOOKUP(F122,Componentes!$AB:$AG,4,FALSE))</f>
        <v/>
      </c>
      <c r="J122" s="190" t="str">
        <f>IF(F122="","",VLOOKUP(F122,Componentes!$AB:$AG,6,FALSE))</f>
        <v/>
      </c>
      <c r="K122" s="190" t="str">
        <f>IF(F122="","",IF(I122&lt;&gt;"SPLV",VLOOKUP(F122,Componentes!$AB:$AG,5,FALSE),""))</f>
        <v/>
      </c>
      <c r="L122" s="184" t="str">
        <f t="shared" si="6"/>
        <v/>
      </c>
      <c r="M122" s="190" t="str">
        <f>IF(OR(I122="SPLV",I122="k"),VLOOKUP(F122,Componentes!$AB:$AG,5,FALSE),"")</f>
        <v/>
      </c>
      <c r="N122" s="185" t="str">
        <f t="shared" si="5"/>
        <v/>
      </c>
      <c r="O122" s="186"/>
      <c r="P122" t="str">
        <f>IF(Envoltória!D107="","",J122*$S$1*$S$2/1000)</f>
        <v/>
      </c>
      <c r="Q122" s="242"/>
      <c r="R122" s="92"/>
      <c r="S122" s="91"/>
      <c r="T122" s="244"/>
      <c r="U122" s="244"/>
      <c r="V122" s="244"/>
      <c r="W122" s="244"/>
      <c r="X122" s="244"/>
      <c r="Y122" s="244"/>
      <c r="Z122" s="244"/>
      <c r="AA122" s="244"/>
      <c r="AB122" s="244"/>
      <c r="AC122" s="244"/>
      <c r="AD122" s="244"/>
      <c r="AE122" s="244"/>
      <c r="AF122" s="244"/>
      <c r="AG122" s="244"/>
      <c r="AH122" s="244"/>
      <c r="AI122" s="244"/>
      <c r="AJ122" s="244"/>
      <c r="AK122" s="245" t="str">
        <f t="shared" si="7"/>
        <v/>
      </c>
      <c r="AL122" s="335">
        <f t="shared" si="8"/>
        <v>0</v>
      </c>
    </row>
    <row r="123" spans="1:38" x14ac:dyDescent="0.25">
      <c r="A123" s="155">
        <v>93</v>
      </c>
      <c r="B123" s="218"/>
      <c r="C123" s="190" t="str">
        <f>IF(Envoltória!C108="","",Envoltória!C108)</f>
        <v/>
      </c>
      <c r="D123" s="190" t="str">
        <f>IF(Envoltória!D108="","",Envoltória!D108)</f>
        <v/>
      </c>
      <c r="E123" s="317">
        <f>Envoltória!AD108</f>
        <v>0</v>
      </c>
      <c r="F123" s="218"/>
      <c r="G123" s="317" t="str">
        <f>IF(C123="","",VLOOKUP(F123,Componentes!$AB:$AG,2,FALSE))</f>
        <v/>
      </c>
      <c r="H123" s="317" t="str">
        <f>IF(F123="","",VLOOKUP(F123,Componentes!$AB:$AG,3,FALSE))</f>
        <v/>
      </c>
      <c r="I123" s="190" t="str">
        <f>IF(F123="","",VLOOKUP(F123,Componentes!$AB:$AG,4,FALSE))</f>
        <v/>
      </c>
      <c r="J123" s="190" t="str">
        <f>IF(F123="","",VLOOKUP(F123,Componentes!$AB:$AG,6,FALSE))</f>
        <v/>
      </c>
      <c r="K123" s="190" t="str">
        <f>IF(F123="","",IF(I123&lt;&gt;"SPLV",VLOOKUP(F123,Componentes!$AB:$AG,5,FALSE),""))</f>
        <v/>
      </c>
      <c r="L123" s="184" t="str">
        <f t="shared" si="6"/>
        <v/>
      </c>
      <c r="M123" s="190" t="str">
        <f>IF(OR(I123="SPLV",I123="k"),VLOOKUP(F123,Componentes!$AB:$AG,5,FALSE),"")</f>
        <v/>
      </c>
      <c r="N123" s="185" t="str">
        <f t="shared" si="5"/>
        <v/>
      </c>
      <c r="O123" s="186"/>
      <c r="P123" t="str">
        <f>IF(Envoltória!D108="","",J123*$S$1*$S$2/1000)</f>
        <v/>
      </c>
      <c r="Q123" s="242"/>
      <c r="R123" s="92"/>
      <c r="S123" s="91"/>
      <c r="T123" s="244"/>
      <c r="U123" s="244"/>
      <c r="V123" s="244"/>
      <c r="W123" s="244"/>
      <c r="X123" s="244"/>
      <c r="Y123" s="244"/>
      <c r="Z123" s="244"/>
      <c r="AA123" s="244"/>
      <c r="AB123" s="244"/>
      <c r="AC123" s="244"/>
      <c r="AD123" s="244"/>
      <c r="AE123" s="244"/>
      <c r="AF123" s="244"/>
      <c r="AG123" s="244"/>
      <c r="AH123" s="244"/>
      <c r="AI123" s="244"/>
      <c r="AJ123" s="244"/>
      <c r="AK123" s="245" t="str">
        <f t="shared" si="7"/>
        <v/>
      </c>
      <c r="AL123" s="335">
        <f t="shared" si="8"/>
        <v>0</v>
      </c>
    </row>
    <row r="124" spans="1:38" x14ac:dyDescent="0.25">
      <c r="A124" s="155">
        <v>94</v>
      </c>
      <c r="B124" s="218"/>
      <c r="C124" s="190" t="str">
        <f>IF(Envoltória!C109="","",Envoltória!C109)</f>
        <v/>
      </c>
      <c r="D124" s="190" t="str">
        <f>IF(Envoltória!D109="","",Envoltória!D109)</f>
        <v/>
      </c>
      <c r="E124" s="317">
        <f>Envoltória!AD109</f>
        <v>0</v>
      </c>
      <c r="F124" s="218"/>
      <c r="G124" s="317" t="str">
        <f>IF(C124="","",VLOOKUP(F124,Componentes!$AB:$AG,2,FALSE))</f>
        <v/>
      </c>
      <c r="H124" s="317" t="str">
        <f>IF(F124="","",VLOOKUP(F124,Componentes!$AB:$AG,3,FALSE))</f>
        <v/>
      </c>
      <c r="I124" s="190" t="str">
        <f>IF(F124="","",VLOOKUP(F124,Componentes!$AB:$AG,4,FALSE))</f>
        <v/>
      </c>
      <c r="J124" s="190" t="str">
        <f>IF(F124="","",VLOOKUP(F124,Componentes!$AB:$AG,6,FALSE))</f>
        <v/>
      </c>
      <c r="K124" s="190" t="str">
        <f>IF(F124="","",IF(I124&lt;&gt;"SPLV",VLOOKUP(F124,Componentes!$AB:$AG,5,FALSE),""))</f>
        <v/>
      </c>
      <c r="L124" s="184" t="str">
        <f t="shared" si="6"/>
        <v/>
      </c>
      <c r="M124" s="190" t="str">
        <f>IF(OR(I124="SPLV",I124="k"),VLOOKUP(F124,Componentes!$AB:$AG,5,FALSE),"")</f>
        <v/>
      </c>
      <c r="N124" s="185" t="str">
        <f t="shared" si="5"/>
        <v/>
      </c>
      <c r="O124" s="186"/>
      <c r="P124" t="str">
        <f>IF(Envoltória!D109="","",J124*$S$1*$S$2/1000)</f>
        <v/>
      </c>
      <c r="Q124" s="242"/>
      <c r="R124" s="92"/>
      <c r="S124" s="91"/>
      <c r="T124" s="244"/>
      <c r="U124" s="244"/>
      <c r="V124" s="244"/>
      <c r="W124" s="244"/>
      <c r="X124" s="244"/>
      <c r="Y124" s="244"/>
      <c r="Z124" s="244"/>
      <c r="AA124" s="244"/>
      <c r="AB124" s="244"/>
      <c r="AC124" s="244"/>
      <c r="AD124" s="244"/>
      <c r="AE124" s="244"/>
      <c r="AF124" s="244"/>
      <c r="AG124" s="244"/>
      <c r="AH124" s="244"/>
      <c r="AI124" s="244"/>
      <c r="AJ124" s="244"/>
      <c r="AK124" s="245" t="str">
        <f t="shared" si="7"/>
        <v/>
      </c>
      <c r="AL124" s="335">
        <f t="shared" si="8"/>
        <v>0</v>
      </c>
    </row>
    <row r="125" spans="1:38" x14ac:dyDescent="0.25">
      <c r="A125" s="155">
        <v>95</v>
      </c>
      <c r="B125" s="218"/>
      <c r="C125" s="190" t="str">
        <f>IF(Envoltória!C110="","",Envoltória!C110)</f>
        <v/>
      </c>
      <c r="D125" s="190" t="str">
        <f>IF(Envoltória!D110="","",Envoltória!D110)</f>
        <v/>
      </c>
      <c r="E125" s="317">
        <f>Envoltória!AD110</f>
        <v>0</v>
      </c>
      <c r="F125" s="218"/>
      <c r="G125" s="317" t="str">
        <f>IF(C125="","",VLOOKUP(F125,Componentes!$AB:$AG,2,FALSE))</f>
        <v/>
      </c>
      <c r="H125" s="317" t="str">
        <f>IF(F125="","",VLOOKUP(F125,Componentes!$AB:$AG,3,FALSE))</f>
        <v/>
      </c>
      <c r="I125" s="190" t="str">
        <f>IF(F125="","",VLOOKUP(F125,Componentes!$AB:$AG,4,FALSE))</f>
        <v/>
      </c>
      <c r="J125" s="190" t="str">
        <f>IF(F125="","",VLOOKUP(F125,Componentes!$AB:$AG,6,FALSE))</f>
        <v/>
      </c>
      <c r="K125" s="190" t="str">
        <f>IF(F125="","",IF(I125&lt;&gt;"SPLV",VLOOKUP(F125,Componentes!$AB:$AG,5,FALSE),""))</f>
        <v/>
      </c>
      <c r="L125" s="184" t="str">
        <f t="shared" si="6"/>
        <v/>
      </c>
      <c r="M125" s="190" t="str">
        <f>IF(OR(I125="SPLV",I125="k"),VLOOKUP(F125,Componentes!$AB:$AG,5,FALSE),"")</f>
        <v/>
      </c>
      <c r="N125" s="185" t="str">
        <f t="shared" si="5"/>
        <v/>
      </c>
      <c r="O125" s="186"/>
      <c r="P125" t="str">
        <f>IF(Envoltória!D110="","",J125*$S$1*$S$2/1000)</f>
        <v/>
      </c>
      <c r="Q125" s="242"/>
      <c r="R125" s="92"/>
      <c r="S125" s="91"/>
      <c r="T125" s="244"/>
      <c r="U125" s="244"/>
      <c r="V125" s="244"/>
      <c r="W125" s="244"/>
      <c r="X125" s="244"/>
      <c r="Y125" s="244"/>
      <c r="Z125" s="244"/>
      <c r="AA125" s="244"/>
      <c r="AB125" s="244"/>
      <c r="AC125" s="244"/>
      <c r="AD125" s="244"/>
      <c r="AE125" s="244"/>
      <c r="AF125" s="244"/>
      <c r="AG125" s="244"/>
      <c r="AH125" s="244"/>
      <c r="AI125" s="244"/>
      <c r="AJ125" s="244"/>
      <c r="AK125" s="245" t="str">
        <f t="shared" si="7"/>
        <v/>
      </c>
      <c r="AL125" s="335">
        <f t="shared" si="8"/>
        <v>0</v>
      </c>
    </row>
    <row r="126" spans="1:38" x14ac:dyDescent="0.25">
      <c r="A126" s="155">
        <v>96</v>
      </c>
      <c r="B126" s="218"/>
      <c r="C126" s="190" t="str">
        <f>IF(Envoltória!C111="","",Envoltória!C111)</f>
        <v/>
      </c>
      <c r="D126" s="190" t="str">
        <f>IF(Envoltória!D111="","",Envoltória!D111)</f>
        <v/>
      </c>
      <c r="E126" s="317">
        <f>Envoltória!AD111</f>
        <v>0</v>
      </c>
      <c r="F126" s="218"/>
      <c r="G126" s="317" t="str">
        <f>IF(C126="","",VLOOKUP(F126,Componentes!$AB:$AG,2,FALSE))</f>
        <v/>
      </c>
      <c r="H126" s="317" t="str">
        <f>IF(F126="","",VLOOKUP(F126,Componentes!$AB:$AG,3,FALSE))</f>
        <v/>
      </c>
      <c r="I126" s="190" t="str">
        <f>IF(F126="","",VLOOKUP(F126,Componentes!$AB:$AG,4,FALSE))</f>
        <v/>
      </c>
      <c r="J126" s="190" t="str">
        <f>IF(F126="","",VLOOKUP(F126,Componentes!$AB:$AG,6,FALSE))</f>
        <v/>
      </c>
      <c r="K126" s="190" t="str">
        <f>IF(F126="","",IF(I126&lt;&gt;"SPLV",VLOOKUP(F126,Componentes!$AB:$AG,5,FALSE),""))</f>
        <v/>
      </c>
      <c r="L126" s="184" t="str">
        <f t="shared" si="6"/>
        <v/>
      </c>
      <c r="M126" s="190" t="str">
        <f>IF(OR(I126="SPLV",I126="k"),VLOOKUP(F126,Componentes!$AB:$AG,5,FALSE),"")</f>
        <v/>
      </c>
      <c r="N126" s="185" t="str">
        <f t="shared" si="5"/>
        <v/>
      </c>
      <c r="O126" s="186"/>
      <c r="P126" t="str">
        <f>IF(Envoltória!D111="","",J126*$S$1*$S$2/1000)</f>
        <v/>
      </c>
      <c r="Q126" s="242"/>
      <c r="R126" s="92"/>
      <c r="S126" s="91"/>
      <c r="T126" s="244"/>
      <c r="U126" s="244"/>
      <c r="V126" s="244"/>
      <c r="W126" s="244"/>
      <c r="X126" s="244"/>
      <c r="Y126" s="244"/>
      <c r="Z126" s="244"/>
      <c r="AA126" s="244"/>
      <c r="AB126" s="244"/>
      <c r="AC126" s="244"/>
      <c r="AD126" s="244"/>
      <c r="AE126" s="244"/>
      <c r="AF126" s="244"/>
      <c r="AG126" s="244"/>
      <c r="AH126" s="244"/>
      <c r="AI126" s="244"/>
      <c r="AJ126" s="244"/>
      <c r="AK126" s="245" t="str">
        <f t="shared" si="7"/>
        <v/>
      </c>
      <c r="AL126" s="335">
        <f t="shared" si="8"/>
        <v>0</v>
      </c>
    </row>
    <row r="127" spans="1:38" x14ac:dyDescent="0.25">
      <c r="A127" s="155">
        <v>97</v>
      </c>
      <c r="B127" s="218"/>
      <c r="C127" s="190" t="str">
        <f>IF(Envoltória!C112="","",Envoltória!C112)</f>
        <v/>
      </c>
      <c r="D127" s="190" t="str">
        <f>IF(Envoltória!D112="","",Envoltória!D112)</f>
        <v/>
      </c>
      <c r="E127" s="317">
        <f>Envoltória!AD112</f>
        <v>0</v>
      </c>
      <c r="F127" s="218"/>
      <c r="G127" s="317" t="str">
        <f>IF(C127="","",VLOOKUP(F127,Componentes!$AB:$AG,2,FALSE))</f>
        <v/>
      </c>
      <c r="H127" s="317" t="str">
        <f>IF(F127="","",VLOOKUP(F127,Componentes!$AB:$AG,3,FALSE))</f>
        <v/>
      </c>
      <c r="I127" s="190" t="str">
        <f>IF(F127="","",VLOOKUP(F127,Componentes!$AB:$AG,4,FALSE))</f>
        <v/>
      </c>
      <c r="J127" s="190" t="str">
        <f>IF(F127="","",VLOOKUP(F127,Componentes!$AB:$AG,6,FALSE))</f>
        <v/>
      </c>
      <c r="K127" s="190" t="str">
        <f>IF(F127="","",IF(I127&lt;&gt;"SPLV",VLOOKUP(F127,Componentes!$AB:$AG,5,FALSE),""))</f>
        <v/>
      </c>
      <c r="L127" s="184" t="str">
        <f t="shared" si="6"/>
        <v/>
      </c>
      <c r="M127" s="190" t="str">
        <f>IF(OR(I127="SPLV",I127="k"),VLOOKUP(F127,Componentes!$AB:$AG,5,FALSE),"")</f>
        <v/>
      </c>
      <c r="N127" s="185" t="str">
        <f t="shared" ref="N127:N130" si="9">IF(M127="","",E127/M127)</f>
        <v/>
      </c>
      <c r="O127" s="186"/>
      <c r="P127" t="str">
        <f>IF(Envoltória!D112="","",J127*$S$1*$S$2/1000)</f>
        <v/>
      </c>
      <c r="Q127" s="242"/>
      <c r="R127" s="92"/>
      <c r="S127" s="91"/>
      <c r="T127" s="244"/>
      <c r="U127" s="244"/>
      <c r="V127" s="244"/>
      <c r="W127" s="244"/>
      <c r="X127" s="244"/>
      <c r="Y127" s="244"/>
      <c r="Z127" s="244"/>
      <c r="AA127" s="244"/>
      <c r="AB127" s="244"/>
      <c r="AC127" s="244"/>
      <c r="AD127" s="244"/>
      <c r="AE127" s="244"/>
      <c r="AF127" s="244"/>
      <c r="AG127" s="244"/>
      <c r="AH127" s="244"/>
      <c r="AI127" s="244"/>
      <c r="AJ127" s="244"/>
      <c r="AK127" s="245" t="str">
        <f t="shared" si="7"/>
        <v/>
      </c>
      <c r="AL127" s="335">
        <f t="shared" si="8"/>
        <v>0</v>
      </c>
    </row>
    <row r="128" spans="1:38" x14ac:dyDescent="0.25">
      <c r="A128" s="155">
        <v>98</v>
      </c>
      <c r="B128" s="218"/>
      <c r="C128" s="190" t="str">
        <f>IF(Envoltória!C113="","",Envoltória!C113)</f>
        <v/>
      </c>
      <c r="D128" s="190" t="str">
        <f>IF(Envoltória!D113="","",Envoltória!D113)</f>
        <v/>
      </c>
      <c r="E128" s="317">
        <f>Envoltória!AD113</f>
        <v>0</v>
      </c>
      <c r="F128" s="218"/>
      <c r="G128" s="317" t="str">
        <f>IF(C128="","",VLOOKUP(F128,Componentes!$AB:$AG,2,FALSE))</f>
        <v/>
      </c>
      <c r="H128" s="317" t="str">
        <f>IF(F128="","",VLOOKUP(F128,Componentes!$AB:$AG,3,FALSE))</f>
        <v/>
      </c>
      <c r="I128" s="190" t="str">
        <f>IF(F128="","",VLOOKUP(F128,Componentes!$AB:$AG,4,FALSE))</f>
        <v/>
      </c>
      <c r="J128" s="190" t="str">
        <f>IF(F128="","",VLOOKUP(F128,Componentes!$AB:$AG,6,FALSE))</f>
        <v/>
      </c>
      <c r="K128" s="190" t="str">
        <f>IF(F128="","",IF(I128&lt;&gt;"SPLV",VLOOKUP(F128,Componentes!$AB:$AG,5,FALSE),""))</f>
        <v/>
      </c>
      <c r="L128" s="184" t="str">
        <f t="shared" si="6"/>
        <v/>
      </c>
      <c r="M128" s="190" t="str">
        <f>IF(OR(I128="SPLV",I128="k"),VLOOKUP(F128,Componentes!$AB:$AG,5,FALSE),"")</f>
        <v/>
      </c>
      <c r="N128" s="185" t="str">
        <f t="shared" si="9"/>
        <v/>
      </c>
      <c r="O128" s="186"/>
      <c r="P128" t="str">
        <f>IF(Envoltória!D113="","",J128*$S$1*$S$2/1000)</f>
        <v/>
      </c>
      <c r="Q128" s="242"/>
      <c r="R128" s="92"/>
      <c r="S128" s="91"/>
      <c r="T128" s="244"/>
      <c r="U128" s="244"/>
      <c r="V128" s="244"/>
      <c r="W128" s="244"/>
      <c r="X128" s="244"/>
      <c r="Y128" s="244"/>
      <c r="Z128" s="244"/>
      <c r="AA128" s="244"/>
      <c r="AB128" s="244"/>
      <c r="AC128" s="244"/>
      <c r="AD128" s="244"/>
      <c r="AE128" s="244"/>
      <c r="AF128" s="244"/>
      <c r="AG128" s="244"/>
      <c r="AH128" s="244"/>
      <c r="AI128" s="244"/>
      <c r="AJ128" s="244"/>
      <c r="AK128" s="245" t="str">
        <f t="shared" si="7"/>
        <v/>
      </c>
      <c r="AL128" s="335">
        <f t="shared" si="8"/>
        <v>0</v>
      </c>
    </row>
    <row r="129" spans="1:38" x14ac:dyDescent="0.25">
      <c r="A129" s="155">
        <v>99</v>
      </c>
      <c r="B129" s="218"/>
      <c r="C129" s="190" t="str">
        <f>IF(Envoltória!C114="","",Envoltória!C114)</f>
        <v/>
      </c>
      <c r="D129" s="190" t="str">
        <f>IF(Envoltória!D114="","",Envoltória!D114)</f>
        <v/>
      </c>
      <c r="E129" s="317">
        <f>Envoltória!AD114</f>
        <v>0</v>
      </c>
      <c r="F129" s="218"/>
      <c r="G129" s="317" t="str">
        <f>IF(C129="","",VLOOKUP(F129,Componentes!$AB:$AG,2,FALSE))</f>
        <v/>
      </c>
      <c r="H129" s="317" t="str">
        <f>IF(F129="","",VLOOKUP(F129,Componentes!$AB:$AG,3,FALSE))</f>
        <v/>
      </c>
      <c r="I129" s="190" t="str">
        <f>IF(F129="","",VLOOKUP(F129,Componentes!$AB:$AG,4,FALSE))</f>
        <v/>
      </c>
      <c r="J129" s="190" t="str">
        <f>IF(F129="","",VLOOKUP(F129,Componentes!$AB:$AG,6,FALSE))</f>
        <v/>
      </c>
      <c r="K129" s="190" t="str">
        <f>IF(F129="","",IF(I129&lt;&gt;"SPLV",VLOOKUP(F129,Componentes!$AB:$AG,5,FALSE),""))</f>
        <v/>
      </c>
      <c r="L129" s="184" t="str">
        <f t="shared" si="6"/>
        <v/>
      </c>
      <c r="M129" s="190" t="str">
        <f>IF(OR(I129="SPLV",I129="k"),VLOOKUP(F129,Componentes!$AB:$AG,5,FALSE),"")</f>
        <v/>
      </c>
      <c r="N129" s="185" t="str">
        <f t="shared" si="9"/>
        <v/>
      </c>
      <c r="O129" s="186"/>
      <c r="P129" t="str">
        <f>IF(Envoltória!D114="","",J129*$S$1*$S$2/1000)</f>
        <v/>
      </c>
      <c r="Q129" s="242"/>
      <c r="R129" s="92"/>
      <c r="S129" s="91"/>
      <c r="T129" s="244"/>
      <c r="U129" s="244"/>
      <c r="V129" s="244"/>
      <c r="W129" s="244"/>
      <c r="X129" s="244"/>
      <c r="Y129" s="244"/>
      <c r="Z129" s="244"/>
      <c r="AA129" s="244"/>
      <c r="AB129" s="244"/>
      <c r="AC129" s="244"/>
      <c r="AD129" s="244"/>
      <c r="AE129" s="244"/>
      <c r="AF129" s="244"/>
      <c r="AG129" s="244"/>
      <c r="AH129" s="244"/>
      <c r="AI129" s="244"/>
      <c r="AJ129" s="244"/>
      <c r="AK129" s="245" t="str">
        <f t="shared" si="7"/>
        <v/>
      </c>
      <c r="AL129" s="335">
        <f t="shared" si="8"/>
        <v>0</v>
      </c>
    </row>
    <row r="130" spans="1:38" x14ac:dyDescent="0.25">
      <c r="A130" s="155">
        <v>100</v>
      </c>
      <c r="B130" s="219"/>
      <c r="C130" s="190" t="str">
        <f>IF(Envoltória!C115="","",Envoltória!C115)</f>
        <v/>
      </c>
      <c r="D130" s="190" t="str">
        <f>IF(Envoltória!D115="","",Envoltória!D115)</f>
        <v/>
      </c>
      <c r="E130" s="317">
        <f>Envoltória!AD115</f>
        <v>0</v>
      </c>
      <c r="F130" s="218"/>
      <c r="G130" s="317" t="str">
        <f>IF(C130="","",VLOOKUP(F130,Componentes!$AB:$AG,2,FALSE))</f>
        <v/>
      </c>
      <c r="H130" s="317" t="str">
        <f>IF(F130="","",VLOOKUP(F130,Componentes!$AB:$AG,3,FALSE))</f>
        <v/>
      </c>
      <c r="I130" s="190" t="str">
        <f>IF(F130="","",VLOOKUP(F130,Componentes!$AB:$AG,4,FALSE))</f>
        <v/>
      </c>
      <c r="J130" s="190" t="str">
        <f>IF(F130="","",VLOOKUP(F130,Componentes!$AB:$AG,6,FALSE))</f>
        <v/>
      </c>
      <c r="K130" s="190" t="str">
        <f>IF(F130="","",IF(I130&lt;&gt;"SPLV",VLOOKUP(F130,Componentes!$AB:$AG,5,FALSE),""))</f>
        <v/>
      </c>
      <c r="L130" s="184" t="str">
        <f t="shared" si="6"/>
        <v/>
      </c>
      <c r="M130" s="190" t="str">
        <f>IF(OR(I130="SPLV",I130="k"),VLOOKUP(F130,Componentes!$AB:$AG,5,FALSE),"")</f>
        <v/>
      </c>
      <c r="N130" s="185" t="str">
        <f t="shared" si="9"/>
        <v/>
      </c>
      <c r="O130" s="187"/>
      <c r="P130" t="str">
        <f>IF(Envoltória!D115="","",J130*$S$1*$S$2/1000)</f>
        <v/>
      </c>
      <c r="Q130" s="242"/>
      <c r="R130" s="92"/>
      <c r="S130" s="91"/>
      <c r="T130" s="244"/>
      <c r="U130" s="244"/>
      <c r="V130" s="244"/>
      <c r="W130" s="244"/>
      <c r="X130" s="244"/>
      <c r="Y130" s="244"/>
      <c r="Z130" s="244"/>
      <c r="AA130" s="244"/>
      <c r="AB130" s="244"/>
      <c r="AC130" s="244"/>
      <c r="AD130" s="244"/>
      <c r="AE130" s="244"/>
      <c r="AF130" s="244"/>
      <c r="AG130" s="244"/>
      <c r="AH130" s="244"/>
      <c r="AI130" s="244"/>
      <c r="AJ130" s="244"/>
      <c r="AK130" s="245" t="str">
        <f t="shared" si="7"/>
        <v/>
      </c>
      <c r="AL130" s="335">
        <f t="shared" si="8"/>
        <v>0</v>
      </c>
    </row>
  </sheetData>
  <protectedRanges>
    <protectedRange sqref="C9" name="métodoHVAC"/>
    <protectedRange sqref="C15 B31:B130 F31:F130" name="arcondicionado"/>
    <protectedRange sqref="I31:K130" name="Intervalo2"/>
    <protectedRange sqref="M31:M130" name="Intervalo3"/>
    <protectedRange sqref="O31:AK130" name="Intervalo4"/>
  </protectedRanges>
  <mergeCells count="41">
    <mergeCell ref="E7:L13"/>
    <mergeCell ref="H29:H30"/>
    <mergeCell ref="AK29:AK30"/>
    <mergeCell ref="Q27:AK27"/>
    <mergeCell ref="M28:O28"/>
    <mergeCell ref="S28:AJ28"/>
    <mergeCell ref="S29:S30"/>
    <mergeCell ref="W29:W30"/>
    <mergeCell ref="X29:X30"/>
    <mergeCell ref="O29:O30"/>
    <mergeCell ref="K28:L28"/>
    <mergeCell ref="N29:N30"/>
    <mergeCell ref="AI11:AI12"/>
    <mergeCell ref="AE29:AG29"/>
    <mergeCell ref="AH29:AH30"/>
    <mergeCell ref="AI29:AI30"/>
    <mergeCell ref="Q28:R28"/>
    <mergeCell ref="Y29:Y30"/>
    <mergeCell ref="Z29:Z30"/>
    <mergeCell ref="AA29:AA30"/>
    <mergeCell ref="AB29:AB30"/>
    <mergeCell ref="AC29:AC30"/>
    <mergeCell ref="AD29:AD30"/>
    <mergeCell ref="Q29:Q30"/>
    <mergeCell ref="T29:T30"/>
    <mergeCell ref="V29:V30"/>
    <mergeCell ref="U29:U30"/>
    <mergeCell ref="M29:M30"/>
    <mergeCell ref="I29:I30"/>
    <mergeCell ref="K29:K30"/>
    <mergeCell ref="L29:L30"/>
    <mergeCell ref="C29:C30"/>
    <mergeCell ref="E29:E30"/>
    <mergeCell ref="F29:F30"/>
    <mergeCell ref="G29:G30"/>
    <mergeCell ref="J29:J30"/>
    <mergeCell ref="J23:K23"/>
    <mergeCell ref="J22:K22"/>
    <mergeCell ref="J20:L21"/>
    <mergeCell ref="B29:B30"/>
    <mergeCell ref="D29:D30"/>
  </mergeCells>
  <phoneticPr fontId="34" type="noConversion"/>
  <conditionalFormatting sqref="Q31:AK130">
    <cfRule type="cellIs" dxfId="77" priority="8" operator="equal">
      <formula>"Não se aplica"</formula>
    </cfRule>
    <cfRule type="cellIs" dxfId="76" priority="9" operator="equal">
      <formula>"Não"</formula>
    </cfRule>
    <cfRule type="cellIs" dxfId="75" priority="10" operator="equal">
      <formula>"Sim"</formula>
    </cfRule>
  </conditionalFormatting>
  <conditionalFormatting sqref="C23">
    <cfRule type="cellIs" dxfId="74" priority="2" operator="equal">
      <formula>"Não se aplica"</formula>
    </cfRule>
    <cfRule type="cellIs" dxfId="73" priority="3" operator="equal">
      <formula>"Não"</formula>
    </cfRule>
    <cfRule type="cellIs" dxfId="72" priority="4" operator="equal">
      <formula>"Sim"</formula>
    </cfRule>
  </conditionalFormatting>
  <conditionalFormatting sqref="C19">
    <cfRule type="expression" dxfId="71" priority="1">
      <formula>$C$15="Condicionada artificialmente"</formula>
    </cfRule>
  </conditionalFormatting>
  <dataValidations count="3">
    <dataValidation type="list" allowBlank="1" showInputMessage="1" showErrorMessage="1" sqref="B31:B130" xr:uid="{00000000-0002-0000-0200-000003000000}">
      <formula1>"Declaração,Projeto"</formula1>
    </dataValidation>
    <dataValidation type="list" allowBlank="1" showInputMessage="1" showErrorMessage="1" sqref="R31:AH130 AJ31:AJ130" xr:uid="{A55ADDE4-4992-4FC8-8EAB-C69985CCE9C2}">
      <formula1>"Sim,Não,Não se aplica"</formula1>
    </dataValidation>
    <dataValidation type="list" allowBlank="1" showInputMessage="1" showErrorMessage="1" sqref="C15" xr:uid="{F3A48DFD-6283-47B9-8868-257855EAAEE5}">
      <formula1>"Condicionada artificialmente,Naturalmente ventilada,Híbrida"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9C99FD-7E1E-4A8F-852E-1DB332BE67B8}">
          <x14:formula1>
            <xm:f>Componentes!$AB$12:$AB$61</xm:f>
          </x14:formula1>
          <xm:sqref>F31:F130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W74"/>
  <sheetViews>
    <sheetView showGridLines="0" topLeftCell="I27" zoomScale="85" zoomScaleNormal="85" workbookViewId="0">
      <selection activeCell="U23" sqref="U23"/>
    </sheetView>
  </sheetViews>
  <sheetFormatPr defaultColWidth="9.140625" defaultRowHeight="15" x14ac:dyDescent="0.25"/>
  <cols>
    <col min="1" max="1" width="5.7109375" style="2" customWidth="1"/>
    <col min="2" max="3" width="25.7109375" style="61" customWidth="1"/>
    <col min="4" max="4" width="25.5703125" style="61" customWidth="1"/>
    <col min="5" max="5" width="12.28515625" style="61" customWidth="1"/>
    <col min="6" max="6" width="13" style="61" customWidth="1"/>
    <col min="7" max="8" width="17" style="61" customWidth="1"/>
    <col min="9" max="15" width="13.7109375" style="61" customWidth="1"/>
    <col min="16" max="19" width="10.7109375" style="61" customWidth="1"/>
    <col min="20" max="20" width="13.140625" style="2" bestFit="1" customWidth="1"/>
    <col min="21" max="21" width="12" style="2" bestFit="1" customWidth="1"/>
    <col min="22" max="23" width="10.7109375" style="61" customWidth="1"/>
    <col min="24" max="24" width="5.7109375" customWidth="1"/>
    <col min="25" max="25" width="5" style="28" customWidth="1"/>
    <col min="26" max="26" width="9.140625" style="162"/>
    <col min="27" max="29" width="25.7109375" style="61" customWidth="1"/>
    <col min="30" max="31" width="10.7109375" style="61" customWidth="1"/>
    <col min="32" max="36" width="19.5703125" style="61" customWidth="1"/>
    <col min="37" max="37" width="17.42578125" style="61" customWidth="1"/>
    <col min="38" max="38" width="20.7109375" style="61" customWidth="1"/>
    <col min="39" max="39" width="21" style="61" customWidth="1"/>
    <col min="40" max="40" width="14.28515625" style="61" customWidth="1"/>
    <col min="41" max="44" width="10.7109375" style="61" customWidth="1"/>
    <col min="45" max="46" width="12.140625" style="2" customWidth="1"/>
    <col min="47" max="48" width="13" style="61" customWidth="1"/>
    <col min="49" max="49" width="9.140625" style="61"/>
    <col min="50" max="16384" width="9.140625" style="28"/>
  </cols>
  <sheetData>
    <row r="1" spans="1:49" ht="20.100000000000001" customHeight="1" x14ac:dyDescent="0.25">
      <c r="B1"/>
      <c r="C1"/>
      <c r="D1"/>
      <c r="E1"/>
      <c r="F1"/>
      <c r="G1" s="47"/>
      <c r="H1" s="47"/>
      <c r="I1" s="47"/>
      <c r="J1" s="47"/>
      <c r="K1" s="47"/>
      <c r="L1" s="47"/>
      <c r="M1" s="48"/>
      <c r="N1" s="48"/>
      <c r="O1" s="48"/>
      <c r="P1"/>
      <c r="Q1"/>
      <c r="R1"/>
      <c r="S1"/>
      <c r="V1"/>
      <c r="W1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/>
      <c r="AT1"/>
      <c r="AU1"/>
      <c r="AV1"/>
      <c r="AW1"/>
    </row>
    <row r="2" spans="1:49" ht="20.100000000000001" customHeight="1" x14ac:dyDescent="0.25">
      <c r="B2"/>
      <c r="C2"/>
      <c r="D2"/>
      <c r="E2"/>
      <c r="F2"/>
      <c r="G2" s="47" t="s">
        <v>198</v>
      </c>
      <c r="H2" s="144" t="s">
        <v>197</v>
      </c>
      <c r="I2" s="145" t="s">
        <v>196</v>
      </c>
      <c r="J2" s="146" t="s">
        <v>195</v>
      </c>
      <c r="K2" s="147" t="s">
        <v>5493</v>
      </c>
      <c r="L2" s="189" t="s">
        <v>5800</v>
      </c>
      <c r="M2" s="48"/>
      <c r="N2" s="48"/>
      <c r="O2" s="48"/>
      <c r="P2"/>
      <c r="Q2"/>
      <c r="R2"/>
      <c r="S2"/>
      <c r="V2"/>
      <c r="W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/>
      <c r="AT2"/>
      <c r="AU2"/>
      <c r="AV2"/>
      <c r="AW2"/>
    </row>
    <row r="3" spans="1:49" s="29" customFormat="1" ht="20.100000000000001" customHeight="1" x14ac:dyDescent="0.25">
      <c r="A3" s="5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57"/>
      <c r="U3" s="57"/>
      <c r="V3" s="27"/>
      <c r="W3" s="27"/>
      <c r="X3" s="27"/>
      <c r="Z3" s="16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27"/>
      <c r="AT3" s="27"/>
      <c r="AU3" s="27"/>
      <c r="AV3" s="27"/>
      <c r="AW3" s="27"/>
    </row>
    <row r="4" spans="1:49" x14ac:dyDescent="0.25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V4"/>
      <c r="W4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/>
      <c r="AT4"/>
      <c r="AU4"/>
      <c r="AV4"/>
      <c r="AW4"/>
    </row>
    <row r="5" spans="1:49" ht="18.75" x14ac:dyDescent="0.3">
      <c r="A5" s="58"/>
      <c r="B5" s="40" t="s">
        <v>177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58"/>
      <c r="U5" s="58"/>
      <c r="V5" s="39"/>
      <c r="W5" s="39"/>
      <c r="X5" s="39"/>
      <c r="Z5" s="164"/>
      <c r="AA5" s="67" t="s">
        <v>5878</v>
      </c>
      <c r="AB5" s="56"/>
      <c r="AC5" s="56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</row>
    <row r="6" spans="1:49" x14ac:dyDescent="0.25">
      <c r="B6"/>
      <c r="C6"/>
      <c r="D6"/>
      <c r="E6"/>
      <c r="G6"/>
      <c r="H6"/>
      <c r="I6"/>
      <c r="J6"/>
      <c r="K6"/>
      <c r="L6"/>
      <c r="M6"/>
      <c r="O6"/>
      <c r="P6"/>
      <c r="Q6"/>
      <c r="R6"/>
      <c r="S6"/>
      <c r="V6"/>
      <c r="W6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/>
      <c r="AT6"/>
      <c r="AU6"/>
      <c r="AV6"/>
      <c r="AW6"/>
    </row>
    <row r="7" spans="1:49" ht="30" customHeight="1" x14ac:dyDescent="0.25">
      <c r="B7" s="68" t="s">
        <v>171</v>
      </c>
      <c r="C7" s="69" t="str">
        <f>Geral!C7</f>
        <v>Exemplo Ltda</v>
      </c>
      <c r="D7"/>
      <c r="F7" s="400" t="str">
        <f>IF(C9="Método de Simulação","PREENCHER A ABA 'Opc_Simulação' PRIMEIRO!","")</f>
        <v/>
      </c>
      <c r="G7" s="400"/>
      <c r="H7" s="400"/>
      <c r="I7" s="400"/>
      <c r="J7" s="400"/>
      <c r="K7" s="400"/>
      <c r="Q7"/>
      <c r="R7"/>
      <c r="S7"/>
      <c r="V7"/>
      <c r="W7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/>
      <c r="AT7"/>
      <c r="AU7"/>
      <c r="AV7"/>
      <c r="AW7"/>
    </row>
    <row r="8" spans="1:49" ht="30" customHeight="1" x14ac:dyDescent="0.25">
      <c r="B8" s="68" t="s">
        <v>122</v>
      </c>
      <c r="C8" s="69" t="str">
        <f>Geral!C10</f>
        <v>Projeto</v>
      </c>
      <c r="D8"/>
      <c r="F8" s="400"/>
      <c r="G8" s="400"/>
      <c r="H8" s="400"/>
      <c r="I8" s="400"/>
      <c r="J8" s="400"/>
      <c r="K8" s="400"/>
      <c r="Q8"/>
      <c r="R8"/>
      <c r="S8"/>
      <c r="V8"/>
      <c r="W8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/>
      <c r="AT8"/>
      <c r="AU8"/>
      <c r="AV8"/>
      <c r="AW8"/>
    </row>
    <row r="9" spans="1:49" ht="30" customHeight="1" x14ac:dyDescent="0.25">
      <c r="B9" s="68" t="s">
        <v>5768</v>
      </c>
      <c r="C9" s="70" t="s">
        <v>5499</v>
      </c>
      <c r="D9"/>
      <c r="E9" s="2"/>
      <c r="F9" s="400"/>
      <c r="G9" s="400"/>
      <c r="H9" s="400"/>
      <c r="I9" s="400"/>
      <c r="J9" s="400"/>
      <c r="K9" s="400"/>
      <c r="Q9"/>
      <c r="R9"/>
      <c r="S9"/>
      <c r="V9"/>
      <c r="W9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135" t="s">
        <v>34</v>
      </c>
      <c r="AQ9" s="136" t="s">
        <v>25</v>
      </c>
      <c r="AR9" s="137" t="s">
        <v>105</v>
      </c>
      <c r="AS9" s="138" t="s">
        <v>5741</v>
      </c>
      <c r="AT9" s="139" t="s">
        <v>5742</v>
      </c>
      <c r="AU9" s="52"/>
      <c r="AV9" s="66" t="s">
        <v>5747</v>
      </c>
      <c r="AW9"/>
    </row>
    <row r="10" spans="1:49" ht="30" customHeight="1" x14ac:dyDescent="0.25">
      <c r="B10" s="68" t="s">
        <v>5978</v>
      </c>
      <c r="C10" s="77">
        <f>IF(C9=B15,SUM(T24:T26),IF(C9="Método de Simulação",Opc_Simulação!AC12,SUM(AS24:AS73)))</f>
        <v>959.25</v>
      </c>
      <c r="D10"/>
      <c r="E10" s="2"/>
      <c r="F10" s="400"/>
      <c r="G10" s="400"/>
      <c r="H10" s="400"/>
      <c r="I10" s="400"/>
      <c r="J10" s="400"/>
      <c r="K10" s="400"/>
      <c r="Q10"/>
      <c r="R10"/>
      <c r="S10"/>
      <c r="V10"/>
      <c r="W10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68" t="s">
        <v>5746</v>
      </c>
      <c r="AP10" s="78" t="s">
        <v>14</v>
      </c>
      <c r="AQ10" s="78">
        <f>3*AB13</f>
        <v>0</v>
      </c>
      <c r="AR10" s="78">
        <f>2*AB13</f>
        <v>0</v>
      </c>
      <c r="AS10" s="78">
        <f>AB13</f>
        <v>0</v>
      </c>
      <c r="AT10" s="78">
        <f>AS11</f>
        <v>0</v>
      </c>
      <c r="AU10" s="52"/>
      <c r="AV10" s="396" t="str">
        <f>IF(C9&lt;&gt;"Método de Simulação","",IF(C12&gt;=AP11,AP9,
IF(AND(C12&gt;AQ11,C12&lt;=AQ10),AQ9,
IF(AND(C12&gt;AR11,C12&lt;=AR10),AR9,
IF(AND(C12&gt;=AS11,C12&lt;=AS10),AS9,
AT9)))))</f>
        <v/>
      </c>
      <c r="AW10"/>
    </row>
    <row r="11" spans="1:49" ht="30" customHeight="1" x14ac:dyDescent="0.25">
      <c r="B11" s="68" t="s">
        <v>5979</v>
      </c>
      <c r="C11" s="77">
        <f>IF(C9=B15,SUM(U24:U26),IF(C9="Método de Simulação",Opc_Simulação!AA12,SUM(AT24:AT73)))</f>
        <v>450</v>
      </c>
      <c r="D11" s="55"/>
      <c r="E11"/>
      <c r="F11" s="400"/>
      <c r="G11" s="400"/>
      <c r="H11" s="400"/>
      <c r="I11" s="400"/>
      <c r="J11" s="400"/>
      <c r="K11" s="400"/>
      <c r="L11"/>
      <c r="M11"/>
      <c r="N11"/>
      <c r="O11"/>
      <c r="P11"/>
      <c r="Q11"/>
      <c r="R11"/>
      <c r="S11"/>
      <c r="V11"/>
      <c r="W11"/>
      <c r="AA11" s="68" t="s">
        <v>5782</v>
      </c>
      <c r="AB11" s="79" t="str">
        <f>IF(C9="Método de Simulação",Opc_Simulação!AC12,"")</f>
        <v/>
      </c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68" t="s">
        <v>5745</v>
      </c>
      <c r="AP11" s="78">
        <f>3*AB13</f>
        <v>0</v>
      </c>
      <c r="AQ11" s="78">
        <f>AR10</f>
        <v>0</v>
      </c>
      <c r="AR11" s="78">
        <f>AB13</f>
        <v>0</v>
      </c>
      <c r="AS11" s="78">
        <v>0</v>
      </c>
      <c r="AT11" s="78" t="s">
        <v>14</v>
      </c>
      <c r="AU11"/>
      <c r="AV11" s="396"/>
      <c r="AW11"/>
    </row>
    <row r="12" spans="1:49" ht="30" customHeight="1" x14ac:dyDescent="0.25">
      <c r="B12" s="68" t="s">
        <v>5743</v>
      </c>
      <c r="C12" s="183">
        <f>IF(ISERROR((C10-C11)/C10),0,(C10-C11)/C10)</f>
        <v>0.53088350273651286</v>
      </c>
      <c r="D12" s="55"/>
      <c r="E12"/>
      <c r="F12" s="154"/>
      <c r="G12" s="154"/>
      <c r="H12" s="154"/>
      <c r="I12" s="154"/>
      <c r="J12" s="154"/>
      <c r="K12" s="154"/>
      <c r="L12"/>
      <c r="M12"/>
      <c r="N12"/>
      <c r="O12"/>
      <c r="P12"/>
      <c r="Q12"/>
      <c r="R12"/>
      <c r="S12"/>
      <c r="V12"/>
      <c r="W12"/>
      <c r="AA12" s="68" t="s">
        <v>5783</v>
      </c>
      <c r="AB12" s="79" t="str">
        <f>IF(C9="Método de Simulação",Opc_Simulação!AB12,"")</f>
        <v/>
      </c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/>
      <c r="AT12"/>
      <c r="AU12"/>
      <c r="AV12"/>
      <c r="AW12"/>
    </row>
    <row r="13" spans="1:49" ht="30" customHeight="1" x14ac:dyDescent="0.25">
      <c r="B13" s="68" t="s">
        <v>5773</v>
      </c>
      <c r="C13" s="183" t="str">
        <f>IF(C9=B15,W18,IF(C9=AA15,AV18,AV10))</f>
        <v>A</v>
      </c>
      <c r="D13" s="55"/>
      <c r="E13"/>
      <c r="F13" s="154"/>
      <c r="G13" s="154"/>
      <c r="H13" s="154"/>
      <c r="I13" s="154"/>
      <c r="J13" s="154"/>
      <c r="K13" s="154"/>
      <c r="L13"/>
      <c r="M13"/>
      <c r="N13"/>
      <c r="O13"/>
      <c r="P13"/>
      <c r="Q13"/>
      <c r="R13"/>
      <c r="S13"/>
      <c r="V13"/>
      <c r="W13"/>
      <c r="AA13" s="68" t="s">
        <v>5744</v>
      </c>
      <c r="AB13" s="134">
        <f>IF(ISERROR(((AB11-AB12)/AB11)/3),0,((AB11-AB12)/AB11)/3)</f>
        <v>0</v>
      </c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/>
      <c r="AT13"/>
      <c r="AU13"/>
      <c r="AV13"/>
      <c r="AW13"/>
    </row>
    <row r="14" spans="1:49" x14ac:dyDescent="0.25">
      <c r="B14" s="54"/>
      <c r="C14" s="55"/>
      <c r="D14" s="55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V14"/>
      <c r="W14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/>
      <c r="AT14"/>
      <c r="AU14"/>
      <c r="AV14"/>
      <c r="AW14"/>
    </row>
    <row r="15" spans="1:49" s="63" customFormat="1" ht="24.95" customHeight="1" x14ac:dyDescent="0.25">
      <c r="A15" s="59"/>
      <c r="B15" s="67" t="s">
        <v>5499</v>
      </c>
      <c r="C15" s="56"/>
      <c r="D15" s="56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59"/>
      <c r="U15" s="59"/>
      <c r="V15" s="62"/>
      <c r="W15" s="62"/>
      <c r="X15" s="62"/>
      <c r="Z15" s="164"/>
      <c r="AA15" s="67" t="s">
        <v>5500</v>
      </c>
      <c r="AB15" s="56"/>
      <c r="AC15" s="56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</row>
    <row r="16" spans="1:49" ht="15.75" x14ac:dyDescent="0.25">
      <c r="B16" s="65"/>
      <c r="C16" s="13"/>
      <c r="D16" s="13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V16"/>
      <c r="W16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</row>
    <row r="17" spans="1:49" ht="30" customHeight="1" x14ac:dyDescent="0.25">
      <c r="A17" s="60"/>
      <c r="B17" s="68" t="s">
        <v>5740</v>
      </c>
      <c r="C17" s="71" t="str">
        <f>Geral!C16</f>
        <v>Escritórios</v>
      </c>
      <c r="E17" s="52"/>
      <c r="F17"/>
      <c r="G17"/>
      <c r="H17"/>
      <c r="I17"/>
      <c r="J17"/>
      <c r="K17"/>
      <c r="L17"/>
      <c r="M17"/>
      <c r="N17"/>
      <c r="O17" s="52"/>
      <c r="P17" s="52"/>
      <c r="Q17" s="135" t="s">
        <v>34</v>
      </c>
      <c r="R17" s="136" t="s">
        <v>25</v>
      </c>
      <c r="S17" s="137" t="s">
        <v>105</v>
      </c>
      <c r="T17" s="138" t="s">
        <v>5741</v>
      </c>
      <c r="U17" s="139" t="s">
        <v>5742</v>
      </c>
      <c r="V17" s="52"/>
      <c r="W17" s="66" t="s">
        <v>5747</v>
      </c>
      <c r="X17" s="52"/>
      <c r="AA17" s="68" t="s">
        <v>5740</v>
      </c>
      <c r="AB17" s="71" t="str">
        <f>C17</f>
        <v>Escritórios</v>
      </c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135" t="s">
        <v>34</v>
      </c>
      <c r="AQ17" s="136" t="s">
        <v>25</v>
      </c>
      <c r="AR17" s="137" t="s">
        <v>105</v>
      </c>
      <c r="AS17" s="138" t="s">
        <v>5741</v>
      </c>
      <c r="AT17" s="139" t="s">
        <v>5742</v>
      </c>
      <c r="AU17" s="52"/>
      <c r="AV17" s="66" t="s">
        <v>5747</v>
      </c>
      <c r="AW17"/>
    </row>
    <row r="18" spans="1:49" ht="30" customHeight="1" x14ac:dyDescent="0.25">
      <c r="A18" s="60"/>
      <c r="E18" s="52"/>
      <c r="F18"/>
      <c r="G18"/>
      <c r="H18"/>
      <c r="I18"/>
      <c r="J18"/>
      <c r="K18"/>
      <c r="L18"/>
      <c r="M18"/>
      <c r="N18"/>
      <c r="O18"/>
      <c r="P18" s="68" t="s">
        <v>5746</v>
      </c>
      <c r="Q18" s="78" t="s">
        <v>14</v>
      </c>
      <c r="R18" s="78">
        <f>3*C21</f>
        <v>0.41282251759186872</v>
      </c>
      <c r="S18" s="78">
        <f>2*C21</f>
        <v>0.27521501172791246</v>
      </c>
      <c r="T18" s="78">
        <f>C21</f>
        <v>0.13760750586395623</v>
      </c>
      <c r="U18" s="78">
        <f>T19</f>
        <v>0</v>
      </c>
      <c r="V18" s="52"/>
      <c r="W18" s="396" t="str">
        <f>IF(C9=AA15,"",IF(C12&gt;=Q19,Q17,
IF(AND(C12&gt;R19,C12&lt;=R18),R17,
IF(AND(C12&gt;S19,C12&lt;=S18),S17,
IF(AND(C12&gt;=T19,C12&lt;=T18),T17,
U17)))))</f>
        <v>A</v>
      </c>
      <c r="X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/>
      <c r="AO18" s="68" t="s">
        <v>5746</v>
      </c>
      <c r="AP18" s="78" t="s">
        <v>14</v>
      </c>
      <c r="AQ18" s="78">
        <f>3*AB21</f>
        <v>0</v>
      </c>
      <c r="AR18" s="78">
        <f>2*AB21</f>
        <v>0</v>
      </c>
      <c r="AS18" s="78">
        <f>AB21</f>
        <v>0</v>
      </c>
      <c r="AT18" s="78">
        <f>AS19</f>
        <v>0</v>
      </c>
      <c r="AU18" s="52"/>
      <c r="AV18" s="396" t="str">
        <f>IF(C9=B15,"",IF(C12&gt;=AP19,AP17,
IF(AND(C12&gt;AQ19,C12&lt;=AQ18),AQ17,
IF(AND(C12&gt;AR19,C12&lt;=AR18),AR17,
IF(AND(C12&gt;=AS19,C12&lt;=AS18),AS17,
AT17)))))</f>
        <v/>
      </c>
      <c r="AW18"/>
    </row>
    <row r="19" spans="1:49" ht="30" customHeight="1" x14ac:dyDescent="0.25">
      <c r="A19" s="60"/>
      <c r="B19" s="68" t="s">
        <v>5880</v>
      </c>
      <c r="C19" s="79">
        <f>IF(C9=B15,SUM(V24:V26),0)</f>
        <v>959.25</v>
      </c>
      <c r="E19" s="52"/>
      <c r="F19"/>
      <c r="G19"/>
      <c r="H19"/>
      <c r="I19"/>
      <c r="J19"/>
      <c r="K19"/>
      <c r="L19"/>
      <c r="M19"/>
      <c r="N19"/>
      <c r="O19"/>
      <c r="P19" s="68" t="s">
        <v>5745</v>
      </c>
      <c r="Q19" s="78">
        <f>3*C21</f>
        <v>0.41282251759186872</v>
      </c>
      <c r="R19" s="78">
        <f>S18</f>
        <v>0.27521501172791246</v>
      </c>
      <c r="S19" s="78">
        <f>C21</f>
        <v>0.13760750586395623</v>
      </c>
      <c r="T19" s="78">
        <v>0</v>
      </c>
      <c r="U19" s="78" t="s">
        <v>14</v>
      </c>
      <c r="V19"/>
      <c r="W19" s="396"/>
      <c r="X19" s="52"/>
      <c r="AA19" s="68" t="s">
        <v>5880</v>
      </c>
      <c r="AB19" s="79">
        <f>IF(C9=AA15,SUM(AU24:AU73),0)</f>
        <v>0</v>
      </c>
      <c r="AC19" s="55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/>
      <c r="AO19" s="68" t="s">
        <v>5745</v>
      </c>
      <c r="AP19" s="78">
        <f>3*AB21</f>
        <v>0</v>
      </c>
      <c r="AQ19" s="78">
        <f>AR18</f>
        <v>0</v>
      </c>
      <c r="AR19" s="78">
        <f>AB21</f>
        <v>0</v>
      </c>
      <c r="AS19" s="78">
        <v>0</v>
      </c>
      <c r="AT19" s="78" t="s">
        <v>14</v>
      </c>
      <c r="AU19"/>
      <c r="AV19" s="396"/>
      <c r="AW19"/>
    </row>
    <row r="20" spans="1:49" ht="30" customHeight="1" x14ac:dyDescent="0.25">
      <c r="A20" s="60"/>
      <c r="B20" s="68" t="s">
        <v>5881</v>
      </c>
      <c r="C20" s="79">
        <f>IF(C9=B15,SUM(W24:W26),0)</f>
        <v>563.25</v>
      </c>
      <c r="D20" s="52"/>
      <c r="E20" s="52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 s="52"/>
      <c r="X20" s="52"/>
      <c r="AA20" s="68" t="s">
        <v>5881</v>
      </c>
      <c r="AB20" s="79">
        <f>IF(C9=AA15,SUM(AV24:AV73),0)</f>
        <v>0</v>
      </c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/>
      <c r="AO20"/>
      <c r="AP20"/>
      <c r="AQ20"/>
      <c r="AR20"/>
      <c r="AS20"/>
      <c r="AT20"/>
      <c r="AU20"/>
      <c r="AV20" s="52"/>
      <c r="AW20"/>
    </row>
    <row r="21" spans="1:49" ht="30" customHeight="1" x14ac:dyDescent="0.25">
      <c r="A21" s="60"/>
      <c r="B21" s="68" t="s">
        <v>5744</v>
      </c>
      <c r="C21" s="134">
        <f>IF(ISERROR(((C19-C20)/C19)/3),0,((C19-C20)/C19)/3)</f>
        <v>0.13760750586395623</v>
      </c>
      <c r="D21" s="52"/>
      <c r="E21" s="52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 s="52"/>
      <c r="X21" s="52"/>
      <c r="AA21" s="68" t="s">
        <v>5744</v>
      </c>
      <c r="AB21" s="134">
        <f>IF(ISERROR(((AB19-AB20)/AB19)/3),0,((AB19-AB20)/AB19)/3)</f>
        <v>0</v>
      </c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/>
      <c r="AO21"/>
      <c r="AP21"/>
      <c r="AQ21"/>
      <c r="AR21"/>
      <c r="AS21"/>
      <c r="AT21"/>
      <c r="AU21"/>
      <c r="AV21" s="52"/>
      <c r="AW21"/>
    </row>
    <row r="22" spans="1:49" ht="24.95" customHeight="1" x14ac:dyDescent="0.25">
      <c r="B22"/>
      <c r="C22"/>
      <c r="D22"/>
      <c r="E22" s="52"/>
      <c r="F22" s="52"/>
      <c r="G22"/>
      <c r="H22"/>
      <c r="I22"/>
      <c r="J22"/>
      <c r="K22"/>
      <c r="L22"/>
      <c r="M22"/>
      <c r="N22"/>
      <c r="O22"/>
      <c r="P22" s="437" t="s">
        <v>65</v>
      </c>
      <c r="Q22" s="439"/>
      <c r="R22" s="439"/>
      <c r="S22" s="439"/>
      <c r="T22" s="437" t="s">
        <v>5501</v>
      </c>
      <c r="U22" s="438"/>
      <c r="V22" s="437" t="s">
        <v>5504</v>
      </c>
      <c r="W22" s="438"/>
      <c r="AA22"/>
      <c r="AB22"/>
      <c r="AC22"/>
      <c r="AD22" s="52"/>
      <c r="AE22" s="52"/>
      <c r="AF22"/>
      <c r="AG22"/>
      <c r="AH22" s="52"/>
      <c r="AI22"/>
      <c r="AJ22"/>
      <c r="AK22" s="52"/>
      <c r="AL22" s="52"/>
      <c r="AM22"/>
      <c r="AN22"/>
      <c r="AO22" s="437" t="s">
        <v>65</v>
      </c>
      <c r="AP22" s="439"/>
      <c r="AQ22" s="439"/>
      <c r="AR22" s="438"/>
      <c r="AS22" s="437" t="s">
        <v>5501</v>
      </c>
      <c r="AT22" s="438"/>
      <c r="AU22" s="437" t="s">
        <v>5504</v>
      </c>
      <c r="AV22" s="438"/>
      <c r="AW22" s="38"/>
    </row>
    <row r="23" spans="1:49" s="33" customFormat="1" ht="76.5" x14ac:dyDescent="0.25">
      <c r="A23" s="17"/>
      <c r="B23" s="125" t="s">
        <v>84</v>
      </c>
      <c r="C23" s="124" t="s">
        <v>85</v>
      </c>
      <c r="D23" s="124" t="s">
        <v>5784</v>
      </c>
      <c r="E23" s="124" t="s">
        <v>5497</v>
      </c>
      <c r="F23" s="124" t="s">
        <v>5498</v>
      </c>
      <c r="G23" s="95" t="s">
        <v>5786</v>
      </c>
      <c r="H23" s="95" t="s">
        <v>5785</v>
      </c>
      <c r="I23" s="124" t="s">
        <v>5770</v>
      </c>
      <c r="J23" s="124" t="s">
        <v>5771</v>
      </c>
      <c r="K23" s="124" t="s">
        <v>5772</v>
      </c>
      <c r="L23" s="124" t="s">
        <v>5496</v>
      </c>
      <c r="M23" s="124" t="s">
        <v>5769</v>
      </c>
      <c r="N23" s="124" t="s">
        <v>5502</v>
      </c>
      <c r="O23" s="124" t="s">
        <v>5505</v>
      </c>
      <c r="P23" s="94" t="s">
        <v>5513</v>
      </c>
      <c r="Q23" s="95" t="s">
        <v>88</v>
      </c>
      <c r="R23" s="95" t="s">
        <v>89</v>
      </c>
      <c r="S23" s="96" t="s">
        <v>90</v>
      </c>
      <c r="T23" s="94" t="s">
        <v>5494</v>
      </c>
      <c r="U23" s="96" t="s">
        <v>5495</v>
      </c>
      <c r="V23" s="94" t="s">
        <v>5882</v>
      </c>
      <c r="W23" s="96" t="s">
        <v>5883</v>
      </c>
      <c r="X23"/>
      <c r="Y23" s="28"/>
      <c r="Z23" s="162"/>
      <c r="AA23" s="94" t="s">
        <v>84</v>
      </c>
      <c r="AB23" s="95" t="s">
        <v>85</v>
      </c>
      <c r="AC23" s="95" t="s">
        <v>5492</v>
      </c>
      <c r="AD23" s="95" t="s">
        <v>5497</v>
      </c>
      <c r="AE23" s="95" t="s">
        <v>5498</v>
      </c>
      <c r="AF23" s="95" t="s">
        <v>5786</v>
      </c>
      <c r="AG23" s="95" t="s">
        <v>5785</v>
      </c>
      <c r="AH23" s="95" t="s">
        <v>5770</v>
      </c>
      <c r="AI23" s="95" t="s">
        <v>5771</v>
      </c>
      <c r="AJ23" s="95" t="s">
        <v>5772</v>
      </c>
      <c r="AK23" s="95" t="s">
        <v>5496</v>
      </c>
      <c r="AL23" s="95" t="s">
        <v>5769</v>
      </c>
      <c r="AM23" s="95" t="s">
        <v>5502</v>
      </c>
      <c r="AN23" s="95" t="s">
        <v>5505</v>
      </c>
      <c r="AO23" s="94" t="s">
        <v>5513</v>
      </c>
      <c r="AP23" s="95" t="s">
        <v>88</v>
      </c>
      <c r="AQ23" s="95" t="s">
        <v>89</v>
      </c>
      <c r="AR23" s="96" t="s">
        <v>90</v>
      </c>
      <c r="AS23" s="94" t="s">
        <v>5494</v>
      </c>
      <c r="AT23" s="96" t="s">
        <v>5495</v>
      </c>
      <c r="AU23" s="94" t="s">
        <v>5882</v>
      </c>
      <c r="AV23" s="96" t="s">
        <v>5883</v>
      </c>
      <c r="AW23" s="38"/>
    </row>
    <row r="24" spans="1:49" s="32" customFormat="1" ht="30" customHeight="1" x14ac:dyDescent="0.25">
      <c r="A24" s="2"/>
      <c r="B24" s="126" t="s">
        <v>5780</v>
      </c>
      <c r="C24" s="127">
        <v>200</v>
      </c>
      <c r="D24" s="128" t="s">
        <v>5526</v>
      </c>
      <c r="E24" s="129">
        <f>IFERROR(VLOOKUP($C$17,Aux_Lista!A:K,10,FALSE),"")</f>
        <v>10</v>
      </c>
      <c r="F24" s="129">
        <f>IFERROR(VLOOKUP($C$17,Aux_Lista!A:L,11,FALSE),"")</f>
        <v>10</v>
      </c>
      <c r="G24" s="129">
        <f>IFERROR(VLOOKUP(D24,Aux_Lista!AI:AK,3,FALSE),"")</f>
        <v>3.9</v>
      </c>
      <c r="H24" s="129">
        <f>IFERROR(VLOOKUP(D24,Aux_Lista!$AI:$AK,2,FALSE),"")</f>
        <v>1.6</v>
      </c>
      <c r="I24" s="130">
        <v>900</v>
      </c>
      <c r="J24" s="130">
        <v>0</v>
      </c>
      <c r="K24" s="130">
        <v>0</v>
      </c>
      <c r="L24" s="131">
        <v>1</v>
      </c>
      <c r="M24" s="129">
        <f>IFERROR(I24*L24+J24+K24,"")</f>
        <v>900</v>
      </c>
      <c r="N24" s="132">
        <f>IFERROR(M24/C24,"")</f>
        <v>4.5</v>
      </c>
      <c r="O24" s="133">
        <v>0</v>
      </c>
      <c r="P24" s="113" t="s">
        <v>5836</v>
      </c>
      <c r="Q24" s="110" t="s">
        <v>5836</v>
      </c>
      <c r="R24" s="110" t="s">
        <v>5836</v>
      </c>
      <c r="S24" s="110" t="s">
        <v>5836</v>
      </c>
      <c r="T24" s="118">
        <f>IF(ISERROR((C24*E24*F24*G24)/1000),"",(C24*E24*F24*G24)/1000)</f>
        <v>78</v>
      </c>
      <c r="U24" s="119">
        <f>IF(ISERROR((C24*E24*F24*N24)/1000),"",(C24*E24*F24*N24)/1000)</f>
        <v>90</v>
      </c>
      <c r="V24" s="118">
        <f>IFERROR(G24*C24*E24*F24/1000,"")</f>
        <v>78</v>
      </c>
      <c r="W24" s="119">
        <f>IFERROR(H24*C24*E24*F24/1000,"")</f>
        <v>32</v>
      </c>
      <c r="X24" s="1"/>
      <c r="Z24" s="162">
        <v>1</v>
      </c>
      <c r="AA24" s="97" t="s">
        <v>5503</v>
      </c>
      <c r="AB24" s="98">
        <v>500</v>
      </c>
      <c r="AC24" s="140" t="s">
        <v>5524</v>
      </c>
      <c r="AD24" s="99">
        <f>VLOOKUP($AB$17,Aux_Lista!A:K,10,FALSE)</f>
        <v>10</v>
      </c>
      <c r="AE24" s="99">
        <f>VLOOKUP($AB$17,Aux_Lista!A:L,11,FALSE)</f>
        <v>10</v>
      </c>
      <c r="AF24" s="142">
        <v>19.04</v>
      </c>
      <c r="AG24" s="142">
        <v>10</v>
      </c>
      <c r="AH24" s="100">
        <v>900</v>
      </c>
      <c r="AI24" s="100">
        <v>0</v>
      </c>
      <c r="AJ24" s="100">
        <v>0</v>
      </c>
      <c r="AK24" s="101">
        <v>1</v>
      </c>
      <c r="AL24" s="99">
        <f>AK24*AH24+AI24+AJ24</f>
        <v>900</v>
      </c>
      <c r="AM24" s="102">
        <v>10</v>
      </c>
      <c r="AN24" s="103"/>
      <c r="AO24" s="111"/>
      <c r="AP24" s="104"/>
      <c r="AQ24" s="104"/>
      <c r="AR24" s="112"/>
      <c r="AS24" s="118">
        <f>IF(ISERROR((AB24*AD24*AE24*AF24)/1000),"",(AB24*AD24*AE24*AF24)/1000)</f>
        <v>952</v>
      </c>
      <c r="AT24" s="119">
        <f>IF(ISERROR((AB24*AD24*AE24*AM24)/1000),"",(AB24*AD24*AE24*AM24)/1000)</f>
        <v>500</v>
      </c>
      <c r="AU24" s="118">
        <f>IFERROR(AF24*AB24*AD24*AE24/1000,"")</f>
        <v>952</v>
      </c>
      <c r="AV24" s="119">
        <f>IFERROR(AG24*AB24*AD24*AE24/1000,"")</f>
        <v>500</v>
      </c>
      <c r="AW24" s="64"/>
    </row>
    <row r="25" spans="1:49" ht="30" customHeight="1" x14ac:dyDescent="0.25">
      <c r="B25" s="126" t="s">
        <v>5781</v>
      </c>
      <c r="C25" s="127">
        <f>25*25</f>
        <v>625</v>
      </c>
      <c r="D25" s="128" t="s">
        <v>5524</v>
      </c>
      <c r="E25" s="129">
        <f>IFERROR(VLOOKUP($C$17,Aux_Lista!A:K,10,FALSE),"")</f>
        <v>10</v>
      </c>
      <c r="F25" s="129">
        <f>IFERROR(VLOOKUP($C$17,Aux_Lista!A:L,11,FALSE),"")</f>
        <v>10</v>
      </c>
      <c r="G25" s="129">
        <f>IFERROR(VLOOKUP(D25,Aux_Lista!AI:AK,3,FALSE),"")</f>
        <v>14.1</v>
      </c>
      <c r="H25" s="129">
        <f>IFERROR(VLOOKUP(D25,Aux_Lista!$AI:$AK,2,FALSE),"")</f>
        <v>8.5</v>
      </c>
      <c r="I25" s="130">
        <f>200*20</f>
        <v>4000</v>
      </c>
      <c r="J25" s="130">
        <v>0</v>
      </c>
      <c r="K25" s="130">
        <v>0</v>
      </c>
      <c r="L25" s="131">
        <v>0.9</v>
      </c>
      <c r="M25" s="129">
        <f t="shared" ref="M25:M26" si="0">IFERROR(I25*L25+J25+K25,"")</f>
        <v>3600</v>
      </c>
      <c r="N25" s="132">
        <f t="shared" ref="N25:N26" si="1">IFERROR(M25/C25,"")</f>
        <v>5.76</v>
      </c>
      <c r="O25" s="133">
        <v>0</v>
      </c>
      <c r="P25" s="113" t="s">
        <v>5836</v>
      </c>
      <c r="Q25" s="110" t="s">
        <v>5836</v>
      </c>
      <c r="R25" s="110" t="s">
        <v>5836</v>
      </c>
      <c r="S25" s="110" t="s">
        <v>5836</v>
      </c>
      <c r="T25" s="120">
        <f>IF(ISERROR((C25*E25*F25*G25)/1000),"",(C25*E25*F25*G25)/1000)</f>
        <v>881.25</v>
      </c>
      <c r="U25" s="121">
        <f>IF(ISERROR((C25*E25*F25*N25)/1000),"",(C25*E25*F25*N25)/1000)</f>
        <v>360</v>
      </c>
      <c r="V25" s="118">
        <f t="shared" ref="V25:V26" si="2">IFERROR(G25*C25*E25*F25/1000,"")</f>
        <v>881.25</v>
      </c>
      <c r="W25" s="119">
        <f t="shared" ref="W25:W26" si="3">IFERROR(H25*C25*E25*F25/1000,"")</f>
        <v>531.25</v>
      </c>
      <c r="Z25" s="162">
        <v>2</v>
      </c>
      <c r="AA25" s="88" t="s">
        <v>5506</v>
      </c>
      <c r="AB25" s="105">
        <v>500</v>
      </c>
      <c r="AC25" s="141" t="s">
        <v>5572</v>
      </c>
      <c r="AD25" s="106">
        <f>VLOOKUP($AB$17,Aux_Lista!A:K,10,FALSE)</f>
        <v>10</v>
      </c>
      <c r="AE25" s="106">
        <f>VLOOKUP($AB$17,Aux_Lista!A:L,11,FALSE)</f>
        <v>10</v>
      </c>
      <c r="AF25" s="143">
        <v>23.84</v>
      </c>
      <c r="AG25" s="143">
        <v>10</v>
      </c>
      <c r="AH25" s="107">
        <v>3000</v>
      </c>
      <c r="AI25" s="107">
        <v>0</v>
      </c>
      <c r="AJ25" s="107">
        <v>0</v>
      </c>
      <c r="AK25" s="108">
        <v>1</v>
      </c>
      <c r="AL25" s="106">
        <f t="shared" ref="AL25:AL73" si="4">AK25*AH25+AI25+AJ25</f>
        <v>3000</v>
      </c>
      <c r="AM25" s="109">
        <v>10</v>
      </c>
      <c r="AN25" s="89"/>
      <c r="AO25" s="113"/>
      <c r="AP25" s="110"/>
      <c r="AQ25" s="110"/>
      <c r="AR25" s="114"/>
      <c r="AS25" s="120">
        <f t="shared" ref="AS25:AS73" si="5">IF(ISERROR((AB25*AD25*AE25*AF25)/1000),"",(AB25*AD25*AE25*AF25)/1000)</f>
        <v>1192</v>
      </c>
      <c r="AT25" s="121">
        <f t="shared" ref="AT25:AT73" si="6">IF(ISERROR((AB25*AD25*AE25*AM25)/1000),"",(AB25*AD25*AE25*AM25)/1000)</f>
        <v>500</v>
      </c>
      <c r="AU25" s="118">
        <f t="shared" ref="AU25:AU73" si="7">IFERROR(AF25*AB25*AD25*AE25/1000,"")</f>
        <v>1192</v>
      </c>
      <c r="AV25" s="119">
        <f t="shared" ref="AV25:AV73" si="8">IFERROR(AG25*AB25*AD25*AE25/1000,"")</f>
        <v>500</v>
      </c>
      <c r="AW25" s="64"/>
    </row>
    <row r="26" spans="1:49" ht="30" customHeight="1" x14ac:dyDescent="0.25">
      <c r="B26" s="126"/>
      <c r="C26" s="127"/>
      <c r="D26" s="128"/>
      <c r="E26" s="129">
        <f>IFERROR(VLOOKUP($C$17,Aux_Lista!A:K,10,FALSE),"")</f>
        <v>10</v>
      </c>
      <c r="F26" s="129">
        <f>IFERROR(VLOOKUP($C$17,Aux_Lista!A:L,11,FALSE),"")</f>
        <v>10</v>
      </c>
      <c r="G26" s="129" t="str">
        <f>IFERROR(VLOOKUP(D26,Aux_Lista!AI:AK,3,FALSE),"")</f>
        <v/>
      </c>
      <c r="H26" s="129" t="str">
        <f>IFERROR(VLOOKUP(D26,Aux_Lista!$AI:$AK,2,FALSE),"")</f>
        <v/>
      </c>
      <c r="I26" s="130"/>
      <c r="J26" s="130"/>
      <c r="K26" s="130"/>
      <c r="L26" s="131"/>
      <c r="M26" s="129">
        <f t="shared" si="0"/>
        <v>0</v>
      </c>
      <c r="N26" s="132" t="str">
        <f t="shared" si="1"/>
        <v/>
      </c>
      <c r="O26" s="133"/>
      <c r="P26" s="113"/>
      <c r="Q26" s="110"/>
      <c r="R26" s="110"/>
      <c r="S26" s="110"/>
      <c r="T26" s="122" t="str">
        <f>IF(ISERROR((C26*E26*F26*G26)/1000),"",(C26*E26*F26*G26)/1000)</f>
        <v/>
      </c>
      <c r="U26" s="123" t="str">
        <f>IF(ISERROR((C26*E26*F26*N26)/1000),"",(C26*E26*F26*N26)/1000)</f>
        <v/>
      </c>
      <c r="V26" s="118" t="str">
        <f t="shared" si="2"/>
        <v/>
      </c>
      <c r="W26" s="119" t="str">
        <f t="shared" si="3"/>
        <v/>
      </c>
      <c r="Z26" s="162">
        <v>3</v>
      </c>
      <c r="AA26" s="88" t="s">
        <v>5787</v>
      </c>
      <c r="AB26" s="105">
        <v>1500</v>
      </c>
      <c r="AC26" s="105" t="s">
        <v>5532</v>
      </c>
      <c r="AD26" s="106">
        <f>VLOOKUP($AB$17,Aux_Lista!A:K,10,FALSE)</f>
        <v>10</v>
      </c>
      <c r="AE26" s="106">
        <f>VLOOKUP($AB$17,Aux_Lista!A:L,11,FALSE)</f>
        <v>10</v>
      </c>
      <c r="AF26" s="143">
        <v>13.9</v>
      </c>
      <c r="AG26" s="143">
        <v>8.4</v>
      </c>
      <c r="AH26" s="107">
        <v>5000</v>
      </c>
      <c r="AI26" s="107">
        <v>0</v>
      </c>
      <c r="AJ26" s="107">
        <v>0</v>
      </c>
      <c r="AK26" s="108">
        <v>1</v>
      </c>
      <c r="AL26" s="106">
        <f t="shared" si="4"/>
        <v>5000</v>
      </c>
      <c r="AM26" s="109">
        <f t="shared" ref="AM26:AM73" si="9">AL26/AB26</f>
        <v>3.3333333333333335</v>
      </c>
      <c r="AN26" s="89"/>
      <c r="AO26" s="113"/>
      <c r="AP26" s="110"/>
      <c r="AQ26" s="110"/>
      <c r="AR26" s="114"/>
      <c r="AS26" s="120">
        <f t="shared" si="5"/>
        <v>2085</v>
      </c>
      <c r="AT26" s="121">
        <f t="shared" si="6"/>
        <v>500</v>
      </c>
      <c r="AU26" s="118">
        <f t="shared" si="7"/>
        <v>2085</v>
      </c>
      <c r="AV26" s="119">
        <f t="shared" si="8"/>
        <v>1260</v>
      </c>
      <c r="AW26" s="64"/>
    </row>
    <row r="27" spans="1:49" ht="30" customHeight="1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V27" s="2"/>
      <c r="W27" s="2"/>
      <c r="X27" s="2"/>
      <c r="Z27" s="162">
        <v>4</v>
      </c>
      <c r="AA27" s="88"/>
      <c r="AB27" s="105"/>
      <c r="AC27" s="105"/>
      <c r="AD27" s="106">
        <f>VLOOKUP($AB$17,Aux_Lista!A:K,10,FALSE)</f>
        <v>10</v>
      </c>
      <c r="AE27" s="106">
        <f>VLOOKUP($AB$17,Aux_Lista!A:L,11,FALSE)</f>
        <v>10</v>
      </c>
      <c r="AF27" s="143"/>
      <c r="AG27" s="143"/>
      <c r="AH27" s="107"/>
      <c r="AI27" s="107"/>
      <c r="AJ27" s="107"/>
      <c r="AK27" s="108"/>
      <c r="AL27" s="106">
        <f t="shared" si="4"/>
        <v>0</v>
      </c>
      <c r="AM27" s="109" t="e">
        <f t="shared" si="9"/>
        <v>#DIV/0!</v>
      </c>
      <c r="AN27" s="89"/>
      <c r="AO27" s="113"/>
      <c r="AP27" s="110"/>
      <c r="AQ27" s="110"/>
      <c r="AR27" s="114"/>
      <c r="AS27" s="120">
        <f t="shared" si="5"/>
        <v>0</v>
      </c>
      <c r="AT27" s="121" t="str">
        <f t="shared" si="6"/>
        <v/>
      </c>
      <c r="AU27" s="118">
        <f t="shared" si="7"/>
        <v>0</v>
      </c>
      <c r="AV27" s="119">
        <f t="shared" si="8"/>
        <v>0</v>
      </c>
      <c r="AW27" s="64"/>
    </row>
    <row r="28" spans="1:49" ht="30" customHeight="1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V28" s="2"/>
      <c r="W28" s="2"/>
      <c r="X28" s="2"/>
      <c r="Z28" s="162">
        <v>5</v>
      </c>
      <c r="AA28" s="88"/>
      <c r="AB28" s="105"/>
      <c r="AC28" s="105"/>
      <c r="AD28" s="106">
        <f>VLOOKUP($AB$17,Aux_Lista!A:K,10,FALSE)</f>
        <v>10</v>
      </c>
      <c r="AE28" s="106">
        <f>VLOOKUP($AB$17,Aux_Lista!A:L,11,FALSE)</f>
        <v>10</v>
      </c>
      <c r="AF28" s="143"/>
      <c r="AG28" s="143"/>
      <c r="AH28" s="107"/>
      <c r="AI28" s="107"/>
      <c r="AJ28" s="107"/>
      <c r="AK28" s="108"/>
      <c r="AL28" s="106">
        <f t="shared" si="4"/>
        <v>0</v>
      </c>
      <c r="AM28" s="109" t="e">
        <f t="shared" si="9"/>
        <v>#DIV/0!</v>
      </c>
      <c r="AN28" s="89"/>
      <c r="AO28" s="113"/>
      <c r="AP28" s="110"/>
      <c r="AQ28" s="110"/>
      <c r="AR28" s="114"/>
      <c r="AS28" s="120">
        <f t="shared" si="5"/>
        <v>0</v>
      </c>
      <c r="AT28" s="121" t="str">
        <f t="shared" si="6"/>
        <v/>
      </c>
      <c r="AU28" s="118">
        <f t="shared" si="7"/>
        <v>0</v>
      </c>
      <c r="AV28" s="119">
        <f t="shared" si="8"/>
        <v>0</v>
      </c>
      <c r="AW28" s="64"/>
    </row>
    <row r="29" spans="1:49" ht="30" customHeight="1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V29" s="2"/>
      <c r="W29" s="2"/>
      <c r="X29" s="2"/>
      <c r="Z29" s="162">
        <v>6</v>
      </c>
      <c r="AA29" s="88"/>
      <c r="AB29" s="105"/>
      <c r="AC29" s="105"/>
      <c r="AD29" s="106">
        <f>VLOOKUP($AB$17,Aux_Lista!A:K,10,FALSE)</f>
        <v>10</v>
      </c>
      <c r="AE29" s="106">
        <f>VLOOKUP($AB$17,Aux_Lista!A:L,11,FALSE)</f>
        <v>10</v>
      </c>
      <c r="AF29" s="143"/>
      <c r="AG29" s="143"/>
      <c r="AH29" s="107"/>
      <c r="AI29" s="107"/>
      <c r="AJ29" s="107"/>
      <c r="AK29" s="108"/>
      <c r="AL29" s="106">
        <f t="shared" si="4"/>
        <v>0</v>
      </c>
      <c r="AM29" s="109" t="e">
        <f t="shared" si="9"/>
        <v>#DIV/0!</v>
      </c>
      <c r="AN29" s="89"/>
      <c r="AO29" s="113"/>
      <c r="AP29" s="110"/>
      <c r="AQ29" s="110"/>
      <c r="AR29" s="114"/>
      <c r="AS29" s="120">
        <f t="shared" si="5"/>
        <v>0</v>
      </c>
      <c r="AT29" s="121" t="str">
        <f t="shared" si="6"/>
        <v/>
      </c>
      <c r="AU29" s="118">
        <f t="shared" si="7"/>
        <v>0</v>
      </c>
      <c r="AV29" s="119">
        <f t="shared" si="8"/>
        <v>0</v>
      </c>
      <c r="AW29" s="64"/>
    </row>
    <row r="30" spans="1:49" ht="30" customHeight="1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V30" s="2"/>
      <c r="W30" s="2"/>
      <c r="X30" s="2"/>
      <c r="Z30" s="162">
        <v>7</v>
      </c>
      <c r="AA30" s="88"/>
      <c r="AB30" s="105"/>
      <c r="AC30" s="105"/>
      <c r="AD30" s="106">
        <f>VLOOKUP($AB$17,Aux_Lista!A:K,10,FALSE)</f>
        <v>10</v>
      </c>
      <c r="AE30" s="106">
        <f>VLOOKUP($AB$17,Aux_Lista!A:L,11,FALSE)</f>
        <v>10</v>
      </c>
      <c r="AF30" s="143"/>
      <c r="AG30" s="143"/>
      <c r="AH30" s="107"/>
      <c r="AI30" s="107"/>
      <c r="AJ30" s="107"/>
      <c r="AK30" s="108"/>
      <c r="AL30" s="106">
        <f t="shared" si="4"/>
        <v>0</v>
      </c>
      <c r="AM30" s="109" t="e">
        <f t="shared" si="9"/>
        <v>#DIV/0!</v>
      </c>
      <c r="AN30" s="89"/>
      <c r="AO30" s="113"/>
      <c r="AP30" s="110"/>
      <c r="AQ30" s="110"/>
      <c r="AR30" s="114"/>
      <c r="AS30" s="120">
        <f t="shared" si="5"/>
        <v>0</v>
      </c>
      <c r="AT30" s="121" t="str">
        <f t="shared" si="6"/>
        <v/>
      </c>
      <c r="AU30" s="118">
        <f t="shared" si="7"/>
        <v>0</v>
      </c>
      <c r="AV30" s="119">
        <f t="shared" si="8"/>
        <v>0</v>
      </c>
      <c r="AW30" s="64"/>
    </row>
    <row r="31" spans="1:49" ht="30" customHeight="1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V31" s="2"/>
      <c r="W31" s="2"/>
      <c r="X31" s="2"/>
      <c r="Z31" s="162">
        <v>8</v>
      </c>
      <c r="AA31" s="88"/>
      <c r="AB31" s="105"/>
      <c r="AC31" s="105"/>
      <c r="AD31" s="106">
        <f>VLOOKUP($AB$17,Aux_Lista!A:K,10,FALSE)</f>
        <v>10</v>
      </c>
      <c r="AE31" s="106">
        <f>VLOOKUP($AB$17,Aux_Lista!A:L,11,FALSE)</f>
        <v>10</v>
      </c>
      <c r="AF31" s="143"/>
      <c r="AG31" s="143"/>
      <c r="AH31" s="107"/>
      <c r="AI31" s="107"/>
      <c r="AJ31" s="107"/>
      <c r="AK31" s="108"/>
      <c r="AL31" s="106">
        <f t="shared" si="4"/>
        <v>0</v>
      </c>
      <c r="AM31" s="109" t="e">
        <f t="shared" si="9"/>
        <v>#DIV/0!</v>
      </c>
      <c r="AN31" s="89"/>
      <c r="AO31" s="113"/>
      <c r="AP31" s="110"/>
      <c r="AQ31" s="110"/>
      <c r="AR31" s="114"/>
      <c r="AS31" s="120">
        <f t="shared" si="5"/>
        <v>0</v>
      </c>
      <c r="AT31" s="121" t="str">
        <f t="shared" si="6"/>
        <v/>
      </c>
      <c r="AU31" s="118">
        <f t="shared" si="7"/>
        <v>0</v>
      </c>
      <c r="AV31" s="119">
        <f t="shared" si="8"/>
        <v>0</v>
      </c>
      <c r="AW31" s="64"/>
    </row>
    <row r="32" spans="1:49" ht="30" customHeight="1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V32" s="2"/>
      <c r="W32" s="2"/>
      <c r="X32" s="2"/>
      <c r="Z32" s="162">
        <v>9</v>
      </c>
      <c r="AA32" s="88"/>
      <c r="AB32" s="105"/>
      <c r="AC32" s="105"/>
      <c r="AD32" s="106">
        <f>VLOOKUP($AB$17,Aux_Lista!A:K,10,FALSE)</f>
        <v>10</v>
      </c>
      <c r="AE32" s="106">
        <f>VLOOKUP($AB$17,Aux_Lista!A:L,11,FALSE)</f>
        <v>10</v>
      </c>
      <c r="AF32" s="143"/>
      <c r="AG32" s="143"/>
      <c r="AH32" s="107"/>
      <c r="AI32" s="107"/>
      <c r="AJ32" s="107"/>
      <c r="AK32" s="108"/>
      <c r="AL32" s="106">
        <f t="shared" si="4"/>
        <v>0</v>
      </c>
      <c r="AM32" s="109" t="e">
        <f t="shared" si="9"/>
        <v>#DIV/0!</v>
      </c>
      <c r="AN32" s="89"/>
      <c r="AO32" s="113"/>
      <c r="AP32" s="110"/>
      <c r="AQ32" s="110"/>
      <c r="AR32" s="114"/>
      <c r="AS32" s="120">
        <f t="shared" si="5"/>
        <v>0</v>
      </c>
      <c r="AT32" s="121" t="str">
        <f t="shared" si="6"/>
        <v/>
      </c>
      <c r="AU32" s="118">
        <f t="shared" si="7"/>
        <v>0</v>
      </c>
      <c r="AV32" s="119">
        <f t="shared" si="8"/>
        <v>0</v>
      </c>
      <c r="AW32" s="64"/>
    </row>
    <row r="33" spans="2:49" ht="30" customHeight="1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V33" s="2"/>
      <c r="W33" s="2"/>
      <c r="X33" s="2"/>
      <c r="Z33" s="162">
        <v>10</v>
      </c>
      <c r="AA33" s="88"/>
      <c r="AB33" s="105"/>
      <c r="AC33" s="105"/>
      <c r="AD33" s="106">
        <f>VLOOKUP($AB$17,Aux_Lista!A:K,10,FALSE)</f>
        <v>10</v>
      </c>
      <c r="AE33" s="106">
        <f>VLOOKUP($AB$17,Aux_Lista!A:L,11,FALSE)</f>
        <v>10</v>
      </c>
      <c r="AF33" s="143"/>
      <c r="AG33" s="143"/>
      <c r="AH33" s="107"/>
      <c r="AI33" s="107"/>
      <c r="AJ33" s="107"/>
      <c r="AK33" s="108"/>
      <c r="AL33" s="106">
        <f t="shared" si="4"/>
        <v>0</v>
      </c>
      <c r="AM33" s="109" t="e">
        <f t="shared" si="9"/>
        <v>#DIV/0!</v>
      </c>
      <c r="AN33" s="89"/>
      <c r="AO33" s="113"/>
      <c r="AP33" s="110"/>
      <c r="AQ33" s="110"/>
      <c r="AR33" s="114"/>
      <c r="AS33" s="120">
        <f t="shared" si="5"/>
        <v>0</v>
      </c>
      <c r="AT33" s="121" t="str">
        <f t="shared" si="6"/>
        <v/>
      </c>
      <c r="AU33" s="118">
        <f t="shared" si="7"/>
        <v>0</v>
      </c>
      <c r="AV33" s="119">
        <f t="shared" si="8"/>
        <v>0</v>
      </c>
      <c r="AW33" s="64"/>
    </row>
    <row r="34" spans="2:49" ht="30" customHeight="1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V34" s="2"/>
      <c r="W34" s="2"/>
      <c r="X34" s="2"/>
      <c r="Z34" s="162">
        <v>11</v>
      </c>
      <c r="AA34" s="88"/>
      <c r="AB34" s="105"/>
      <c r="AC34" s="105"/>
      <c r="AD34" s="106">
        <f>VLOOKUP($AB$17,Aux_Lista!A:K,10,FALSE)</f>
        <v>10</v>
      </c>
      <c r="AE34" s="106">
        <f>VLOOKUP($AB$17,Aux_Lista!A:L,11,FALSE)</f>
        <v>10</v>
      </c>
      <c r="AF34" s="143"/>
      <c r="AG34" s="143"/>
      <c r="AH34" s="107"/>
      <c r="AI34" s="107"/>
      <c r="AJ34" s="107"/>
      <c r="AK34" s="108"/>
      <c r="AL34" s="106">
        <f t="shared" si="4"/>
        <v>0</v>
      </c>
      <c r="AM34" s="109" t="e">
        <f t="shared" si="9"/>
        <v>#DIV/0!</v>
      </c>
      <c r="AN34" s="89"/>
      <c r="AO34" s="113"/>
      <c r="AP34" s="110"/>
      <c r="AQ34" s="110"/>
      <c r="AR34" s="114"/>
      <c r="AS34" s="120">
        <f t="shared" si="5"/>
        <v>0</v>
      </c>
      <c r="AT34" s="121" t="str">
        <f t="shared" si="6"/>
        <v/>
      </c>
      <c r="AU34" s="118">
        <f t="shared" si="7"/>
        <v>0</v>
      </c>
      <c r="AV34" s="119">
        <f t="shared" si="8"/>
        <v>0</v>
      </c>
      <c r="AW34" s="64"/>
    </row>
    <row r="35" spans="2:49" ht="30" customHeight="1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V35" s="2"/>
      <c r="W35" s="2"/>
      <c r="X35" s="2"/>
      <c r="Z35" s="162">
        <v>12</v>
      </c>
      <c r="AA35" s="88"/>
      <c r="AB35" s="105"/>
      <c r="AC35" s="105"/>
      <c r="AD35" s="106">
        <f>VLOOKUP($AB$17,Aux_Lista!A:K,10,FALSE)</f>
        <v>10</v>
      </c>
      <c r="AE35" s="106">
        <f>VLOOKUP($AB$17,Aux_Lista!A:L,11,FALSE)</f>
        <v>10</v>
      </c>
      <c r="AF35" s="143"/>
      <c r="AG35" s="143"/>
      <c r="AH35" s="107"/>
      <c r="AI35" s="107"/>
      <c r="AJ35" s="107"/>
      <c r="AK35" s="108"/>
      <c r="AL35" s="106">
        <f t="shared" si="4"/>
        <v>0</v>
      </c>
      <c r="AM35" s="109" t="e">
        <f t="shared" si="9"/>
        <v>#DIV/0!</v>
      </c>
      <c r="AN35" s="89"/>
      <c r="AO35" s="113"/>
      <c r="AP35" s="110"/>
      <c r="AQ35" s="110"/>
      <c r="AR35" s="114"/>
      <c r="AS35" s="120">
        <f t="shared" si="5"/>
        <v>0</v>
      </c>
      <c r="AT35" s="121" t="str">
        <f t="shared" si="6"/>
        <v/>
      </c>
      <c r="AU35" s="118">
        <f t="shared" si="7"/>
        <v>0</v>
      </c>
      <c r="AV35" s="119">
        <f t="shared" si="8"/>
        <v>0</v>
      </c>
      <c r="AW35" s="64"/>
    </row>
    <row r="36" spans="2:49" ht="30" customHeight="1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V36" s="2"/>
      <c r="W36" s="2"/>
      <c r="X36" s="2"/>
      <c r="Z36" s="162">
        <v>13</v>
      </c>
      <c r="AA36" s="88"/>
      <c r="AB36" s="105"/>
      <c r="AC36" s="105"/>
      <c r="AD36" s="106">
        <f>VLOOKUP($AB$17,Aux_Lista!A:K,10,FALSE)</f>
        <v>10</v>
      </c>
      <c r="AE36" s="106">
        <f>VLOOKUP($AB$17,Aux_Lista!A:L,11,FALSE)</f>
        <v>10</v>
      </c>
      <c r="AF36" s="143"/>
      <c r="AG36" s="143"/>
      <c r="AH36" s="107"/>
      <c r="AI36" s="107"/>
      <c r="AJ36" s="107"/>
      <c r="AK36" s="108"/>
      <c r="AL36" s="106">
        <f t="shared" si="4"/>
        <v>0</v>
      </c>
      <c r="AM36" s="109" t="e">
        <f t="shared" si="9"/>
        <v>#DIV/0!</v>
      </c>
      <c r="AN36" s="89"/>
      <c r="AO36" s="113"/>
      <c r="AP36" s="110"/>
      <c r="AQ36" s="110"/>
      <c r="AR36" s="114"/>
      <c r="AS36" s="120">
        <f t="shared" si="5"/>
        <v>0</v>
      </c>
      <c r="AT36" s="121" t="str">
        <f t="shared" si="6"/>
        <v/>
      </c>
      <c r="AU36" s="118">
        <f t="shared" si="7"/>
        <v>0</v>
      </c>
      <c r="AV36" s="119">
        <f t="shared" si="8"/>
        <v>0</v>
      </c>
      <c r="AW36" s="64"/>
    </row>
    <row r="37" spans="2:49" ht="30" customHeight="1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V37" s="2"/>
      <c r="W37" s="2"/>
      <c r="X37" s="2"/>
      <c r="Z37" s="162">
        <v>14</v>
      </c>
      <c r="AA37" s="88"/>
      <c r="AB37" s="105"/>
      <c r="AC37" s="105"/>
      <c r="AD37" s="106">
        <f>VLOOKUP($AB$17,Aux_Lista!A:K,10,FALSE)</f>
        <v>10</v>
      </c>
      <c r="AE37" s="106">
        <f>VLOOKUP($AB$17,Aux_Lista!A:L,11,FALSE)</f>
        <v>10</v>
      </c>
      <c r="AF37" s="143"/>
      <c r="AG37" s="143"/>
      <c r="AH37" s="107"/>
      <c r="AI37" s="107"/>
      <c r="AJ37" s="107"/>
      <c r="AK37" s="108"/>
      <c r="AL37" s="106">
        <f t="shared" si="4"/>
        <v>0</v>
      </c>
      <c r="AM37" s="109" t="e">
        <f t="shared" si="9"/>
        <v>#DIV/0!</v>
      </c>
      <c r="AN37" s="89"/>
      <c r="AO37" s="113"/>
      <c r="AP37" s="110"/>
      <c r="AQ37" s="110"/>
      <c r="AR37" s="114"/>
      <c r="AS37" s="120">
        <f t="shared" si="5"/>
        <v>0</v>
      </c>
      <c r="AT37" s="121" t="str">
        <f t="shared" si="6"/>
        <v/>
      </c>
      <c r="AU37" s="118">
        <f t="shared" si="7"/>
        <v>0</v>
      </c>
      <c r="AV37" s="119">
        <f t="shared" si="8"/>
        <v>0</v>
      </c>
      <c r="AW37" s="64"/>
    </row>
    <row r="38" spans="2:49" ht="30" customHeight="1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V38" s="2"/>
      <c r="W38" s="2"/>
      <c r="X38" s="2"/>
      <c r="Z38" s="162">
        <v>15</v>
      </c>
      <c r="AA38" s="88"/>
      <c r="AB38" s="105"/>
      <c r="AC38" s="105"/>
      <c r="AD38" s="106">
        <f>VLOOKUP($AB$17,Aux_Lista!A:K,10,FALSE)</f>
        <v>10</v>
      </c>
      <c r="AE38" s="106">
        <f>VLOOKUP($AB$17,Aux_Lista!A:L,11,FALSE)</f>
        <v>10</v>
      </c>
      <c r="AF38" s="143"/>
      <c r="AG38" s="143"/>
      <c r="AH38" s="107"/>
      <c r="AI38" s="107"/>
      <c r="AJ38" s="107"/>
      <c r="AK38" s="108"/>
      <c r="AL38" s="106">
        <f t="shared" si="4"/>
        <v>0</v>
      </c>
      <c r="AM38" s="109" t="e">
        <f t="shared" si="9"/>
        <v>#DIV/0!</v>
      </c>
      <c r="AN38" s="89"/>
      <c r="AO38" s="113"/>
      <c r="AP38" s="110"/>
      <c r="AQ38" s="110"/>
      <c r="AR38" s="114"/>
      <c r="AS38" s="120">
        <f t="shared" si="5"/>
        <v>0</v>
      </c>
      <c r="AT38" s="121" t="str">
        <f t="shared" si="6"/>
        <v/>
      </c>
      <c r="AU38" s="118">
        <f t="shared" si="7"/>
        <v>0</v>
      </c>
      <c r="AV38" s="119">
        <f t="shared" si="8"/>
        <v>0</v>
      </c>
      <c r="AW38" s="64"/>
    </row>
    <row r="39" spans="2:49" ht="30" customHeight="1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V39" s="2"/>
      <c r="W39" s="2"/>
      <c r="X39" s="2"/>
      <c r="Z39" s="162">
        <v>16</v>
      </c>
      <c r="AA39" s="88"/>
      <c r="AB39" s="105"/>
      <c r="AC39" s="105"/>
      <c r="AD39" s="106">
        <f>VLOOKUP($AB$17,Aux_Lista!A:K,10,FALSE)</f>
        <v>10</v>
      </c>
      <c r="AE39" s="106">
        <f>VLOOKUP($AB$17,Aux_Lista!A:L,11,FALSE)</f>
        <v>10</v>
      </c>
      <c r="AF39" s="143"/>
      <c r="AG39" s="143"/>
      <c r="AH39" s="107"/>
      <c r="AI39" s="107"/>
      <c r="AJ39" s="107"/>
      <c r="AK39" s="108"/>
      <c r="AL39" s="106">
        <f t="shared" si="4"/>
        <v>0</v>
      </c>
      <c r="AM39" s="109" t="e">
        <f t="shared" si="9"/>
        <v>#DIV/0!</v>
      </c>
      <c r="AN39" s="89"/>
      <c r="AO39" s="113"/>
      <c r="AP39" s="110"/>
      <c r="AQ39" s="110"/>
      <c r="AR39" s="114"/>
      <c r="AS39" s="120">
        <f t="shared" si="5"/>
        <v>0</v>
      </c>
      <c r="AT39" s="121" t="str">
        <f t="shared" si="6"/>
        <v/>
      </c>
      <c r="AU39" s="118">
        <f t="shared" si="7"/>
        <v>0</v>
      </c>
      <c r="AV39" s="119">
        <f t="shared" si="8"/>
        <v>0</v>
      </c>
      <c r="AW39" s="64"/>
    </row>
    <row r="40" spans="2:49" ht="30" customHeight="1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V40" s="2"/>
      <c r="W40" s="2"/>
      <c r="X40" s="2"/>
      <c r="Z40" s="162">
        <v>17</v>
      </c>
      <c r="AA40" s="88"/>
      <c r="AB40" s="105"/>
      <c r="AC40" s="105"/>
      <c r="AD40" s="106">
        <f>VLOOKUP($AB$17,Aux_Lista!A:K,10,FALSE)</f>
        <v>10</v>
      </c>
      <c r="AE40" s="106">
        <f>VLOOKUP($AB$17,Aux_Lista!A:L,11,FALSE)</f>
        <v>10</v>
      </c>
      <c r="AF40" s="143"/>
      <c r="AG40" s="143"/>
      <c r="AH40" s="107"/>
      <c r="AI40" s="107"/>
      <c r="AJ40" s="107"/>
      <c r="AK40" s="108"/>
      <c r="AL40" s="106">
        <f t="shared" si="4"/>
        <v>0</v>
      </c>
      <c r="AM40" s="109" t="e">
        <f t="shared" si="9"/>
        <v>#DIV/0!</v>
      </c>
      <c r="AN40" s="89"/>
      <c r="AO40" s="113"/>
      <c r="AP40" s="110"/>
      <c r="AQ40" s="110"/>
      <c r="AR40" s="114"/>
      <c r="AS40" s="120">
        <f t="shared" si="5"/>
        <v>0</v>
      </c>
      <c r="AT40" s="121" t="str">
        <f t="shared" si="6"/>
        <v/>
      </c>
      <c r="AU40" s="118">
        <f t="shared" si="7"/>
        <v>0</v>
      </c>
      <c r="AV40" s="119">
        <f t="shared" si="8"/>
        <v>0</v>
      </c>
      <c r="AW40" s="64"/>
    </row>
    <row r="41" spans="2:49" ht="30" customHeight="1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V41" s="2"/>
      <c r="W41" s="2"/>
      <c r="X41" s="2"/>
      <c r="Z41" s="162">
        <v>18</v>
      </c>
      <c r="AA41" s="88"/>
      <c r="AB41" s="105"/>
      <c r="AC41" s="105"/>
      <c r="AD41" s="106">
        <f>VLOOKUP($AB$17,Aux_Lista!A:K,10,FALSE)</f>
        <v>10</v>
      </c>
      <c r="AE41" s="106">
        <f>VLOOKUP($AB$17,Aux_Lista!A:L,11,FALSE)</f>
        <v>10</v>
      </c>
      <c r="AF41" s="143"/>
      <c r="AG41" s="143"/>
      <c r="AH41" s="107"/>
      <c r="AI41" s="107"/>
      <c r="AJ41" s="107"/>
      <c r="AK41" s="108"/>
      <c r="AL41" s="106">
        <f t="shared" si="4"/>
        <v>0</v>
      </c>
      <c r="AM41" s="109" t="e">
        <f t="shared" si="9"/>
        <v>#DIV/0!</v>
      </c>
      <c r="AN41" s="89"/>
      <c r="AO41" s="113"/>
      <c r="AP41" s="110"/>
      <c r="AQ41" s="110"/>
      <c r="AR41" s="114"/>
      <c r="AS41" s="120">
        <f t="shared" si="5"/>
        <v>0</v>
      </c>
      <c r="AT41" s="121" t="str">
        <f t="shared" si="6"/>
        <v/>
      </c>
      <c r="AU41" s="118">
        <f t="shared" si="7"/>
        <v>0</v>
      </c>
      <c r="AV41" s="119">
        <f t="shared" si="8"/>
        <v>0</v>
      </c>
      <c r="AW41" s="64"/>
    </row>
    <row r="42" spans="2:49" ht="30" customHeight="1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V42" s="2"/>
      <c r="W42" s="2"/>
      <c r="X42" s="2"/>
      <c r="Z42" s="162">
        <v>19</v>
      </c>
      <c r="AA42" s="88"/>
      <c r="AB42" s="105"/>
      <c r="AC42" s="105"/>
      <c r="AD42" s="106">
        <f>VLOOKUP($AB$17,Aux_Lista!A:K,10,FALSE)</f>
        <v>10</v>
      </c>
      <c r="AE42" s="106">
        <f>VLOOKUP($AB$17,Aux_Lista!A:L,11,FALSE)</f>
        <v>10</v>
      </c>
      <c r="AF42" s="143"/>
      <c r="AG42" s="143"/>
      <c r="AH42" s="107"/>
      <c r="AI42" s="107"/>
      <c r="AJ42" s="107"/>
      <c r="AK42" s="108"/>
      <c r="AL42" s="106">
        <f t="shared" si="4"/>
        <v>0</v>
      </c>
      <c r="AM42" s="109" t="e">
        <f t="shared" si="9"/>
        <v>#DIV/0!</v>
      </c>
      <c r="AN42" s="89"/>
      <c r="AO42" s="113"/>
      <c r="AP42" s="110"/>
      <c r="AQ42" s="110"/>
      <c r="AR42" s="114"/>
      <c r="AS42" s="120">
        <f t="shared" si="5"/>
        <v>0</v>
      </c>
      <c r="AT42" s="121" t="str">
        <f t="shared" si="6"/>
        <v/>
      </c>
      <c r="AU42" s="118">
        <f t="shared" si="7"/>
        <v>0</v>
      </c>
      <c r="AV42" s="119">
        <f t="shared" si="8"/>
        <v>0</v>
      </c>
      <c r="AW42" s="64"/>
    </row>
    <row r="43" spans="2:49" ht="30" customHeight="1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V43" s="2"/>
      <c r="W43" s="2"/>
      <c r="X43" s="2"/>
      <c r="Z43" s="162">
        <v>20</v>
      </c>
      <c r="AA43" s="88"/>
      <c r="AB43" s="105"/>
      <c r="AC43" s="105"/>
      <c r="AD43" s="106">
        <f>VLOOKUP($AB$17,Aux_Lista!A:K,10,FALSE)</f>
        <v>10</v>
      </c>
      <c r="AE43" s="106">
        <f>VLOOKUP($AB$17,Aux_Lista!A:L,11,FALSE)</f>
        <v>10</v>
      </c>
      <c r="AF43" s="143"/>
      <c r="AG43" s="143"/>
      <c r="AH43" s="107"/>
      <c r="AI43" s="107"/>
      <c r="AJ43" s="107"/>
      <c r="AK43" s="108"/>
      <c r="AL43" s="106">
        <f t="shared" si="4"/>
        <v>0</v>
      </c>
      <c r="AM43" s="109" t="e">
        <f t="shared" si="9"/>
        <v>#DIV/0!</v>
      </c>
      <c r="AN43" s="89"/>
      <c r="AO43" s="113"/>
      <c r="AP43" s="110"/>
      <c r="AQ43" s="110"/>
      <c r="AR43" s="114"/>
      <c r="AS43" s="120">
        <f t="shared" si="5"/>
        <v>0</v>
      </c>
      <c r="AT43" s="121" t="str">
        <f t="shared" si="6"/>
        <v/>
      </c>
      <c r="AU43" s="118">
        <f t="shared" si="7"/>
        <v>0</v>
      </c>
      <c r="AV43" s="119">
        <f t="shared" si="8"/>
        <v>0</v>
      </c>
      <c r="AW43" s="64"/>
    </row>
    <row r="44" spans="2:49" ht="30" customHeight="1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V44" s="2"/>
      <c r="W44" s="2"/>
      <c r="X44" s="2"/>
      <c r="Z44" s="162">
        <v>21</v>
      </c>
      <c r="AA44" s="88"/>
      <c r="AB44" s="105"/>
      <c r="AC44" s="105"/>
      <c r="AD44" s="106">
        <f>VLOOKUP($AB$17,Aux_Lista!A:K,10,FALSE)</f>
        <v>10</v>
      </c>
      <c r="AE44" s="106">
        <f>VLOOKUP($AB$17,Aux_Lista!A:L,11,FALSE)</f>
        <v>10</v>
      </c>
      <c r="AF44" s="143"/>
      <c r="AG44" s="143"/>
      <c r="AH44" s="107"/>
      <c r="AI44" s="107"/>
      <c r="AJ44" s="107"/>
      <c r="AK44" s="108"/>
      <c r="AL44" s="106">
        <f t="shared" si="4"/>
        <v>0</v>
      </c>
      <c r="AM44" s="109" t="e">
        <f t="shared" si="9"/>
        <v>#DIV/0!</v>
      </c>
      <c r="AN44" s="89"/>
      <c r="AO44" s="113"/>
      <c r="AP44" s="110"/>
      <c r="AQ44" s="110"/>
      <c r="AR44" s="114"/>
      <c r="AS44" s="120">
        <f t="shared" si="5"/>
        <v>0</v>
      </c>
      <c r="AT44" s="121" t="str">
        <f t="shared" si="6"/>
        <v/>
      </c>
      <c r="AU44" s="118">
        <f t="shared" si="7"/>
        <v>0</v>
      </c>
      <c r="AV44" s="119">
        <f t="shared" si="8"/>
        <v>0</v>
      </c>
      <c r="AW44" s="64"/>
    </row>
    <row r="45" spans="2:49" ht="30" customHeight="1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V45" s="2"/>
      <c r="W45" s="2"/>
      <c r="X45" s="2"/>
      <c r="Z45" s="162">
        <v>22</v>
      </c>
      <c r="AA45" s="88"/>
      <c r="AB45" s="105"/>
      <c r="AC45" s="105"/>
      <c r="AD45" s="106">
        <f>VLOOKUP($AB$17,Aux_Lista!A:K,10,FALSE)</f>
        <v>10</v>
      </c>
      <c r="AE45" s="106">
        <f>VLOOKUP($AB$17,Aux_Lista!A:L,11,FALSE)</f>
        <v>10</v>
      </c>
      <c r="AF45" s="143"/>
      <c r="AG45" s="143"/>
      <c r="AH45" s="107"/>
      <c r="AI45" s="107"/>
      <c r="AJ45" s="107"/>
      <c r="AK45" s="108"/>
      <c r="AL45" s="106">
        <f t="shared" si="4"/>
        <v>0</v>
      </c>
      <c r="AM45" s="109" t="e">
        <f t="shared" si="9"/>
        <v>#DIV/0!</v>
      </c>
      <c r="AN45" s="89"/>
      <c r="AO45" s="113"/>
      <c r="AP45" s="110"/>
      <c r="AQ45" s="110"/>
      <c r="AR45" s="114"/>
      <c r="AS45" s="120">
        <f t="shared" si="5"/>
        <v>0</v>
      </c>
      <c r="AT45" s="121" t="str">
        <f t="shared" si="6"/>
        <v/>
      </c>
      <c r="AU45" s="118">
        <f t="shared" si="7"/>
        <v>0</v>
      </c>
      <c r="AV45" s="119">
        <f t="shared" si="8"/>
        <v>0</v>
      </c>
      <c r="AW45" s="64"/>
    </row>
    <row r="46" spans="2:49" ht="30" customHeight="1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V46" s="2"/>
      <c r="W46" s="2"/>
      <c r="X46" s="2"/>
      <c r="Z46" s="162">
        <v>23</v>
      </c>
      <c r="AA46" s="88"/>
      <c r="AB46" s="105"/>
      <c r="AC46" s="105"/>
      <c r="AD46" s="106">
        <f>VLOOKUP($AB$17,Aux_Lista!A:K,10,FALSE)</f>
        <v>10</v>
      </c>
      <c r="AE46" s="106">
        <f>VLOOKUP($AB$17,Aux_Lista!A:L,11,FALSE)</f>
        <v>10</v>
      </c>
      <c r="AF46" s="143"/>
      <c r="AG46" s="143"/>
      <c r="AH46" s="107"/>
      <c r="AI46" s="107"/>
      <c r="AJ46" s="107"/>
      <c r="AK46" s="108"/>
      <c r="AL46" s="106">
        <f t="shared" si="4"/>
        <v>0</v>
      </c>
      <c r="AM46" s="109" t="e">
        <f t="shared" si="9"/>
        <v>#DIV/0!</v>
      </c>
      <c r="AN46" s="89"/>
      <c r="AO46" s="113"/>
      <c r="AP46" s="110"/>
      <c r="AQ46" s="110"/>
      <c r="AR46" s="114"/>
      <c r="AS46" s="120">
        <f t="shared" si="5"/>
        <v>0</v>
      </c>
      <c r="AT46" s="121" t="str">
        <f t="shared" si="6"/>
        <v/>
      </c>
      <c r="AU46" s="118">
        <f t="shared" si="7"/>
        <v>0</v>
      </c>
      <c r="AV46" s="119">
        <f t="shared" si="8"/>
        <v>0</v>
      </c>
      <c r="AW46" s="64"/>
    </row>
    <row r="47" spans="2:49" ht="30" customHeight="1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V47" s="2"/>
      <c r="W47" s="2"/>
      <c r="X47" s="2"/>
      <c r="Z47" s="162">
        <v>24</v>
      </c>
      <c r="AA47" s="88"/>
      <c r="AB47" s="105"/>
      <c r="AC47" s="105"/>
      <c r="AD47" s="106">
        <f>VLOOKUP($AB$17,Aux_Lista!A:K,10,FALSE)</f>
        <v>10</v>
      </c>
      <c r="AE47" s="106">
        <f>VLOOKUP($AB$17,Aux_Lista!A:L,11,FALSE)</f>
        <v>10</v>
      </c>
      <c r="AF47" s="143"/>
      <c r="AG47" s="143"/>
      <c r="AH47" s="107"/>
      <c r="AI47" s="107"/>
      <c r="AJ47" s="107"/>
      <c r="AK47" s="108"/>
      <c r="AL47" s="106">
        <f t="shared" si="4"/>
        <v>0</v>
      </c>
      <c r="AM47" s="109" t="e">
        <f t="shared" si="9"/>
        <v>#DIV/0!</v>
      </c>
      <c r="AN47" s="89"/>
      <c r="AO47" s="113"/>
      <c r="AP47" s="110"/>
      <c r="AQ47" s="110"/>
      <c r="AR47" s="114"/>
      <c r="AS47" s="120">
        <f t="shared" si="5"/>
        <v>0</v>
      </c>
      <c r="AT47" s="121" t="str">
        <f t="shared" si="6"/>
        <v/>
      </c>
      <c r="AU47" s="118">
        <f t="shared" si="7"/>
        <v>0</v>
      </c>
      <c r="AV47" s="119">
        <f t="shared" si="8"/>
        <v>0</v>
      </c>
      <c r="AW47" s="64"/>
    </row>
    <row r="48" spans="2:49" ht="30" customHeight="1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V48" s="2"/>
      <c r="W48" s="2"/>
      <c r="X48" s="2"/>
      <c r="Z48" s="162">
        <v>25</v>
      </c>
      <c r="AA48" s="88"/>
      <c r="AB48" s="105"/>
      <c r="AC48" s="105"/>
      <c r="AD48" s="106">
        <f>VLOOKUP($AB$17,Aux_Lista!A:K,10,FALSE)</f>
        <v>10</v>
      </c>
      <c r="AE48" s="106">
        <f>VLOOKUP($AB$17,Aux_Lista!A:L,11,FALSE)</f>
        <v>10</v>
      </c>
      <c r="AF48" s="143"/>
      <c r="AG48" s="143"/>
      <c r="AH48" s="107"/>
      <c r="AI48" s="107"/>
      <c r="AJ48" s="107"/>
      <c r="AK48" s="108"/>
      <c r="AL48" s="106">
        <f t="shared" si="4"/>
        <v>0</v>
      </c>
      <c r="AM48" s="109" t="e">
        <f t="shared" si="9"/>
        <v>#DIV/0!</v>
      </c>
      <c r="AN48" s="89"/>
      <c r="AO48" s="113"/>
      <c r="AP48" s="110"/>
      <c r="AQ48" s="110"/>
      <c r="AR48" s="114"/>
      <c r="AS48" s="120">
        <f t="shared" si="5"/>
        <v>0</v>
      </c>
      <c r="AT48" s="121" t="str">
        <f t="shared" si="6"/>
        <v/>
      </c>
      <c r="AU48" s="118">
        <f t="shared" si="7"/>
        <v>0</v>
      </c>
      <c r="AV48" s="119">
        <f t="shared" si="8"/>
        <v>0</v>
      </c>
      <c r="AW48" s="64"/>
    </row>
    <row r="49" spans="2:49" ht="30" customHeight="1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V49" s="2"/>
      <c r="W49" s="2"/>
      <c r="X49" s="2"/>
      <c r="Z49" s="162">
        <v>26</v>
      </c>
      <c r="AA49" s="88"/>
      <c r="AB49" s="105"/>
      <c r="AC49" s="105"/>
      <c r="AD49" s="106">
        <f>VLOOKUP($AB$17,Aux_Lista!A:K,10,FALSE)</f>
        <v>10</v>
      </c>
      <c r="AE49" s="106">
        <f>VLOOKUP($AB$17,Aux_Lista!A:L,11,FALSE)</f>
        <v>10</v>
      </c>
      <c r="AF49" s="143"/>
      <c r="AG49" s="143"/>
      <c r="AH49" s="107"/>
      <c r="AI49" s="107"/>
      <c r="AJ49" s="107"/>
      <c r="AK49" s="108"/>
      <c r="AL49" s="106">
        <f t="shared" si="4"/>
        <v>0</v>
      </c>
      <c r="AM49" s="109" t="e">
        <f t="shared" si="9"/>
        <v>#DIV/0!</v>
      </c>
      <c r="AN49" s="89"/>
      <c r="AO49" s="113"/>
      <c r="AP49" s="110"/>
      <c r="AQ49" s="110"/>
      <c r="AR49" s="114"/>
      <c r="AS49" s="120">
        <f t="shared" si="5"/>
        <v>0</v>
      </c>
      <c r="AT49" s="121" t="str">
        <f t="shared" si="6"/>
        <v/>
      </c>
      <c r="AU49" s="118">
        <f t="shared" si="7"/>
        <v>0</v>
      </c>
      <c r="AV49" s="119">
        <f t="shared" si="8"/>
        <v>0</v>
      </c>
      <c r="AW49" s="64"/>
    </row>
    <row r="50" spans="2:49" ht="30" customHeight="1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V50" s="2"/>
      <c r="W50" s="2"/>
      <c r="X50" s="2"/>
      <c r="Z50" s="162">
        <v>27</v>
      </c>
      <c r="AA50" s="88"/>
      <c r="AB50" s="105"/>
      <c r="AC50" s="105"/>
      <c r="AD50" s="106">
        <f>VLOOKUP($AB$17,Aux_Lista!A:K,10,FALSE)</f>
        <v>10</v>
      </c>
      <c r="AE50" s="106">
        <f>VLOOKUP($AB$17,Aux_Lista!A:L,11,FALSE)</f>
        <v>10</v>
      </c>
      <c r="AF50" s="143"/>
      <c r="AG50" s="143"/>
      <c r="AH50" s="107"/>
      <c r="AI50" s="107"/>
      <c r="AJ50" s="107"/>
      <c r="AK50" s="108"/>
      <c r="AL50" s="106">
        <f t="shared" si="4"/>
        <v>0</v>
      </c>
      <c r="AM50" s="109" t="e">
        <f t="shared" si="9"/>
        <v>#DIV/0!</v>
      </c>
      <c r="AN50" s="89"/>
      <c r="AO50" s="113"/>
      <c r="AP50" s="110"/>
      <c r="AQ50" s="110"/>
      <c r="AR50" s="114"/>
      <c r="AS50" s="120">
        <f t="shared" si="5"/>
        <v>0</v>
      </c>
      <c r="AT50" s="121" t="str">
        <f t="shared" si="6"/>
        <v/>
      </c>
      <c r="AU50" s="118">
        <f t="shared" si="7"/>
        <v>0</v>
      </c>
      <c r="AV50" s="119">
        <f t="shared" si="8"/>
        <v>0</v>
      </c>
      <c r="AW50" s="64"/>
    </row>
    <row r="51" spans="2:49" ht="30" customHeight="1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V51" s="2"/>
      <c r="W51" s="2"/>
      <c r="X51" s="2"/>
      <c r="Z51" s="162">
        <v>28</v>
      </c>
      <c r="AA51" s="88"/>
      <c r="AB51" s="105"/>
      <c r="AC51" s="105"/>
      <c r="AD51" s="106">
        <f>VLOOKUP($AB$17,Aux_Lista!A:K,10,FALSE)</f>
        <v>10</v>
      </c>
      <c r="AE51" s="106">
        <f>VLOOKUP($AB$17,Aux_Lista!A:L,11,FALSE)</f>
        <v>10</v>
      </c>
      <c r="AF51" s="143"/>
      <c r="AG51" s="143"/>
      <c r="AH51" s="107"/>
      <c r="AI51" s="107"/>
      <c r="AJ51" s="107"/>
      <c r="AK51" s="108"/>
      <c r="AL51" s="106">
        <f t="shared" si="4"/>
        <v>0</v>
      </c>
      <c r="AM51" s="109" t="e">
        <f t="shared" si="9"/>
        <v>#DIV/0!</v>
      </c>
      <c r="AN51" s="89"/>
      <c r="AO51" s="113"/>
      <c r="AP51" s="110"/>
      <c r="AQ51" s="110"/>
      <c r="AR51" s="114"/>
      <c r="AS51" s="120">
        <f t="shared" si="5"/>
        <v>0</v>
      </c>
      <c r="AT51" s="121" t="str">
        <f t="shared" si="6"/>
        <v/>
      </c>
      <c r="AU51" s="118">
        <f t="shared" si="7"/>
        <v>0</v>
      </c>
      <c r="AV51" s="119">
        <f t="shared" si="8"/>
        <v>0</v>
      </c>
      <c r="AW51" s="64"/>
    </row>
    <row r="52" spans="2:49" ht="30" customHeight="1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V52" s="2"/>
      <c r="W52" s="2"/>
      <c r="X52" s="2"/>
      <c r="Z52" s="162">
        <v>29</v>
      </c>
      <c r="AA52" s="88"/>
      <c r="AB52" s="105"/>
      <c r="AC52" s="105"/>
      <c r="AD52" s="106">
        <f>VLOOKUP($AB$17,Aux_Lista!A:K,10,FALSE)</f>
        <v>10</v>
      </c>
      <c r="AE52" s="106">
        <f>VLOOKUP($AB$17,Aux_Lista!A:L,11,FALSE)</f>
        <v>10</v>
      </c>
      <c r="AF52" s="143"/>
      <c r="AG52" s="143"/>
      <c r="AH52" s="107"/>
      <c r="AI52" s="107"/>
      <c r="AJ52" s="107"/>
      <c r="AK52" s="108"/>
      <c r="AL52" s="106">
        <f t="shared" si="4"/>
        <v>0</v>
      </c>
      <c r="AM52" s="109" t="e">
        <f t="shared" si="9"/>
        <v>#DIV/0!</v>
      </c>
      <c r="AN52" s="89"/>
      <c r="AO52" s="113"/>
      <c r="AP52" s="110"/>
      <c r="AQ52" s="110"/>
      <c r="AR52" s="114"/>
      <c r="AS52" s="120">
        <f t="shared" si="5"/>
        <v>0</v>
      </c>
      <c r="AT52" s="121" t="str">
        <f t="shared" si="6"/>
        <v/>
      </c>
      <c r="AU52" s="118">
        <f t="shared" si="7"/>
        <v>0</v>
      </c>
      <c r="AV52" s="119">
        <f t="shared" si="8"/>
        <v>0</v>
      </c>
      <c r="AW52" s="64"/>
    </row>
    <row r="53" spans="2:49" ht="30" customHeight="1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V53" s="2"/>
      <c r="W53" s="2"/>
      <c r="X53" s="2"/>
      <c r="Z53" s="162">
        <v>30</v>
      </c>
      <c r="AA53" s="88"/>
      <c r="AB53" s="105"/>
      <c r="AC53" s="105"/>
      <c r="AD53" s="106">
        <f>VLOOKUP($AB$17,Aux_Lista!A:K,10,FALSE)</f>
        <v>10</v>
      </c>
      <c r="AE53" s="106">
        <f>VLOOKUP($AB$17,Aux_Lista!A:L,11,FALSE)</f>
        <v>10</v>
      </c>
      <c r="AF53" s="143"/>
      <c r="AG53" s="143"/>
      <c r="AH53" s="107"/>
      <c r="AI53" s="107"/>
      <c r="AJ53" s="107"/>
      <c r="AK53" s="108"/>
      <c r="AL53" s="106">
        <f t="shared" si="4"/>
        <v>0</v>
      </c>
      <c r="AM53" s="109" t="e">
        <f t="shared" si="9"/>
        <v>#DIV/0!</v>
      </c>
      <c r="AN53" s="89"/>
      <c r="AO53" s="113"/>
      <c r="AP53" s="110"/>
      <c r="AQ53" s="110"/>
      <c r="AR53" s="114"/>
      <c r="AS53" s="120">
        <f t="shared" si="5"/>
        <v>0</v>
      </c>
      <c r="AT53" s="121" t="str">
        <f t="shared" si="6"/>
        <v/>
      </c>
      <c r="AU53" s="118">
        <f t="shared" si="7"/>
        <v>0</v>
      </c>
      <c r="AV53" s="119">
        <f t="shared" si="8"/>
        <v>0</v>
      </c>
      <c r="AW53" s="64"/>
    </row>
    <row r="54" spans="2:49" ht="30" customHeight="1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V54" s="2"/>
      <c r="W54" s="2"/>
      <c r="X54" s="2"/>
      <c r="Z54" s="162">
        <v>31</v>
      </c>
      <c r="AA54" s="88"/>
      <c r="AB54" s="105"/>
      <c r="AC54" s="105"/>
      <c r="AD54" s="106">
        <f>VLOOKUP($AB$17,Aux_Lista!A:K,10,FALSE)</f>
        <v>10</v>
      </c>
      <c r="AE54" s="106">
        <f>VLOOKUP($AB$17,Aux_Lista!A:L,11,FALSE)</f>
        <v>10</v>
      </c>
      <c r="AF54" s="143"/>
      <c r="AG54" s="143"/>
      <c r="AH54" s="107"/>
      <c r="AI54" s="107"/>
      <c r="AJ54" s="107"/>
      <c r="AK54" s="108"/>
      <c r="AL54" s="106">
        <f t="shared" si="4"/>
        <v>0</v>
      </c>
      <c r="AM54" s="109" t="e">
        <f t="shared" si="9"/>
        <v>#DIV/0!</v>
      </c>
      <c r="AN54" s="89"/>
      <c r="AO54" s="113"/>
      <c r="AP54" s="110"/>
      <c r="AQ54" s="110"/>
      <c r="AR54" s="114"/>
      <c r="AS54" s="120">
        <f t="shared" si="5"/>
        <v>0</v>
      </c>
      <c r="AT54" s="121" t="str">
        <f t="shared" si="6"/>
        <v/>
      </c>
      <c r="AU54" s="118">
        <f t="shared" si="7"/>
        <v>0</v>
      </c>
      <c r="AV54" s="119">
        <f t="shared" si="8"/>
        <v>0</v>
      </c>
      <c r="AW54" s="64"/>
    </row>
    <row r="55" spans="2:49" ht="30" customHeight="1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V55" s="2"/>
      <c r="W55" s="2"/>
      <c r="X55" s="2"/>
      <c r="Z55" s="162">
        <v>32</v>
      </c>
      <c r="AA55" s="88"/>
      <c r="AB55" s="105"/>
      <c r="AC55" s="105"/>
      <c r="AD55" s="106">
        <f>VLOOKUP($AB$17,Aux_Lista!A:K,10,FALSE)</f>
        <v>10</v>
      </c>
      <c r="AE55" s="106">
        <f>VLOOKUP($AB$17,Aux_Lista!A:L,11,FALSE)</f>
        <v>10</v>
      </c>
      <c r="AF55" s="143"/>
      <c r="AG55" s="143"/>
      <c r="AH55" s="107"/>
      <c r="AI55" s="107"/>
      <c r="AJ55" s="107"/>
      <c r="AK55" s="108"/>
      <c r="AL55" s="106">
        <f t="shared" si="4"/>
        <v>0</v>
      </c>
      <c r="AM55" s="109" t="e">
        <f t="shared" si="9"/>
        <v>#DIV/0!</v>
      </c>
      <c r="AN55" s="89"/>
      <c r="AO55" s="113"/>
      <c r="AP55" s="110"/>
      <c r="AQ55" s="110"/>
      <c r="AR55" s="114"/>
      <c r="AS55" s="120">
        <f t="shared" si="5"/>
        <v>0</v>
      </c>
      <c r="AT55" s="121" t="str">
        <f t="shared" si="6"/>
        <v/>
      </c>
      <c r="AU55" s="118">
        <f t="shared" si="7"/>
        <v>0</v>
      </c>
      <c r="AV55" s="119">
        <f t="shared" si="8"/>
        <v>0</v>
      </c>
      <c r="AW55" s="64"/>
    </row>
    <row r="56" spans="2:49" ht="30" customHeight="1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V56" s="2"/>
      <c r="W56" s="2"/>
      <c r="X56" s="2"/>
      <c r="Z56" s="162">
        <v>33</v>
      </c>
      <c r="AA56" s="88"/>
      <c r="AB56" s="105"/>
      <c r="AC56" s="105"/>
      <c r="AD56" s="106">
        <f>VLOOKUP($AB$17,Aux_Lista!A:K,10,FALSE)</f>
        <v>10</v>
      </c>
      <c r="AE56" s="106">
        <f>VLOOKUP($AB$17,Aux_Lista!A:L,11,FALSE)</f>
        <v>10</v>
      </c>
      <c r="AF56" s="143"/>
      <c r="AG56" s="143"/>
      <c r="AH56" s="107"/>
      <c r="AI56" s="107"/>
      <c r="AJ56" s="107"/>
      <c r="AK56" s="108"/>
      <c r="AL56" s="106">
        <f t="shared" si="4"/>
        <v>0</v>
      </c>
      <c r="AM56" s="109" t="e">
        <f t="shared" si="9"/>
        <v>#DIV/0!</v>
      </c>
      <c r="AN56" s="89"/>
      <c r="AO56" s="113"/>
      <c r="AP56" s="110"/>
      <c r="AQ56" s="110"/>
      <c r="AR56" s="114"/>
      <c r="AS56" s="120">
        <f t="shared" si="5"/>
        <v>0</v>
      </c>
      <c r="AT56" s="121" t="str">
        <f t="shared" si="6"/>
        <v/>
      </c>
      <c r="AU56" s="118">
        <f t="shared" si="7"/>
        <v>0</v>
      </c>
      <c r="AV56" s="119">
        <f t="shared" si="8"/>
        <v>0</v>
      </c>
      <c r="AW56" s="64"/>
    </row>
    <row r="57" spans="2:49" ht="30" customHeight="1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V57" s="2"/>
      <c r="W57" s="2"/>
      <c r="X57" s="2"/>
      <c r="Z57" s="162">
        <v>34</v>
      </c>
      <c r="AA57" s="88"/>
      <c r="AB57" s="105"/>
      <c r="AC57" s="105"/>
      <c r="AD57" s="106">
        <f>VLOOKUP($AB$17,Aux_Lista!A:K,10,FALSE)</f>
        <v>10</v>
      </c>
      <c r="AE57" s="106">
        <f>VLOOKUP($AB$17,Aux_Lista!A:L,11,FALSE)</f>
        <v>10</v>
      </c>
      <c r="AF57" s="143"/>
      <c r="AG57" s="143"/>
      <c r="AH57" s="107"/>
      <c r="AI57" s="107"/>
      <c r="AJ57" s="107"/>
      <c r="AK57" s="108"/>
      <c r="AL57" s="106">
        <f t="shared" si="4"/>
        <v>0</v>
      </c>
      <c r="AM57" s="109" t="e">
        <f t="shared" si="9"/>
        <v>#DIV/0!</v>
      </c>
      <c r="AN57" s="89"/>
      <c r="AO57" s="113"/>
      <c r="AP57" s="110"/>
      <c r="AQ57" s="110"/>
      <c r="AR57" s="114"/>
      <c r="AS57" s="120">
        <f t="shared" si="5"/>
        <v>0</v>
      </c>
      <c r="AT57" s="121" t="str">
        <f t="shared" si="6"/>
        <v/>
      </c>
      <c r="AU57" s="118">
        <f t="shared" si="7"/>
        <v>0</v>
      </c>
      <c r="AV57" s="119">
        <f t="shared" si="8"/>
        <v>0</v>
      </c>
      <c r="AW57" s="64"/>
    </row>
    <row r="58" spans="2:49" ht="30" customHeight="1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V58" s="2"/>
      <c r="W58" s="2"/>
      <c r="X58" s="2"/>
      <c r="Z58" s="162">
        <v>35</v>
      </c>
      <c r="AA58" s="88"/>
      <c r="AB58" s="105"/>
      <c r="AC58" s="105"/>
      <c r="AD58" s="106">
        <f>VLOOKUP($AB$17,Aux_Lista!A:K,10,FALSE)</f>
        <v>10</v>
      </c>
      <c r="AE58" s="106">
        <f>VLOOKUP($AB$17,Aux_Lista!A:L,11,FALSE)</f>
        <v>10</v>
      </c>
      <c r="AF58" s="143"/>
      <c r="AG58" s="143"/>
      <c r="AH58" s="107"/>
      <c r="AI58" s="107"/>
      <c r="AJ58" s="107"/>
      <c r="AK58" s="108"/>
      <c r="AL58" s="106">
        <f t="shared" si="4"/>
        <v>0</v>
      </c>
      <c r="AM58" s="109" t="e">
        <f t="shared" si="9"/>
        <v>#DIV/0!</v>
      </c>
      <c r="AN58" s="89"/>
      <c r="AO58" s="113"/>
      <c r="AP58" s="110"/>
      <c r="AQ58" s="110"/>
      <c r="AR58" s="114"/>
      <c r="AS58" s="120">
        <f t="shared" si="5"/>
        <v>0</v>
      </c>
      <c r="AT58" s="121" t="str">
        <f t="shared" si="6"/>
        <v/>
      </c>
      <c r="AU58" s="118">
        <f t="shared" si="7"/>
        <v>0</v>
      </c>
      <c r="AV58" s="119">
        <f t="shared" si="8"/>
        <v>0</v>
      </c>
      <c r="AW58" s="64"/>
    </row>
    <row r="59" spans="2:49" ht="30" customHeight="1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V59" s="2"/>
      <c r="W59" s="2"/>
      <c r="X59" s="2"/>
      <c r="Z59" s="162">
        <v>36</v>
      </c>
      <c r="AA59" s="88"/>
      <c r="AB59" s="105"/>
      <c r="AC59" s="105"/>
      <c r="AD59" s="106">
        <f>VLOOKUP($AB$17,Aux_Lista!A:K,10,FALSE)</f>
        <v>10</v>
      </c>
      <c r="AE59" s="106">
        <f>VLOOKUP($AB$17,Aux_Lista!A:L,11,FALSE)</f>
        <v>10</v>
      </c>
      <c r="AF59" s="143"/>
      <c r="AG59" s="143"/>
      <c r="AH59" s="107"/>
      <c r="AI59" s="107"/>
      <c r="AJ59" s="107"/>
      <c r="AK59" s="108"/>
      <c r="AL59" s="106">
        <f t="shared" si="4"/>
        <v>0</v>
      </c>
      <c r="AM59" s="109" t="e">
        <f t="shared" si="9"/>
        <v>#DIV/0!</v>
      </c>
      <c r="AN59" s="89"/>
      <c r="AO59" s="113"/>
      <c r="AP59" s="110"/>
      <c r="AQ59" s="110"/>
      <c r="AR59" s="114"/>
      <c r="AS59" s="120">
        <f t="shared" si="5"/>
        <v>0</v>
      </c>
      <c r="AT59" s="121" t="str">
        <f t="shared" si="6"/>
        <v/>
      </c>
      <c r="AU59" s="118">
        <f t="shared" si="7"/>
        <v>0</v>
      </c>
      <c r="AV59" s="119">
        <f t="shared" si="8"/>
        <v>0</v>
      </c>
      <c r="AW59" s="64"/>
    </row>
    <row r="60" spans="2:49" ht="30" customHeight="1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V60" s="2"/>
      <c r="W60" s="2"/>
      <c r="X60" s="2"/>
      <c r="Z60" s="162">
        <v>37</v>
      </c>
      <c r="AA60" s="88"/>
      <c r="AB60" s="105"/>
      <c r="AC60" s="105"/>
      <c r="AD60" s="106">
        <f>VLOOKUP($AB$17,Aux_Lista!A:K,10,FALSE)</f>
        <v>10</v>
      </c>
      <c r="AE60" s="106">
        <f>VLOOKUP($AB$17,Aux_Lista!A:L,11,FALSE)</f>
        <v>10</v>
      </c>
      <c r="AF60" s="143"/>
      <c r="AG60" s="143"/>
      <c r="AH60" s="107"/>
      <c r="AI60" s="107"/>
      <c r="AJ60" s="107"/>
      <c r="AK60" s="108"/>
      <c r="AL60" s="106">
        <f t="shared" si="4"/>
        <v>0</v>
      </c>
      <c r="AM60" s="109" t="e">
        <f t="shared" si="9"/>
        <v>#DIV/0!</v>
      </c>
      <c r="AN60" s="89"/>
      <c r="AO60" s="113"/>
      <c r="AP60" s="110"/>
      <c r="AQ60" s="110"/>
      <c r="AR60" s="114"/>
      <c r="AS60" s="120">
        <f t="shared" si="5"/>
        <v>0</v>
      </c>
      <c r="AT60" s="121" t="str">
        <f t="shared" si="6"/>
        <v/>
      </c>
      <c r="AU60" s="118">
        <f t="shared" si="7"/>
        <v>0</v>
      </c>
      <c r="AV60" s="119">
        <f t="shared" si="8"/>
        <v>0</v>
      </c>
      <c r="AW60" s="64"/>
    </row>
    <row r="61" spans="2:49" ht="30" customHeight="1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V61" s="2"/>
      <c r="W61" s="2"/>
      <c r="X61" s="2"/>
      <c r="Z61" s="162">
        <v>38</v>
      </c>
      <c r="AA61" s="88"/>
      <c r="AB61" s="105"/>
      <c r="AC61" s="105"/>
      <c r="AD61" s="106">
        <f>VLOOKUP($AB$17,Aux_Lista!A:K,10,FALSE)</f>
        <v>10</v>
      </c>
      <c r="AE61" s="106">
        <f>VLOOKUP($AB$17,Aux_Lista!A:L,11,FALSE)</f>
        <v>10</v>
      </c>
      <c r="AF61" s="143"/>
      <c r="AG61" s="143"/>
      <c r="AH61" s="107"/>
      <c r="AI61" s="107"/>
      <c r="AJ61" s="107"/>
      <c r="AK61" s="108"/>
      <c r="AL61" s="106">
        <f t="shared" si="4"/>
        <v>0</v>
      </c>
      <c r="AM61" s="109" t="e">
        <f t="shared" si="9"/>
        <v>#DIV/0!</v>
      </c>
      <c r="AN61" s="89"/>
      <c r="AO61" s="113"/>
      <c r="AP61" s="110"/>
      <c r="AQ61" s="110"/>
      <c r="AR61" s="114"/>
      <c r="AS61" s="120">
        <f t="shared" si="5"/>
        <v>0</v>
      </c>
      <c r="AT61" s="121" t="str">
        <f t="shared" si="6"/>
        <v/>
      </c>
      <c r="AU61" s="118">
        <f t="shared" si="7"/>
        <v>0</v>
      </c>
      <c r="AV61" s="119">
        <f t="shared" si="8"/>
        <v>0</v>
      </c>
      <c r="AW61" s="64"/>
    </row>
    <row r="62" spans="2:49" ht="30" customHeight="1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V62" s="2"/>
      <c r="W62" s="2"/>
      <c r="X62" s="2"/>
      <c r="Z62" s="162">
        <v>39</v>
      </c>
      <c r="AA62" s="88"/>
      <c r="AB62" s="105"/>
      <c r="AC62" s="105"/>
      <c r="AD62" s="106">
        <f>VLOOKUP($AB$17,Aux_Lista!A:K,10,FALSE)</f>
        <v>10</v>
      </c>
      <c r="AE62" s="106">
        <f>VLOOKUP($AB$17,Aux_Lista!A:L,11,FALSE)</f>
        <v>10</v>
      </c>
      <c r="AF62" s="143"/>
      <c r="AG62" s="143"/>
      <c r="AH62" s="107"/>
      <c r="AI62" s="107"/>
      <c r="AJ62" s="107"/>
      <c r="AK62" s="108"/>
      <c r="AL62" s="106">
        <f t="shared" si="4"/>
        <v>0</v>
      </c>
      <c r="AM62" s="109" t="e">
        <f t="shared" si="9"/>
        <v>#DIV/0!</v>
      </c>
      <c r="AN62" s="89"/>
      <c r="AO62" s="113"/>
      <c r="AP62" s="110"/>
      <c r="AQ62" s="110"/>
      <c r="AR62" s="114"/>
      <c r="AS62" s="120">
        <f t="shared" si="5"/>
        <v>0</v>
      </c>
      <c r="AT62" s="121" t="str">
        <f t="shared" si="6"/>
        <v/>
      </c>
      <c r="AU62" s="118">
        <f t="shared" si="7"/>
        <v>0</v>
      </c>
      <c r="AV62" s="119">
        <f t="shared" si="8"/>
        <v>0</v>
      </c>
      <c r="AW62" s="64"/>
    </row>
    <row r="63" spans="2:49" ht="30" customHeight="1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V63" s="2"/>
      <c r="W63" s="2"/>
      <c r="X63" s="2"/>
      <c r="Z63" s="162">
        <v>40</v>
      </c>
      <c r="AA63" s="88"/>
      <c r="AB63" s="105"/>
      <c r="AC63" s="105"/>
      <c r="AD63" s="106">
        <f>VLOOKUP($AB$17,Aux_Lista!A:K,10,FALSE)</f>
        <v>10</v>
      </c>
      <c r="AE63" s="106">
        <f>VLOOKUP($AB$17,Aux_Lista!A:L,11,FALSE)</f>
        <v>10</v>
      </c>
      <c r="AF63" s="143"/>
      <c r="AG63" s="143"/>
      <c r="AH63" s="107"/>
      <c r="AI63" s="107"/>
      <c r="AJ63" s="107"/>
      <c r="AK63" s="108"/>
      <c r="AL63" s="106">
        <f t="shared" si="4"/>
        <v>0</v>
      </c>
      <c r="AM63" s="109" t="e">
        <f t="shared" si="9"/>
        <v>#DIV/0!</v>
      </c>
      <c r="AN63" s="89"/>
      <c r="AO63" s="113"/>
      <c r="AP63" s="110"/>
      <c r="AQ63" s="110"/>
      <c r="AR63" s="114"/>
      <c r="AS63" s="120">
        <f t="shared" si="5"/>
        <v>0</v>
      </c>
      <c r="AT63" s="121" t="str">
        <f t="shared" si="6"/>
        <v/>
      </c>
      <c r="AU63" s="118">
        <f t="shared" si="7"/>
        <v>0</v>
      </c>
      <c r="AV63" s="119">
        <f t="shared" si="8"/>
        <v>0</v>
      </c>
      <c r="AW63" s="64"/>
    </row>
    <row r="64" spans="2:49" ht="30" customHeight="1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V64" s="2"/>
      <c r="W64" s="2"/>
      <c r="X64" s="2"/>
      <c r="Z64" s="162">
        <v>41</v>
      </c>
      <c r="AA64" s="88"/>
      <c r="AB64" s="105"/>
      <c r="AC64" s="105"/>
      <c r="AD64" s="106">
        <f>VLOOKUP($AB$17,Aux_Lista!A:K,10,FALSE)</f>
        <v>10</v>
      </c>
      <c r="AE64" s="106">
        <f>VLOOKUP($AB$17,Aux_Lista!A:L,11,FALSE)</f>
        <v>10</v>
      </c>
      <c r="AF64" s="143"/>
      <c r="AG64" s="143"/>
      <c r="AH64" s="107"/>
      <c r="AI64" s="107"/>
      <c r="AJ64" s="107"/>
      <c r="AK64" s="108"/>
      <c r="AL64" s="106">
        <f t="shared" si="4"/>
        <v>0</v>
      </c>
      <c r="AM64" s="109" t="e">
        <f t="shared" si="9"/>
        <v>#DIV/0!</v>
      </c>
      <c r="AN64" s="89"/>
      <c r="AO64" s="113"/>
      <c r="AP64" s="110"/>
      <c r="AQ64" s="110"/>
      <c r="AR64" s="114"/>
      <c r="AS64" s="120">
        <f t="shared" si="5"/>
        <v>0</v>
      </c>
      <c r="AT64" s="121" t="str">
        <f t="shared" si="6"/>
        <v/>
      </c>
      <c r="AU64" s="118">
        <f t="shared" si="7"/>
        <v>0</v>
      </c>
      <c r="AV64" s="119">
        <f t="shared" si="8"/>
        <v>0</v>
      </c>
      <c r="AW64" s="64"/>
    </row>
    <row r="65" spans="2:49" ht="30" customHeight="1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V65" s="2"/>
      <c r="W65" s="2"/>
      <c r="X65" s="2"/>
      <c r="Z65" s="162">
        <v>42</v>
      </c>
      <c r="AA65" s="88"/>
      <c r="AB65" s="105"/>
      <c r="AC65" s="105"/>
      <c r="AD65" s="106">
        <f>VLOOKUP($AB$17,Aux_Lista!A:K,10,FALSE)</f>
        <v>10</v>
      </c>
      <c r="AE65" s="106">
        <f>VLOOKUP($AB$17,Aux_Lista!A:L,11,FALSE)</f>
        <v>10</v>
      </c>
      <c r="AF65" s="143"/>
      <c r="AG65" s="143"/>
      <c r="AH65" s="107"/>
      <c r="AI65" s="107"/>
      <c r="AJ65" s="107"/>
      <c r="AK65" s="108"/>
      <c r="AL65" s="106">
        <f t="shared" si="4"/>
        <v>0</v>
      </c>
      <c r="AM65" s="109" t="e">
        <f t="shared" si="9"/>
        <v>#DIV/0!</v>
      </c>
      <c r="AN65" s="89"/>
      <c r="AO65" s="113"/>
      <c r="AP65" s="110"/>
      <c r="AQ65" s="110"/>
      <c r="AR65" s="114"/>
      <c r="AS65" s="120">
        <f t="shared" si="5"/>
        <v>0</v>
      </c>
      <c r="AT65" s="121" t="str">
        <f t="shared" si="6"/>
        <v/>
      </c>
      <c r="AU65" s="118">
        <f t="shared" si="7"/>
        <v>0</v>
      </c>
      <c r="AV65" s="119">
        <f t="shared" si="8"/>
        <v>0</v>
      </c>
      <c r="AW65" s="64"/>
    </row>
    <row r="66" spans="2:49" ht="30" customHeight="1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V66" s="2"/>
      <c r="W66" s="2"/>
      <c r="X66" s="2"/>
      <c r="Z66" s="162">
        <v>43</v>
      </c>
      <c r="AA66" s="88"/>
      <c r="AB66" s="105"/>
      <c r="AC66" s="105"/>
      <c r="AD66" s="106">
        <f>VLOOKUP($AB$17,Aux_Lista!A:K,10,FALSE)</f>
        <v>10</v>
      </c>
      <c r="AE66" s="106">
        <f>VLOOKUP($AB$17,Aux_Lista!A:L,11,FALSE)</f>
        <v>10</v>
      </c>
      <c r="AF66" s="143"/>
      <c r="AG66" s="143"/>
      <c r="AH66" s="107"/>
      <c r="AI66" s="107"/>
      <c r="AJ66" s="107"/>
      <c r="AK66" s="108"/>
      <c r="AL66" s="106">
        <f t="shared" si="4"/>
        <v>0</v>
      </c>
      <c r="AM66" s="109" t="e">
        <f t="shared" si="9"/>
        <v>#DIV/0!</v>
      </c>
      <c r="AN66" s="89"/>
      <c r="AO66" s="113"/>
      <c r="AP66" s="110"/>
      <c r="AQ66" s="110"/>
      <c r="AR66" s="114"/>
      <c r="AS66" s="120">
        <f t="shared" si="5"/>
        <v>0</v>
      </c>
      <c r="AT66" s="121" t="str">
        <f t="shared" si="6"/>
        <v/>
      </c>
      <c r="AU66" s="118">
        <f t="shared" si="7"/>
        <v>0</v>
      </c>
      <c r="AV66" s="119">
        <f t="shared" si="8"/>
        <v>0</v>
      </c>
      <c r="AW66" s="64"/>
    </row>
    <row r="67" spans="2:49" ht="30" customHeight="1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V67" s="2"/>
      <c r="W67" s="2"/>
      <c r="X67" s="2"/>
      <c r="Z67" s="162">
        <v>44</v>
      </c>
      <c r="AA67" s="88"/>
      <c r="AB67" s="105"/>
      <c r="AC67" s="105"/>
      <c r="AD67" s="106">
        <f>VLOOKUP($AB$17,Aux_Lista!A:K,10,FALSE)</f>
        <v>10</v>
      </c>
      <c r="AE67" s="106">
        <f>VLOOKUP($AB$17,Aux_Lista!A:L,11,FALSE)</f>
        <v>10</v>
      </c>
      <c r="AF67" s="143"/>
      <c r="AG67" s="143"/>
      <c r="AH67" s="107"/>
      <c r="AI67" s="107"/>
      <c r="AJ67" s="107"/>
      <c r="AK67" s="108"/>
      <c r="AL67" s="106">
        <f t="shared" si="4"/>
        <v>0</v>
      </c>
      <c r="AM67" s="109" t="e">
        <f t="shared" si="9"/>
        <v>#DIV/0!</v>
      </c>
      <c r="AN67" s="89"/>
      <c r="AO67" s="113"/>
      <c r="AP67" s="110"/>
      <c r="AQ67" s="110"/>
      <c r="AR67" s="114"/>
      <c r="AS67" s="120">
        <f t="shared" si="5"/>
        <v>0</v>
      </c>
      <c r="AT67" s="121" t="str">
        <f t="shared" si="6"/>
        <v/>
      </c>
      <c r="AU67" s="118">
        <f t="shared" si="7"/>
        <v>0</v>
      </c>
      <c r="AV67" s="119">
        <f t="shared" si="8"/>
        <v>0</v>
      </c>
      <c r="AW67" s="64"/>
    </row>
    <row r="68" spans="2:49" ht="30" customHeight="1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V68" s="2"/>
      <c r="W68" s="2"/>
      <c r="X68" s="2"/>
      <c r="Z68" s="162">
        <v>45</v>
      </c>
      <c r="AA68" s="88"/>
      <c r="AB68" s="105"/>
      <c r="AC68" s="105"/>
      <c r="AD68" s="106">
        <f>VLOOKUP($AB$17,Aux_Lista!A:K,10,FALSE)</f>
        <v>10</v>
      </c>
      <c r="AE68" s="106">
        <f>VLOOKUP($AB$17,Aux_Lista!A:L,11,FALSE)</f>
        <v>10</v>
      </c>
      <c r="AF68" s="143"/>
      <c r="AG68" s="143"/>
      <c r="AH68" s="107"/>
      <c r="AI68" s="107"/>
      <c r="AJ68" s="107"/>
      <c r="AK68" s="108"/>
      <c r="AL68" s="106">
        <f t="shared" si="4"/>
        <v>0</v>
      </c>
      <c r="AM68" s="109" t="e">
        <f t="shared" si="9"/>
        <v>#DIV/0!</v>
      </c>
      <c r="AN68" s="89"/>
      <c r="AO68" s="113"/>
      <c r="AP68" s="110"/>
      <c r="AQ68" s="110"/>
      <c r="AR68" s="114"/>
      <c r="AS68" s="120">
        <f t="shared" si="5"/>
        <v>0</v>
      </c>
      <c r="AT68" s="121" t="str">
        <f t="shared" si="6"/>
        <v/>
      </c>
      <c r="AU68" s="118">
        <f t="shared" si="7"/>
        <v>0</v>
      </c>
      <c r="AV68" s="119">
        <f t="shared" si="8"/>
        <v>0</v>
      </c>
      <c r="AW68" s="64"/>
    </row>
    <row r="69" spans="2:49" ht="30" customHeight="1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V69" s="2"/>
      <c r="W69" s="2"/>
      <c r="X69" s="2"/>
      <c r="Z69" s="162">
        <v>46</v>
      </c>
      <c r="AA69" s="88"/>
      <c r="AB69" s="105"/>
      <c r="AC69" s="105"/>
      <c r="AD69" s="106">
        <f>VLOOKUP($AB$17,Aux_Lista!A:K,10,FALSE)</f>
        <v>10</v>
      </c>
      <c r="AE69" s="106">
        <f>VLOOKUP($AB$17,Aux_Lista!A:L,11,FALSE)</f>
        <v>10</v>
      </c>
      <c r="AF69" s="143"/>
      <c r="AG69" s="143"/>
      <c r="AH69" s="107"/>
      <c r="AI69" s="107"/>
      <c r="AJ69" s="107"/>
      <c r="AK69" s="108"/>
      <c r="AL69" s="106">
        <f t="shared" si="4"/>
        <v>0</v>
      </c>
      <c r="AM69" s="109" t="e">
        <f t="shared" si="9"/>
        <v>#DIV/0!</v>
      </c>
      <c r="AN69" s="89"/>
      <c r="AO69" s="113"/>
      <c r="AP69" s="110"/>
      <c r="AQ69" s="110"/>
      <c r="AR69" s="114"/>
      <c r="AS69" s="120">
        <f t="shared" si="5"/>
        <v>0</v>
      </c>
      <c r="AT69" s="121" t="str">
        <f t="shared" si="6"/>
        <v/>
      </c>
      <c r="AU69" s="118">
        <f t="shared" si="7"/>
        <v>0</v>
      </c>
      <c r="AV69" s="119">
        <f t="shared" si="8"/>
        <v>0</v>
      </c>
      <c r="AW69" s="64"/>
    </row>
    <row r="70" spans="2:49" ht="30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V70" s="2"/>
      <c r="W70" s="2"/>
      <c r="X70" s="2"/>
      <c r="Z70" s="162">
        <v>47</v>
      </c>
      <c r="AA70" s="88"/>
      <c r="AB70" s="105"/>
      <c r="AC70" s="105"/>
      <c r="AD70" s="106">
        <f>VLOOKUP($AB$17,Aux_Lista!A:K,10,FALSE)</f>
        <v>10</v>
      </c>
      <c r="AE70" s="106">
        <f>VLOOKUP($AB$17,Aux_Lista!A:L,11,FALSE)</f>
        <v>10</v>
      </c>
      <c r="AF70" s="143"/>
      <c r="AG70" s="143"/>
      <c r="AH70" s="107"/>
      <c r="AI70" s="107"/>
      <c r="AJ70" s="107"/>
      <c r="AK70" s="108"/>
      <c r="AL70" s="106">
        <f t="shared" si="4"/>
        <v>0</v>
      </c>
      <c r="AM70" s="109" t="e">
        <f t="shared" si="9"/>
        <v>#DIV/0!</v>
      </c>
      <c r="AN70" s="89"/>
      <c r="AO70" s="113"/>
      <c r="AP70" s="110"/>
      <c r="AQ70" s="110"/>
      <c r="AR70" s="114"/>
      <c r="AS70" s="120">
        <f t="shared" si="5"/>
        <v>0</v>
      </c>
      <c r="AT70" s="121" t="str">
        <f t="shared" si="6"/>
        <v/>
      </c>
      <c r="AU70" s="118">
        <f t="shared" si="7"/>
        <v>0</v>
      </c>
      <c r="AV70" s="119">
        <f t="shared" si="8"/>
        <v>0</v>
      </c>
      <c r="AW70" s="64"/>
    </row>
    <row r="71" spans="2:49" ht="30" customHeight="1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V71" s="2"/>
      <c r="W71" s="2"/>
      <c r="X71" s="2"/>
      <c r="Z71" s="162">
        <v>48</v>
      </c>
      <c r="AA71" s="88"/>
      <c r="AB71" s="105"/>
      <c r="AC71" s="105"/>
      <c r="AD71" s="106">
        <f>VLOOKUP($AB$17,Aux_Lista!A:K,10,FALSE)</f>
        <v>10</v>
      </c>
      <c r="AE71" s="106">
        <f>VLOOKUP($AB$17,Aux_Lista!A:L,11,FALSE)</f>
        <v>10</v>
      </c>
      <c r="AF71" s="143"/>
      <c r="AG71" s="143"/>
      <c r="AH71" s="107"/>
      <c r="AI71" s="107"/>
      <c r="AJ71" s="107"/>
      <c r="AK71" s="108"/>
      <c r="AL71" s="106">
        <f t="shared" si="4"/>
        <v>0</v>
      </c>
      <c r="AM71" s="109" t="e">
        <f t="shared" si="9"/>
        <v>#DIV/0!</v>
      </c>
      <c r="AN71" s="89"/>
      <c r="AO71" s="113"/>
      <c r="AP71" s="110"/>
      <c r="AQ71" s="110"/>
      <c r="AR71" s="114"/>
      <c r="AS71" s="120">
        <f t="shared" si="5"/>
        <v>0</v>
      </c>
      <c r="AT71" s="121" t="str">
        <f t="shared" si="6"/>
        <v/>
      </c>
      <c r="AU71" s="118">
        <f t="shared" si="7"/>
        <v>0</v>
      </c>
      <c r="AV71" s="119">
        <f t="shared" si="8"/>
        <v>0</v>
      </c>
      <c r="AW71" s="64"/>
    </row>
    <row r="72" spans="2:49" ht="30" customHeight="1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V72" s="2"/>
      <c r="W72" s="2"/>
      <c r="X72" s="2"/>
      <c r="Z72" s="162">
        <v>49</v>
      </c>
      <c r="AA72" s="88"/>
      <c r="AB72" s="105"/>
      <c r="AC72" s="105"/>
      <c r="AD72" s="106">
        <f>VLOOKUP($AB$17,Aux_Lista!A:K,10,FALSE)</f>
        <v>10</v>
      </c>
      <c r="AE72" s="106">
        <f>VLOOKUP($AB$17,Aux_Lista!A:L,11,FALSE)</f>
        <v>10</v>
      </c>
      <c r="AF72" s="143"/>
      <c r="AG72" s="143"/>
      <c r="AH72" s="107"/>
      <c r="AI72" s="107"/>
      <c r="AJ72" s="107"/>
      <c r="AK72" s="108"/>
      <c r="AL72" s="106">
        <f t="shared" si="4"/>
        <v>0</v>
      </c>
      <c r="AM72" s="109" t="e">
        <f t="shared" si="9"/>
        <v>#DIV/0!</v>
      </c>
      <c r="AN72" s="89"/>
      <c r="AO72" s="113"/>
      <c r="AP72" s="110"/>
      <c r="AQ72" s="110"/>
      <c r="AR72" s="114"/>
      <c r="AS72" s="120">
        <f t="shared" si="5"/>
        <v>0</v>
      </c>
      <c r="AT72" s="121" t="str">
        <f t="shared" si="6"/>
        <v/>
      </c>
      <c r="AU72" s="118">
        <f t="shared" si="7"/>
        <v>0</v>
      </c>
      <c r="AV72" s="119">
        <f t="shared" si="8"/>
        <v>0</v>
      </c>
      <c r="AW72" s="64"/>
    </row>
    <row r="73" spans="2:49" ht="30" customHeight="1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V73" s="2"/>
      <c r="W73" s="2"/>
      <c r="X73" s="2"/>
      <c r="Z73" s="162">
        <v>50</v>
      </c>
      <c r="AA73" s="88"/>
      <c r="AB73" s="105"/>
      <c r="AC73" s="105"/>
      <c r="AD73" s="106">
        <f>VLOOKUP($AB$17,Aux_Lista!A:K,10,FALSE)</f>
        <v>10</v>
      </c>
      <c r="AE73" s="106">
        <f>VLOOKUP($AB$17,Aux_Lista!A:L,11,FALSE)</f>
        <v>10</v>
      </c>
      <c r="AF73" s="143"/>
      <c r="AG73" s="143"/>
      <c r="AH73" s="107"/>
      <c r="AI73" s="107"/>
      <c r="AJ73" s="107"/>
      <c r="AK73" s="108"/>
      <c r="AL73" s="106">
        <f t="shared" si="4"/>
        <v>0</v>
      </c>
      <c r="AM73" s="109" t="e">
        <f t="shared" si="9"/>
        <v>#DIV/0!</v>
      </c>
      <c r="AN73" s="89"/>
      <c r="AO73" s="115"/>
      <c r="AP73" s="116"/>
      <c r="AQ73" s="116"/>
      <c r="AR73" s="117"/>
      <c r="AS73" s="122">
        <f t="shared" si="5"/>
        <v>0</v>
      </c>
      <c r="AT73" s="123" t="str">
        <f t="shared" si="6"/>
        <v/>
      </c>
      <c r="AU73" s="118">
        <f t="shared" si="7"/>
        <v>0</v>
      </c>
      <c r="AV73" s="119">
        <f t="shared" si="8"/>
        <v>0</v>
      </c>
      <c r="AW73" s="64"/>
    </row>
    <row r="74" spans="2:49" ht="30" customHeight="1" x14ac:dyDescent="0.25"/>
  </sheetData>
  <protectedRanges>
    <protectedRange sqref="AN24:AR73" name="Intervalo7"/>
    <protectedRange sqref="AF24:AK73" name="Intervalo6"/>
    <protectedRange sqref="AA24:AC73" name="Intervalo5"/>
    <protectedRange sqref="O24:S26" name="Intervalo4"/>
    <protectedRange sqref="I24:L26" name="Intervalo3"/>
    <protectedRange sqref="B24:D26" name="Intervalo2"/>
    <protectedRange sqref="C9" name="metodoIluminacao"/>
  </protectedRanges>
  <mergeCells count="10">
    <mergeCell ref="T22:U22"/>
    <mergeCell ref="P22:S22"/>
    <mergeCell ref="AV10:AV11"/>
    <mergeCell ref="F7:K11"/>
    <mergeCell ref="AV18:AV19"/>
    <mergeCell ref="AO22:AR22"/>
    <mergeCell ref="AS22:AT22"/>
    <mergeCell ref="AU22:AV22"/>
    <mergeCell ref="V22:W22"/>
    <mergeCell ref="W18:W19"/>
  </mergeCells>
  <phoneticPr fontId="34" type="noConversion"/>
  <conditionalFormatting sqref="P24:P26">
    <cfRule type="cellIs" dxfId="70" priority="4" operator="equal">
      <formula>"Sim"</formula>
    </cfRule>
  </conditionalFormatting>
  <conditionalFormatting sqref="Q24:Q26">
    <cfRule type="cellIs" dxfId="69" priority="3" operator="equal">
      <formula>"Sim"</formula>
    </cfRule>
  </conditionalFormatting>
  <conditionalFormatting sqref="R24:S26">
    <cfRule type="cellIs" dxfId="68" priority="2" operator="equal">
      <formula>"Sim"</formula>
    </cfRule>
  </conditionalFormatting>
  <conditionalFormatting sqref="P24:S26">
    <cfRule type="cellIs" dxfId="67" priority="1" operator="equal">
      <formula>"Não"</formula>
    </cfRule>
  </conditionalFormatting>
  <dataValidations disablePrompts="1" count="2">
    <dataValidation type="list" allowBlank="1" showInputMessage="1" showErrorMessage="1" sqref="E74:F1048576 AD74:AE1048576" xr:uid="{00000000-0002-0000-0300-000000000000}">
      <formula1>"Edifício, Atividades"</formula1>
    </dataValidation>
    <dataValidation type="list" allowBlank="1" showInputMessage="1" showErrorMessage="1" sqref="C9" xr:uid="{45390F67-4962-4666-99D0-485B0FB2FE07}">
      <formula1>"Método do Edifício completo,Método das atividades do edifício,Método de Simulação"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449F1671-93B8-43A3-8523-32D97CB27845}">
          <x14:formula1>
            <xm:f>Aux_Lista!$AG$2:$AG$5</xm:f>
          </x14:formula1>
          <xm:sqref>AK24:AK73 L24:L26</xm:sqref>
        </x14:dataValidation>
        <x14:dataValidation type="list" allowBlank="1" showInputMessage="1" showErrorMessage="1" xr:uid="{0091451D-114E-46C2-BF31-3544B0CBA7B7}">
          <x14:formula1>
            <xm:f>Aux_Lista!$AI$2:$AI$31</xm:f>
          </x14:formula1>
          <xm:sqref>D24:D26</xm:sqref>
        </x14:dataValidation>
        <x14:dataValidation type="list" allowBlank="1" showInputMessage="1" showErrorMessage="1" xr:uid="{34B6B672-3BFA-4B2D-90A5-A24D896FAECC}">
          <x14:formula1>
            <xm:f>Aux_Lista!$A$2:$A$11</xm:f>
          </x14:formula1>
          <xm:sqref>AB17 C17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P143"/>
  <sheetViews>
    <sheetView showGridLines="0" zoomScale="85" zoomScaleNormal="85" workbookViewId="0"/>
  </sheetViews>
  <sheetFormatPr defaultColWidth="9.140625" defaultRowHeight="15" x14ac:dyDescent="0.25"/>
  <cols>
    <col min="1" max="1" width="5.7109375" style="28" customWidth="1"/>
    <col min="2" max="3" width="25.7109375" style="28" customWidth="1"/>
    <col min="4" max="4" width="8.7109375" style="28" customWidth="1"/>
    <col min="5" max="5" width="34.7109375" style="28" bestFit="1" customWidth="1"/>
    <col min="6" max="6" width="15.42578125" style="28" customWidth="1"/>
    <col min="7" max="7" width="8.28515625" style="28" customWidth="1"/>
    <col min="8" max="8" width="10" style="28" customWidth="1"/>
    <col min="9" max="11" width="22.7109375" style="28" customWidth="1"/>
    <col min="12" max="14" width="8.7109375" style="28" customWidth="1"/>
    <col min="15" max="17" width="22.7109375" style="28" customWidth="1"/>
    <col min="18" max="18" width="8.7109375" style="28" customWidth="1"/>
    <col min="19" max="19" width="12.28515625" style="28" customWidth="1"/>
    <col min="20" max="22" width="17.28515625" style="28" customWidth="1"/>
    <col min="23" max="24" width="14" style="28" customWidth="1"/>
    <col min="25" max="25" width="13.28515625" style="28" bestFit="1" customWidth="1"/>
    <col min="26" max="27" width="13" style="28" customWidth="1"/>
    <col min="28" max="31" width="9.140625" style="28"/>
    <col min="32" max="32" width="17.85546875" style="28" customWidth="1"/>
    <col min="33" max="33" width="13.5703125" style="28" customWidth="1"/>
    <col min="34" max="34" width="12" style="28" bestFit="1" customWidth="1"/>
    <col min="35" max="35" width="10.5703125" style="28" customWidth="1"/>
    <col min="36" max="36" width="11.85546875" style="28" customWidth="1"/>
    <col min="37" max="37" width="22.7109375" style="28" customWidth="1"/>
    <col min="38" max="39" width="14.140625" style="28" customWidth="1"/>
    <col min="40" max="41" width="11.85546875" style="28" customWidth="1"/>
    <col min="42" max="42" width="5.7109375" style="28" customWidth="1"/>
    <col min="43" max="16384" width="9.140625" style="28"/>
  </cols>
  <sheetData>
    <row r="1" spans="1:42" ht="20.100000000000001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</row>
    <row r="2" spans="1:42" ht="20.100000000000001" customHeight="1" x14ac:dyDescent="0.25">
      <c r="A2"/>
      <c r="B2"/>
      <c r="C2"/>
      <c r="D2"/>
      <c r="E2"/>
      <c r="F2"/>
      <c r="G2" s="47" t="s">
        <v>198</v>
      </c>
      <c r="H2" s="144" t="s">
        <v>197</v>
      </c>
      <c r="I2" s="145" t="s">
        <v>196</v>
      </c>
      <c r="J2" s="146" t="s">
        <v>195</v>
      </c>
      <c r="K2" s="147" t="s">
        <v>5493</v>
      </c>
      <c r="L2" s="189" t="s">
        <v>5800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42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4" spans="1:42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42" ht="18.75" x14ac:dyDescent="0.3">
      <c r="A5" s="39"/>
      <c r="B5" s="40" t="s">
        <v>176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</row>
    <row r="6" spans="1:42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42" ht="30" customHeight="1" x14ac:dyDescent="0.25">
      <c r="A7"/>
      <c r="B7" s="68" t="s">
        <v>171</v>
      </c>
      <c r="C7" s="69" t="str">
        <f>Geral!C7</f>
        <v>Exemplo Ltda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42" ht="30" customHeight="1" x14ac:dyDescent="0.25">
      <c r="A8"/>
      <c r="B8" s="68" t="s">
        <v>122</v>
      </c>
      <c r="C8" s="69" t="str">
        <f>Geral!C10</f>
        <v>Projeto</v>
      </c>
      <c r="D8"/>
      <c r="E8"/>
      <c r="F8"/>
      <c r="G8"/>
      <c r="H8"/>
      <c r="I8"/>
      <c r="J8" s="12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42" ht="30" customHeight="1" x14ac:dyDescent="0.25">
      <c r="A9"/>
      <c r="B9" s="68" t="s">
        <v>5788</v>
      </c>
      <c r="C9" s="70" t="s">
        <v>6103</v>
      </c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42" ht="30" customHeight="1" x14ac:dyDescent="0.25">
      <c r="A10"/>
      <c r="B10" s="68" t="s">
        <v>5978</v>
      </c>
      <c r="C10" s="315">
        <f>T27</f>
        <v>23288.473519407678</v>
      </c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 s="52"/>
      <c r="X10" s="135" t="s">
        <v>34</v>
      </c>
      <c r="Y10" s="136" t="s">
        <v>25</v>
      </c>
      <c r="Z10" s="137" t="s">
        <v>105</v>
      </c>
      <c r="AA10" s="138" t="s">
        <v>5741</v>
      </c>
      <c r="AB10" s="139" t="s">
        <v>5742</v>
      </c>
      <c r="AC10" s="52"/>
      <c r="AD10" s="66" t="s">
        <v>5747</v>
      </c>
      <c r="AE10"/>
    </row>
    <row r="11" spans="1:42" ht="30" customHeight="1" x14ac:dyDescent="0.25">
      <c r="A11"/>
      <c r="B11" s="68" t="s">
        <v>5979</v>
      </c>
      <c r="C11" s="315">
        <f>U27</f>
        <v>19145.021877818479</v>
      </c>
      <c r="D11"/>
      <c r="E11" s="12" t="s">
        <v>6096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 s="68" t="s">
        <v>5746</v>
      </c>
      <c r="X11" s="180" t="s">
        <v>14</v>
      </c>
      <c r="Y11" s="180">
        <f>X12</f>
        <v>0.21</v>
      </c>
      <c r="Z11" s="180">
        <f>Y12</f>
        <v>0.14000000000000001</v>
      </c>
      <c r="AA11" s="180">
        <f>Z12</f>
        <v>7.0000000000000007E-2</v>
      </c>
      <c r="AB11" s="180">
        <f>AA12</f>
        <v>0</v>
      </c>
      <c r="AC11" s="52"/>
      <c r="AD11" s="396" t="str">
        <f>IF(C9="","",IF(C12&gt;X12,X10,
IF(AND(C12&gt;Y12,C12&lt;=Y11),Y10,
IF(AND(C12&gt;Z12,C12&lt;=Z11),Z10,
IF(AND(C12&gt;=AA12,C12&lt;=AA11),AA10,
AB10)))))</f>
        <v>B</v>
      </c>
      <c r="AE11"/>
    </row>
    <row r="12" spans="1:42" ht="30" customHeight="1" x14ac:dyDescent="0.25">
      <c r="A12"/>
      <c r="B12" s="68" t="s">
        <v>5789</v>
      </c>
      <c r="C12" s="191">
        <f>IF(ISERROR((C10-C11)/C10),0,(C10-C11)/C10)</f>
        <v>0.17791855864388076</v>
      </c>
      <c r="D12"/>
      <c r="E12" s="68" t="s">
        <v>6097</v>
      </c>
      <c r="F12" s="336">
        <f>V23*Aux_Lista!AU4*Aux_Lista!AR2</f>
        <v>0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 s="68" t="s">
        <v>5745</v>
      </c>
      <c r="X12" s="180">
        <f>IF($C$9="Por acumulação",0.3,0.21)</f>
        <v>0.21</v>
      </c>
      <c r="Y12" s="180">
        <f>IF($C$9="Por acumulação",0.2,0.14)</f>
        <v>0.14000000000000001</v>
      </c>
      <c r="Z12" s="180">
        <f>IF($C$9="Por acumulação",0.1,0.07)</f>
        <v>7.0000000000000007E-2</v>
      </c>
      <c r="AA12" s="180">
        <f>IF($C$9="Por acumulação",0,0)</f>
        <v>0</v>
      </c>
      <c r="AB12" s="180" t="s">
        <v>14</v>
      </c>
      <c r="AC12"/>
      <c r="AD12" s="396"/>
      <c r="AE12"/>
    </row>
    <row r="13" spans="1:42" ht="30" customHeight="1" x14ac:dyDescent="0.25">
      <c r="A13"/>
      <c r="B13" s="68" t="s">
        <v>5773</v>
      </c>
      <c r="C13" s="183" t="str">
        <f>AD11</f>
        <v>B</v>
      </c>
      <c r="D13"/>
      <c r="E13" s="68" t="s">
        <v>5752</v>
      </c>
      <c r="F13" s="336">
        <f>U23*Aux_Lista!AR2*Aux_Lista!AY2</f>
        <v>1723.0519690036631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42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42" x14ac:dyDescent="0.25">
      <c r="A15"/>
      <c r="B15"/>
      <c r="C15" s="2"/>
      <c r="D15" s="2"/>
      <c r="E15"/>
      <c r="F15"/>
      <c r="G15" s="2"/>
      <c r="H15" s="2"/>
      <c r="I15" s="2"/>
      <c r="J15" s="2"/>
      <c r="K15" s="2"/>
      <c r="L15" s="2"/>
      <c r="M15" s="2"/>
      <c r="N15" s="2"/>
      <c r="O15" s="2"/>
      <c r="P15" s="2"/>
      <c r="Q15" s="35"/>
      <c r="R15" s="2"/>
      <c r="S15" s="2"/>
      <c r="T15" s="36"/>
      <c r="U15" s="36"/>
      <c r="V15" s="37"/>
      <c r="W15" s="2"/>
      <c r="X15" s="2"/>
      <c r="Y15" s="2"/>
      <c r="Z15" s="2"/>
      <c r="AA15" s="2"/>
      <c r="AB15" s="2"/>
      <c r="AC15" s="2"/>
      <c r="AD15" s="2"/>
      <c r="AE15" s="2"/>
      <c r="AF15" s="30"/>
      <c r="AG15" s="30"/>
      <c r="AH15" s="30"/>
      <c r="AI15" s="30"/>
      <c r="AJ15" s="30"/>
      <c r="AK15" s="30"/>
      <c r="AL15" s="30"/>
      <c r="AM15" s="30"/>
      <c r="AN15" s="30"/>
      <c r="AO15" s="30"/>
    </row>
    <row r="16" spans="1:42" ht="30" customHeight="1" x14ac:dyDescent="0.25">
      <c r="A16"/>
      <c r="B16" s="68" t="s">
        <v>7</v>
      </c>
      <c r="C16" s="252" t="str">
        <f>Geral!C12</f>
        <v>Florianópolis</v>
      </c>
      <c r="D16"/>
      <c r="E16"/>
      <c r="F16"/>
      <c r="G16" s="2"/>
      <c r="H16" s="2"/>
      <c r="I16" s="2"/>
      <c r="J16" s="2"/>
      <c r="K16" s="2"/>
      <c r="L16" s="2"/>
      <c r="M16" s="2"/>
      <c r="N16" s="2"/>
      <c r="O16" s="2"/>
      <c r="P16" s="2"/>
      <c r="Q16" s="35"/>
      <c r="R16" s="2"/>
      <c r="S16" s="2"/>
      <c r="T16" s="36"/>
      <c r="U16" s="36"/>
      <c r="V16" s="37"/>
      <c r="W16" s="2"/>
      <c r="X16" s="2"/>
      <c r="Y16" s="2"/>
      <c r="Z16" s="2"/>
      <c r="AA16" s="2"/>
      <c r="AB16" s="2"/>
      <c r="AC16" s="2"/>
      <c r="AD16" s="2"/>
      <c r="AE16" s="2"/>
      <c r="AF16" s="30"/>
      <c r="AG16" s="30"/>
      <c r="AH16" s="30"/>
      <c r="AI16" s="30"/>
      <c r="AJ16" s="30"/>
      <c r="AK16" s="30"/>
      <c r="AL16" s="30"/>
      <c r="AM16" s="30"/>
      <c r="AN16" s="30"/>
      <c r="AO16" s="30"/>
    </row>
    <row r="17" spans="1:41" x14ac:dyDescent="0.25">
      <c r="A17"/>
      <c r="B17" s="44"/>
      <c r="C17" s="44"/>
      <c r="D17" s="440"/>
      <c r="E17" s="440"/>
      <c r="F17"/>
      <c r="G17" s="2"/>
      <c r="H17" s="2"/>
      <c r="I17" s="2"/>
      <c r="J17" s="2"/>
      <c r="K17" s="2"/>
      <c r="L17" s="2"/>
      <c r="M17" s="2"/>
      <c r="N17" s="2"/>
      <c r="O17" s="2"/>
      <c r="P17" s="2"/>
      <c r="Q17" s="35"/>
      <c r="R17" s="2"/>
      <c r="S17" s="2"/>
      <c r="T17" s="36"/>
      <c r="U17" s="36"/>
      <c r="V17" s="37"/>
      <c r="W17" s="2"/>
      <c r="X17" s="2"/>
      <c r="Y17" s="2"/>
      <c r="Z17" s="2"/>
      <c r="AA17" s="2"/>
      <c r="AB17" s="2"/>
      <c r="AC17" s="2"/>
      <c r="AD17" s="2"/>
      <c r="AE17" s="2"/>
      <c r="AF17" s="30"/>
      <c r="AG17" s="30"/>
      <c r="AH17" s="30"/>
      <c r="AI17" s="30"/>
      <c r="AJ17" s="30"/>
      <c r="AK17" s="30"/>
      <c r="AL17" s="30"/>
      <c r="AM17" s="30"/>
      <c r="AN17" s="30"/>
      <c r="AO17" s="30"/>
    </row>
    <row r="18" spans="1:41" ht="39.950000000000003" customHeight="1" x14ac:dyDescent="0.25">
      <c r="A18"/>
      <c r="B18" s="68" t="s">
        <v>6006</v>
      </c>
      <c r="C18" s="326">
        <f>IF(ISERROR(VLOOKUP(C16,Aux_TBS!A:R,17,FALSE)),"Escolha uma cidade Representativa na lista ao lado:",VLOOKUP(C16,Aux_TBS!A:R,18,FALSE))</f>
        <v>20.931891695000001</v>
      </c>
      <c r="D18" s="456"/>
      <c r="E18" s="456"/>
      <c r="F18" s="441" t="str">
        <f>IF(ISERROR(VLOOKUP(C16,Aux_TBS!A:R,17,FALSE)),"Dica: Escreva a cidade vírgula o estado, exemplo: 'Florianópolis, SC':","")</f>
        <v/>
      </c>
      <c r="G18" s="441"/>
      <c r="H18" s="441"/>
      <c r="I18" s="441"/>
      <c r="J18" s="2"/>
      <c r="K18" s="2"/>
      <c r="L18" s="2"/>
      <c r="M18" s="2"/>
      <c r="N18" s="2"/>
      <c r="O18" s="2"/>
      <c r="P18" s="2"/>
      <c r="Q18" s="35"/>
      <c r="R18" s="2"/>
      <c r="S18" s="2"/>
      <c r="T18" s="36"/>
      <c r="U18" s="36"/>
      <c r="V18" s="37"/>
      <c r="W18" s="2"/>
      <c r="X18" s="2"/>
      <c r="Y18" s="2"/>
      <c r="Z18" s="2"/>
      <c r="AA18" s="2"/>
      <c r="AB18" s="2"/>
      <c r="AC18" s="2"/>
      <c r="AD18" s="2"/>
      <c r="AE18" s="2"/>
      <c r="AF18" s="30"/>
      <c r="AG18" s="30"/>
      <c r="AH18" s="30"/>
      <c r="AI18" s="30"/>
      <c r="AJ18" s="30"/>
      <c r="AK18" s="30"/>
      <c r="AL18" s="30"/>
      <c r="AM18" s="30"/>
      <c r="AN18" s="30"/>
      <c r="AO18" s="30"/>
    </row>
    <row r="19" spans="1:41" ht="15" customHeight="1" x14ac:dyDescent="0.25">
      <c r="A19"/>
      <c r="B19"/>
      <c r="C19" s="2"/>
      <c r="D19" s="2"/>
      <c r="E19" s="2"/>
      <c r="F19" s="2"/>
      <c r="G19" s="2"/>
      <c r="H19" s="286"/>
      <c r="I19" s="445" t="s">
        <v>6044</v>
      </c>
      <c r="J19" s="445"/>
      <c r="K19" s="445"/>
      <c r="L19" s="287"/>
      <c r="M19" s="2"/>
      <c r="N19" s="286"/>
      <c r="O19" s="445" t="s">
        <v>6045</v>
      </c>
      <c r="P19" s="445"/>
      <c r="Q19" s="445"/>
      <c r="R19" s="287"/>
      <c r="S19" s="2"/>
      <c r="T19" s="2"/>
      <c r="U19" s="2"/>
      <c r="V19" s="37"/>
      <c r="W19" s="2"/>
      <c r="X19" s="2"/>
      <c r="Y19" s="2"/>
      <c r="Z19" s="2"/>
      <c r="AA19" s="2"/>
      <c r="AB19" s="2"/>
      <c r="AC19" s="2"/>
      <c r="AD19" s="2"/>
      <c r="AE19" s="2"/>
      <c r="AF19" s="30"/>
      <c r="AG19" s="30"/>
      <c r="AH19" s="30"/>
      <c r="AI19" s="30"/>
      <c r="AJ19" s="30"/>
      <c r="AK19" s="30"/>
      <c r="AL19" s="30"/>
      <c r="AM19" s="30"/>
      <c r="AN19" s="30"/>
      <c r="AO19" s="30"/>
    </row>
    <row r="20" spans="1:41" ht="25.5" customHeight="1" x14ac:dyDescent="0.25">
      <c r="A20"/>
      <c r="B20" s="12" t="s">
        <v>6030</v>
      </c>
      <c r="C20" s="2"/>
      <c r="D20" s="2"/>
      <c r="E20" s="12" t="s">
        <v>6020</v>
      </c>
      <c r="F20" s="2"/>
      <c r="G20" s="2"/>
      <c r="H20" s="288"/>
      <c r="I20" s="12" t="s">
        <v>6042</v>
      </c>
      <c r="J20" s="2"/>
      <c r="K20" s="2"/>
      <c r="L20" s="289"/>
      <c r="M20" s="2"/>
      <c r="N20" s="288"/>
      <c r="O20" s="12" t="s">
        <v>6042</v>
      </c>
      <c r="P20" s="2"/>
      <c r="Q20" s="2"/>
      <c r="R20" s="289"/>
      <c r="S20" s="2"/>
      <c r="T20" s="2"/>
      <c r="U20" s="2"/>
      <c r="V20" s="37"/>
      <c r="W20" s="2"/>
      <c r="X20" s="2"/>
      <c r="Y20" s="2"/>
      <c r="Z20" s="2"/>
      <c r="AA20" s="2"/>
      <c r="AB20" s="2"/>
      <c r="AC20" s="2"/>
      <c r="AD20" s="2"/>
      <c r="AE20" s="2"/>
      <c r="AF20" s="30"/>
      <c r="AG20" s="30"/>
      <c r="AH20" s="30"/>
      <c r="AI20" s="30"/>
      <c r="AJ20" s="30"/>
      <c r="AK20" s="30"/>
      <c r="AL20" s="30"/>
      <c r="AM20" s="30"/>
      <c r="AN20" s="30"/>
      <c r="AO20" s="30"/>
    </row>
    <row r="21" spans="1:41" ht="35.1" customHeight="1" x14ac:dyDescent="0.25">
      <c r="A21"/>
      <c r="B21" s="261" t="s">
        <v>6023</v>
      </c>
      <c r="C21" s="258">
        <v>25</v>
      </c>
      <c r="D21" s="2"/>
      <c r="E21" s="261" t="s">
        <v>6062</v>
      </c>
      <c r="F21" s="72" t="s">
        <v>6063</v>
      </c>
      <c r="G21" s="2"/>
      <c r="H21" s="288"/>
      <c r="I21" s="446" t="s">
        <v>6041</v>
      </c>
      <c r="J21" s="277" t="s">
        <v>6032</v>
      </c>
      <c r="K21" s="278">
        <v>2.5000000000000001E-2</v>
      </c>
      <c r="L21" s="289"/>
      <c r="M21" s="2"/>
      <c r="N21" s="288"/>
      <c r="O21" s="446" t="s">
        <v>6041</v>
      </c>
      <c r="P21" s="277" t="s">
        <v>6032</v>
      </c>
      <c r="Q21" s="293">
        <v>0.03</v>
      </c>
      <c r="R21" s="289"/>
      <c r="S21" s="2"/>
      <c r="T21" s="442" t="s">
        <v>6056</v>
      </c>
      <c r="U21" s="443"/>
      <c r="V21" s="444"/>
      <c r="W21" s="2"/>
      <c r="X21" s="2"/>
      <c r="Y21" s="2"/>
      <c r="Z21" s="2"/>
      <c r="AA21" s="2"/>
      <c r="AB21" s="2"/>
      <c r="AC21" s="2"/>
      <c r="AD21" s="2"/>
      <c r="AE21" s="2"/>
      <c r="AF21" s="30"/>
      <c r="AG21" s="30"/>
      <c r="AH21" s="30"/>
      <c r="AI21" s="30"/>
      <c r="AJ21" s="30"/>
      <c r="AK21" s="30"/>
      <c r="AL21" s="30"/>
      <c r="AM21" s="30"/>
      <c r="AN21" s="30"/>
      <c r="AO21" s="30"/>
    </row>
    <row r="22" spans="1:41" ht="35.1" customHeight="1" x14ac:dyDescent="0.25">
      <c r="A22"/>
      <c r="B22" s="262" t="s">
        <v>5989</v>
      </c>
      <c r="C22" s="258">
        <v>50</v>
      </c>
      <c r="D22" s="2"/>
      <c r="E22" s="261" t="s">
        <v>6021</v>
      </c>
      <c r="F22" s="258">
        <v>0</v>
      </c>
      <c r="G22" s="2"/>
      <c r="H22" s="288"/>
      <c r="I22" s="446"/>
      <c r="J22" s="279" t="s">
        <v>6033</v>
      </c>
      <c r="K22" s="280">
        <v>4.8000000000000001E-2</v>
      </c>
      <c r="L22" s="289"/>
      <c r="M22" s="2"/>
      <c r="N22" s="288"/>
      <c r="O22" s="446"/>
      <c r="P22" s="279" t="s">
        <v>6033</v>
      </c>
      <c r="Q22" s="294">
        <v>3.2000000000000001E-2</v>
      </c>
      <c r="R22" s="289"/>
      <c r="S22" s="2"/>
      <c r="T22" s="297" t="s">
        <v>5494</v>
      </c>
      <c r="U22" s="298" t="s">
        <v>6057</v>
      </c>
      <c r="V22" s="299" t="s">
        <v>6058</v>
      </c>
      <c r="W22" s="2"/>
      <c r="X22" s="2"/>
      <c r="Y22" s="2"/>
      <c r="Z22" s="2"/>
      <c r="AA22" s="2"/>
      <c r="AB22" s="2"/>
      <c r="AC22" s="2"/>
      <c r="AD22" s="2"/>
      <c r="AE22" s="2"/>
      <c r="AF22" s="30"/>
      <c r="AG22" s="30"/>
      <c r="AH22" s="30"/>
      <c r="AI22" s="30"/>
      <c r="AJ22" s="30"/>
      <c r="AK22" s="30"/>
      <c r="AL22" s="30"/>
      <c r="AM22" s="30"/>
      <c r="AN22" s="30"/>
      <c r="AO22" s="30"/>
    </row>
    <row r="23" spans="1:41" ht="35.1" customHeight="1" x14ac:dyDescent="0.25">
      <c r="A23"/>
      <c r="B23" s="261" t="s">
        <v>6022</v>
      </c>
      <c r="C23" s="259">
        <f>C22*C21/1000</f>
        <v>1.25</v>
      </c>
      <c r="D23" s="2"/>
      <c r="E23" s="262" t="s">
        <v>6025</v>
      </c>
      <c r="F23" s="258">
        <v>0</v>
      </c>
      <c r="G23" s="2"/>
      <c r="H23" s="288"/>
      <c r="I23" s="446"/>
      <c r="J23" s="279" t="s">
        <v>6034</v>
      </c>
      <c r="K23" s="280">
        <v>2.1999999999999999E-2</v>
      </c>
      <c r="L23" s="289"/>
      <c r="M23" s="2"/>
      <c r="N23" s="288"/>
      <c r="O23" s="446"/>
      <c r="P23" s="279" t="s">
        <v>6034</v>
      </c>
      <c r="Q23" s="294">
        <v>2.1999999999999999E-2</v>
      </c>
      <c r="R23" s="289"/>
      <c r="S23" s="2"/>
      <c r="T23" s="353">
        <f>((365*(C30+Q31+Q28+Q44+Q41+P51))/C36)</f>
        <v>14555.295949629799</v>
      </c>
      <c r="U23" s="354">
        <f>IF(OR(C34="GLP",C34="GNV"),0,(365*(C30-F27+K28+K31+K41+K44+J51)/C35))</f>
        <v>11965.638673636549</v>
      </c>
      <c r="V23" s="355">
        <f>IF(OR(C34="GLP",C34="GNV"),(365*(C30-F27+K28+K31+K41+K44+J51)/C35),0)</f>
        <v>0</v>
      </c>
      <c r="W23" s="2"/>
      <c r="X23" s="2"/>
      <c r="Y23" s="2"/>
      <c r="Z23" s="2"/>
      <c r="AA23" s="2"/>
      <c r="AB23" s="2"/>
      <c r="AC23" s="2"/>
      <c r="AD23" s="2"/>
      <c r="AE23" s="2"/>
      <c r="AF23" s="30"/>
      <c r="AG23" s="30"/>
      <c r="AH23" s="30"/>
      <c r="AI23" s="30"/>
      <c r="AJ23" s="30"/>
      <c r="AK23" s="30"/>
      <c r="AL23" s="30"/>
      <c r="AM23" s="30"/>
      <c r="AN23" s="30"/>
      <c r="AO23" s="30"/>
    </row>
    <row r="24" spans="1:41" ht="35.1" customHeight="1" x14ac:dyDescent="0.25">
      <c r="A24"/>
      <c r="B24" s="261" t="s">
        <v>6007</v>
      </c>
      <c r="C24" s="260">
        <f>IF(ISERROR(VLOOKUP(C16,Aux_TBS!A:U,21,FALSE)),VLOOKUP(AquecimentoÁgua!D18,Aux_TBS!C:U,16,FALSE),VLOOKUP(C16,Aux_TBS!A:U,18,FALSE))</f>
        <v>20.931891695000001</v>
      </c>
      <c r="D24" s="2"/>
      <c r="E24" s="261" t="s">
        <v>6026</v>
      </c>
      <c r="F24" s="258">
        <v>199.9</v>
      </c>
      <c r="G24" s="2"/>
      <c r="H24" s="288"/>
      <c r="I24" s="446"/>
      <c r="J24" s="279" t="s">
        <v>6035</v>
      </c>
      <c r="K24" s="280">
        <v>8</v>
      </c>
      <c r="L24" s="289"/>
      <c r="M24" s="2"/>
      <c r="N24" s="288"/>
      <c r="O24" s="446"/>
      <c r="P24" s="279" t="s">
        <v>6035</v>
      </c>
      <c r="Q24" s="294">
        <v>8</v>
      </c>
      <c r="R24" s="289"/>
      <c r="S24" s="2"/>
      <c r="T24" s="2"/>
      <c r="U24" s="37"/>
      <c r="V24" s="37"/>
      <c r="W24" s="2"/>
      <c r="X24" s="2"/>
      <c r="Y24" s="2"/>
      <c r="Z24" s="2"/>
      <c r="AA24" s="2"/>
      <c r="AB24" s="2"/>
      <c r="AC24" s="2"/>
      <c r="AD24" s="2"/>
      <c r="AE24" s="2"/>
      <c r="AF24" s="30"/>
      <c r="AG24" s="30"/>
      <c r="AH24" s="30"/>
      <c r="AI24" s="30"/>
      <c r="AJ24" s="30"/>
      <c r="AK24" s="30"/>
      <c r="AL24" s="30"/>
      <c r="AM24" s="30"/>
      <c r="AN24" s="30"/>
      <c r="AO24" s="30"/>
    </row>
    <row r="25" spans="1:41" ht="35.1" customHeight="1" x14ac:dyDescent="0.25">
      <c r="A25"/>
      <c r="B25" s="261" t="s">
        <v>6008</v>
      </c>
      <c r="C25" s="260">
        <v>1</v>
      </c>
      <c r="D25" s="2"/>
      <c r="E25" s="261" t="s">
        <v>6029</v>
      </c>
      <c r="F25" s="258">
        <v>96.24</v>
      </c>
      <c r="G25" s="2"/>
      <c r="H25" s="288"/>
      <c r="I25" s="446"/>
      <c r="J25" s="279" t="s">
        <v>6037</v>
      </c>
      <c r="K25" s="281">
        <f>(PI())/(1/(2*K$21)*LN(K$22/K$23)+1/(K$24*K$22))</f>
        <v>0.17254541465930054</v>
      </c>
      <c r="L25" s="289"/>
      <c r="M25" s="2"/>
      <c r="N25" s="288"/>
      <c r="O25" s="446"/>
      <c r="P25" s="279" t="s">
        <v>6037</v>
      </c>
      <c r="Q25" s="281">
        <f>(PI())/(1/(2*Q$21)*LN(Q$22/Q$23)+1/(Q$24*Q$22))</f>
        <v>0.30948173294522274</v>
      </c>
      <c r="R25" s="289"/>
      <c r="S25" s="2"/>
      <c r="T25" s="442" t="s">
        <v>6054</v>
      </c>
      <c r="U25" s="443"/>
      <c r="V25" s="37"/>
      <c r="W25" s="2"/>
      <c r="X25" s="2"/>
      <c r="Y25" s="2"/>
      <c r="Z25" s="2"/>
      <c r="AA25" s="2"/>
      <c r="AB25" s="2"/>
      <c r="AC25" s="2"/>
      <c r="AD25" s="2"/>
      <c r="AE25" s="2"/>
      <c r="AF25" s="30"/>
      <c r="AG25" s="30"/>
      <c r="AH25" s="30"/>
      <c r="AI25" s="30"/>
      <c r="AJ25" s="30"/>
      <c r="AK25" s="30"/>
      <c r="AL25" s="30"/>
      <c r="AM25" s="30"/>
      <c r="AN25" s="30"/>
      <c r="AO25" s="30"/>
    </row>
    <row r="26" spans="1:41" ht="30" x14ac:dyDescent="0.25">
      <c r="A26"/>
      <c r="B26" s="261" t="s">
        <v>6009</v>
      </c>
      <c r="C26" s="260">
        <v>4180</v>
      </c>
      <c r="D26" s="2"/>
      <c r="E26" s="261" t="s">
        <v>6024</v>
      </c>
      <c r="F26" s="258">
        <v>4.4859999999999998</v>
      </c>
      <c r="G26" s="2"/>
      <c r="H26" s="288"/>
      <c r="I26" s="446"/>
      <c r="J26" s="279" t="s">
        <v>6038</v>
      </c>
      <c r="K26" s="281">
        <f>2.083*C$23</f>
        <v>2.6037500000000002</v>
      </c>
      <c r="L26" s="289"/>
      <c r="M26" s="2"/>
      <c r="N26" s="288"/>
      <c r="O26" s="446"/>
      <c r="P26" s="279" t="s">
        <v>6038</v>
      </c>
      <c r="Q26" s="281">
        <f>2.083*C$23</f>
        <v>2.6037500000000002</v>
      </c>
      <c r="R26" s="289"/>
      <c r="S26" s="2"/>
      <c r="T26" s="297" t="s">
        <v>5494</v>
      </c>
      <c r="U26" s="299" t="s">
        <v>6055</v>
      </c>
      <c r="V26" s="37"/>
      <c r="W26" s="2"/>
      <c r="X26" s="2"/>
      <c r="Y26" s="2"/>
      <c r="Z26" s="2"/>
      <c r="AA26" s="2"/>
      <c r="AB26" s="2"/>
      <c r="AC26" s="2"/>
      <c r="AD26" s="2"/>
      <c r="AE26" s="2"/>
      <c r="AF26" s="30"/>
      <c r="AG26" s="30"/>
      <c r="AH26" s="30"/>
      <c r="AI26" s="30"/>
      <c r="AJ26" s="30"/>
      <c r="AK26" s="30"/>
      <c r="AL26" s="30"/>
      <c r="AM26" s="30"/>
      <c r="AN26" s="30"/>
      <c r="AO26" s="30"/>
    </row>
    <row r="27" spans="1:41" ht="34.5" customHeight="1" x14ac:dyDescent="0.25">
      <c r="A27"/>
      <c r="B27" s="261" t="s">
        <v>6010</v>
      </c>
      <c r="C27" s="263">
        <f>IF(C9="Com acumulação","Preencher a temperatura de armazenamento",IF(ISERROR(VLOOKUP(C16,Aux_TBS!A:U,21,FALSE)),VLOOKUP(AquecimentoÁgua!D18,Aux_TBS!C:U,19,FALSE),VLOOKUP(C16,Aux_TBS!A:U,21,FALSE)))</f>
        <v>40</v>
      </c>
      <c r="D27" s="2"/>
      <c r="E27" s="264" t="s">
        <v>6027</v>
      </c>
      <c r="F27" s="265">
        <f>IF(F21="Detalhado",0,((F24*F23/30.42)*(F26/5.35)))</f>
        <v>0</v>
      </c>
      <c r="G27" s="2"/>
      <c r="H27" s="288"/>
      <c r="I27" s="446" t="s">
        <v>6031</v>
      </c>
      <c r="J27" s="279" t="s">
        <v>6039</v>
      </c>
      <c r="K27" s="282">
        <v>354.85</v>
      </c>
      <c r="L27" s="289"/>
      <c r="M27" s="2"/>
      <c r="N27" s="288"/>
      <c r="O27" s="446" t="s">
        <v>6031</v>
      </c>
      <c r="P27" s="279" t="s">
        <v>6039</v>
      </c>
      <c r="Q27" s="295">
        <f>K27</f>
        <v>354.85</v>
      </c>
      <c r="R27" s="289"/>
      <c r="S27" s="2"/>
      <c r="T27" s="300">
        <f>(T23)*1.6</f>
        <v>23288.473519407678</v>
      </c>
      <c r="U27" s="301">
        <f>U23*1.6+V23*1.1</f>
        <v>19145.021877818479</v>
      </c>
      <c r="V27" s="37"/>
      <c r="W27" s="2"/>
      <c r="X27" s="2"/>
      <c r="Y27" s="2"/>
      <c r="Z27" s="2"/>
      <c r="AA27" s="2"/>
      <c r="AB27" s="2"/>
      <c r="AC27" s="2"/>
      <c r="AD27" s="2"/>
      <c r="AE27" s="2"/>
      <c r="AF27" s="30"/>
      <c r="AG27" s="30"/>
      <c r="AH27" s="30"/>
      <c r="AI27" s="30"/>
      <c r="AJ27" s="30"/>
      <c r="AK27" s="30"/>
      <c r="AL27" s="30"/>
      <c r="AM27" s="30"/>
      <c r="AN27" s="30"/>
      <c r="AO27" s="30"/>
    </row>
    <row r="28" spans="1:41" ht="34.5" customHeight="1" x14ac:dyDescent="0.25">
      <c r="A28"/>
      <c r="B28" s="261" t="s">
        <v>6011</v>
      </c>
      <c r="C28" s="266">
        <v>50</v>
      </c>
      <c r="D28" s="2"/>
      <c r="E28" s="454" t="str">
        <f>IF(F21="Detalhado","Calcule a Energia proveniente do aquecimento Solar na planilha a parte, e insira manualmente na célula F29.","")</f>
        <v/>
      </c>
      <c r="F28" s="454"/>
      <c r="G28" s="2"/>
      <c r="H28" s="288"/>
      <c r="I28" s="446"/>
      <c r="J28" s="285" t="s">
        <v>6040</v>
      </c>
      <c r="K28" s="283">
        <f>(K$26*K$25*K$27*(IF(ISERROR(VLOOKUP(C$16,Aux_TBS!$A:$U,21,FALSE)),VLOOKUP(AquecimentoÁgua!D$18,Aux_TBS!$C:$U,19,FALSE),VLOOKUP(C$16,Aux_TBS!$A:$U,21,FALSE))-C$24))/1000</f>
        <v>3.0398707956058919</v>
      </c>
      <c r="L28" s="289"/>
      <c r="M28" s="2"/>
      <c r="N28" s="288"/>
      <c r="O28" s="446"/>
      <c r="P28" s="285" t="s">
        <v>6040</v>
      </c>
      <c r="Q28" s="283">
        <f>(Q$26*Q$25*Q$27*(IF(ISERROR(VLOOKUP(C$16,Aux_TBS!$A:$U,21,FALSE)),VLOOKUP(AquecimentoÁgua!D$18,Aux_TBS!$C:$U,19,FALSE),VLOOKUP(C$16,Aux_TBS!$A:$U,21,FALSE))-C$24))/1000</f>
        <v>5.4523876140742997</v>
      </c>
      <c r="R28" s="289"/>
      <c r="S28" s="2"/>
      <c r="T28" s="2"/>
      <c r="U28" s="2"/>
      <c r="V28" s="37"/>
      <c r="W28" s="2"/>
      <c r="X28" s="2"/>
      <c r="Y28" s="2"/>
      <c r="Z28" s="2"/>
      <c r="AA28" s="2"/>
      <c r="AB28" s="2"/>
      <c r="AC28" s="2"/>
      <c r="AD28" s="2"/>
      <c r="AE28" s="2"/>
      <c r="AF28" s="30"/>
      <c r="AG28" s="30"/>
      <c r="AH28" s="30"/>
      <c r="AI28" s="30"/>
      <c r="AJ28" s="30"/>
      <c r="AK28" s="30"/>
      <c r="AL28" s="30"/>
      <c r="AM28" s="30"/>
      <c r="AN28" s="30"/>
      <c r="AO28" s="30"/>
    </row>
    <row r="29" spans="1:41" ht="35.1" customHeight="1" x14ac:dyDescent="0.25">
      <c r="A29"/>
      <c r="B29" s="261" t="s">
        <v>6060</v>
      </c>
      <c r="C29" s="266"/>
      <c r="D29" s="2"/>
      <c r="E29" s="455"/>
      <c r="F29" s="455"/>
      <c r="G29" s="2"/>
      <c r="H29" s="288"/>
      <c r="I29" s="446" t="s">
        <v>6036</v>
      </c>
      <c r="J29" s="279" t="s">
        <v>6037</v>
      </c>
      <c r="K29" s="284">
        <v>0</v>
      </c>
      <c r="L29" s="289"/>
      <c r="M29" s="2"/>
      <c r="N29" s="288"/>
      <c r="O29" s="446" t="s">
        <v>6036</v>
      </c>
      <c r="P29" s="279" t="s">
        <v>6037</v>
      </c>
      <c r="Q29" s="296">
        <f>Q25</f>
        <v>0.30948173294522274</v>
      </c>
      <c r="R29" s="289"/>
      <c r="S29" s="2"/>
      <c r="T29" s="2"/>
      <c r="U29" s="2"/>
      <c r="V29" s="37"/>
      <c r="W29" s="2"/>
      <c r="X29" s="2"/>
      <c r="Y29" s="2"/>
      <c r="Z29" s="2"/>
      <c r="AA29" s="2"/>
      <c r="AB29" s="2"/>
      <c r="AC29" s="2"/>
      <c r="AD29" s="2"/>
      <c r="AE29" s="2"/>
      <c r="AF29" s="30"/>
      <c r="AG29" s="30"/>
      <c r="AH29" s="30"/>
      <c r="AI29" s="30"/>
      <c r="AJ29" s="30"/>
      <c r="AK29" s="30"/>
      <c r="AL29" s="30"/>
      <c r="AM29" s="30"/>
      <c r="AN29" s="30"/>
      <c r="AO29" s="30"/>
    </row>
    <row r="30" spans="1:41" ht="35.1" customHeight="1" x14ac:dyDescent="0.25">
      <c r="A30"/>
      <c r="B30" s="264" t="s">
        <v>6019</v>
      </c>
      <c r="C30" s="265">
        <f>IF(C9="Com acumulação",C23*C25*C26*(C28-C24)/3600,C23*C25*C26*(C27-C24)/3600)+C29</f>
        <v>27.675240526006945</v>
      </c>
      <c r="D30" s="2"/>
      <c r="E30" s="455"/>
      <c r="F30" s="455"/>
      <c r="G30" s="2"/>
      <c r="H30" s="288"/>
      <c r="I30" s="446"/>
      <c r="J30" s="279" t="s">
        <v>6039</v>
      </c>
      <c r="K30" s="282">
        <v>0</v>
      </c>
      <c r="L30" s="289"/>
      <c r="M30" s="2"/>
      <c r="N30" s="288"/>
      <c r="O30" s="446"/>
      <c r="P30" s="279" t="s">
        <v>6039</v>
      </c>
      <c r="Q30" s="295">
        <f>K30</f>
        <v>0</v>
      </c>
      <c r="R30" s="289"/>
      <c r="S30" s="2"/>
      <c r="T30" s="2"/>
      <c r="U30" s="2"/>
      <c r="V30" s="37"/>
      <c r="W30" s="2"/>
      <c r="X30" s="2"/>
      <c r="Y30" s="2"/>
      <c r="Z30" s="2"/>
      <c r="AA30" s="2"/>
      <c r="AB30" s="2"/>
      <c r="AC30" s="2"/>
      <c r="AD30" s="2"/>
      <c r="AE30" s="2"/>
      <c r="AF30" s="30"/>
      <c r="AG30" s="30"/>
      <c r="AH30" s="30"/>
      <c r="AI30" s="30"/>
      <c r="AJ30" s="30"/>
      <c r="AK30" s="30"/>
      <c r="AL30" s="30"/>
      <c r="AM30" s="30"/>
      <c r="AN30" s="30"/>
      <c r="AO30" s="30"/>
    </row>
    <row r="31" spans="1:41" ht="35.1" customHeight="1" x14ac:dyDescent="0.25">
      <c r="A31"/>
      <c r="B31"/>
      <c r="C31" s="2"/>
      <c r="D31" s="2"/>
      <c r="E31" s="2"/>
      <c r="F31" s="2"/>
      <c r="G31" s="2"/>
      <c r="H31" s="288"/>
      <c r="I31" s="446"/>
      <c r="J31" s="285" t="s">
        <v>6040</v>
      </c>
      <c r="K31" s="283">
        <f>(K$26*K$29*K$30*(IF(ISERROR(VLOOKUP(C$16,Aux_TBS!$A:$U,21,FALSE)),VLOOKUP(AquecimentoÁgua!D$18,Aux_TBS!$C:$U,19,FALSE),VLOOKUP(C$16,Aux_TBS!$A:$U,21,FALSE))-C$24))/1000</f>
        <v>0</v>
      </c>
      <c r="L31" s="289"/>
      <c r="M31" s="2"/>
      <c r="N31" s="288"/>
      <c r="O31" s="446"/>
      <c r="P31" s="285" t="s">
        <v>6040</v>
      </c>
      <c r="Q31" s="283">
        <f>(Q$26*Q$29*Q$30*(IF(ISERROR(VLOOKUP(C$16,Aux_TBS!$A:$U,21,FALSE)),VLOOKUP(AquecimentoÁgua!D$18,Aux_TBS!$C:$U,19,FALSE),VLOOKUP(C$16,Aux_TBS!$A:$U,21,FALSE))-C$24))/1000</f>
        <v>0</v>
      </c>
      <c r="R31" s="289"/>
      <c r="S31" s="2"/>
      <c r="T31" s="2"/>
      <c r="U31" s="2"/>
      <c r="V31" s="37"/>
      <c r="W31" s="2"/>
      <c r="X31" s="2"/>
      <c r="Y31" s="2"/>
      <c r="Z31" s="2"/>
      <c r="AA31" s="2"/>
      <c r="AB31" s="2"/>
      <c r="AC31" s="2"/>
      <c r="AD31" s="2"/>
      <c r="AE31" s="2"/>
      <c r="AF31" s="30"/>
      <c r="AG31" s="30"/>
      <c r="AH31" s="30"/>
      <c r="AI31" s="30"/>
      <c r="AJ31" s="30"/>
      <c r="AK31" s="30"/>
      <c r="AL31" s="30"/>
      <c r="AM31" s="30"/>
      <c r="AN31" s="30"/>
      <c r="AO31" s="30"/>
    </row>
    <row r="32" spans="1:41" x14ac:dyDescent="0.25">
      <c r="A32"/>
      <c r="B32"/>
      <c r="C32" s="2"/>
      <c r="D32" s="2"/>
      <c r="E32" s="2"/>
      <c r="F32" s="2"/>
      <c r="G32" s="2"/>
      <c r="H32" s="288"/>
      <c r="I32" s="2"/>
      <c r="J32" s="2"/>
      <c r="K32" s="2"/>
      <c r="L32" s="289"/>
      <c r="M32" s="2"/>
      <c r="N32" s="288"/>
      <c r="O32" s="2"/>
      <c r="P32" s="2"/>
      <c r="Q32" s="2"/>
      <c r="R32" s="289"/>
      <c r="S32" s="2"/>
      <c r="T32" s="2"/>
      <c r="U32" s="2"/>
      <c r="V32" s="37"/>
      <c r="W32" s="2"/>
      <c r="X32" s="2"/>
      <c r="Y32" s="2"/>
      <c r="Z32" s="2"/>
      <c r="AA32" s="2"/>
      <c r="AB32" s="2"/>
      <c r="AC32" s="2"/>
      <c r="AD32" s="2"/>
      <c r="AE32" s="2"/>
      <c r="AF32" s="30"/>
      <c r="AG32" s="30"/>
      <c r="AH32" s="30"/>
      <c r="AI32" s="30"/>
      <c r="AJ32" s="30"/>
      <c r="AK32" s="30"/>
      <c r="AL32" s="30"/>
      <c r="AM32" s="30"/>
      <c r="AN32" s="30"/>
      <c r="AO32" s="30"/>
    </row>
    <row r="33" spans="1:41" x14ac:dyDescent="0.25">
      <c r="A33"/>
      <c r="B33" s="12" t="s">
        <v>6051</v>
      </c>
      <c r="C33"/>
      <c r="D33" s="2"/>
      <c r="E33" s="2"/>
      <c r="F33" s="2"/>
      <c r="G33" s="2"/>
      <c r="H33" s="288"/>
      <c r="I33" s="12" t="s">
        <v>6043</v>
      </c>
      <c r="J33" s="2"/>
      <c r="K33" s="2"/>
      <c r="L33" s="289"/>
      <c r="M33" s="2"/>
      <c r="N33" s="288"/>
      <c r="O33" s="12" t="s">
        <v>6043</v>
      </c>
      <c r="P33" s="2"/>
      <c r="Q33" s="2"/>
      <c r="R33" s="289"/>
      <c r="S33" s="2"/>
      <c r="T33" s="2"/>
      <c r="U33" s="2"/>
      <c r="V33" s="37"/>
      <c r="W33" s="2"/>
      <c r="X33" s="2"/>
      <c r="Y33" s="2"/>
      <c r="Z33" s="2"/>
      <c r="AA33" s="2"/>
      <c r="AB33" s="2"/>
      <c r="AC33" s="2"/>
      <c r="AD33" s="2"/>
      <c r="AE33" s="2"/>
      <c r="AF33" s="30"/>
      <c r="AG33" s="30"/>
      <c r="AH33" s="30"/>
      <c r="AI33" s="30"/>
      <c r="AJ33" s="30"/>
      <c r="AK33" s="30"/>
      <c r="AL33" s="30"/>
      <c r="AM33" s="30"/>
      <c r="AN33" s="30"/>
      <c r="AO33" s="30"/>
    </row>
    <row r="34" spans="1:41" ht="35.1" customHeight="1" x14ac:dyDescent="0.25">
      <c r="A34"/>
      <c r="B34" s="262" t="s">
        <v>6053</v>
      </c>
      <c r="C34" s="72" t="s">
        <v>6110</v>
      </c>
      <c r="D34" s="2"/>
      <c r="E34" s="2"/>
      <c r="F34" s="2"/>
      <c r="G34" s="2"/>
      <c r="H34" s="288"/>
      <c r="I34" s="446" t="s">
        <v>6041</v>
      </c>
      <c r="J34" s="277" t="s">
        <v>6032</v>
      </c>
      <c r="K34" s="278">
        <v>0.03</v>
      </c>
      <c r="L34" s="289"/>
      <c r="M34" s="2"/>
      <c r="N34" s="288"/>
      <c r="O34" s="446" t="s">
        <v>6041</v>
      </c>
      <c r="P34" s="277" t="s">
        <v>6032</v>
      </c>
      <c r="Q34" s="293">
        <v>0.03</v>
      </c>
      <c r="R34" s="289"/>
      <c r="S34" s="2"/>
      <c r="T34" s="2"/>
      <c r="U34" s="2"/>
      <c r="V34" s="37"/>
      <c r="W34" s="2"/>
      <c r="X34" s="2"/>
      <c r="Y34" s="2"/>
      <c r="Z34" s="2"/>
      <c r="AA34" s="2"/>
      <c r="AB34" s="2"/>
      <c r="AC34" s="2"/>
      <c r="AD34" s="2"/>
      <c r="AE34" s="2"/>
      <c r="AF34" s="30"/>
      <c r="AG34" s="30"/>
      <c r="AH34" s="30"/>
      <c r="AI34" s="30"/>
      <c r="AJ34" s="30"/>
      <c r="AK34" s="30"/>
      <c r="AL34" s="30"/>
      <c r="AM34" s="30"/>
      <c r="AN34" s="30"/>
      <c r="AO34" s="30"/>
    </row>
    <row r="35" spans="1:41" ht="35.1" customHeight="1" x14ac:dyDescent="0.25">
      <c r="A35"/>
      <c r="B35" s="262" t="s">
        <v>6052</v>
      </c>
      <c r="C35" s="258">
        <v>0.95</v>
      </c>
      <c r="D35" s="2"/>
      <c r="E35" s="2"/>
      <c r="F35" s="2"/>
      <c r="G35" s="2"/>
      <c r="H35" s="288"/>
      <c r="I35" s="446"/>
      <c r="J35" s="279" t="s">
        <v>6033</v>
      </c>
      <c r="K35" s="280">
        <v>4.8000000000000001E-2</v>
      </c>
      <c r="L35" s="289"/>
      <c r="M35" s="2"/>
      <c r="N35" s="288"/>
      <c r="O35" s="446"/>
      <c r="P35" s="279" t="s">
        <v>6033</v>
      </c>
      <c r="Q35" s="294">
        <v>4.8000000000000001E-2</v>
      </c>
      <c r="R35" s="289"/>
      <c r="S35" s="2"/>
      <c r="T35" s="2"/>
      <c r="U35" s="2"/>
      <c r="V35" s="37"/>
      <c r="W35" s="2"/>
      <c r="X35" s="2"/>
      <c r="Y35" s="2"/>
      <c r="Z35" s="2"/>
      <c r="AA35" s="2"/>
      <c r="AB35" s="2"/>
      <c r="AC35" s="2"/>
      <c r="AD35" s="2"/>
      <c r="AE35" s="2"/>
      <c r="AF35" s="30"/>
      <c r="AG35" s="30"/>
      <c r="AH35" s="30"/>
      <c r="AI35" s="30"/>
      <c r="AJ35" s="30"/>
      <c r="AK35" s="30"/>
      <c r="AL35" s="30"/>
      <c r="AM35" s="30"/>
      <c r="AN35" s="30"/>
      <c r="AO35" s="30"/>
    </row>
    <row r="36" spans="1:41" ht="35.1" customHeight="1" x14ac:dyDescent="0.25">
      <c r="A36"/>
      <c r="B36" s="261" t="s">
        <v>6061</v>
      </c>
      <c r="C36" s="259">
        <v>0.85</v>
      </c>
      <c r="D36"/>
      <c r="E36" s="2"/>
      <c r="F36" s="2"/>
      <c r="G36" s="2"/>
      <c r="H36" s="288"/>
      <c r="I36" s="446"/>
      <c r="J36" s="279" t="s">
        <v>6034</v>
      </c>
      <c r="K36" s="280">
        <v>2.1999999999999999E-2</v>
      </c>
      <c r="L36" s="289"/>
      <c r="M36" s="2"/>
      <c r="N36" s="288"/>
      <c r="O36" s="446"/>
      <c r="P36" s="279" t="s">
        <v>6034</v>
      </c>
      <c r="Q36" s="294">
        <v>2.1999999999999999E-2</v>
      </c>
      <c r="R36" s="289"/>
      <c r="S36" s="2"/>
      <c r="T36" s="2"/>
      <c r="U36" s="2"/>
      <c r="V36" s="37"/>
      <c r="W36" s="2"/>
      <c r="X36" s="2"/>
      <c r="Y36" s="2"/>
      <c r="Z36" s="2"/>
      <c r="AA36" s="2"/>
      <c r="AB36" s="2"/>
      <c r="AC36" s="2"/>
      <c r="AD36" s="2"/>
      <c r="AE36" s="2"/>
      <c r="AF36" s="30"/>
      <c r="AG36" s="30"/>
      <c r="AH36" s="30"/>
      <c r="AI36" s="30"/>
      <c r="AJ36" s="30"/>
      <c r="AK36" s="30"/>
      <c r="AL36" s="30"/>
      <c r="AM36" s="30"/>
      <c r="AN36" s="30"/>
      <c r="AO36" s="30"/>
    </row>
    <row r="37" spans="1:41" ht="35.1" customHeight="1" x14ac:dyDescent="0.25">
      <c r="A37"/>
      <c r="B37"/>
      <c r="C37"/>
      <c r="D37"/>
      <c r="E37" s="2"/>
      <c r="F37" s="2"/>
      <c r="G37" s="2"/>
      <c r="H37" s="288"/>
      <c r="I37" s="446"/>
      <c r="J37" s="279" t="s">
        <v>6035</v>
      </c>
      <c r="K37" s="280">
        <v>8</v>
      </c>
      <c r="L37" s="289"/>
      <c r="M37" s="2"/>
      <c r="N37" s="288"/>
      <c r="O37" s="446"/>
      <c r="P37" s="279" t="s">
        <v>6035</v>
      </c>
      <c r="Q37" s="294">
        <v>8</v>
      </c>
      <c r="R37" s="289"/>
      <c r="S37" s="2"/>
      <c r="T37" s="2"/>
      <c r="U37" s="2"/>
      <c r="V37" s="37"/>
      <c r="W37" s="2"/>
      <c r="X37" s="2"/>
      <c r="Y37" s="2"/>
      <c r="Z37" s="2"/>
      <c r="AA37" s="2"/>
      <c r="AB37" s="2"/>
      <c r="AC37" s="2"/>
      <c r="AD37" s="2"/>
      <c r="AE37" s="2"/>
      <c r="AF37" s="30"/>
      <c r="AG37" s="30"/>
      <c r="AH37" s="30"/>
      <c r="AI37" s="30"/>
      <c r="AJ37" s="30"/>
      <c r="AK37" s="30"/>
      <c r="AL37" s="30"/>
      <c r="AM37" s="30"/>
      <c r="AN37" s="30"/>
      <c r="AO37" s="30"/>
    </row>
    <row r="38" spans="1:41" ht="35.1" customHeight="1" x14ac:dyDescent="0.25">
      <c r="A38"/>
      <c r="B38"/>
      <c r="C38"/>
      <c r="D38"/>
      <c r="E38" s="2"/>
      <c r="F38" s="2"/>
      <c r="G38" s="2"/>
      <c r="H38" s="288"/>
      <c r="I38" s="446"/>
      <c r="J38" s="279" t="s">
        <v>6037</v>
      </c>
      <c r="K38" s="281">
        <f>(PI())/(1/(2*K$21)*LN(K$22/K$23)+1/(K$24*K$22))</f>
        <v>0.17254541465930054</v>
      </c>
      <c r="L38" s="289"/>
      <c r="M38" s="2"/>
      <c r="N38" s="288"/>
      <c r="O38" s="446"/>
      <c r="P38" s="279" t="s">
        <v>6037</v>
      </c>
      <c r="Q38" s="281">
        <f>(PI())/(1/(2*Q$21)*LN(Q$22/Q$23)+1/(Q$24*Q$22))</f>
        <v>0.30948173294522274</v>
      </c>
      <c r="R38" s="289"/>
      <c r="S38" s="2"/>
      <c r="T38" s="2"/>
      <c r="U38" s="2"/>
      <c r="V38" s="37"/>
      <c r="W38" s="2"/>
      <c r="X38" s="2"/>
      <c r="Y38" s="2"/>
      <c r="Z38" s="2"/>
      <c r="AA38" s="2"/>
      <c r="AB38" s="2"/>
      <c r="AC38" s="2"/>
      <c r="AD38" s="2"/>
      <c r="AE38" s="2"/>
      <c r="AF38" s="30"/>
      <c r="AG38" s="30"/>
      <c r="AH38" s="30"/>
      <c r="AI38" s="30"/>
      <c r="AJ38" s="30"/>
      <c r="AK38" s="30"/>
      <c r="AL38" s="30"/>
      <c r="AM38" s="30"/>
      <c r="AN38" s="30"/>
      <c r="AO38" s="30"/>
    </row>
    <row r="39" spans="1:41" ht="35.1" customHeight="1" x14ac:dyDescent="0.25">
      <c r="A39"/>
      <c r="B39"/>
      <c r="C39"/>
      <c r="D39"/>
      <c r="E39" s="2"/>
      <c r="F39" s="2"/>
      <c r="G39" s="2"/>
      <c r="H39" s="288"/>
      <c r="I39" s="446"/>
      <c r="J39" s="279" t="s">
        <v>6038</v>
      </c>
      <c r="K39" s="281">
        <f>2.083*C$23</f>
        <v>2.6037500000000002</v>
      </c>
      <c r="L39" s="289"/>
      <c r="M39" s="2"/>
      <c r="N39" s="288"/>
      <c r="O39" s="446"/>
      <c r="P39" s="279" t="s">
        <v>6038</v>
      </c>
      <c r="Q39" s="281">
        <f>2.083*C$23</f>
        <v>2.6037500000000002</v>
      </c>
      <c r="R39" s="289"/>
      <c r="S39" s="2"/>
      <c r="T39" s="2"/>
      <c r="U39" s="2"/>
      <c r="V39" s="37"/>
      <c r="W39" s="2"/>
      <c r="X39" s="2"/>
      <c r="Y39" s="2"/>
      <c r="Z39" s="2"/>
      <c r="AA39" s="2"/>
      <c r="AB39" s="2"/>
      <c r="AC39" s="2"/>
      <c r="AD39" s="2"/>
      <c r="AE39" s="2"/>
      <c r="AF39" s="30"/>
      <c r="AG39" s="30"/>
      <c r="AH39" s="30"/>
      <c r="AI39" s="30"/>
      <c r="AJ39" s="30"/>
      <c r="AK39" s="30"/>
      <c r="AL39" s="30"/>
      <c r="AM39" s="30"/>
      <c r="AN39" s="30"/>
      <c r="AO39" s="30"/>
    </row>
    <row r="40" spans="1:41" ht="35.1" customHeight="1" x14ac:dyDescent="0.25">
      <c r="A40"/>
      <c r="B40"/>
      <c r="C40" s="2"/>
      <c r="D40" s="2"/>
      <c r="E40" s="2"/>
      <c r="F40" s="2"/>
      <c r="G40" s="2"/>
      <c r="H40" s="288"/>
      <c r="I40" s="446" t="s">
        <v>6031</v>
      </c>
      <c r="J40" s="279" t="s">
        <v>6039</v>
      </c>
      <c r="K40" s="282">
        <v>0</v>
      </c>
      <c r="L40" s="289"/>
      <c r="M40" s="2"/>
      <c r="N40" s="288"/>
      <c r="O40" s="446" t="s">
        <v>6031</v>
      </c>
      <c r="P40" s="279" t="s">
        <v>6039</v>
      </c>
      <c r="Q40" s="295">
        <f>K40</f>
        <v>0</v>
      </c>
      <c r="R40" s="289"/>
      <c r="S40" s="2"/>
      <c r="T40" s="2"/>
      <c r="U40" s="2"/>
      <c r="V40" s="37"/>
      <c r="W40" s="2"/>
      <c r="X40" s="2"/>
      <c r="Y40" s="2"/>
      <c r="Z40" s="2"/>
      <c r="AA40" s="2"/>
      <c r="AB40" s="2"/>
      <c r="AC40" s="2"/>
      <c r="AD40" s="2"/>
      <c r="AE40" s="2"/>
      <c r="AF40" s="30"/>
      <c r="AG40" s="30"/>
      <c r="AH40" s="30"/>
      <c r="AI40" s="30"/>
      <c r="AJ40" s="30"/>
      <c r="AK40" s="30"/>
      <c r="AL40" s="30"/>
      <c r="AM40" s="30"/>
      <c r="AN40" s="30"/>
      <c r="AO40" s="30"/>
    </row>
    <row r="41" spans="1:41" ht="35.1" customHeight="1" x14ac:dyDescent="0.25">
      <c r="A41"/>
      <c r="B41"/>
      <c r="C41" s="2"/>
      <c r="D41" s="2"/>
      <c r="E41" s="2"/>
      <c r="F41" s="2"/>
      <c r="G41" s="2"/>
      <c r="H41" s="288"/>
      <c r="I41" s="446"/>
      <c r="J41" s="285" t="s">
        <v>6040</v>
      </c>
      <c r="K41" s="283">
        <f>(K$39*K$38*K$40*(IF(ISERROR(VLOOKUP(C$16,Aux_TBS!$A:$U,21,FALSE)),VLOOKUP(AquecimentoÁgua!D$18,Aux_TBS!$C:$U,19,FALSE),VLOOKUP(C$16,Aux_TBS!$A:$U,21,FALSE))-C$24))/1000</f>
        <v>0</v>
      </c>
      <c r="L41" s="289"/>
      <c r="M41" s="2"/>
      <c r="N41" s="288"/>
      <c r="O41" s="446"/>
      <c r="P41" s="285" t="s">
        <v>6040</v>
      </c>
      <c r="Q41" s="283">
        <f>(Q$39*Q$38*Q$40*(IF(ISERROR(VLOOKUP(C$16,Aux_TBS!$A:$U,21,FALSE)),VLOOKUP(AquecimentoÁgua!D$18,Aux_TBS!$C:$U,19,FALSE),VLOOKUP(C$16,Aux_TBS!$A:$U,21,FALSE))-C$24))/1000</f>
        <v>0</v>
      </c>
      <c r="R41" s="289"/>
      <c r="S41" s="2"/>
      <c r="T41" s="2"/>
      <c r="U41" s="2"/>
      <c r="V41" s="37"/>
      <c r="W41" s="2"/>
      <c r="X41" s="2"/>
      <c r="Y41" s="2"/>
      <c r="Z41" s="2"/>
      <c r="AA41" s="2"/>
      <c r="AB41" s="2"/>
      <c r="AC41" s="2"/>
      <c r="AD41" s="2"/>
      <c r="AE41" s="2"/>
      <c r="AF41" s="30"/>
      <c r="AG41" s="30"/>
      <c r="AH41" s="30"/>
      <c r="AI41" s="30"/>
      <c r="AJ41" s="30"/>
      <c r="AK41" s="30"/>
      <c r="AL41" s="30"/>
      <c r="AM41" s="30"/>
      <c r="AN41" s="30"/>
      <c r="AO41" s="30"/>
    </row>
    <row r="42" spans="1:41" ht="35.1" customHeight="1" x14ac:dyDescent="0.25">
      <c r="A42"/>
      <c r="B42"/>
      <c r="C42" s="2"/>
      <c r="D42" s="2"/>
      <c r="E42" s="2"/>
      <c r="F42" s="2"/>
      <c r="G42" s="2"/>
      <c r="H42" s="288"/>
      <c r="I42" s="446" t="s">
        <v>6036</v>
      </c>
      <c r="J42" s="279" t="s">
        <v>6037</v>
      </c>
      <c r="K42" s="284">
        <f>K38</f>
        <v>0.17254541465930054</v>
      </c>
      <c r="L42" s="289"/>
      <c r="M42" s="2"/>
      <c r="N42" s="288"/>
      <c r="O42" s="446" t="s">
        <v>6036</v>
      </c>
      <c r="P42" s="279" t="s">
        <v>6037</v>
      </c>
      <c r="Q42" s="296">
        <f>Q38</f>
        <v>0.30948173294522274</v>
      </c>
      <c r="R42" s="289"/>
      <c r="S42" s="2"/>
      <c r="T42" s="2"/>
      <c r="U42" s="2"/>
      <c r="V42" s="37"/>
      <c r="W42" s="2"/>
      <c r="X42" s="2"/>
      <c r="Y42" s="2"/>
      <c r="Z42" s="2"/>
      <c r="AA42" s="2"/>
      <c r="AB42" s="2"/>
      <c r="AC42" s="2"/>
      <c r="AD42" s="2"/>
      <c r="AE42" s="2"/>
      <c r="AF42" s="30"/>
      <c r="AG42" s="30"/>
      <c r="AH42" s="30"/>
      <c r="AI42" s="30"/>
      <c r="AJ42" s="30"/>
      <c r="AK42" s="30"/>
      <c r="AL42" s="30"/>
      <c r="AM42" s="30"/>
      <c r="AN42" s="30"/>
      <c r="AO42" s="30"/>
    </row>
    <row r="43" spans="1:41" ht="35.1" customHeight="1" x14ac:dyDescent="0.25">
      <c r="A43"/>
      <c r="B43"/>
      <c r="C43" s="2"/>
      <c r="D43" s="2"/>
      <c r="E43" s="2"/>
      <c r="F43" s="2"/>
      <c r="G43" s="2"/>
      <c r="H43" s="288"/>
      <c r="I43" s="446"/>
      <c r="J43" s="279" t="s">
        <v>6039</v>
      </c>
      <c r="K43" s="282">
        <v>50</v>
      </c>
      <c r="L43" s="289"/>
      <c r="M43" s="2"/>
      <c r="N43" s="288"/>
      <c r="O43" s="446"/>
      <c r="P43" s="279" t="s">
        <v>6039</v>
      </c>
      <c r="Q43" s="295">
        <f>K43</f>
        <v>50</v>
      </c>
      <c r="R43" s="289"/>
      <c r="S43" s="2"/>
      <c r="T43" s="2"/>
      <c r="U43" s="2"/>
      <c r="V43" s="37"/>
      <c r="W43" s="2"/>
      <c r="X43" s="2"/>
      <c r="Y43" s="2"/>
      <c r="Z43" s="2"/>
      <c r="AA43" s="2"/>
      <c r="AB43" s="2"/>
      <c r="AC43" s="2"/>
      <c r="AD43" s="2"/>
      <c r="AE43" s="2"/>
      <c r="AF43" s="30"/>
      <c r="AG43" s="30"/>
      <c r="AH43" s="30"/>
      <c r="AI43" s="30"/>
      <c r="AJ43" s="30"/>
      <c r="AK43" s="30"/>
      <c r="AL43" s="30"/>
      <c r="AM43" s="30"/>
      <c r="AN43" s="30"/>
      <c r="AO43" s="30"/>
    </row>
    <row r="44" spans="1:41" ht="35.1" customHeight="1" x14ac:dyDescent="0.25">
      <c r="A44"/>
      <c r="B44"/>
      <c r="C44" s="2"/>
      <c r="D44" s="2"/>
      <c r="E44" s="2"/>
      <c r="F44" s="2"/>
      <c r="G44" s="2"/>
      <c r="H44" s="288"/>
      <c r="I44" s="446"/>
      <c r="J44" s="285" t="s">
        <v>6040</v>
      </c>
      <c r="K44" s="283">
        <f>(K$39*K$42*K$43*(IF(ISERROR(VLOOKUP(C$16,Aux_TBS!$A:$U,21,FALSE)),VLOOKUP(AquecimentoÁgua!D$18,Aux_TBS!$C:$U,19,FALSE),VLOOKUP(C$16,Aux_TBS!$A:$U,21,FALSE))-C$24))/1000</f>
        <v>0.42833180155078082</v>
      </c>
      <c r="L44" s="289"/>
      <c r="M44" s="2"/>
      <c r="N44" s="288"/>
      <c r="O44" s="446"/>
      <c r="P44" s="285" t="s">
        <v>6040</v>
      </c>
      <c r="Q44" s="283">
        <f>(Q$39*Q$42*Q$43*(IF(ISERROR(VLOOKUP(C$16,Aux_TBS!$A:$U,21,FALSE)),VLOOKUP(AquecimentoÁgua!D$18,Aux_TBS!$C:$U,19,FALSE),VLOOKUP(C$16,Aux_TBS!$A:$U,21,FALSE))-C$24))/1000</f>
        <v>0.76826653713883331</v>
      </c>
      <c r="R44" s="289"/>
      <c r="S44" s="2"/>
      <c r="T44" s="2"/>
      <c r="U44" s="2"/>
      <c r="V44" s="37"/>
      <c r="W44" s="2"/>
      <c r="X44" s="2"/>
      <c r="Y44" s="2"/>
      <c r="Z44" s="2"/>
      <c r="AA44" s="2"/>
      <c r="AB44" s="2"/>
      <c r="AC44" s="2"/>
      <c r="AD44" s="2"/>
      <c r="AE44" s="2"/>
      <c r="AF44" s="30"/>
      <c r="AG44" s="30"/>
      <c r="AH44" s="30"/>
      <c r="AI44" s="30"/>
      <c r="AJ44" s="30"/>
      <c r="AK44" s="30"/>
      <c r="AL44" s="30"/>
      <c r="AM44" s="30"/>
      <c r="AN44" s="30"/>
      <c r="AO44" s="30"/>
    </row>
    <row r="45" spans="1:41" x14ac:dyDescent="0.25">
      <c r="A45"/>
      <c r="B45"/>
      <c r="C45" s="2"/>
      <c r="D45" s="2"/>
      <c r="E45" s="2"/>
      <c r="F45" s="2"/>
      <c r="G45" s="2"/>
      <c r="H45" s="288"/>
      <c r="I45" s="2"/>
      <c r="J45" s="2"/>
      <c r="K45" s="2"/>
      <c r="L45" s="289"/>
      <c r="M45" s="2"/>
      <c r="N45" s="288"/>
      <c r="O45" s="2"/>
      <c r="P45" s="2"/>
      <c r="Q45" s="2"/>
      <c r="R45" s="289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30"/>
      <c r="AG45" s="30"/>
      <c r="AH45" s="30"/>
      <c r="AI45" s="30"/>
      <c r="AJ45" s="30"/>
      <c r="AK45" s="30"/>
      <c r="AL45" s="30"/>
      <c r="AM45" s="30"/>
      <c r="AN45" s="30"/>
      <c r="AO45" s="30"/>
    </row>
    <row r="46" spans="1:41" x14ac:dyDescent="0.25">
      <c r="A46"/>
      <c r="B46"/>
      <c r="C46" s="2"/>
      <c r="D46" s="2"/>
      <c r="E46" s="2"/>
      <c r="F46" s="2"/>
      <c r="G46" s="2"/>
      <c r="H46" s="288"/>
      <c r="I46" s="12" t="s">
        <v>99</v>
      </c>
      <c r="J46" s="2"/>
      <c r="K46" s="2"/>
      <c r="L46" s="289"/>
      <c r="M46" s="2"/>
      <c r="N46" s="288"/>
      <c r="O46" s="12" t="s">
        <v>99</v>
      </c>
      <c r="P46" s="2"/>
      <c r="Q46" s="2"/>
      <c r="R46" s="289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30"/>
      <c r="AG46" s="30"/>
      <c r="AH46" s="30"/>
      <c r="AI46" s="30"/>
      <c r="AJ46" s="30"/>
      <c r="AK46" s="30"/>
      <c r="AL46" s="30"/>
      <c r="AM46" s="30"/>
      <c r="AN46" s="30"/>
      <c r="AO46" s="30"/>
    </row>
    <row r="47" spans="1:41" ht="35.1" customHeight="1" x14ac:dyDescent="0.25">
      <c r="A47"/>
      <c r="B47"/>
      <c r="C47" s="2"/>
      <c r="D47" s="2"/>
      <c r="E47" s="2"/>
      <c r="F47" s="2"/>
      <c r="G47" s="2"/>
      <c r="H47" s="288"/>
      <c r="I47" s="273" t="s">
        <v>6046</v>
      </c>
      <c r="J47" s="271">
        <v>1000</v>
      </c>
      <c r="K47" s="2"/>
      <c r="L47" s="289"/>
      <c r="M47" s="2"/>
      <c r="N47" s="288"/>
      <c r="O47" s="273" t="s">
        <v>6046</v>
      </c>
      <c r="P47" s="274">
        <f>J47</f>
        <v>1000</v>
      </c>
      <c r="Q47" s="2"/>
      <c r="R47" s="289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30"/>
      <c r="AG47" s="30"/>
      <c r="AH47" s="30"/>
      <c r="AI47" s="30"/>
      <c r="AJ47" s="30"/>
      <c r="AK47" s="30"/>
      <c r="AL47" s="30"/>
      <c r="AM47" s="30"/>
      <c r="AN47" s="30"/>
      <c r="AO47" s="30"/>
    </row>
    <row r="48" spans="1:41" ht="35.1" customHeight="1" x14ac:dyDescent="0.25">
      <c r="A48"/>
      <c r="B48"/>
      <c r="C48" s="2"/>
      <c r="D48" s="2"/>
      <c r="E48" s="2"/>
      <c r="F48" s="2"/>
      <c r="G48" s="2"/>
      <c r="H48" s="288"/>
      <c r="I48" s="273" t="s">
        <v>6050</v>
      </c>
      <c r="J48" s="271">
        <v>5</v>
      </c>
      <c r="K48" s="2"/>
      <c r="L48" s="289"/>
      <c r="M48" s="2"/>
      <c r="N48" s="288"/>
      <c r="O48" s="273" t="s">
        <v>6050</v>
      </c>
      <c r="P48" s="274">
        <f>J48</f>
        <v>5</v>
      </c>
      <c r="Q48" s="2"/>
      <c r="R48" s="289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2" ht="35.1" customHeight="1" x14ac:dyDescent="0.25">
      <c r="A49"/>
      <c r="B49"/>
      <c r="C49" s="2"/>
      <c r="D49" s="2"/>
      <c r="E49" s="2"/>
      <c r="F49" s="2"/>
      <c r="G49" s="2"/>
      <c r="H49" s="288"/>
      <c r="I49" s="273" t="s">
        <v>6047</v>
      </c>
      <c r="J49" s="271">
        <v>29</v>
      </c>
      <c r="K49" s="2"/>
      <c r="L49" s="289"/>
      <c r="M49" s="2"/>
      <c r="N49" s="288"/>
      <c r="O49" s="273" t="s">
        <v>6047</v>
      </c>
      <c r="P49" s="274">
        <f>J49</f>
        <v>29</v>
      </c>
      <c r="Q49" s="2"/>
      <c r="R49" s="289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30"/>
      <c r="AG49" s="30"/>
      <c r="AH49" s="30"/>
      <c r="AI49" s="30"/>
      <c r="AJ49" s="30"/>
      <c r="AK49" s="30"/>
      <c r="AL49" s="30"/>
      <c r="AM49" s="30"/>
      <c r="AN49" s="30"/>
      <c r="AO49" s="30"/>
    </row>
    <row r="50" spans="1:42" ht="35.1" customHeight="1" x14ac:dyDescent="0.25">
      <c r="A50"/>
      <c r="B50"/>
      <c r="C50" s="2"/>
      <c r="D50" s="2"/>
      <c r="E50" s="2"/>
      <c r="F50" s="2"/>
      <c r="G50" s="2"/>
      <c r="H50" s="288"/>
      <c r="I50" s="273" t="s">
        <v>6048</v>
      </c>
      <c r="J50" s="271">
        <v>0.14000000000000001</v>
      </c>
      <c r="K50" s="2"/>
      <c r="L50" s="289"/>
      <c r="M50" s="2"/>
      <c r="N50" s="288"/>
      <c r="O50" s="273" t="s">
        <v>6048</v>
      </c>
      <c r="P50" s="274">
        <f>J50</f>
        <v>0.14000000000000001</v>
      </c>
      <c r="Q50" s="2"/>
      <c r="R50" s="289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30"/>
      <c r="AG50" s="30"/>
      <c r="AH50" s="30"/>
      <c r="AI50" s="30"/>
      <c r="AJ50" s="30"/>
      <c r="AK50" s="30"/>
      <c r="AL50" s="30"/>
      <c r="AM50" s="30"/>
      <c r="AN50" s="30"/>
      <c r="AO50" s="30"/>
    </row>
    <row r="51" spans="1:42" ht="35.1" customHeight="1" x14ac:dyDescent="0.25">
      <c r="A51"/>
      <c r="B51"/>
      <c r="C51" s="2"/>
      <c r="D51" s="2"/>
      <c r="E51" s="2"/>
      <c r="F51" s="2"/>
      <c r="G51" s="2"/>
      <c r="H51" s="288"/>
      <c r="I51" s="275" t="s">
        <v>6049</v>
      </c>
      <c r="J51" s="276">
        <f>IF(C9="Sem acumulação",0,((C28-C24)/J49)*(J50*J47/30.42)*J48)</f>
        <v>0</v>
      </c>
      <c r="K51" s="2"/>
      <c r="L51" s="289"/>
      <c r="M51" s="2"/>
      <c r="N51" s="288"/>
      <c r="O51" s="275" t="s">
        <v>6049</v>
      </c>
      <c r="P51" s="276">
        <f>J51</f>
        <v>0</v>
      </c>
      <c r="Q51" s="2"/>
      <c r="R51" s="289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30"/>
      <c r="AG51" s="30"/>
      <c r="AH51" s="30"/>
      <c r="AI51" s="30"/>
      <c r="AJ51" s="30"/>
      <c r="AK51" s="30"/>
      <c r="AL51" s="30"/>
      <c r="AM51" s="30"/>
      <c r="AN51" s="30"/>
      <c r="AO51" s="30"/>
    </row>
    <row r="52" spans="1:42" x14ac:dyDescent="0.25">
      <c r="A52"/>
      <c r="B52"/>
      <c r="C52" s="2"/>
      <c r="D52" s="2"/>
      <c r="E52" s="2"/>
      <c r="F52" s="2"/>
      <c r="G52" s="2"/>
      <c r="H52" s="290"/>
      <c r="I52" s="291"/>
      <c r="J52" s="291"/>
      <c r="K52" s="291"/>
      <c r="L52" s="292"/>
      <c r="M52" s="2"/>
      <c r="N52" s="290"/>
      <c r="O52" s="291"/>
      <c r="P52" s="291"/>
      <c r="Q52" s="291"/>
      <c r="R52" s="29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30"/>
      <c r="AG52" s="30"/>
      <c r="AH52" s="30"/>
      <c r="AI52" s="30"/>
      <c r="AJ52" s="30"/>
      <c r="AK52" s="30"/>
      <c r="AL52" s="30"/>
      <c r="AM52" s="30"/>
      <c r="AN52" s="30"/>
      <c r="AO52" s="30"/>
    </row>
    <row r="53" spans="1:42" x14ac:dyDescent="0.25">
      <c r="A53"/>
      <c r="B5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30"/>
      <c r="AG53" s="30"/>
      <c r="AH53" s="30"/>
      <c r="AI53" s="30"/>
      <c r="AJ53" s="30"/>
      <c r="AK53" s="30"/>
      <c r="AL53" s="30"/>
      <c r="AM53" s="30"/>
      <c r="AN53" s="30"/>
      <c r="AO53" s="30"/>
    </row>
    <row r="54" spans="1:42" x14ac:dyDescent="0.25">
      <c r="A54"/>
      <c r="B54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/>
    </row>
    <row r="55" spans="1:42" x14ac:dyDescent="0.25">
      <c r="A55"/>
      <c r="B55" s="12" t="s">
        <v>6059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/>
    </row>
    <row r="56" spans="1:42" ht="15" customHeight="1" x14ac:dyDescent="0.25">
      <c r="A56"/>
      <c r="B56" s="447" t="s">
        <v>63</v>
      </c>
      <c r="C56" s="448" t="s">
        <v>101</v>
      </c>
      <c r="D56" s="450"/>
      <c r="E56" s="450"/>
      <c r="F56" s="450"/>
      <c r="G56" s="450"/>
      <c r="H56" s="450"/>
      <c r="I56" s="450"/>
      <c r="J56" s="449"/>
      <c r="K56" s="450" t="s">
        <v>99</v>
      </c>
      <c r="L56" s="450"/>
      <c r="M56" s="448" t="s">
        <v>98</v>
      </c>
      <c r="N56" s="450"/>
      <c r="O56" s="450"/>
      <c r="P56" s="450"/>
      <c r="Q56" s="450"/>
      <c r="R56" s="450"/>
      <c r="S56" s="450"/>
      <c r="T56" s="450"/>
      <c r="U56" s="450"/>
      <c r="V56" s="449"/>
      <c r="W56" s="451" t="s">
        <v>92</v>
      </c>
      <c r="X56" s="452"/>
      <c r="Y56" s="453"/>
      <c r="Z56" s="448" t="s">
        <v>102</v>
      </c>
      <c r="AA56" s="450"/>
      <c r="AB56" s="449"/>
      <c r="AC56" s="448" t="s">
        <v>108</v>
      </c>
      <c r="AD56" s="449"/>
      <c r="AE56" s="448" t="s">
        <v>91</v>
      </c>
      <c r="AF56" s="450"/>
      <c r="AG56" s="449"/>
      <c r="AH56" s="450" t="s">
        <v>104</v>
      </c>
      <c r="AI56" s="450"/>
      <c r="AJ56" s="450"/>
      <c r="AK56" s="307" t="s">
        <v>6064</v>
      </c>
      <c r="AL56" s="442" t="s">
        <v>6065</v>
      </c>
      <c r="AM56" s="444"/>
      <c r="AN56" s="442" t="s">
        <v>5801</v>
      </c>
      <c r="AO56" s="444"/>
      <c r="AP56"/>
    </row>
    <row r="57" spans="1:42" ht="38.25" x14ac:dyDescent="0.25">
      <c r="A57"/>
      <c r="B57" s="447"/>
      <c r="C57" s="253" t="s">
        <v>160</v>
      </c>
      <c r="D57" s="192" t="s">
        <v>161</v>
      </c>
      <c r="E57" s="192" t="s">
        <v>162</v>
      </c>
      <c r="F57" s="192" t="s">
        <v>163</v>
      </c>
      <c r="G57" s="192" t="s">
        <v>164</v>
      </c>
      <c r="H57" s="192" t="s">
        <v>165</v>
      </c>
      <c r="I57" s="192" t="s">
        <v>166</v>
      </c>
      <c r="J57" s="254" t="s">
        <v>167</v>
      </c>
      <c r="K57" s="192" t="s">
        <v>94</v>
      </c>
      <c r="L57" s="192" t="s">
        <v>129</v>
      </c>
      <c r="M57" s="253" t="s">
        <v>94</v>
      </c>
      <c r="N57" s="192" t="s">
        <v>93</v>
      </c>
      <c r="O57" s="192" t="s">
        <v>110</v>
      </c>
      <c r="P57" s="192" t="s">
        <v>95</v>
      </c>
      <c r="Q57" s="192" t="s">
        <v>130</v>
      </c>
      <c r="R57" s="192" t="s">
        <v>168</v>
      </c>
      <c r="S57" s="192" t="s">
        <v>169</v>
      </c>
      <c r="T57" s="192" t="s">
        <v>36</v>
      </c>
      <c r="U57" s="192" t="s">
        <v>96</v>
      </c>
      <c r="V57" s="254" t="s">
        <v>97</v>
      </c>
      <c r="W57" s="85" t="s">
        <v>109</v>
      </c>
      <c r="X57" s="86" t="s">
        <v>110</v>
      </c>
      <c r="Y57" s="87" t="s">
        <v>125</v>
      </c>
      <c r="Z57" s="86" t="s">
        <v>93</v>
      </c>
      <c r="AA57" s="86" t="s">
        <v>110</v>
      </c>
      <c r="AB57" s="86" t="s">
        <v>126</v>
      </c>
      <c r="AC57" s="85" t="s">
        <v>93</v>
      </c>
      <c r="AD57" s="87" t="s">
        <v>64</v>
      </c>
      <c r="AE57" s="256" t="s">
        <v>100</v>
      </c>
      <c r="AF57" s="86" t="s">
        <v>170</v>
      </c>
      <c r="AG57" s="87" t="s">
        <v>127</v>
      </c>
      <c r="AH57" s="86" t="s">
        <v>106</v>
      </c>
      <c r="AI57" s="86" t="s">
        <v>103</v>
      </c>
      <c r="AJ57" s="86" t="s">
        <v>107</v>
      </c>
      <c r="AK57" s="195" t="s">
        <v>5494</v>
      </c>
      <c r="AL57" s="195" t="s">
        <v>6066</v>
      </c>
      <c r="AM57" s="196" t="s">
        <v>6067</v>
      </c>
      <c r="AN57" s="195" t="s">
        <v>5494</v>
      </c>
      <c r="AO57" s="196" t="s">
        <v>5495</v>
      </c>
      <c r="AP57"/>
    </row>
    <row r="58" spans="1:42" s="30" customFormat="1" ht="35.1" customHeight="1" x14ac:dyDescent="0.25">
      <c r="A58" s="2"/>
      <c r="B58" s="88"/>
      <c r="C58" s="305">
        <f>J47*J48</f>
        <v>5000</v>
      </c>
      <c r="D58" s="304">
        <f>C23*365</f>
        <v>456.25</v>
      </c>
      <c r="E58" s="106">
        <f>C28</f>
        <v>50</v>
      </c>
      <c r="F58" s="106">
        <f>C24</f>
        <v>20.931891695000001</v>
      </c>
      <c r="G58" s="106">
        <f>C27</f>
        <v>40</v>
      </c>
      <c r="H58" s="106">
        <f>C29</f>
        <v>0</v>
      </c>
      <c r="I58" s="106">
        <f>C30</f>
        <v>27.675240526006945</v>
      </c>
      <c r="J58" s="302"/>
      <c r="K58" s="106">
        <f>J48</f>
        <v>5</v>
      </c>
      <c r="L58" s="106">
        <f>J51</f>
        <v>0</v>
      </c>
      <c r="M58" s="305">
        <f>F23</f>
        <v>0</v>
      </c>
      <c r="N58" s="89"/>
      <c r="O58" s="89"/>
      <c r="P58" s="304">
        <f>F22</f>
        <v>0</v>
      </c>
      <c r="Q58" s="193"/>
      <c r="R58" s="89"/>
      <c r="S58" s="89"/>
      <c r="T58" s="194"/>
      <c r="U58" s="194"/>
      <c r="V58" s="255"/>
      <c r="W58" s="88"/>
      <c r="X58" s="89"/>
      <c r="Y58" s="303" t="str">
        <f>IF(C34="GLP",C35,"")</f>
        <v/>
      </c>
      <c r="Z58" s="89"/>
      <c r="AA58" s="89"/>
      <c r="AB58" s="304" t="str">
        <f>IF(C34="Elétrico, por Resistor",C35,"")</f>
        <v/>
      </c>
      <c r="AC58" s="88"/>
      <c r="AD58" s="90"/>
      <c r="AE58" s="306">
        <f>K28+K31</f>
        <v>3.0398707956058919</v>
      </c>
      <c r="AF58" s="107">
        <f>K21</f>
        <v>2.5000000000000001E-2</v>
      </c>
      <c r="AG58" s="90">
        <f>K22</f>
        <v>4.8000000000000001E-2</v>
      </c>
      <c r="AH58" s="89"/>
      <c r="AI58" s="89"/>
      <c r="AJ58" s="89"/>
      <c r="AK58" s="308">
        <f>T23</f>
        <v>14555.295949629799</v>
      </c>
      <c r="AL58" s="309">
        <f>U23</f>
        <v>11965.638673636549</v>
      </c>
      <c r="AM58" s="310">
        <f>V23</f>
        <v>0</v>
      </c>
      <c r="AN58" s="308">
        <f>T27</f>
        <v>23288.473519407678</v>
      </c>
      <c r="AO58" s="311">
        <f>U27</f>
        <v>19145.021877818479</v>
      </c>
      <c r="AP58" s="2"/>
    </row>
    <row r="59" spans="1:42" x14ac:dyDescent="0.25">
      <c r="A59"/>
      <c r="B59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/>
    </row>
    <row r="60" spans="1:42" x14ac:dyDescent="0.25">
      <c r="A60"/>
      <c r="B60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/>
    </row>
    <row r="61" spans="1:42" x14ac:dyDescent="0.25"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2" x14ac:dyDescent="0.25"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2" x14ac:dyDescent="0.25"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2" x14ac:dyDescent="0.25"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3:41" x14ac:dyDescent="0.25"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3:41" x14ac:dyDescent="0.25"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3:41" x14ac:dyDescent="0.25"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3:41" x14ac:dyDescent="0.25"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3:41" x14ac:dyDescent="0.25"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3:41" x14ac:dyDescent="0.25"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3:41" x14ac:dyDescent="0.25"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3:41" x14ac:dyDescent="0.25"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3:41" x14ac:dyDescent="0.25"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3:41" x14ac:dyDescent="0.25"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3:41" x14ac:dyDescent="0.25"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3:41" x14ac:dyDescent="0.25"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3:41" x14ac:dyDescent="0.25"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3:41" x14ac:dyDescent="0.25"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3:41" x14ac:dyDescent="0.25"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3:41" x14ac:dyDescent="0.25"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3:41" x14ac:dyDescent="0.25"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3:41" x14ac:dyDescent="0.25"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3:41" x14ac:dyDescent="0.25"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3:41" x14ac:dyDescent="0.25"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3:41" x14ac:dyDescent="0.25"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3:41" x14ac:dyDescent="0.25"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3:41" x14ac:dyDescent="0.25"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3:41" x14ac:dyDescent="0.25"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3:41" x14ac:dyDescent="0.25"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3:41" x14ac:dyDescent="0.25"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3:41" x14ac:dyDescent="0.25"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3:41" x14ac:dyDescent="0.25"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3:41" x14ac:dyDescent="0.25"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3:41" x14ac:dyDescent="0.25"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3:41" x14ac:dyDescent="0.25"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3:41" x14ac:dyDescent="0.25"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3:41" x14ac:dyDescent="0.25"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3:41" x14ac:dyDescent="0.25"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3:41" x14ac:dyDescent="0.25"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3:41" x14ac:dyDescent="0.25"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3:41" x14ac:dyDescent="0.25"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3:41" x14ac:dyDescent="0.25"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12"/>
      <c r="R102" s="30"/>
      <c r="S102" s="30"/>
      <c r="T102" s="313"/>
      <c r="U102" s="313"/>
      <c r="V102" s="314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3:41" x14ac:dyDescent="0.25"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12"/>
      <c r="R103" s="30"/>
      <c r="S103" s="30"/>
      <c r="T103" s="313"/>
      <c r="U103" s="313"/>
      <c r="V103" s="314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3:41" x14ac:dyDescent="0.25"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12"/>
      <c r="R104" s="30"/>
      <c r="S104" s="30"/>
      <c r="T104" s="313"/>
      <c r="U104" s="313"/>
      <c r="V104" s="314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3:41" x14ac:dyDescent="0.25"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12"/>
      <c r="R105" s="30"/>
      <c r="S105" s="30"/>
      <c r="T105" s="313"/>
      <c r="U105" s="313"/>
      <c r="V105" s="314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3:41" x14ac:dyDescent="0.25"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12"/>
      <c r="R106" s="30"/>
      <c r="S106" s="30"/>
      <c r="T106" s="313"/>
      <c r="U106" s="313"/>
      <c r="V106" s="314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</row>
    <row r="107" spans="3:41" x14ac:dyDescent="0.25"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12"/>
      <c r="R107" s="30"/>
      <c r="S107" s="30"/>
      <c r="T107" s="313"/>
      <c r="U107" s="313"/>
      <c r="V107" s="314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</row>
    <row r="108" spans="3:41" x14ac:dyDescent="0.25"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12"/>
      <c r="R108" s="30"/>
      <c r="S108" s="30"/>
      <c r="T108" s="313"/>
      <c r="U108" s="313"/>
      <c r="V108" s="314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</row>
    <row r="109" spans="3:41" x14ac:dyDescent="0.25"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12"/>
      <c r="R109" s="30"/>
      <c r="S109" s="30"/>
      <c r="T109" s="313"/>
      <c r="U109" s="313"/>
      <c r="V109" s="314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</row>
    <row r="110" spans="3:41" x14ac:dyDescent="0.25"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12"/>
      <c r="R110" s="30"/>
      <c r="S110" s="30"/>
      <c r="T110" s="313"/>
      <c r="U110" s="313"/>
      <c r="V110" s="314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</row>
    <row r="111" spans="3:41" x14ac:dyDescent="0.25"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12"/>
      <c r="R111" s="30"/>
      <c r="S111" s="30"/>
      <c r="T111" s="313"/>
      <c r="U111" s="313"/>
      <c r="V111" s="314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</row>
    <row r="112" spans="3:41" x14ac:dyDescent="0.25"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12"/>
      <c r="R112" s="30"/>
      <c r="S112" s="30"/>
      <c r="T112" s="313"/>
      <c r="U112" s="313"/>
      <c r="V112" s="314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</row>
    <row r="113" spans="3:41" x14ac:dyDescent="0.25"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12"/>
      <c r="R113" s="30"/>
      <c r="S113" s="30"/>
      <c r="T113" s="313"/>
      <c r="U113" s="313"/>
      <c r="V113" s="314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</row>
    <row r="114" spans="3:41" x14ac:dyDescent="0.25"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12"/>
      <c r="R114" s="30"/>
      <c r="S114" s="30"/>
      <c r="T114" s="313"/>
      <c r="U114" s="313"/>
      <c r="V114" s="314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</row>
    <row r="115" spans="3:41" x14ac:dyDescent="0.25"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12"/>
      <c r="R115" s="30"/>
      <c r="S115" s="30"/>
      <c r="T115" s="313"/>
      <c r="U115" s="313"/>
      <c r="V115" s="314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</row>
    <row r="116" spans="3:41" x14ac:dyDescent="0.25"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12"/>
      <c r="R116" s="30"/>
      <c r="S116" s="30"/>
      <c r="T116" s="313"/>
      <c r="U116" s="313"/>
      <c r="V116" s="314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</row>
    <row r="117" spans="3:41" x14ac:dyDescent="0.25"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12"/>
      <c r="R117" s="30"/>
      <c r="S117" s="30"/>
      <c r="T117" s="313"/>
      <c r="U117" s="313"/>
      <c r="V117" s="314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</row>
    <row r="118" spans="3:41" x14ac:dyDescent="0.25"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12"/>
      <c r="R118" s="30"/>
      <c r="S118" s="30"/>
      <c r="T118" s="313"/>
      <c r="U118" s="313"/>
      <c r="V118" s="314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</row>
    <row r="119" spans="3:41" x14ac:dyDescent="0.25"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12"/>
      <c r="R119" s="30"/>
      <c r="S119" s="30"/>
      <c r="T119" s="313"/>
      <c r="U119" s="313"/>
      <c r="V119" s="314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</row>
    <row r="120" spans="3:41" x14ac:dyDescent="0.25"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12"/>
      <c r="R120" s="30"/>
      <c r="S120" s="30"/>
      <c r="T120" s="313"/>
      <c r="U120" s="313"/>
      <c r="V120" s="314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</row>
    <row r="121" spans="3:41" x14ac:dyDescent="0.25"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12"/>
      <c r="R121" s="30"/>
      <c r="S121" s="30"/>
      <c r="T121" s="313"/>
      <c r="U121" s="313"/>
      <c r="V121" s="314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</row>
    <row r="122" spans="3:41" x14ac:dyDescent="0.25"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12"/>
      <c r="R122" s="30"/>
      <c r="S122" s="30"/>
      <c r="T122" s="313"/>
      <c r="U122" s="313"/>
      <c r="V122" s="314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</row>
    <row r="123" spans="3:41" x14ac:dyDescent="0.25"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12"/>
      <c r="R123" s="30"/>
      <c r="S123" s="30"/>
      <c r="T123" s="313"/>
      <c r="U123" s="313"/>
      <c r="V123" s="314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</row>
    <row r="124" spans="3:41" x14ac:dyDescent="0.25"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12"/>
      <c r="R124" s="30"/>
      <c r="S124" s="30"/>
      <c r="T124" s="313"/>
      <c r="U124" s="313"/>
      <c r="V124" s="314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</row>
    <row r="125" spans="3:41" x14ac:dyDescent="0.25"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12"/>
      <c r="R125" s="30"/>
      <c r="S125" s="30"/>
      <c r="T125" s="313"/>
      <c r="U125" s="313"/>
      <c r="V125" s="314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</row>
    <row r="126" spans="3:41" x14ac:dyDescent="0.25"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12"/>
      <c r="R126" s="30"/>
      <c r="S126" s="30"/>
      <c r="T126" s="313"/>
      <c r="U126" s="313"/>
      <c r="V126" s="314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</row>
    <row r="127" spans="3:41" x14ac:dyDescent="0.25"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12"/>
      <c r="R127" s="30"/>
      <c r="S127" s="30"/>
      <c r="T127" s="313"/>
      <c r="U127" s="313"/>
      <c r="V127" s="314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</row>
    <row r="128" spans="3:41" x14ac:dyDescent="0.25"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12"/>
      <c r="R128" s="30"/>
      <c r="S128" s="30"/>
      <c r="T128" s="313"/>
      <c r="U128" s="313"/>
      <c r="V128" s="314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</row>
    <row r="129" spans="3:41" x14ac:dyDescent="0.25"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12"/>
      <c r="R129" s="30"/>
      <c r="S129" s="30"/>
      <c r="T129" s="313"/>
      <c r="U129" s="313"/>
      <c r="V129" s="314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</row>
    <row r="130" spans="3:41" x14ac:dyDescent="0.25"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12"/>
      <c r="R130" s="30"/>
      <c r="S130" s="30"/>
      <c r="T130" s="313"/>
      <c r="U130" s="313"/>
      <c r="V130" s="314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</row>
    <row r="131" spans="3:41" x14ac:dyDescent="0.25"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12"/>
      <c r="R131" s="30"/>
      <c r="S131" s="30"/>
      <c r="T131" s="313"/>
      <c r="U131" s="313"/>
      <c r="V131" s="314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</row>
    <row r="132" spans="3:41" x14ac:dyDescent="0.25"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12"/>
      <c r="R132" s="30"/>
      <c r="S132" s="30"/>
      <c r="T132" s="313"/>
      <c r="U132" s="313"/>
      <c r="V132" s="314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</row>
    <row r="133" spans="3:41" x14ac:dyDescent="0.25"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12"/>
      <c r="R133" s="30"/>
      <c r="S133" s="30"/>
      <c r="T133" s="313"/>
      <c r="U133" s="313"/>
      <c r="V133" s="314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</row>
    <row r="134" spans="3:41" x14ac:dyDescent="0.25"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12"/>
      <c r="R134" s="30"/>
      <c r="S134" s="30"/>
      <c r="T134" s="313"/>
      <c r="U134" s="313"/>
      <c r="V134" s="314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</row>
    <row r="135" spans="3:41" x14ac:dyDescent="0.25"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12"/>
      <c r="R135" s="30"/>
      <c r="S135" s="30"/>
      <c r="T135" s="313"/>
      <c r="U135" s="313"/>
      <c r="V135" s="314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</row>
    <row r="136" spans="3:41" x14ac:dyDescent="0.25"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12"/>
      <c r="R136" s="30"/>
      <c r="S136" s="30"/>
      <c r="T136" s="313"/>
      <c r="U136" s="313"/>
      <c r="V136" s="314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</row>
    <row r="137" spans="3:41" x14ac:dyDescent="0.25"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12"/>
      <c r="R137" s="30"/>
      <c r="S137" s="30"/>
      <c r="T137" s="313"/>
      <c r="U137" s="313"/>
      <c r="V137" s="314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</row>
    <row r="138" spans="3:41" x14ac:dyDescent="0.25"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12"/>
      <c r="R138" s="30"/>
      <c r="S138" s="30"/>
      <c r="T138" s="313"/>
      <c r="U138" s="313"/>
      <c r="V138" s="314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</row>
    <row r="139" spans="3:41" x14ac:dyDescent="0.25"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12"/>
      <c r="R139" s="30"/>
      <c r="S139" s="30"/>
      <c r="T139" s="313"/>
      <c r="U139" s="313"/>
      <c r="V139" s="314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</row>
    <row r="140" spans="3:41" x14ac:dyDescent="0.25"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12"/>
      <c r="R140" s="30"/>
      <c r="S140" s="30"/>
      <c r="T140" s="313"/>
      <c r="U140" s="313"/>
      <c r="V140" s="314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</row>
    <row r="141" spans="3:41" x14ac:dyDescent="0.25"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12"/>
      <c r="R141" s="30"/>
      <c r="S141" s="30"/>
      <c r="T141" s="313"/>
      <c r="U141" s="313"/>
      <c r="V141" s="314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</row>
    <row r="142" spans="3:41" x14ac:dyDescent="0.25"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12"/>
      <c r="R142" s="30"/>
      <c r="S142" s="30"/>
      <c r="T142" s="313"/>
      <c r="U142" s="313"/>
      <c r="V142" s="314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</row>
    <row r="143" spans="3:41" x14ac:dyDescent="0.25"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12"/>
      <c r="R143" s="30"/>
      <c r="S143" s="30"/>
      <c r="T143" s="313"/>
      <c r="U143" s="313"/>
      <c r="V143" s="314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</row>
  </sheetData>
  <protectedRanges>
    <protectedRange sqref="D18" name="Intervalo14"/>
    <protectedRange sqref="W21:X21 T27:U27 T23:V23 C58:AO58" name="Intervalo2"/>
    <protectedRange sqref="C9" name="metodoAQ"/>
    <protectedRange sqref="C21:C22" name="Intervalo3"/>
    <protectedRange sqref="C28:C29" name="Intervalo4"/>
    <protectedRange sqref="F21:F27" name="Intervalo5"/>
    <protectedRange sqref="K21:K24" name="Intervalo6"/>
    <protectedRange sqref="K27" name="Intervalo7"/>
    <protectedRange sqref="K29:K30" name="Intervalo8"/>
    <protectedRange sqref="K34:K37" name="Intervalo9"/>
    <protectedRange sqref="K40" name="Intervalo10"/>
    <protectedRange sqref="K42:K43" name="Intervalo11"/>
    <protectedRange sqref="J47:J50" name="Intervalo12"/>
    <protectedRange sqref="C34:C35" name="Intervalo13"/>
  </protectedRanges>
  <mergeCells count="32">
    <mergeCell ref="AD11:AD12"/>
    <mergeCell ref="AN56:AO56"/>
    <mergeCell ref="AL56:AM56"/>
    <mergeCell ref="B56:B57"/>
    <mergeCell ref="AC56:AD56"/>
    <mergeCell ref="C56:J56"/>
    <mergeCell ref="AH56:AJ56"/>
    <mergeCell ref="K56:L56"/>
    <mergeCell ref="Z56:AB56"/>
    <mergeCell ref="W56:Y56"/>
    <mergeCell ref="M56:V56"/>
    <mergeCell ref="AE56:AG56"/>
    <mergeCell ref="E28:F30"/>
    <mergeCell ref="D18:E18"/>
    <mergeCell ref="I21:I26"/>
    <mergeCell ref="I27:I28"/>
    <mergeCell ref="O27:O28"/>
    <mergeCell ref="O29:O31"/>
    <mergeCell ref="O34:O39"/>
    <mergeCell ref="O40:O41"/>
    <mergeCell ref="O42:O44"/>
    <mergeCell ref="I34:I39"/>
    <mergeCell ref="I29:I31"/>
    <mergeCell ref="I19:K19"/>
    <mergeCell ref="I40:I41"/>
    <mergeCell ref="I42:I44"/>
    <mergeCell ref="D17:E17"/>
    <mergeCell ref="F18:I18"/>
    <mergeCell ref="T25:U25"/>
    <mergeCell ref="T21:V21"/>
    <mergeCell ref="O19:Q19"/>
    <mergeCell ref="O21:O26"/>
  </mergeCells>
  <conditionalFormatting sqref="D18:E18">
    <cfRule type="expression" dxfId="66" priority="1">
      <formula>$C$18="Escolha uma cidade Representativa na lista ao lado:"</formula>
    </cfRule>
  </conditionalFormatting>
  <dataValidations count="3">
    <dataValidation type="list" allowBlank="1" showInputMessage="1" showErrorMessage="1" sqref="C9" xr:uid="{7F9E951F-9071-4065-B970-E44CAE669E65}">
      <formula1>"Com acumulação,Sem acumulação"</formula1>
    </dataValidation>
    <dataValidation type="list" allowBlank="1" showInputMessage="1" showErrorMessage="1" sqref="C34" xr:uid="{02C2005E-352B-4A93-8B21-840A068241DF}">
      <formula1>"Elétrico por Resistor,GLP,GNV"</formula1>
    </dataValidation>
    <dataValidation type="list" allowBlank="1" showInputMessage="1" showErrorMessage="1" sqref="F21" xr:uid="{117865B5-6B47-4DFC-AEC1-55BF0E362D43}">
      <formula1>"Simplificado,Detalhado"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4C92A2E-CD47-4D82-A6BA-338E6610A0FA}">
          <x14:formula1>
            <xm:f>Aux_TBS!$C$3:$C$413</xm:f>
          </x14:formula1>
          <xm:sqref>D18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O62"/>
  <sheetViews>
    <sheetView showGridLines="0" zoomScale="85" zoomScaleNormal="85" workbookViewId="0">
      <selection activeCell="H8" sqref="H8"/>
    </sheetView>
  </sheetViews>
  <sheetFormatPr defaultColWidth="9.140625" defaultRowHeight="15" x14ac:dyDescent="0.25"/>
  <cols>
    <col min="1" max="1" width="5.7109375" customWidth="1"/>
    <col min="2" max="2" width="19.140625" style="42" bestFit="1" customWidth="1"/>
    <col min="3" max="3" width="19.42578125" customWidth="1"/>
    <col min="4" max="4" width="13.42578125" bestFit="1" customWidth="1"/>
    <col min="5" max="5" width="17.42578125" customWidth="1"/>
    <col min="6" max="6" width="13.42578125" bestFit="1" customWidth="1"/>
    <col min="7" max="7" width="19.5703125" customWidth="1"/>
    <col min="8" max="8" width="13.42578125" bestFit="1" customWidth="1"/>
    <col min="9" max="9" width="18.5703125" customWidth="1"/>
    <col min="10" max="10" width="13.42578125" bestFit="1" customWidth="1"/>
    <col min="11" max="11" width="17.28515625" customWidth="1"/>
    <col min="12" max="12" width="13.42578125" bestFit="1" customWidth="1"/>
    <col min="13" max="13" width="28.5703125" customWidth="1"/>
    <col min="14" max="14" width="14.7109375" customWidth="1"/>
    <col min="15" max="15" width="5.7109375" customWidth="1"/>
    <col min="16" max="16384" width="9.140625" style="28"/>
  </cols>
  <sheetData>
    <row r="1" spans="1:15" ht="20.100000000000001" customHeight="1" x14ac:dyDescent="0.25"/>
    <row r="2" spans="1:15" ht="20.100000000000001" customHeight="1" x14ac:dyDescent="0.25"/>
    <row r="3" spans="1:15" s="29" customFormat="1" ht="20.100000000000001" customHeight="1" x14ac:dyDescent="0.25">
      <c r="A3" s="27"/>
      <c r="B3" s="43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5" spans="1:15" ht="18.75" x14ac:dyDescent="0.3">
      <c r="A5" s="39"/>
      <c r="B5" s="40" t="s">
        <v>174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</row>
    <row r="7" spans="1:15" ht="30" customHeight="1" x14ac:dyDescent="0.25">
      <c r="B7" s="68" t="s">
        <v>171</v>
      </c>
      <c r="C7" s="69" t="str">
        <f>Geral!C7</f>
        <v>Exemplo Ltda</v>
      </c>
    </row>
    <row r="8" spans="1:15" ht="30" customHeight="1" x14ac:dyDescent="0.25">
      <c r="B8" s="68" t="s">
        <v>122</v>
      </c>
      <c r="C8" s="69" t="str">
        <f>Geral!C10</f>
        <v>Projeto</v>
      </c>
    </row>
    <row r="10" spans="1:15" x14ac:dyDescent="0.25">
      <c r="B10" s="457" t="s">
        <v>175</v>
      </c>
      <c r="C10" s="458" t="s">
        <v>111</v>
      </c>
      <c r="D10" s="458"/>
      <c r="E10" s="458"/>
      <c r="F10" s="458"/>
      <c r="G10" s="458"/>
      <c r="H10" s="458"/>
      <c r="I10" s="458"/>
      <c r="J10" s="458"/>
      <c r="K10" s="458"/>
      <c r="L10" s="458"/>
      <c r="M10" s="458" t="s">
        <v>117</v>
      </c>
      <c r="N10" s="458"/>
    </row>
    <row r="11" spans="1:15" x14ac:dyDescent="0.25">
      <c r="B11" s="457"/>
      <c r="C11" s="461" t="s">
        <v>116</v>
      </c>
      <c r="D11" s="461"/>
      <c r="E11" s="461" t="s">
        <v>112</v>
      </c>
      <c r="F11" s="461"/>
      <c r="G11" s="461" t="s">
        <v>114</v>
      </c>
      <c r="H11" s="461"/>
      <c r="I11" s="461" t="s">
        <v>113</v>
      </c>
      <c r="J11" s="461"/>
      <c r="K11" s="461" t="s">
        <v>115</v>
      </c>
      <c r="L11" s="461"/>
      <c r="M11" s="459" t="s">
        <v>63</v>
      </c>
      <c r="N11" s="460" t="s">
        <v>118</v>
      </c>
    </row>
    <row r="12" spans="1:15" x14ac:dyDescent="0.25">
      <c r="B12" s="457"/>
      <c r="C12" s="177" t="s">
        <v>93</v>
      </c>
      <c r="D12" s="177" t="s">
        <v>128</v>
      </c>
      <c r="E12" s="177" t="s">
        <v>93</v>
      </c>
      <c r="F12" s="177" t="s">
        <v>128</v>
      </c>
      <c r="G12" s="177" t="s">
        <v>93</v>
      </c>
      <c r="H12" s="177" t="s">
        <v>128</v>
      </c>
      <c r="I12" s="177" t="s">
        <v>93</v>
      </c>
      <c r="J12" s="177" t="s">
        <v>128</v>
      </c>
      <c r="K12" s="177" t="s">
        <v>93</v>
      </c>
      <c r="L12" s="177" t="s">
        <v>128</v>
      </c>
      <c r="M12" s="459"/>
      <c r="N12" s="460"/>
    </row>
    <row r="13" spans="1:15" s="32" customFormat="1" x14ac:dyDescent="0.25">
      <c r="A13" s="1"/>
      <c r="B13" s="178">
        <v>1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179"/>
      <c r="O13" s="1"/>
    </row>
    <row r="14" spans="1:15" x14ac:dyDescent="0.25">
      <c r="B14" s="178">
        <v>2</v>
      </c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179"/>
    </row>
    <row r="15" spans="1:15" x14ac:dyDescent="0.25">
      <c r="B15" s="178">
        <v>3</v>
      </c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179"/>
    </row>
    <row r="16" spans="1:15" x14ac:dyDescent="0.25">
      <c r="B16" s="178">
        <v>4</v>
      </c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179"/>
    </row>
    <row r="17" spans="2:14" x14ac:dyDescent="0.25">
      <c r="B17" s="178">
        <v>5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179"/>
    </row>
    <row r="18" spans="2:14" x14ac:dyDescent="0.25">
      <c r="B18" s="178">
        <v>6</v>
      </c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179"/>
    </row>
    <row r="19" spans="2:14" x14ac:dyDescent="0.25">
      <c r="B19" s="178">
        <v>7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179"/>
    </row>
    <row r="20" spans="2:14" x14ac:dyDescent="0.25">
      <c r="B20" s="178">
        <v>8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179"/>
    </row>
    <row r="21" spans="2:14" x14ac:dyDescent="0.25">
      <c r="B21" s="178">
        <v>9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179"/>
    </row>
    <row r="22" spans="2:14" x14ac:dyDescent="0.25">
      <c r="B22" s="178">
        <v>10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179"/>
    </row>
    <row r="23" spans="2:14" x14ac:dyDescent="0.25">
      <c r="B23" s="178">
        <v>11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179"/>
    </row>
    <row r="24" spans="2:14" x14ac:dyDescent="0.25">
      <c r="B24" s="178">
        <v>12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179"/>
    </row>
    <row r="25" spans="2:14" x14ac:dyDescent="0.25">
      <c r="B25" s="178">
        <v>13</v>
      </c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179"/>
    </row>
    <row r="26" spans="2:14" x14ac:dyDescent="0.25">
      <c r="B26" s="178">
        <v>14</v>
      </c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179"/>
    </row>
    <row r="27" spans="2:14" x14ac:dyDescent="0.25">
      <c r="B27" s="178">
        <v>15</v>
      </c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179"/>
    </row>
    <row r="28" spans="2:14" x14ac:dyDescent="0.25">
      <c r="B28" s="178">
        <v>16</v>
      </c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179"/>
    </row>
    <row r="29" spans="2:14" x14ac:dyDescent="0.25">
      <c r="B29" s="178">
        <v>17</v>
      </c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179"/>
    </row>
    <row r="30" spans="2:14" x14ac:dyDescent="0.25">
      <c r="B30" s="178">
        <v>18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179"/>
    </row>
    <row r="31" spans="2:14" x14ac:dyDescent="0.25">
      <c r="B31" s="178">
        <v>19</v>
      </c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179"/>
    </row>
    <row r="32" spans="2:14" x14ac:dyDescent="0.25">
      <c r="B32" s="178">
        <v>20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179"/>
    </row>
    <row r="33" spans="2:14" x14ac:dyDescent="0.25">
      <c r="B33" s="178">
        <v>21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179"/>
    </row>
    <row r="34" spans="2:14" x14ac:dyDescent="0.25">
      <c r="B34" s="178">
        <v>22</v>
      </c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179"/>
    </row>
    <row r="35" spans="2:14" x14ac:dyDescent="0.25">
      <c r="B35" s="178">
        <v>23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179"/>
    </row>
    <row r="36" spans="2:14" x14ac:dyDescent="0.25">
      <c r="B36" s="178">
        <v>24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179"/>
    </row>
    <row r="37" spans="2:14" x14ac:dyDescent="0.25">
      <c r="B37" s="178">
        <v>25</v>
      </c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179"/>
    </row>
    <row r="38" spans="2:14" x14ac:dyDescent="0.25">
      <c r="B38" s="178">
        <v>26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179"/>
    </row>
    <row r="39" spans="2:14" x14ac:dyDescent="0.25">
      <c r="B39" s="178">
        <v>27</v>
      </c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179"/>
    </row>
    <row r="40" spans="2:14" x14ac:dyDescent="0.25">
      <c r="B40" s="178">
        <v>28</v>
      </c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179"/>
    </row>
    <row r="41" spans="2:14" x14ac:dyDescent="0.25">
      <c r="B41" s="178">
        <v>29</v>
      </c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179"/>
    </row>
    <row r="42" spans="2:14" x14ac:dyDescent="0.25">
      <c r="B42" s="178">
        <v>30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179"/>
    </row>
    <row r="43" spans="2:14" x14ac:dyDescent="0.25">
      <c r="B43" s="178">
        <v>31</v>
      </c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179"/>
    </row>
    <row r="44" spans="2:14" x14ac:dyDescent="0.25">
      <c r="B44" s="178">
        <v>32</v>
      </c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179"/>
    </row>
    <row r="45" spans="2:14" x14ac:dyDescent="0.25">
      <c r="B45" s="178">
        <v>33</v>
      </c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179"/>
    </row>
    <row r="46" spans="2:14" x14ac:dyDescent="0.25">
      <c r="B46" s="178">
        <v>34</v>
      </c>
      <c r="C46" s="93"/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179"/>
    </row>
    <row r="47" spans="2:14" x14ac:dyDescent="0.25">
      <c r="B47" s="178">
        <v>35</v>
      </c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179"/>
    </row>
    <row r="48" spans="2:14" x14ac:dyDescent="0.25">
      <c r="B48" s="178">
        <v>36</v>
      </c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179"/>
    </row>
    <row r="49" spans="2:14" x14ac:dyDescent="0.25">
      <c r="B49" s="178">
        <v>37</v>
      </c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179"/>
    </row>
    <row r="50" spans="2:14" x14ac:dyDescent="0.25">
      <c r="B50" s="178">
        <v>38</v>
      </c>
      <c r="C50" s="93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179"/>
    </row>
    <row r="51" spans="2:14" x14ac:dyDescent="0.25">
      <c r="B51" s="178">
        <v>39</v>
      </c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179"/>
    </row>
    <row r="52" spans="2:14" x14ac:dyDescent="0.25">
      <c r="B52" s="178">
        <v>40</v>
      </c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179"/>
    </row>
    <row r="53" spans="2:14" x14ac:dyDescent="0.25">
      <c r="B53" s="178">
        <v>41</v>
      </c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179"/>
    </row>
    <row r="54" spans="2:14" x14ac:dyDescent="0.25">
      <c r="B54" s="178">
        <v>42</v>
      </c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179"/>
    </row>
    <row r="55" spans="2:14" x14ac:dyDescent="0.25">
      <c r="B55" s="178">
        <v>43</v>
      </c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179"/>
    </row>
    <row r="56" spans="2:14" x14ac:dyDescent="0.25">
      <c r="B56" s="178">
        <v>44</v>
      </c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179"/>
    </row>
    <row r="57" spans="2:14" x14ac:dyDescent="0.25">
      <c r="B57" s="178">
        <v>45</v>
      </c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179"/>
    </row>
    <row r="58" spans="2:14" x14ac:dyDescent="0.25">
      <c r="B58" s="178">
        <v>46</v>
      </c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179"/>
    </row>
    <row r="59" spans="2:14" x14ac:dyDescent="0.25">
      <c r="B59" s="178">
        <v>47</v>
      </c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179"/>
    </row>
    <row r="60" spans="2:14" x14ac:dyDescent="0.25">
      <c r="B60" s="178">
        <v>48</v>
      </c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179"/>
    </row>
    <row r="61" spans="2:14" x14ac:dyDescent="0.25">
      <c r="B61" s="178">
        <v>49</v>
      </c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179"/>
    </row>
    <row r="62" spans="2:14" x14ac:dyDescent="0.25">
      <c r="B62" s="178">
        <v>50</v>
      </c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179"/>
    </row>
  </sheetData>
  <protectedRanges>
    <protectedRange sqref="C13:N62" name="Intervalo1"/>
  </protectedRanges>
  <mergeCells count="10">
    <mergeCell ref="B10:B12"/>
    <mergeCell ref="M10:N10"/>
    <mergeCell ref="M11:M12"/>
    <mergeCell ref="N11:N12"/>
    <mergeCell ref="C10:L10"/>
    <mergeCell ref="C11:D11"/>
    <mergeCell ref="E11:F11"/>
    <mergeCell ref="G11:H11"/>
    <mergeCell ref="I11:J11"/>
    <mergeCell ref="K11:L11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59999389629810485"/>
  </sheetPr>
  <dimension ref="A1:H62"/>
  <sheetViews>
    <sheetView showGridLines="0" zoomScale="85" zoomScaleNormal="85" workbookViewId="0">
      <selection activeCell="F8" sqref="F8"/>
    </sheetView>
  </sheetViews>
  <sheetFormatPr defaultColWidth="9.140625" defaultRowHeight="15" x14ac:dyDescent="0.25"/>
  <cols>
    <col min="1" max="1" width="5.7109375" style="161" customWidth="1"/>
    <col min="2" max="3" width="25.7109375" customWidth="1"/>
    <col min="4" max="4" width="12.140625" customWidth="1"/>
    <col min="5" max="5" width="12.42578125" customWidth="1"/>
    <col min="6" max="6" width="24.42578125" customWidth="1"/>
    <col min="7" max="7" width="15.7109375" customWidth="1"/>
    <col min="8" max="8" width="8.85546875" customWidth="1"/>
    <col min="9" max="16384" width="9.140625" style="28"/>
  </cols>
  <sheetData>
    <row r="1" spans="1:8" ht="20.100000000000001" customHeight="1" x14ac:dyDescent="0.25"/>
    <row r="2" spans="1:8" ht="20.100000000000001" customHeight="1" x14ac:dyDescent="0.25"/>
    <row r="3" spans="1:8" s="29" customFormat="1" ht="20.100000000000001" customHeight="1" x14ac:dyDescent="0.25">
      <c r="A3" s="174"/>
      <c r="B3" s="27"/>
      <c r="C3" s="27"/>
      <c r="D3" s="27"/>
      <c r="E3" s="27"/>
      <c r="F3" s="27"/>
      <c r="G3" s="27"/>
      <c r="H3" s="27"/>
    </row>
    <row r="5" spans="1:8" s="41" customFormat="1" ht="18.75" x14ac:dyDescent="0.3">
      <c r="A5" s="175"/>
      <c r="B5" s="40" t="s">
        <v>173</v>
      </c>
      <c r="C5" s="39"/>
      <c r="D5" s="39"/>
      <c r="E5" s="39"/>
      <c r="F5" s="39"/>
      <c r="G5" s="39"/>
      <c r="H5" s="39"/>
    </row>
    <row r="7" spans="1:8" ht="30" customHeight="1" x14ac:dyDescent="0.25">
      <c r="B7" s="68" t="s">
        <v>171</v>
      </c>
      <c r="C7" s="69" t="str">
        <f>Geral!C7</f>
        <v>Exemplo Ltda</v>
      </c>
    </row>
    <row r="8" spans="1:8" ht="30" customHeight="1" x14ac:dyDescent="0.25">
      <c r="B8" s="68" t="s">
        <v>122</v>
      </c>
      <c r="C8" s="69" t="str">
        <f>Geral!C10</f>
        <v>Projeto</v>
      </c>
    </row>
    <row r="9" spans="1:8" ht="30" customHeight="1" x14ac:dyDescent="0.25">
      <c r="B9" s="68" t="s">
        <v>5788</v>
      </c>
      <c r="C9" s="220" t="s">
        <v>5832</v>
      </c>
    </row>
    <row r="10" spans="1:8" ht="30" customHeight="1" x14ac:dyDescent="0.25">
      <c r="B10" s="68" t="s">
        <v>5826</v>
      </c>
      <c r="C10" s="69">
        <f>SUM(G13:G17)</f>
        <v>2000</v>
      </c>
    </row>
    <row r="12" spans="1:8" s="34" customFormat="1" ht="45" x14ac:dyDescent="0.25">
      <c r="A12" s="176"/>
      <c r="B12" s="151" t="s">
        <v>63</v>
      </c>
      <c r="C12" s="151" t="s">
        <v>119</v>
      </c>
      <c r="D12" s="151" t="s">
        <v>94</v>
      </c>
      <c r="E12" s="151" t="s">
        <v>64</v>
      </c>
      <c r="F12" s="151" t="s">
        <v>120</v>
      </c>
      <c r="G12" s="151" t="s">
        <v>121</v>
      </c>
      <c r="H12" s="18"/>
    </row>
    <row r="13" spans="1:8" x14ac:dyDescent="0.25">
      <c r="A13" s="161">
        <v>1</v>
      </c>
      <c r="B13" s="149" t="s">
        <v>5829</v>
      </c>
      <c r="C13" s="149" t="s">
        <v>5830</v>
      </c>
      <c r="D13" s="149">
        <v>1</v>
      </c>
      <c r="E13" s="173">
        <v>0.95</v>
      </c>
      <c r="F13" s="149" t="s">
        <v>5831</v>
      </c>
      <c r="G13" s="149">
        <v>2000</v>
      </c>
    </row>
    <row r="14" spans="1:8" x14ac:dyDescent="0.25">
      <c r="A14" s="161">
        <v>2</v>
      </c>
      <c r="B14" s="148"/>
      <c r="C14" s="148"/>
      <c r="D14" s="148"/>
      <c r="E14" s="148"/>
      <c r="F14" s="148"/>
      <c r="G14" s="148"/>
    </row>
    <row r="15" spans="1:8" x14ac:dyDescent="0.25">
      <c r="A15" s="161">
        <v>3</v>
      </c>
      <c r="B15" s="148"/>
      <c r="C15" s="148"/>
      <c r="D15" s="148"/>
      <c r="E15" s="148"/>
      <c r="F15" s="148"/>
      <c r="G15" s="148"/>
    </row>
    <row r="16" spans="1:8" x14ac:dyDescent="0.25">
      <c r="A16" s="161">
        <v>4</v>
      </c>
      <c r="B16" s="148"/>
      <c r="C16" s="148"/>
      <c r="D16" s="148"/>
      <c r="E16" s="148"/>
      <c r="F16" s="148"/>
      <c r="G16" s="148"/>
    </row>
    <row r="17" spans="1:7" x14ac:dyDescent="0.25">
      <c r="A17" s="161">
        <v>5</v>
      </c>
      <c r="B17" s="148"/>
      <c r="C17" s="148"/>
      <c r="D17" s="148"/>
      <c r="E17" s="148"/>
      <c r="F17" s="148"/>
      <c r="G17" s="148"/>
    </row>
    <row r="18" spans="1:7" x14ac:dyDescent="0.25">
      <c r="A18" s="161">
        <v>6</v>
      </c>
      <c r="B18" s="148"/>
      <c r="C18" s="148"/>
      <c r="D18" s="148"/>
      <c r="E18" s="148"/>
      <c r="F18" s="148"/>
      <c r="G18" s="148"/>
    </row>
    <row r="19" spans="1:7" x14ac:dyDescent="0.25">
      <c r="A19" s="161">
        <v>7</v>
      </c>
      <c r="B19" s="148"/>
      <c r="C19" s="148"/>
      <c r="D19" s="148"/>
      <c r="E19" s="148"/>
      <c r="F19" s="148"/>
      <c r="G19" s="148"/>
    </row>
    <row r="20" spans="1:7" x14ac:dyDescent="0.25">
      <c r="A20" s="161">
        <v>8</v>
      </c>
      <c r="B20" s="148"/>
      <c r="C20" s="148"/>
      <c r="D20" s="148"/>
      <c r="E20" s="148"/>
      <c r="F20" s="148"/>
      <c r="G20" s="148"/>
    </row>
    <row r="21" spans="1:7" x14ac:dyDescent="0.25">
      <c r="A21" s="161">
        <v>9</v>
      </c>
      <c r="B21" s="148"/>
      <c r="C21" s="148"/>
      <c r="D21" s="148"/>
      <c r="E21" s="148"/>
      <c r="F21" s="148"/>
      <c r="G21" s="148"/>
    </row>
    <row r="22" spans="1:7" x14ac:dyDescent="0.25">
      <c r="A22" s="161">
        <v>10</v>
      </c>
      <c r="B22" s="148"/>
      <c r="C22" s="148"/>
      <c r="D22" s="148"/>
      <c r="E22" s="148"/>
      <c r="F22" s="148"/>
      <c r="G22" s="148"/>
    </row>
    <row r="23" spans="1:7" x14ac:dyDescent="0.25">
      <c r="A23" s="161">
        <v>11</v>
      </c>
      <c r="B23" s="148"/>
      <c r="C23" s="148"/>
      <c r="D23" s="148"/>
      <c r="E23" s="148"/>
      <c r="F23" s="148"/>
      <c r="G23" s="148"/>
    </row>
    <row r="24" spans="1:7" x14ac:dyDescent="0.25">
      <c r="A24" s="161">
        <v>12</v>
      </c>
      <c r="B24" s="148"/>
      <c r="C24" s="148"/>
      <c r="D24" s="148"/>
      <c r="E24" s="148"/>
      <c r="F24" s="148"/>
      <c r="G24" s="148"/>
    </row>
    <row r="25" spans="1:7" x14ac:dyDescent="0.25">
      <c r="A25" s="161">
        <v>13</v>
      </c>
      <c r="B25" s="148"/>
      <c r="C25" s="148"/>
      <c r="D25" s="148"/>
      <c r="E25" s="148"/>
      <c r="F25" s="148"/>
      <c r="G25" s="148"/>
    </row>
    <row r="26" spans="1:7" x14ac:dyDescent="0.25">
      <c r="A26" s="161">
        <v>14</v>
      </c>
      <c r="B26" s="148"/>
      <c r="C26" s="148"/>
      <c r="D26" s="148"/>
      <c r="E26" s="148"/>
      <c r="F26" s="148"/>
      <c r="G26" s="148"/>
    </row>
    <row r="27" spans="1:7" x14ac:dyDescent="0.25">
      <c r="A27" s="161">
        <v>15</v>
      </c>
      <c r="B27" s="148"/>
      <c r="C27" s="148"/>
      <c r="D27" s="148"/>
      <c r="E27" s="148"/>
      <c r="F27" s="148"/>
      <c r="G27" s="148"/>
    </row>
    <row r="28" spans="1:7" x14ac:dyDescent="0.25">
      <c r="A28" s="161">
        <v>16</v>
      </c>
      <c r="B28" s="148"/>
      <c r="C28" s="148"/>
      <c r="D28" s="148"/>
      <c r="E28" s="148"/>
      <c r="F28" s="148"/>
      <c r="G28" s="148"/>
    </row>
    <row r="29" spans="1:7" x14ac:dyDescent="0.25">
      <c r="A29" s="161">
        <v>17</v>
      </c>
      <c r="B29" s="148"/>
      <c r="C29" s="148"/>
      <c r="D29" s="148"/>
      <c r="E29" s="148"/>
      <c r="F29" s="148"/>
      <c r="G29" s="148"/>
    </row>
    <row r="30" spans="1:7" x14ac:dyDescent="0.25">
      <c r="A30" s="161">
        <v>18</v>
      </c>
      <c r="B30" s="148"/>
      <c r="C30" s="148"/>
      <c r="D30" s="148"/>
      <c r="E30" s="148"/>
      <c r="F30" s="148"/>
      <c r="G30" s="148"/>
    </row>
    <row r="31" spans="1:7" x14ac:dyDescent="0.25">
      <c r="A31" s="161">
        <v>19</v>
      </c>
      <c r="B31" s="148"/>
      <c r="C31" s="148"/>
      <c r="D31" s="148"/>
      <c r="E31" s="148"/>
      <c r="F31" s="148"/>
      <c r="G31" s="148"/>
    </row>
    <row r="32" spans="1:7" x14ac:dyDescent="0.25">
      <c r="A32" s="161">
        <v>20</v>
      </c>
      <c r="B32" s="148"/>
      <c r="C32" s="148"/>
      <c r="D32" s="148"/>
      <c r="E32" s="148"/>
      <c r="F32" s="148"/>
      <c r="G32" s="148"/>
    </row>
    <row r="33" spans="1:7" x14ac:dyDescent="0.25">
      <c r="A33" s="161">
        <v>21</v>
      </c>
      <c r="B33" s="148"/>
      <c r="C33" s="148"/>
      <c r="D33" s="148"/>
      <c r="E33" s="148"/>
      <c r="F33" s="148"/>
      <c r="G33" s="148"/>
    </row>
    <row r="34" spans="1:7" x14ac:dyDescent="0.25">
      <c r="A34" s="161">
        <v>22</v>
      </c>
      <c r="B34" s="148"/>
      <c r="C34" s="148"/>
      <c r="D34" s="148"/>
      <c r="E34" s="148"/>
      <c r="F34" s="148"/>
      <c r="G34" s="148"/>
    </row>
    <row r="35" spans="1:7" x14ac:dyDescent="0.25">
      <c r="A35" s="161">
        <v>23</v>
      </c>
      <c r="B35" s="148"/>
      <c r="C35" s="148"/>
      <c r="D35" s="148"/>
      <c r="E35" s="148"/>
      <c r="F35" s="148"/>
      <c r="G35" s="148"/>
    </row>
    <row r="36" spans="1:7" x14ac:dyDescent="0.25">
      <c r="A36" s="161">
        <v>24</v>
      </c>
      <c r="B36" s="148"/>
      <c r="C36" s="148"/>
      <c r="D36" s="148"/>
      <c r="E36" s="148"/>
      <c r="F36" s="148"/>
      <c r="G36" s="148"/>
    </row>
    <row r="37" spans="1:7" x14ac:dyDescent="0.25">
      <c r="A37" s="161">
        <v>25</v>
      </c>
      <c r="B37" s="148"/>
      <c r="C37" s="148"/>
      <c r="D37" s="148"/>
      <c r="E37" s="148"/>
      <c r="F37" s="148"/>
      <c r="G37" s="148"/>
    </row>
    <row r="38" spans="1:7" x14ac:dyDescent="0.25">
      <c r="A38" s="161">
        <v>26</v>
      </c>
      <c r="B38" s="148"/>
      <c r="C38" s="148"/>
      <c r="D38" s="148"/>
      <c r="E38" s="148"/>
      <c r="F38" s="148"/>
      <c r="G38" s="148"/>
    </row>
    <row r="39" spans="1:7" x14ac:dyDescent="0.25">
      <c r="A39" s="161">
        <v>27</v>
      </c>
      <c r="B39" s="148"/>
      <c r="C39" s="148"/>
      <c r="D39" s="148"/>
      <c r="E39" s="148"/>
      <c r="F39" s="148"/>
      <c r="G39" s="148"/>
    </row>
    <row r="40" spans="1:7" x14ac:dyDescent="0.25">
      <c r="A40" s="161">
        <v>28</v>
      </c>
      <c r="B40" s="148"/>
      <c r="C40" s="148"/>
      <c r="D40" s="148"/>
      <c r="E40" s="148"/>
      <c r="F40" s="148"/>
      <c r="G40" s="148"/>
    </row>
    <row r="41" spans="1:7" x14ac:dyDescent="0.25">
      <c r="A41" s="161">
        <v>29</v>
      </c>
      <c r="B41" s="148"/>
      <c r="C41" s="148"/>
      <c r="D41" s="148"/>
      <c r="E41" s="148"/>
      <c r="F41" s="148"/>
      <c r="G41" s="148"/>
    </row>
    <row r="42" spans="1:7" x14ac:dyDescent="0.25">
      <c r="A42" s="161">
        <v>30</v>
      </c>
      <c r="B42" s="148"/>
      <c r="C42" s="148"/>
      <c r="D42" s="148"/>
      <c r="E42" s="148"/>
      <c r="F42" s="148"/>
      <c r="G42" s="148"/>
    </row>
    <row r="43" spans="1:7" x14ac:dyDescent="0.25">
      <c r="A43" s="161">
        <v>31</v>
      </c>
      <c r="B43" s="148"/>
      <c r="C43" s="148"/>
      <c r="D43" s="148"/>
      <c r="E43" s="148"/>
      <c r="F43" s="148"/>
      <c r="G43" s="148"/>
    </row>
    <row r="44" spans="1:7" x14ac:dyDescent="0.25">
      <c r="A44" s="161">
        <v>32</v>
      </c>
      <c r="B44" s="148"/>
      <c r="C44" s="148"/>
      <c r="D44" s="148"/>
      <c r="E44" s="148"/>
      <c r="F44" s="148"/>
      <c r="G44" s="148"/>
    </row>
    <row r="45" spans="1:7" x14ac:dyDescent="0.25">
      <c r="A45" s="161">
        <v>33</v>
      </c>
      <c r="B45" s="148"/>
      <c r="C45" s="148"/>
      <c r="D45" s="148"/>
      <c r="E45" s="148"/>
      <c r="F45" s="148"/>
      <c r="G45" s="148"/>
    </row>
    <row r="46" spans="1:7" x14ac:dyDescent="0.25">
      <c r="A46" s="161">
        <v>34</v>
      </c>
      <c r="B46" s="148"/>
      <c r="C46" s="148"/>
      <c r="D46" s="148"/>
      <c r="E46" s="148"/>
      <c r="F46" s="148"/>
      <c r="G46" s="148"/>
    </row>
    <row r="47" spans="1:7" x14ac:dyDescent="0.25">
      <c r="A47" s="161">
        <v>35</v>
      </c>
      <c r="B47" s="148"/>
      <c r="C47" s="148"/>
      <c r="D47" s="148"/>
      <c r="E47" s="148"/>
      <c r="F47" s="148"/>
      <c r="G47" s="148"/>
    </row>
    <row r="48" spans="1:7" x14ac:dyDescent="0.25">
      <c r="A48" s="161">
        <v>36</v>
      </c>
      <c r="B48" s="148"/>
      <c r="C48" s="148"/>
      <c r="D48" s="148"/>
      <c r="E48" s="148"/>
      <c r="F48" s="148"/>
      <c r="G48" s="148"/>
    </row>
    <row r="49" spans="1:7" x14ac:dyDescent="0.25">
      <c r="A49" s="161">
        <v>37</v>
      </c>
      <c r="B49" s="148"/>
      <c r="C49" s="148"/>
      <c r="D49" s="148"/>
      <c r="E49" s="148"/>
      <c r="F49" s="148"/>
      <c r="G49" s="148"/>
    </row>
    <row r="50" spans="1:7" x14ac:dyDescent="0.25">
      <c r="A50" s="161">
        <v>38</v>
      </c>
      <c r="B50" s="148"/>
      <c r="C50" s="148"/>
      <c r="D50" s="148"/>
      <c r="E50" s="148"/>
      <c r="F50" s="148"/>
      <c r="G50" s="148"/>
    </row>
    <row r="51" spans="1:7" x14ac:dyDescent="0.25">
      <c r="A51" s="161">
        <v>39</v>
      </c>
      <c r="B51" s="148"/>
      <c r="C51" s="148"/>
      <c r="D51" s="148"/>
      <c r="E51" s="148"/>
      <c r="F51" s="148"/>
      <c r="G51" s="148"/>
    </row>
    <row r="52" spans="1:7" x14ac:dyDescent="0.25">
      <c r="A52" s="161">
        <v>40</v>
      </c>
      <c r="B52" s="148"/>
      <c r="C52" s="148"/>
      <c r="D52" s="148"/>
      <c r="E52" s="148"/>
      <c r="F52" s="148"/>
      <c r="G52" s="148"/>
    </row>
    <row r="53" spans="1:7" x14ac:dyDescent="0.25">
      <c r="A53" s="161">
        <v>41</v>
      </c>
      <c r="B53" s="148"/>
      <c r="C53" s="148"/>
      <c r="D53" s="148"/>
      <c r="E53" s="148"/>
      <c r="F53" s="148"/>
      <c r="G53" s="148"/>
    </row>
    <row r="54" spans="1:7" x14ac:dyDescent="0.25">
      <c r="A54" s="161">
        <v>42</v>
      </c>
      <c r="B54" s="148"/>
      <c r="C54" s="148"/>
      <c r="D54" s="148"/>
      <c r="E54" s="148"/>
      <c r="F54" s="148"/>
      <c r="G54" s="148"/>
    </row>
    <row r="55" spans="1:7" x14ac:dyDescent="0.25">
      <c r="A55" s="161">
        <v>43</v>
      </c>
      <c r="B55" s="148"/>
      <c r="C55" s="148"/>
      <c r="D55" s="148"/>
      <c r="E55" s="148"/>
      <c r="F55" s="148"/>
      <c r="G55" s="148"/>
    </row>
    <row r="56" spans="1:7" x14ac:dyDescent="0.25">
      <c r="A56" s="161">
        <v>44</v>
      </c>
      <c r="B56" s="148"/>
      <c r="C56" s="148"/>
      <c r="D56" s="148"/>
      <c r="E56" s="148"/>
      <c r="F56" s="148"/>
      <c r="G56" s="148"/>
    </row>
    <row r="57" spans="1:7" x14ac:dyDescent="0.25">
      <c r="A57" s="161">
        <v>45</v>
      </c>
      <c r="B57" s="148"/>
      <c r="C57" s="148"/>
      <c r="D57" s="148"/>
      <c r="E57" s="148"/>
      <c r="F57" s="148"/>
      <c r="G57" s="148"/>
    </row>
    <row r="58" spans="1:7" x14ac:dyDescent="0.25">
      <c r="A58" s="161">
        <v>46</v>
      </c>
      <c r="B58" s="148"/>
      <c r="C58" s="148"/>
      <c r="D58" s="148"/>
      <c r="E58" s="148"/>
      <c r="F58" s="148"/>
      <c r="G58" s="148"/>
    </row>
    <row r="59" spans="1:7" x14ac:dyDescent="0.25">
      <c r="A59" s="161">
        <v>47</v>
      </c>
      <c r="B59" s="148"/>
      <c r="C59" s="148"/>
      <c r="D59" s="148"/>
      <c r="E59" s="148"/>
      <c r="F59" s="148"/>
      <c r="G59" s="148"/>
    </row>
    <row r="60" spans="1:7" x14ac:dyDescent="0.25">
      <c r="A60" s="161">
        <v>48</v>
      </c>
      <c r="B60" s="148"/>
      <c r="C60" s="148"/>
      <c r="D60" s="148"/>
      <c r="E60" s="148"/>
      <c r="F60" s="148"/>
      <c r="G60" s="148"/>
    </row>
    <row r="61" spans="1:7" x14ac:dyDescent="0.25">
      <c r="A61" s="161">
        <v>49</v>
      </c>
      <c r="B61" s="148"/>
      <c r="C61" s="148"/>
      <c r="D61" s="148"/>
      <c r="E61" s="148"/>
      <c r="F61" s="148"/>
      <c r="G61" s="148"/>
    </row>
    <row r="62" spans="1:7" x14ac:dyDescent="0.25">
      <c r="A62" s="161">
        <v>50</v>
      </c>
      <c r="B62" s="148"/>
      <c r="C62" s="148"/>
      <c r="D62" s="148"/>
      <c r="E62" s="148"/>
      <c r="F62" s="148"/>
      <c r="G62" s="148"/>
    </row>
  </sheetData>
  <protectedRanges>
    <protectedRange sqref="B13:G62" name="Intervalo2"/>
    <protectedRange sqref="C9" name="Intervalo1"/>
  </protectedRanges>
  <dataValidations count="1">
    <dataValidation type="list" allowBlank="1" showInputMessage="1" showErrorMessage="1" sqref="C9" xr:uid="{B13CF4B5-9914-476F-AD6C-CAC704AE72B1}">
      <formula1>"Fotovoltaico,Eólico,Outro"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59999389629810485"/>
  </sheetPr>
  <dimension ref="A1:AE12"/>
  <sheetViews>
    <sheetView showGridLines="0" zoomScale="85" zoomScaleNormal="85" workbookViewId="0">
      <selection activeCell="G3" sqref="G3"/>
    </sheetView>
  </sheetViews>
  <sheetFormatPr defaultColWidth="9.140625" defaultRowHeight="15" x14ac:dyDescent="0.25"/>
  <cols>
    <col min="1" max="1" width="5.7109375" customWidth="1"/>
    <col min="2" max="2" width="19.28515625" customWidth="1"/>
    <col min="3" max="3" width="13.42578125" bestFit="1" customWidth="1"/>
    <col min="4" max="4" width="15.28515625" bestFit="1" customWidth="1"/>
    <col min="5" max="5" width="17.5703125" bestFit="1" customWidth="1"/>
    <col min="6" max="6" width="16" bestFit="1" customWidth="1"/>
    <col min="7" max="9" width="22.42578125" customWidth="1"/>
    <col min="10" max="10" width="12.5703125" customWidth="1"/>
    <col min="11" max="11" width="16.5703125" customWidth="1"/>
    <col min="12" max="16" width="13.5703125" customWidth="1"/>
    <col min="17" max="17" width="17.7109375" bestFit="1" customWidth="1"/>
    <col min="18" max="18" width="13.7109375" customWidth="1"/>
    <col min="19" max="19" width="13.28515625" customWidth="1"/>
    <col min="20" max="20" width="11.28515625" customWidth="1"/>
    <col min="21" max="22" width="17.140625" customWidth="1"/>
    <col min="23" max="23" width="11.28515625" customWidth="1"/>
    <col min="24" max="25" width="17.140625" customWidth="1"/>
    <col min="26" max="26" width="11.28515625" customWidth="1"/>
    <col min="27" max="30" width="17.140625" customWidth="1"/>
    <col min="31" max="31" width="5.7109375" customWidth="1"/>
    <col min="32" max="16384" width="9.140625" style="28"/>
  </cols>
  <sheetData>
    <row r="1" spans="1:31" ht="20.100000000000001" customHeight="1" x14ac:dyDescent="0.25">
      <c r="B1" s="440"/>
    </row>
    <row r="2" spans="1:31" ht="20.100000000000001" customHeight="1" x14ac:dyDescent="0.25">
      <c r="B2" s="440"/>
      <c r="G2" s="47" t="s">
        <v>198</v>
      </c>
      <c r="H2" s="144" t="s">
        <v>197</v>
      </c>
      <c r="I2" s="145" t="s">
        <v>196</v>
      </c>
      <c r="J2" s="146" t="s">
        <v>195</v>
      </c>
      <c r="K2" s="147" t="s">
        <v>5493</v>
      </c>
    </row>
    <row r="3" spans="1:31" s="29" customFormat="1" ht="20.100000000000001" customHeight="1" x14ac:dyDescent="0.25">
      <c r="A3" s="27"/>
      <c r="B3" s="464"/>
      <c r="C3" s="27"/>
      <c r="D3" s="27"/>
      <c r="E3" s="27"/>
      <c r="F3" s="27"/>
      <c r="G3" s="27" t="s">
        <v>6229</v>
      </c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5" spans="1:31" s="41" customFormat="1" ht="18.75" x14ac:dyDescent="0.3">
      <c r="A5" s="39"/>
      <c r="B5" s="40" t="s">
        <v>172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</row>
    <row r="7" spans="1:31" ht="30" customHeight="1" x14ac:dyDescent="0.25">
      <c r="B7" s="68" t="s">
        <v>171</v>
      </c>
      <c r="C7" s="69" t="str">
        <f>Geral!C7</f>
        <v>Exemplo Ltda</v>
      </c>
      <c r="D7" s="13"/>
    </row>
    <row r="8" spans="1:31" ht="30" customHeight="1" x14ac:dyDescent="0.25">
      <c r="B8" s="68" t="s">
        <v>122</v>
      </c>
      <c r="C8" s="69" t="str">
        <f>Geral!C10</f>
        <v>Projeto</v>
      </c>
      <c r="D8" s="13"/>
      <c r="AA8" s="2"/>
      <c r="AB8" s="2"/>
      <c r="AC8" s="2"/>
      <c r="AD8" s="2"/>
    </row>
    <row r="9" spans="1:31" ht="25.5" customHeight="1" x14ac:dyDescent="0.25">
      <c r="B9" s="19" t="s">
        <v>149</v>
      </c>
      <c r="C9" s="20"/>
      <c r="D9" s="20"/>
      <c r="E9" s="21"/>
      <c r="F9" s="21"/>
      <c r="G9" s="21"/>
      <c r="H9" s="21"/>
      <c r="I9" s="21"/>
      <c r="J9" s="21"/>
      <c r="K9" s="21"/>
      <c r="L9" s="470" t="s">
        <v>123</v>
      </c>
      <c r="M9" s="470"/>
      <c r="N9" s="470"/>
      <c r="O9" s="470"/>
      <c r="P9" s="470"/>
      <c r="Q9" s="469" t="s">
        <v>144</v>
      </c>
      <c r="R9" s="469"/>
      <c r="S9" s="469"/>
      <c r="T9" s="467" t="s">
        <v>124</v>
      </c>
      <c r="U9" s="467"/>
      <c r="V9" s="467"/>
      <c r="W9" s="467"/>
      <c r="X9" s="467"/>
      <c r="Y9" s="467"/>
      <c r="Z9" s="467"/>
      <c r="AA9" s="467"/>
      <c r="AB9" s="467"/>
      <c r="AC9" s="468"/>
      <c r="AD9" s="462" t="s">
        <v>5833</v>
      </c>
    </row>
    <row r="10" spans="1:31" ht="15" customHeight="1" x14ac:dyDescent="0.25">
      <c r="B10" s="168"/>
      <c r="C10" s="20"/>
      <c r="D10" s="20"/>
      <c r="E10" s="21"/>
      <c r="F10" s="21"/>
      <c r="G10" s="21"/>
      <c r="H10" s="21"/>
      <c r="I10" s="21"/>
      <c r="J10" s="21"/>
      <c r="K10" s="21"/>
      <c r="L10" s="470"/>
      <c r="M10" s="470"/>
      <c r="N10" s="470"/>
      <c r="O10" s="470"/>
      <c r="P10" s="470"/>
      <c r="Q10" s="469"/>
      <c r="R10" s="469"/>
      <c r="S10" s="469"/>
      <c r="T10" s="465" t="s">
        <v>3</v>
      </c>
      <c r="U10" s="465"/>
      <c r="V10" s="465"/>
      <c r="W10" s="465" t="s">
        <v>60</v>
      </c>
      <c r="X10" s="465"/>
      <c r="Y10" s="465"/>
      <c r="Z10" s="465" t="s">
        <v>61</v>
      </c>
      <c r="AA10" s="465"/>
      <c r="AB10" s="465"/>
      <c r="AC10" s="466"/>
      <c r="AD10" s="463"/>
    </row>
    <row r="11" spans="1:31" s="33" customFormat="1" ht="38.25" x14ac:dyDescent="0.25">
      <c r="A11" s="17"/>
      <c r="B11" s="169" t="s">
        <v>62</v>
      </c>
      <c r="C11" s="169" t="s">
        <v>135</v>
      </c>
      <c r="D11" s="169" t="s">
        <v>136</v>
      </c>
      <c r="E11" s="170" t="s">
        <v>134</v>
      </c>
      <c r="F11" s="170" t="s">
        <v>137</v>
      </c>
      <c r="G11" s="170" t="s">
        <v>132</v>
      </c>
      <c r="H11" s="170" t="s">
        <v>133</v>
      </c>
      <c r="I11" s="170" t="s">
        <v>131</v>
      </c>
      <c r="J11" s="170" t="s">
        <v>138</v>
      </c>
      <c r="K11" s="170" t="s">
        <v>139</v>
      </c>
      <c r="L11" s="165" t="s">
        <v>140</v>
      </c>
      <c r="M11" s="165" t="s">
        <v>141</v>
      </c>
      <c r="N11" s="165" t="s">
        <v>147</v>
      </c>
      <c r="O11" s="165" t="s">
        <v>142</v>
      </c>
      <c r="P11" s="165" t="s">
        <v>143</v>
      </c>
      <c r="Q11" s="165" t="s">
        <v>145</v>
      </c>
      <c r="R11" s="165" t="s">
        <v>146</v>
      </c>
      <c r="S11" s="165" t="s">
        <v>148</v>
      </c>
      <c r="T11" s="165" t="s">
        <v>150</v>
      </c>
      <c r="U11" s="165" t="s">
        <v>5980</v>
      </c>
      <c r="V11" s="165" t="s">
        <v>5981</v>
      </c>
      <c r="W11" s="165" t="s">
        <v>150</v>
      </c>
      <c r="X11" s="165" t="s">
        <v>5982</v>
      </c>
      <c r="Y11" s="165" t="s">
        <v>5983</v>
      </c>
      <c r="Z11" s="165" t="s">
        <v>150</v>
      </c>
      <c r="AA11" s="165" t="s">
        <v>5982</v>
      </c>
      <c r="AB11" s="165" t="s">
        <v>5984</v>
      </c>
      <c r="AC11" s="349" t="s">
        <v>5985</v>
      </c>
      <c r="AD11" s="165" t="s">
        <v>6102</v>
      </c>
      <c r="AE11" s="17"/>
    </row>
    <row r="12" spans="1:31" ht="24.95" customHeight="1" x14ac:dyDescent="0.25">
      <c r="B12" s="171"/>
      <c r="C12" s="172"/>
      <c r="D12" s="172"/>
      <c r="E12" s="166"/>
      <c r="F12" s="166"/>
      <c r="G12" s="166"/>
      <c r="H12" s="166"/>
      <c r="I12" s="166"/>
      <c r="J12" s="167"/>
      <c r="K12" s="167"/>
      <c r="L12" s="166"/>
      <c r="M12" s="166"/>
      <c r="N12" s="166"/>
      <c r="O12" s="166"/>
      <c r="P12" s="166"/>
      <c r="Q12" s="167"/>
      <c r="R12" s="166"/>
      <c r="S12" s="166"/>
      <c r="T12" s="167"/>
      <c r="U12" s="166"/>
      <c r="V12" s="166"/>
      <c r="W12" s="167"/>
      <c r="X12" s="166"/>
      <c r="Y12" s="166"/>
      <c r="Z12" s="167"/>
      <c r="AA12" s="166"/>
      <c r="AB12" s="166"/>
      <c r="AC12" s="350"/>
      <c r="AD12" s="166"/>
    </row>
  </sheetData>
  <protectedRanges>
    <protectedRange sqref="B12:AD12" name="Intervalo1"/>
  </protectedRanges>
  <mergeCells count="8">
    <mergeCell ref="AD9:AD10"/>
    <mergeCell ref="B1:B3"/>
    <mergeCell ref="W10:Y10"/>
    <mergeCell ref="Z10:AC10"/>
    <mergeCell ref="T9:AC9"/>
    <mergeCell ref="Q9:S10"/>
    <mergeCell ref="L9:P10"/>
    <mergeCell ref="T10:V10"/>
  </mergeCells>
  <dataValidations disablePrompts="1" count="1">
    <dataValidation type="list" allowBlank="1" showInputMessage="1" showErrorMessage="1" sqref="W12 Z12 Q12 J12:K12 T12:T1048576" xr:uid="{00000000-0002-0000-0700-000000000000}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28</vt:i4>
      </vt:variant>
    </vt:vector>
  </HeadingPairs>
  <TitlesOfParts>
    <vt:vector size="44" baseType="lpstr">
      <vt:lpstr>Sobre</vt:lpstr>
      <vt:lpstr>Geral</vt:lpstr>
      <vt:lpstr>Envoltória</vt:lpstr>
      <vt:lpstr>ArCondicionado</vt:lpstr>
      <vt:lpstr>Iluminação</vt:lpstr>
      <vt:lpstr>AquecimentoÁgua</vt:lpstr>
      <vt:lpstr>Inf_UsoRacional</vt:lpstr>
      <vt:lpstr>Opc_Geração</vt:lpstr>
      <vt:lpstr>Opc_Simulação</vt:lpstr>
      <vt:lpstr>Resultados</vt:lpstr>
      <vt:lpstr>Componentes</vt:lpstr>
      <vt:lpstr>Aux_Lista</vt:lpstr>
      <vt:lpstr>Aux_TBS</vt:lpstr>
      <vt:lpstr>OIA_Inmetro</vt:lpstr>
      <vt:lpstr>CB3E_Envoltória</vt:lpstr>
      <vt:lpstr>Lista_cidades</vt:lpstr>
      <vt:lpstr>AC</vt:lpstr>
      <vt:lpstr>AL</vt:lpstr>
      <vt:lpstr>AM</vt:lpstr>
      <vt:lpstr>AP</vt:lpstr>
      <vt:lpstr>BA</vt:lpstr>
      <vt:lpstr>CE</vt:lpstr>
      <vt:lpstr>DF</vt:lpstr>
      <vt:lpstr>ES</vt:lpstr>
      <vt:lpstr>GO</vt:lpstr>
      <vt:lpstr>lista_estados</vt:lpstr>
      <vt:lpstr>MA</vt:lpstr>
      <vt:lpstr>MG</vt:lpstr>
      <vt:lpstr>MS</vt:lpstr>
      <vt:lpstr>MT</vt:lpstr>
      <vt:lpstr>PA</vt:lpstr>
      <vt:lpstr>PB</vt:lpstr>
      <vt:lpstr>PE</vt:lpstr>
      <vt:lpstr>PI</vt:lpstr>
      <vt:lpstr>PR</vt:lpstr>
      <vt:lpstr>RJ</vt:lpstr>
      <vt:lpstr>RN</vt:lpstr>
      <vt:lpstr>RO</vt:lpstr>
      <vt:lpstr>RR</vt:lpstr>
      <vt:lpstr>RS</vt:lpstr>
      <vt:lpstr>SC</vt:lpstr>
      <vt:lpstr>SE</vt:lpstr>
      <vt:lpstr>SP</vt:lpstr>
      <vt:lpstr>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Greici</dc:creator>
  <cp:lastModifiedBy>Matheus Geraldi</cp:lastModifiedBy>
  <dcterms:created xsi:type="dcterms:W3CDTF">2020-11-06T19:44:14Z</dcterms:created>
  <dcterms:modified xsi:type="dcterms:W3CDTF">2022-12-08T17:00:28Z</dcterms:modified>
</cp:coreProperties>
</file>