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heus Geraldi\Downloads\"/>
    </mc:Choice>
  </mc:AlternateContent>
  <xr:revisionPtr revIDLastSave="0" documentId="13_ncr:1_{75B0208F-7F0F-4126-A898-3FB4F9C5565F}" xr6:coauthVersionLast="47" xr6:coauthVersionMax="47" xr10:uidLastSave="{00000000-0000-0000-0000-000000000000}"/>
  <bookViews>
    <workbookView xWindow="28680" yWindow="-120" windowWidth="29040" windowHeight="15840" tabRatio="883" activeTab="2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CB3E_Envoltória!$B$10:$AA$49</definedName>
    <definedName name="_FilterDatabase" localSheetId="2" hidden="1">Envoltória!$B$15:$V$15</definedName>
    <definedName name="_xlnm._FilterDatabase" localSheetId="11" hidden="1">Aux_Lista!$BG$1:$BO$377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5" i="2" l="1"/>
  <c r="AE12" i="2"/>
  <c r="AE13" i="2"/>
  <c r="AE14" i="2"/>
  <c r="AE11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B23" i="2"/>
  <c r="AC23" i="2"/>
  <c r="AB24" i="2"/>
  <c r="AC24" i="2"/>
  <c r="AB25" i="2"/>
  <c r="AC25" i="2"/>
  <c r="AB26" i="2"/>
  <c r="AC26" i="2"/>
  <c r="AB27" i="2"/>
  <c r="AC27" i="2"/>
  <c r="AB28" i="2"/>
  <c r="AC28" i="2"/>
  <c r="AB29" i="2"/>
  <c r="AC29" i="2"/>
  <c r="AB30" i="2"/>
  <c r="AC30" i="2"/>
  <c r="AB31" i="2"/>
  <c r="AC31" i="2"/>
  <c r="AB32" i="2"/>
  <c r="AC32" i="2"/>
  <c r="AB33" i="2"/>
  <c r="AC33" i="2"/>
  <c r="AB34" i="2"/>
  <c r="AC34" i="2"/>
  <c r="AB35" i="2"/>
  <c r="AC35" i="2"/>
  <c r="AB36" i="2"/>
  <c r="AC36" i="2"/>
  <c r="AB37" i="2"/>
  <c r="AC37" i="2"/>
  <c r="AB38" i="2"/>
  <c r="AC38" i="2"/>
  <c r="AB39" i="2"/>
  <c r="AC39" i="2"/>
  <c r="AB40" i="2"/>
  <c r="AC40" i="2"/>
  <c r="AB41" i="2"/>
  <c r="AC41" i="2"/>
  <c r="AB42" i="2"/>
  <c r="AC42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49" i="2"/>
  <c r="AC49" i="2"/>
  <c r="AB50" i="2"/>
  <c r="AC50" i="2"/>
  <c r="AB51" i="2"/>
  <c r="AC51" i="2"/>
  <c r="AB52" i="2"/>
  <c r="AC52" i="2"/>
  <c r="AB53" i="2"/>
  <c r="AC53" i="2"/>
  <c r="AB54" i="2"/>
  <c r="AC54" i="2"/>
  <c r="AB55" i="2"/>
  <c r="AC55" i="2"/>
  <c r="AB56" i="2"/>
  <c r="AC56" i="2"/>
  <c r="AB57" i="2"/>
  <c r="AC57" i="2"/>
  <c r="AB58" i="2"/>
  <c r="AC58" i="2"/>
  <c r="AB59" i="2"/>
  <c r="AC59" i="2"/>
  <c r="AB60" i="2"/>
  <c r="AC60" i="2"/>
  <c r="AB61" i="2"/>
  <c r="AC61" i="2"/>
  <c r="AB62" i="2"/>
  <c r="AC62" i="2"/>
  <c r="AB63" i="2"/>
  <c r="AC63" i="2"/>
  <c r="AB64" i="2"/>
  <c r="AC64" i="2"/>
  <c r="AB65" i="2"/>
  <c r="AC65" i="2"/>
  <c r="AB66" i="2"/>
  <c r="AC66" i="2"/>
  <c r="AB67" i="2"/>
  <c r="AC67" i="2"/>
  <c r="AB68" i="2"/>
  <c r="AC68" i="2"/>
  <c r="AB69" i="2"/>
  <c r="AC69" i="2"/>
  <c r="AB70" i="2"/>
  <c r="AC70" i="2"/>
  <c r="AB71" i="2"/>
  <c r="AC71" i="2"/>
  <c r="AB72" i="2"/>
  <c r="AC72" i="2"/>
  <c r="AB73" i="2"/>
  <c r="AC73" i="2"/>
  <c r="AB74" i="2"/>
  <c r="AC74" i="2"/>
  <c r="AB75" i="2"/>
  <c r="AC75" i="2"/>
  <c r="AB76" i="2"/>
  <c r="AC76" i="2"/>
  <c r="AB77" i="2"/>
  <c r="AC77" i="2"/>
  <c r="AB78" i="2"/>
  <c r="AC78" i="2"/>
  <c r="AB79" i="2"/>
  <c r="AC79" i="2"/>
  <c r="AB80" i="2"/>
  <c r="AC80" i="2"/>
  <c r="AB81" i="2"/>
  <c r="AC81" i="2"/>
  <c r="AB82" i="2"/>
  <c r="AC82" i="2"/>
  <c r="AB83" i="2"/>
  <c r="AC83" i="2"/>
  <c r="AB84" i="2"/>
  <c r="AC84" i="2"/>
  <c r="AB85" i="2"/>
  <c r="AC85" i="2"/>
  <c r="AB86" i="2"/>
  <c r="AC86" i="2"/>
  <c r="AB87" i="2"/>
  <c r="AC87" i="2"/>
  <c r="AB88" i="2"/>
  <c r="AC88" i="2"/>
  <c r="AB89" i="2"/>
  <c r="AC89" i="2"/>
  <c r="AB90" i="2"/>
  <c r="AC90" i="2"/>
  <c r="AB91" i="2"/>
  <c r="AC91" i="2"/>
  <c r="AB92" i="2"/>
  <c r="AC92" i="2"/>
  <c r="AB93" i="2"/>
  <c r="AC93" i="2"/>
  <c r="AB94" i="2"/>
  <c r="AC94" i="2"/>
  <c r="AB95" i="2"/>
  <c r="AC95" i="2"/>
  <c r="AB96" i="2"/>
  <c r="AC96" i="2"/>
  <c r="AB97" i="2"/>
  <c r="AC97" i="2"/>
  <c r="AB98" i="2"/>
  <c r="AC98" i="2"/>
  <c r="AB99" i="2"/>
  <c r="AC99" i="2"/>
  <c r="AB100" i="2"/>
  <c r="AC100" i="2"/>
  <c r="AB101" i="2"/>
  <c r="AC101" i="2"/>
  <c r="AB102" i="2"/>
  <c r="AC102" i="2"/>
  <c r="AB103" i="2"/>
  <c r="AC103" i="2"/>
  <c r="AB104" i="2"/>
  <c r="AC104" i="2"/>
  <c r="AB105" i="2"/>
  <c r="AC105" i="2"/>
  <c r="AB106" i="2"/>
  <c r="AC106" i="2"/>
  <c r="AB107" i="2"/>
  <c r="AC107" i="2"/>
  <c r="AB108" i="2"/>
  <c r="AC108" i="2"/>
  <c r="AB109" i="2"/>
  <c r="AC109" i="2"/>
  <c r="AB110" i="2"/>
  <c r="AC110" i="2"/>
  <c r="AC11" i="2"/>
  <c r="AB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46" i="2"/>
  <c r="W46" i="2"/>
  <c r="U47" i="2"/>
  <c r="V47" i="2"/>
  <c r="W47" i="2"/>
  <c r="U48" i="2"/>
  <c r="V48" i="2"/>
  <c r="W48" i="2"/>
  <c r="U49" i="2"/>
  <c r="V49" i="2"/>
  <c r="W49" i="2"/>
  <c r="U50" i="2"/>
  <c r="V50" i="2"/>
  <c r="W50" i="2"/>
  <c r="U51" i="2"/>
  <c r="V51" i="2"/>
  <c r="W51" i="2"/>
  <c r="U52" i="2"/>
  <c r="V52" i="2"/>
  <c r="W52" i="2"/>
  <c r="U53" i="2"/>
  <c r="V53" i="2"/>
  <c r="W53" i="2"/>
  <c r="U54" i="2"/>
  <c r="V54" i="2"/>
  <c r="W54" i="2"/>
  <c r="U55" i="2"/>
  <c r="V55" i="2"/>
  <c r="W55" i="2"/>
  <c r="U56" i="2"/>
  <c r="V56" i="2"/>
  <c r="W56" i="2"/>
  <c r="U57" i="2"/>
  <c r="V57" i="2"/>
  <c r="W57" i="2"/>
  <c r="U58" i="2"/>
  <c r="V58" i="2"/>
  <c r="W58" i="2"/>
  <c r="U59" i="2"/>
  <c r="V59" i="2"/>
  <c r="W59" i="2"/>
  <c r="U60" i="2"/>
  <c r="V60" i="2"/>
  <c r="W60" i="2"/>
  <c r="U61" i="2"/>
  <c r="V61" i="2"/>
  <c r="W61" i="2"/>
  <c r="U62" i="2"/>
  <c r="V62" i="2"/>
  <c r="W62" i="2"/>
  <c r="U63" i="2"/>
  <c r="V63" i="2"/>
  <c r="W63" i="2"/>
  <c r="U64" i="2"/>
  <c r="V64" i="2"/>
  <c r="W64" i="2"/>
  <c r="U65" i="2"/>
  <c r="V65" i="2"/>
  <c r="W65" i="2"/>
  <c r="U66" i="2"/>
  <c r="V66" i="2"/>
  <c r="W66" i="2"/>
  <c r="U67" i="2"/>
  <c r="V67" i="2"/>
  <c r="W67" i="2"/>
  <c r="U68" i="2"/>
  <c r="V68" i="2"/>
  <c r="W68" i="2"/>
  <c r="U69" i="2"/>
  <c r="V69" i="2"/>
  <c r="W69" i="2"/>
  <c r="U70" i="2"/>
  <c r="V70" i="2"/>
  <c r="W70" i="2"/>
  <c r="U71" i="2"/>
  <c r="V71" i="2"/>
  <c r="W71" i="2"/>
  <c r="U72" i="2"/>
  <c r="V72" i="2"/>
  <c r="W72" i="2"/>
  <c r="U73" i="2"/>
  <c r="V73" i="2"/>
  <c r="W73" i="2"/>
  <c r="U74" i="2"/>
  <c r="V74" i="2"/>
  <c r="W74" i="2"/>
  <c r="U75" i="2"/>
  <c r="V75" i="2"/>
  <c r="W75" i="2"/>
  <c r="U76" i="2"/>
  <c r="V76" i="2"/>
  <c r="W76" i="2"/>
  <c r="U77" i="2"/>
  <c r="V77" i="2"/>
  <c r="W77" i="2"/>
  <c r="U78" i="2"/>
  <c r="V78" i="2"/>
  <c r="W78" i="2"/>
  <c r="U79" i="2"/>
  <c r="V79" i="2"/>
  <c r="W79" i="2"/>
  <c r="U80" i="2"/>
  <c r="V80" i="2"/>
  <c r="W80" i="2"/>
  <c r="U81" i="2"/>
  <c r="V81" i="2"/>
  <c r="W81" i="2"/>
  <c r="U82" i="2"/>
  <c r="V82" i="2"/>
  <c r="W82" i="2"/>
  <c r="U83" i="2"/>
  <c r="V83" i="2"/>
  <c r="W83" i="2"/>
  <c r="U84" i="2"/>
  <c r="V84" i="2"/>
  <c r="W84" i="2"/>
  <c r="U85" i="2"/>
  <c r="V85" i="2"/>
  <c r="W85" i="2"/>
  <c r="U86" i="2"/>
  <c r="V86" i="2"/>
  <c r="W86" i="2"/>
  <c r="U87" i="2"/>
  <c r="V87" i="2"/>
  <c r="W87" i="2"/>
  <c r="U88" i="2"/>
  <c r="V88" i="2"/>
  <c r="W88" i="2"/>
  <c r="U89" i="2"/>
  <c r="V89" i="2"/>
  <c r="W89" i="2"/>
  <c r="U90" i="2"/>
  <c r="V90" i="2"/>
  <c r="W90" i="2"/>
  <c r="U91" i="2"/>
  <c r="V91" i="2"/>
  <c r="W91" i="2"/>
  <c r="U92" i="2"/>
  <c r="V92" i="2"/>
  <c r="W92" i="2"/>
  <c r="U93" i="2"/>
  <c r="V93" i="2"/>
  <c r="W93" i="2"/>
  <c r="U94" i="2"/>
  <c r="V94" i="2"/>
  <c r="W94" i="2"/>
  <c r="U95" i="2"/>
  <c r="V95" i="2"/>
  <c r="W95" i="2"/>
  <c r="U96" i="2"/>
  <c r="V96" i="2"/>
  <c r="W96" i="2"/>
  <c r="U97" i="2"/>
  <c r="V97" i="2"/>
  <c r="W97" i="2"/>
  <c r="U98" i="2"/>
  <c r="V98" i="2"/>
  <c r="W98" i="2"/>
  <c r="U99" i="2"/>
  <c r="V99" i="2"/>
  <c r="W99" i="2"/>
  <c r="U100" i="2"/>
  <c r="V100" i="2"/>
  <c r="W100" i="2"/>
  <c r="U101" i="2"/>
  <c r="V101" i="2"/>
  <c r="W101" i="2"/>
  <c r="U102" i="2"/>
  <c r="V102" i="2"/>
  <c r="W102" i="2"/>
  <c r="U103" i="2"/>
  <c r="V103" i="2"/>
  <c r="W103" i="2"/>
  <c r="U104" i="2"/>
  <c r="V104" i="2"/>
  <c r="W104" i="2"/>
  <c r="U105" i="2"/>
  <c r="V105" i="2"/>
  <c r="W105" i="2"/>
  <c r="U106" i="2"/>
  <c r="V106" i="2"/>
  <c r="W106" i="2"/>
  <c r="U107" i="2"/>
  <c r="V107" i="2"/>
  <c r="W107" i="2"/>
  <c r="U108" i="2"/>
  <c r="V108" i="2"/>
  <c r="W108" i="2"/>
  <c r="U109" i="2"/>
  <c r="V109" i="2"/>
  <c r="W109" i="2"/>
  <c r="U110" i="2"/>
  <c r="V110" i="2"/>
  <c r="W110" i="2"/>
  <c r="W11" i="2"/>
  <c r="V11" i="2"/>
  <c r="U11" i="2"/>
  <c r="T12" i="2"/>
  <c r="T13" i="2"/>
  <c r="T14" i="2"/>
  <c r="T15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" i="2"/>
  <c r="K12" i="2"/>
  <c r="K13" i="2"/>
  <c r="K14" i="2"/>
  <c r="K15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" i="2"/>
  <c r="G12" i="2"/>
  <c r="G13" i="2"/>
  <c r="G14" i="2"/>
  <c r="G15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" i="2"/>
  <c r="T17" i="12"/>
  <c r="T18" i="12"/>
  <c r="T19" i="12"/>
  <c r="T20" i="12"/>
  <c r="T21" i="12"/>
  <c r="G16" i="2" s="1"/>
  <c r="T22" i="12"/>
  <c r="G17" i="2" s="1"/>
  <c r="T23" i="12"/>
  <c r="G18" i="2" s="1"/>
  <c r="T24" i="12"/>
  <c r="G19" i="2" s="1"/>
  <c r="T25" i="12"/>
  <c r="G20" i="2" s="1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6" i="12"/>
  <c r="U16" i="12"/>
  <c r="C16" i="18"/>
  <c r="C15" i="18"/>
  <c r="C13" i="18"/>
  <c r="C12" i="18"/>
  <c r="C11" i="18"/>
  <c r="C10" i="18"/>
  <c r="C9" i="18"/>
  <c r="C8" i="18"/>
  <c r="C7" i="18"/>
  <c r="H28" i="18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36" i="6"/>
  <c r="R12" i="14"/>
  <c r="I35" i="6"/>
  <c r="K35" i="6" s="1"/>
  <c r="J31" i="6"/>
  <c r="P31" i="6" s="1"/>
  <c r="J32" i="6"/>
  <c r="P32" i="6" s="1"/>
  <c r="J33" i="6"/>
  <c r="P33" i="6" s="1"/>
  <c r="J34" i="6"/>
  <c r="P34" i="6" s="1"/>
  <c r="J35" i="6"/>
  <c r="P35" i="6" s="1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K32" i="6" s="1"/>
  <c r="I31" i="6"/>
  <c r="K31" i="6" s="1"/>
  <c r="I33" i="6"/>
  <c r="K33" i="6" s="1"/>
  <c r="I34" i="6"/>
  <c r="K34" i="6" s="1"/>
  <c r="C17" i="11"/>
  <c r="C17" i="18" s="1"/>
  <c r="C16" i="8"/>
  <c r="F18" i="8" s="1"/>
  <c r="I25" i="7"/>
  <c r="M25" i="7" s="1"/>
  <c r="N25" i="7" s="1"/>
  <c r="C25" i="7"/>
  <c r="M26" i="7"/>
  <c r="N26" i="7" s="1"/>
  <c r="M24" i="7"/>
  <c r="N24" i="7" s="1"/>
  <c r="G25" i="7"/>
  <c r="H25" i="7"/>
  <c r="G26" i="7"/>
  <c r="H26" i="7"/>
  <c r="H24" i="7"/>
  <c r="G24" i="7"/>
  <c r="C9" i="6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6" i="12"/>
  <c r="V17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2" i="6"/>
  <c r="H33" i="6"/>
  <c r="H34" i="6"/>
  <c r="H35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Y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Y32" i="12" s="1"/>
  <c r="J47" i="6"/>
  <c r="H48" i="6"/>
  <c r="I48" i="6"/>
  <c r="AK48" i="6" s="1"/>
  <c r="Y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Y38" i="12" s="1"/>
  <c r="J53" i="6"/>
  <c r="H54" i="6"/>
  <c r="I54" i="6"/>
  <c r="M54" i="6" s="1"/>
  <c r="J54" i="6"/>
  <c r="H55" i="6"/>
  <c r="I55" i="6"/>
  <c r="AK55" i="6" s="1"/>
  <c r="Y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Y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Y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Y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Y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Y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H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6"/>
  <c r="F7" i="12"/>
  <c r="C17" i="7"/>
  <c r="E25" i="7" s="1"/>
  <c r="AB12" i="7"/>
  <c r="AB11" i="7"/>
  <c r="AT10" i="7"/>
  <c r="C14" i="11"/>
  <c r="AD7" i="6" s="1"/>
  <c r="C14" i="18" l="1"/>
  <c r="L23" i="6"/>
  <c r="L34" i="6"/>
  <c r="L33" i="6"/>
  <c r="L31" i="6"/>
  <c r="L32" i="6"/>
  <c r="M31" i="6"/>
  <c r="L35" i="6"/>
  <c r="E24" i="7"/>
  <c r="F24" i="7"/>
  <c r="F26" i="7"/>
  <c r="E26" i="7"/>
  <c r="F25" i="7"/>
  <c r="W25" i="7" s="1"/>
  <c r="C18" i="8"/>
  <c r="AK35" i="6"/>
  <c r="Y20" i="12" s="1"/>
  <c r="AK33" i="6"/>
  <c r="Y18" i="12" s="1"/>
  <c r="C24" i="8"/>
  <c r="Q44" i="8" s="1"/>
  <c r="C27" i="8"/>
  <c r="G58" i="8" s="1"/>
  <c r="J51" i="8"/>
  <c r="P51" i="8" s="1"/>
  <c r="AK31" i="6"/>
  <c r="AL31" i="6" s="1"/>
  <c r="Y96" i="12"/>
  <c r="Y56" i="12"/>
  <c r="Y36" i="12"/>
  <c r="Y115" i="12"/>
  <c r="Y95" i="12"/>
  <c r="Y75" i="12"/>
  <c r="Y55" i="12"/>
  <c r="Y35" i="12"/>
  <c r="AL116" i="6"/>
  <c r="Y81" i="12"/>
  <c r="Y41" i="12"/>
  <c r="Y21" i="12"/>
  <c r="Y114" i="12"/>
  <c r="Y94" i="12"/>
  <c r="Y74" i="12"/>
  <c r="Y54" i="12"/>
  <c r="Y34" i="12"/>
  <c r="AK124" i="6"/>
  <c r="Y109" i="12" s="1"/>
  <c r="AK104" i="6"/>
  <c r="Y89" i="12" s="1"/>
  <c r="AK84" i="6"/>
  <c r="Y69" i="12" s="1"/>
  <c r="AK64" i="6"/>
  <c r="Y49" i="12" s="1"/>
  <c r="AK123" i="6"/>
  <c r="Y108" i="12" s="1"/>
  <c r="AK83" i="6"/>
  <c r="Y68" i="12" s="1"/>
  <c r="AK122" i="6"/>
  <c r="Y107" i="12" s="1"/>
  <c r="AK62" i="6"/>
  <c r="Y47" i="12" s="1"/>
  <c r="Y113" i="12"/>
  <c r="Y93" i="12"/>
  <c r="Y73" i="12"/>
  <c r="Y53" i="12"/>
  <c r="Y106" i="12"/>
  <c r="Y86" i="12"/>
  <c r="Y66" i="12"/>
  <c r="Y46" i="12"/>
  <c r="Y26" i="12"/>
  <c r="AK120" i="6"/>
  <c r="Y105" i="12" s="1"/>
  <c r="Y92" i="12"/>
  <c r="Y72" i="12"/>
  <c r="AK118" i="6"/>
  <c r="Y103" i="12" s="1"/>
  <c r="AK98" i="6"/>
  <c r="Y83" i="12" s="1"/>
  <c r="AK78" i="6"/>
  <c r="Y63" i="12" s="1"/>
  <c r="AK58" i="6"/>
  <c r="Y43" i="12" s="1"/>
  <c r="AK38" i="6"/>
  <c r="Y23" i="12" s="1"/>
  <c r="Y85" i="12"/>
  <c r="Y45" i="12"/>
  <c r="Y25" i="12"/>
  <c r="AK117" i="6"/>
  <c r="Y102" i="12" s="1"/>
  <c r="AK97" i="6"/>
  <c r="Y82" i="12" s="1"/>
  <c r="AK77" i="6"/>
  <c r="Y62" i="12" s="1"/>
  <c r="AK57" i="6"/>
  <c r="Y42" i="12" s="1"/>
  <c r="AK37" i="6"/>
  <c r="Y22" i="12" s="1"/>
  <c r="Y111" i="12"/>
  <c r="Y91" i="12"/>
  <c r="Y71" i="12"/>
  <c r="Y51" i="12"/>
  <c r="Y31" i="12"/>
  <c r="Y104" i="12"/>
  <c r="Y84" i="12"/>
  <c r="Y44" i="12"/>
  <c r="Y24" i="12"/>
  <c r="AK114" i="6"/>
  <c r="Y99" i="12" s="1"/>
  <c r="AK94" i="6"/>
  <c r="AL94" i="6" s="1"/>
  <c r="AK74" i="6"/>
  <c r="AL74" i="6" s="1"/>
  <c r="AK54" i="6"/>
  <c r="Y39" i="12" s="1"/>
  <c r="AK34" i="6"/>
  <c r="AL34" i="6" s="1"/>
  <c r="AK113" i="6"/>
  <c r="Y98" i="12" s="1"/>
  <c r="AK93" i="6"/>
  <c r="Y78" i="12" s="1"/>
  <c r="AK73" i="6"/>
  <c r="Y58" i="12" s="1"/>
  <c r="Y110" i="12"/>
  <c r="Y90" i="12"/>
  <c r="Y70" i="12"/>
  <c r="Y50" i="12"/>
  <c r="Y30" i="12"/>
  <c r="AK112" i="6"/>
  <c r="AL112" i="6" s="1"/>
  <c r="AK92" i="6"/>
  <c r="Y77" i="12" s="1"/>
  <c r="AK72" i="6"/>
  <c r="Y57" i="12" s="1"/>
  <c r="AK52" i="6"/>
  <c r="Y37" i="12" s="1"/>
  <c r="AK32" i="6"/>
  <c r="AL32" i="6" s="1"/>
  <c r="Y112" i="12"/>
  <c r="Y100" i="12"/>
  <c r="Y88" i="12"/>
  <c r="Y76" i="12"/>
  <c r="Y64" i="12"/>
  <c r="Y28" i="12"/>
  <c r="M34" i="6"/>
  <c r="N34" i="6" s="1"/>
  <c r="M52" i="6"/>
  <c r="N52" i="6" s="1"/>
  <c r="M112" i="6"/>
  <c r="N112" i="6" s="1"/>
  <c r="M74" i="6"/>
  <c r="N74" i="6" s="1"/>
  <c r="C16" i="6"/>
  <c r="Y87" i="12"/>
  <c r="Y27" i="12"/>
  <c r="Y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31" i="6"/>
  <c r="N120" i="6"/>
  <c r="N114" i="6"/>
  <c r="N94" i="6"/>
  <c r="N54" i="6"/>
  <c r="N92" i="6"/>
  <c r="N72" i="6"/>
  <c r="D58" i="8"/>
  <c r="AL56" i="6"/>
  <c r="Y61" i="12"/>
  <c r="AL107" i="6"/>
  <c r="AL96" i="6"/>
  <c r="AL87" i="6"/>
  <c r="AL47" i="6"/>
  <c r="Y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20" i="6"/>
  <c r="AL100" i="6"/>
  <c r="AL80" i="6"/>
  <c r="AL60" i="6"/>
  <c r="AL40" i="6"/>
  <c r="AL119" i="6"/>
  <c r="AL99" i="6"/>
  <c r="AL79" i="6"/>
  <c r="AL59" i="6"/>
  <c r="AL39" i="6"/>
  <c r="AL97" i="6"/>
  <c r="AL77" i="6"/>
  <c r="AL115" i="6"/>
  <c r="AL95" i="6"/>
  <c r="AL75" i="6"/>
  <c r="AL55" i="6"/>
  <c r="AL93" i="6"/>
  <c r="AL73" i="6"/>
  <c r="AL53" i="6"/>
  <c r="AL33" i="6"/>
  <c r="AL92" i="6"/>
  <c r="AL111" i="6"/>
  <c r="AL91" i="6"/>
  <c r="AL71" i="6"/>
  <c r="AL51" i="6"/>
  <c r="AB13" i="7"/>
  <c r="AR11" i="7" s="1"/>
  <c r="E32" i="6"/>
  <c r="C20" i="11"/>
  <c r="C22" i="11" s="1"/>
  <c r="BE1" i="3"/>
  <c r="BB25" i="3" s="1"/>
  <c r="BD1" i="3"/>
  <c r="BC1" i="3"/>
  <c r="BM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O12" i="2"/>
  <c r="H12" i="2"/>
  <c r="M12" i="2"/>
  <c r="X12" i="2"/>
  <c r="Z12" i="2"/>
  <c r="N12" i="2"/>
  <c r="Y12" i="2"/>
  <c r="AA12" i="2"/>
  <c r="Q12" i="2"/>
  <c r="R12" i="2"/>
  <c r="S12" i="2"/>
  <c r="I12" i="2"/>
  <c r="L12" i="2"/>
  <c r="B13" i="2"/>
  <c r="C13" i="2"/>
  <c r="D13" i="2"/>
  <c r="E13" i="2"/>
  <c r="O13" i="2"/>
  <c r="H13" i="2"/>
  <c r="M13" i="2"/>
  <c r="X13" i="2"/>
  <c r="Z13" i="2"/>
  <c r="N13" i="2"/>
  <c r="Y13" i="2"/>
  <c r="AA13" i="2"/>
  <c r="Q13" i="2"/>
  <c r="R13" i="2"/>
  <c r="S13" i="2"/>
  <c r="I13" i="2"/>
  <c r="L13" i="2"/>
  <c r="B14" i="2"/>
  <c r="C14" i="2"/>
  <c r="D14" i="2"/>
  <c r="E14" i="2"/>
  <c r="O14" i="2"/>
  <c r="H14" i="2"/>
  <c r="M14" i="2"/>
  <c r="X14" i="2"/>
  <c r="Z14" i="2"/>
  <c r="N14" i="2"/>
  <c r="Y14" i="2"/>
  <c r="AA14" i="2"/>
  <c r="Q14" i="2"/>
  <c r="R14" i="2"/>
  <c r="S14" i="2"/>
  <c r="I14" i="2"/>
  <c r="L14" i="2"/>
  <c r="B15" i="2"/>
  <c r="C15" i="2"/>
  <c r="D15" i="2"/>
  <c r="E15" i="2"/>
  <c r="O15" i="2"/>
  <c r="H15" i="2"/>
  <c r="M15" i="2"/>
  <c r="X15" i="2"/>
  <c r="Z15" i="2"/>
  <c r="N15" i="2"/>
  <c r="Y15" i="2"/>
  <c r="AA15" i="2"/>
  <c r="Q15" i="2"/>
  <c r="R15" i="2"/>
  <c r="S15" i="2"/>
  <c r="I15" i="2"/>
  <c r="L15" i="2"/>
  <c r="B16" i="2"/>
  <c r="C16" i="2"/>
  <c r="D16" i="2"/>
  <c r="E16" i="2"/>
  <c r="O16" i="2"/>
  <c r="H16" i="2"/>
  <c r="M16" i="2"/>
  <c r="X16" i="2"/>
  <c r="Z16" i="2"/>
  <c r="N16" i="2"/>
  <c r="Y16" i="2"/>
  <c r="AA16" i="2"/>
  <c r="Q16" i="2"/>
  <c r="R16" i="2"/>
  <c r="S16" i="2"/>
  <c r="I16" i="2"/>
  <c r="L16" i="2"/>
  <c r="B17" i="2"/>
  <c r="C17" i="2"/>
  <c r="D17" i="2"/>
  <c r="E17" i="2"/>
  <c r="O17" i="2"/>
  <c r="H17" i="2"/>
  <c r="M17" i="2"/>
  <c r="X17" i="2"/>
  <c r="Z17" i="2"/>
  <c r="N17" i="2"/>
  <c r="Y17" i="2"/>
  <c r="AA17" i="2"/>
  <c r="Q17" i="2"/>
  <c r="R17" i="2"/>
  <c r="S17" i="2"/>
  <c r="I17" i="2"/>
  <c r="L17" i="2"/>
  <c r="B18" i="2"/>
  <c r="C18" i="2"/>
  <c r="D18" i="2"/>
  <c r="E18" i="2"/>
  <c r="O18" i="2"/>
  <c r="H18" i="2"/>
  <c r="M18" i="2"/>
  <c r="X18" i="2"/>
  <c r="Z18" i="2"/>
  <c r="N18" i="2"/>
  <c r="Y18" i="2"/>
  <c r="AA18" i="2"/>
  <c r="Q18" i="2"/>
  <c r="R18" i="2"/>
  <c r="S18" i="2"/>
  <c r="I18" i="2"/>
  <c r="L18" i="2"/>
  <c r="B19" i="2"/>
  <c r="C19" i="2"/>
  <c r="D19" i="2"/>
  <c r="E19" i="2"/>
  <c r="O19" i="2"/>
  <c r="H19" i="2"/>
  <c r="M19" i="2"/>
  <c r="X19" i="2"/>
  <c r="Z19" i="2"/>
  <c r="N19" i="2"/>
  <c r="Y19" i="2"/>
  <c r="AA19" i="2"/>
  <c r="Q19" i="2"/>
  <c r="R19" i="2"/>
  <c r="S19" i="2"/>
  <c r="I19" i="2"/>
  <c r="L19" i="2"/>
  <c r="B20" i="2"/>
  <c r="C20" i="2"/>
  <c r="D20" i="2"/>
  <c r="E20" i="2"/>
  <c r="O20" i="2"/>
  <c r="H20" i="2"/>
  <c r="M20" i="2"/>
  <c r="X20" i="2"/>
  <c r="Z20" i="2"/>
  <c r="N20" i="2"/>
  <c r="Y20" i="2"/>
  <c r="AA20" i="2"/>
  <c r="Q20" i="2"/>
  <c r="R20" i="2"/>
  <c r="S20" i="2"/>
  <c r="I20" i="2"/>
  <c r="L20" i="2"/>
  <c r="B21" i="2"/>
  <c r="C21" i="2"/>
  <c r="D21" i="2"/>
  <c r="E21" i="2"/>
  <c r="O21" i="2"/>
  <c r="H21" i="2"/>
  <c r="M21" i="2"/>
  <c r="X21" i="2"/>
  <c r="Z21" i="2"/>
  <c r="N21" i="2"/>
  <c r="Y21" i="2"/>
  <c r="AA21" i="2"/>
  <c r="Q21" i="2"/>
  <c r="R21" i="2"/>
  <c r="S21" i="2"/>
  <c r="I21" i="2"/>
  <c r="L21" i="2"/>
  <c r="B22" i="2"/>
  <c r="C22" i="2"/>
  <c r="D22" i="2"/>
  <c r="E22" i="2"/>
  <c r="O22" i="2"/>
  <c r="H22" i="2"/>
  <c r="M22" i="2"/>
  <c r="X22" i="2"/>
  <c r="Z22" i="2"/>
  <c r="N22" i="2"/>
  <c r="Y22" i="2"/>
  <c r="AA22" i="2"/>
  <c r="Q22" i="2"/>
  <c r="R22" i="2"/>
  <c r="S22" i="2"/>
  <c r="I22" i="2"/>
  <c r="L22" i="2"/>
  <c r="B23" i="2"/>
  <c r="C23" i="2"/>
  <c r="D23" i="2"/>
  <c r="E23" i="2"/>
  <c r="O23" i="2"/>
  <c r="H23" i="2"/>
  <c r="M23" i="2"/>
  <c r="X23" i="2"/>
  <c r="Z23" i="2"/>
  <c r="N23" i="2"/>
  <c r="Y23" i="2"/>
  <c r="AA23" i="2"/>
  <c r="Q23" i="2"/>
  <c r="R23" i="2"/>
  <c r="S23" i="2"/>
  <c r="I23" i="2"/>
  <c r="L23" i="2"/>
  <c r="B24" i="2"/>
  <c r="C24" i="2"/>
  <c r="D24" i="2"/>
  <c r="E24" i="2"/>
  <c r="O24" i="2"/>
  <c r="H24" i="2"/>
  <c r="M24" i="2"/>
  <c r="X24" i="2"/>
  <c r="Z24" i="2"/>
  <c r="N24" i="2"/>
  <c r="Y24" i="2"/>
  <c r="AA24" i="2"/>
  <c r="Q24" i="2"/>
  <c r="R24" i="2"/>
  <c r="S24" i="2"/>
  <c r="I24" i="2"/>
  <c r="L24" i="2"/>
  <c r="B25" i="2"/>
  <c r="C25" i="2"/>
  <c r="D25" i="2"/>
  <c r="E25" i="2"/>
  <c r="O25" i="2"/>
  <c r="H25" i="2"/>
  <c r="M25" i="2"/>
  <c r="X25" i="2"/>
  <c r="Z25" i="2"/>
  <c r="N25" i="2"/>
  <c r="Y25" i="2"/>
  <c r="AA25" i="2"/>
  <c r="Q25" i="2"/>
  <c r="R25" i="2"/>
  <c r="S25" i="2"/>
  <c r="I25" i="2"/>
  <c r="L25" i="2"/>
  <c r="B26" i="2"/>
  <c r="C26" i="2"/>
  <c r="D26" i="2"/>
  <c r="E26" i="2"/>
  <c r="O26" i="2"/>
  <c r="H26" i="2"/>
  <c r="M26" i="2"/>
  <c r="X26" i="2"/>
  <c r="Z26" i="2"/>
  <c r="N26" i="2"/>
  <c r="Y26" i="2"/>
  <c r="AA26" i="2"/>
  <c r="Q26" i="2"/>
  <c r="R26" i="2"/>
  <c r="S26" i="2"/>
  <c r="I26" i="2"/>
  <c r="L26" i="2"/>
  <c r="B27" i="2"/>
  <c r="C27" i="2"/>
  <c r="D27" i="2"/>
  <c r="E27" i="2"/>
  <c r="O27" i="2"/>
  <c r="H27" i="2"/>
  <c r="M27" i="2"/>
  <c r="X27" i="2"/>
  <c r="Z27" i="2"/>
  <c r="N27" i="2"/>
  <c r="Y27" i="2"/>
  <c r="AA27" i="2"/>
  <c r="Q27" i="2"/>
  <c r="R27" i="2"/>
  <c r="S27" i="2"/>
  <c r="I27" i="2"/>
  <c r="L27" i="2"/>
  <c r="B28" i="2"/>
  <c r="C28" i="2"/>
  <c r="D28" i="2"/>
  <c r="E28" i="2"/>
  <c r="O28" i="2"/>
  <c r="H28" i="2"/>
  <c r="M28" i="2"/>
  <c r="X28" i="2"/>
  <c r="Z28" i="2"/>
  <c r="N28" i="2"/>
  <c r="Y28" i="2"/>
  <c r="AA28" i="2"/>
  <c r="Q28" i="2"/>
  <c r="R28" i="2"/>
  <c r="S28" i="2"/>
  <c r="I28" i="2"/>
  <c r="L28" i="2"/>
  <c r="B29" i="2"/>
  <c r="C29" i="2"/>
  <c r="D29" i="2"/>
  <c r="E29" i="2"/>
  <c r="O29" i="2"/>
  <c r="H29" i="2"/>
  <c r="M29" i="2"/>
  <c r="X29" i="2"/>
  <c r="Z29" i="2"/>
  <c r="N29" i="2"/>
  <c r="Y29" i="2"/>
  <c r="AA29" i="2"/>
  <c r="Q29" i="2"/>
  <c r="R29" i="2"/>
  <c r="S29" i="2"/>
  <c r="I29" i="2"/>
  <c r="L29" i="2"/>
  <c r="B30" i="2"/>
  <c r="C30" i="2"/>
  <c r="D30" i="2"/>
  <c r="E30" i="2"/>
  <c r="O30" i="2"/>
  <c r="H30" i="2"/>
  <c r="M30" i="2"/>
  <c r="X30" i="2"/>
  <c r="Z30" i="2"/>
  <c r="N30" i="2"/>
  <c r="Y30" i="2"/>
  <c r="AA30" i="2"/>
  <c r="Q30" i="2"/>
  <c r="R30" i="2"/>
  <c r="S30" i="2"/>
  <c r="I30" i="2"/>
  <c r="L30" i="2"/>
  <c r="B31" i="2"/>
  <c r="C31" i="2"/>
  <c r="D31" i="2"/>
  <c r="E31" i="2"/>
  <c r="O31" i="2"/>
  <c r="H31" i="2"/>
  <c r="M31" i="2"/>
  <c r="X31" i="2"/>
  <c r="Z31" i="2"/>
  <c r="N31" i="2"/>
  <c r="Y31" i="2"/>
  <c r="AA31" i="2"/>
  <c r="Q31" i="2"/>
  <c r="R31" i="2"/>
  <c r="S31" i="2"/>
  <c r="I31" i="2"/>
  <c r="L31" i="2"/>
  <c r="B32" i="2"/>
  <c r="C32" i="2"/>
  <c r="D32" i="2"/>
  <c r="E32" i="2"/>
  <c r="O32" i="2"/>
  <c r="H32" i="2"/>
  <c r="M32" i="2"/>
  <c r="X32" i="2"/>
  <c r="Z32" i="2"/>
  <c r="N32" i="2"/>
  <c r="Y32" i="2"/>
  <c r="AA32" i="2"/>
  <c r="Q32" i="2"/>
  <c r="R32" i="2"/>
  <c r="S32" i="2"/>
  <c r="I32" i="2"/>
  <c r="L32" i="2"/>
  <c r="B33" i="2"/>
  <c r="C33" i="2"/>
  <c r="D33" i="2"/>
  <c r="E33" i="2"/>
  <c r="O33" i="2"/>
  <c r="H33" i="2"/>
  <c r="M33" i="2"/>
  <c r="X33" i="2"/>
  <c r="Z33" i="2"/>
  <c r="N33" i="2"/>
  <c r="Y33" i="2"/>
  <c r="AA33" i="2"/>
  <c r="Q33" i="2"/>
  <c r="R33" i="2"/>
  <c r="S33" i="2"/>
  <c r="I33" i="2"/>
  <c r="L33" i="2"/>
  <c r="B34" i="2"/>
  <c r="C34" i="2"/>
  <c r="D34" i="2"/>
  <c r="E34" i="2"/>
  <c r="O34" i="2"/>
  <c r="H34" i="2"/>
  <c r="M34" i="2"/>
  <c r="X34" i="2"/>
  <c r="Z34" i="2"/>
  <c r="N34" i="2"/>
  <c r="Y34" i="2"/>
  <c r="AA34" i="2"/>
  <c r="Q34" i="2"/>
  <c r="R34" i="2"/>
  <c r="S34" i="2"/>
  <c r="I34" i="2"/>
  <c r="L34" i="2"/>
  <c r="B35" i="2"/>
  <c r="C35" i="2"/>
  <c r="D35" i="2"/>
  <c r="E35" i="2"/>
  <c r="O35" i="2"/>
  <c r="H35" i="2"/>
  <c r="M35" i="2"/>
  <c r="X35" i="2"/>
  <c r="Z35" i="2"/>
  <c r="N35" i="2"/>
  <c r="Y35" i="2"/>
  <c r="AA35" i="2"/>
  <c r="Q35" i="2"/>
  <c r="R35" i="2"/>
  <c r="S35" i="2"/>
  <c r="I35" i="2"/>
  <c r="L35" i="2"/>
  <c r="B36" i="2"/>
  <c r="C36" i="2"/>
  <c r="D36" i="2"/>
  <c r="E36" i="2"/>
  <c r="O36" i="2"/>
  <c r="H36" i="2"/>
  <c r="M36" i="2"/>
  <c r="X36" i="2"/>
  <c r="Z36" i="2"/>
  <c r="N36" i="2"/>
  <c r="Y36" i="2"/>
  <c r="AA36" i="2"/>
  <c r="Q36" i="2"/>
  <c r="R36" i="2"/>
  <c r="S36" i="2"/>
  <c r="I36" i="2"/>
  <c r="L36" i="2"/>
  <c r="B37" i="2"/>
  <c r="C37" i="2"/>
  <c r="D37" i="2"/>
  <c r="E37" i="2"/>
  <c r="O37" i="2"/>
  <c r="H37" i="2"/>
  <c r="M37" i="2"/>
  <c r="X37" i="2"/>
  <c r="Z37" i="2"/>
  <c r="N37" i="2"/>
  <c r="Y37" i="2"/>
  <c r="AA37" i="2"/>
  <c r="Q37" i="2"/>
  <c r="R37" i="2"/>
  <c r="S37" i="2"/>
  <c r="I37" i="2"/>
  <c r="L37" i="2"/>
  <c r="B38" i="2"/>
  <c r="C38" i="2"/>
  <c r="D38" i="2"/>
  <c r="E38" i="2"/>
  <c r="O38" i="2"/>
  <c r="H38" i="2"/>
  <c r="M38" i="2"/>
  <c r="X38" i="2"/>
  <c r="Z38" i="2"/>
  <c r="N38" i="2"/>
  <c r="Y38" i="2"/>
  <c r="AA38" i="2"/>
  <c r="Q38" i="2"/>
  <c r="R38" i="2"/>
  <c r="S38" i="2"/>
  <c r="I38" i="2"/>
  <c r="L38" i="2"/>
  <c r="B39" i="2"/>
  <c r="C39" i="2"/>
  <c r="D39" i="2"/>
  <c r="E39" i="2"/>
  <c r="O39" i="2"/>
  <c r="H39" i="2"/>
  <c r="M39" i="2"/>
  <c r="X39" i="2"/>
  <c r="Z39" i="2"/>
  <c r="N39" i="2"/>
  <c r="Y39" i="2"/>
  <c r="AA39" i="2"/>
  <c r="Q39" i="2"/>
  <c r="R39" i="2"/>
  <c r="S39" i="2"/>
  <c r="I39" i="2"/>
  <c r="L39" i="2"/>
  <c r="B40" i="2"/>
  <c r="C40" i="2"/>
  <c r="D40" i="2"/>
  <c r="E40" i="2"/>
  <c r="O40" i="2"/>
  <c r="H40" i="2"/>
  <c r="M40" i="2"/>
  <c r="X40" i="2"/>
  <c r="Z40" i="2"/>
  <c r="N40" i="2"/>
  <c r="Y40" i="2"/>
  <c r="AA40" i="2"/>
  <c r="Q40" i="2"/>
  <c r="R40" i="2"/>
  <c r="S40" i="2"/>
  <c r="I40" i="2"/>
  <c r="L40" i="2"/>
  <c r="B41" i="2"/>
  <c r="C41" i="2"/>
  <c r="D41" i="2"/>
  <c r="E41" i="2"/>
  <c r="O41" i="2"/>
  <c r="H41" i="2"/>
  <c r="M41" i="2"/>
  <c r="X41" i="2"/>
  <c r="Z41" i="2"/>
  <c r="N41" i="2"/>
  <c r="Y41" i="2"/>
  <c r="AA41" i="2"/>
  <c r="Q41" i="2"/>
  <c r="R41" i="2"/>
  <c r="S41" i="2"/>
  <c r="I41" i="2"/>
  <c r="L41" i="2"/>
  <c r="B42" i="2"/>
  <c r="C42" i="2"/>
  <c r="D42" i="2"/>
  <c r="E42" i="2"/>
  <c r="O42" i="2"/>
  <c r="H42" i="2"/>
  <c r="M42" i="2"/>
  <c r="X42" i="2"/>
  <c r="Z42" i="2"/>
  <c r="N42" i="2"/>
  <c r="Y42" i="2"/>
  <c r="AA42" i="2"/>
  <c r="Q42" i="2"/>
  <c r="R42" i="2"/>
  <c r="S42" i="2"/>
  <c r="I42" i="2"/>
  <c r="L42" i="2"/>
  <c r="B43" i="2"/>
  <c r="C43" i="2"/>
  <c r="D43" i="2"/>
  <c r="E43" i="2"/>
  <c r="O43" i="2"/>
  <c r="H43" i="2"/>
  <c r="M43" i="2"/>
  <c r="X43" i="2"/>
  <c r="Z43" i="2"/>
  <c r="N43" i="2"/>
  <c r="Y43" i="2"/>
  <c r="AA43" i="2"/>
  <c r="Q43" i="2"/>
  <c r="R43" i="2"/>
  <c r="S43" i="2"/>
  <c r="I43" i="2"/>
  <c r="L43" i="2"/>
  <c r="B44" i="2"/>
  <c r="C44" i="2"/>
  <c r="D44" i="2"/>
  <c r="E44" i="2"/>
  <c r="O44" i="2"/>
  <c r="H44" i="2"/>
  <c r="M44" i="2"/>
  <c r="X44" i="2"/>
  <c r="Z44" i="2"/>
  <c r="N44" i="2"/>
  <c r="Y44" i="2"/>
  <c r="AA44" i="2"/>
  <c r="Q44" i="2"/>
  <c r="R44" i="2"/>
  <c r="S44" i="2"/>
  <c r="I44" i="2"/>
  <c r="L44" i="2"/>
  <c r="B45" i="2"/>
  <c r="C45" i="2"/>
  <c r="D45" i="2"/>
  <c r="E45" i="2"/>
  <c r="O45" i="2"/>
  <c r="H45" i="2"/>
  <c r="M45" i="2"/>
  <c r="X45" i="2"/>
  <c r="Z45" i="2"/>
  <c r="N45" i="2"/>
  <c r="Y45" i="2"/>
  <c r="AA45" i="2"/>
  <c r="Q45" i="2"/>
  <c r="R45" i="2"/>
  <c r="S45" i="2"/>
  <c r="I45" i="2"/>
  <c r="L45" i="2"/>
  <c r="B46" i="2"/>
  <c r="C46" i="2"/>
  <c r="D46" i="2"/>
  <c r="E46" i="2"/>
  <c r="O46" i="2"/>
  <c r="H46" i="2"/>
  <c r="M46" i="2"/>
  <c r="X46" i="2"/>
  <c r="Z46" i="2"/>
  <c r="N46" i="2"/>
  <c r="Y46" i="2"/>
  <c r="AA46" i="2"/>
  <c r="Q46" i="2"/>
  <c r="R46" i="2"/>
  <c r="S46" i="2"/>
  <c r="I46" i="2"/>
  <c r="L46" i="2"/>
  <c r="B47" i="2"/>
  <c r="C47" i="2"/>
  <c r="D47" i="2"/>
  <c r="E47" i="2"/>
  <c r="O47" i="2"/>
  <c r="H47" i="2"/>
  <c r="M47" i="2"/>
  <c r="X47" i="2"/>
  <c r="Z47" i="2"/>
  <c r="N47" i="2"/>
  <c r="Y47" i="2"/>
  <c r="AA47" i="2"/>
  <c r="Q47" i="2"/>
  <c r="R47" i="2"/>
  <c r="S47" i="2"/>
  <c r="I47" i="2"/>
  <c r="L47" i="2"/>
  <c r="B48" i="2"/>
  <c r="C48" i="2"/>
  <c r="D48" i="2"/>
  <c r="E48" i="2"/>
  <c r="O48" i="2"/>
  <c r="H48" i="2"/>
  <c r="M48" i="2"/>
  <c r="X48" i="2"/>
  <c r="Z48" i="2"/>
  <c r="N48" i="2"/>
  <c r="Y48" i="2"/>
  <c r="AA48" i="2"/>
  <c r="Q48" i="2"/>
  <c r="R48" i="2"/>
  <c r="S48" i="2"/>
  <c r="I48" i="2"/>
  <c r="L48" i="2"/>
  <c r="B49" i="2"/>
  <c r="C49" i="2"/>
  <c r="D49" i="2"/>
  <c r="E49" i="2"/>
  <c r="O49" i="2"/>
  <c r="H49" i="2"/>
  <c r="M49" i="2"/>
  <c r="X49" i="2"/>
  <c r="Z49" i="2"/>
  <c r="N49" i="2"/>
  <c r="Y49" i="2"/>
  <c r="AA49" i="2"/>
  <c r="Q49" i="2"/>
  <c r="R49" i="2"/>
  <c r="S49" i="2"/>
  <c r="I49" i="2"/>
  <c r="L49" i="2"/>
  <c r="B50" i="2"/>
  <c r="C50" i="2"/>
  <c r="D50" i="2"/>
  <c r="E50" i="2"/>
  <c r="O50" i="2"/>
  <c r="H50" i="2"/>
  <c r="M50" i="2"/>
  <c r="X50" i="2"/>
  <c r="Z50" i="2"/>
  <c r="N50" i="2"/>
  <c r="Y50" i="2"/>
  <c r="AA50" i="2"/>
  <c r="Q50" i="2"/>
  <c r="R50" i="2"/>
  <c r="S50" i="2"/>
  <c r="I50" i="2"/>
  <c r="L50" i="2"/>
  <c r="B51" i="2"/>
  <c r="C51" i="2"/>
  <c r="D51" i="2"/>
  <c r="E51" i="2"/>
  <c r="O51" i="2"/>
  <c r="H51" i="2"/>
  <c r="M51" i="2"/>
  <c r="X51" i="2"/>
  <c r="Z51" i="2"/>
  <c r="N51" i="2"/>
  <c r="Y51" i="2"/>
  <c r="AA51" i="2"/>
  <c r="Q51" i="2"/>
  <c r="R51" i="2"/>
  <c r="S51" i="2"/>
  <c r="I51" i="2"/>
  <c r="L51" i="2"/>
  <c r="B52" i="2"/>
  <c r="C52" i="2"/>
  <c r="D52" i="2"/>
  <c r="E52" i="2"/>
  <c r="O52" i="2"/>
  <c r="H52" i="2"/>
  <c r="M52" i="2"/>
  <c r="X52" i="2"/>
  <c r="Z52" i="2"/>
  <c r="N52" i="2"/>
  <c r="Y52" i="2"/>
  <c r="AA52" i="2"/>
  <c r="Q52" i="2"/>
  <c r="R52" i="2"/>
  <c r="S52" i="2"/>
  <c r="I52" i="2"/>
  <c r="L52" i="2"/>
  <c r="B53" i="2"/>
  <c r="C53" i="2"/>
  <c r="D53" i="2"/>
  <c r="E53" i="2"/>
  <c r="O53" i="2"/>
  <c r="H53" i="2"/>
  <c r="M53" i="2"/>
  <c r="X53" i="2"/>
  <c r="Z53" i="2"/>
  <c r="N53" i="2"/>
  <c r="Y53" i="2"/>
  <c r="AA53" i="2"/>
  <c r="Q53" i="2"/>
  <c r="R53" i="2"/>
  <c r="S53" i="2"/>
  <c r="I53" i="2"/>
  <c r="L53" i="2"/>
  <c r="B54" i="2"/>
  <c r="C54" i="2"/>
  <c r="D54" i="2"/>
  <c r="E54" i="2"/>
  <c r="O54" i="2"/>
  <c r="H54" i="2"/>
  <c r="M54" i="2"/>
  <c r="X54" i="2"/>
  <c r="Z54" i="2"/>
  <c r="N54" i="2"/>
  <c r="Y54" i="2"/>
  <c r="AA54" i="2"/>
  <c r="Q54" i="2"/>
  <c r="R54" i="2"/>
  <c r="S54" i="2"/>
  <c r="I54" i="2"/>
  <c r="L54" i="2"/>
  <c r="B55" i="2"/>
  <c r="C55" i="2"/>
  <c r="D55" i="2"/>
  <c r="E55" i="2"/>
  <c r="O55" i="2"/>
  <c r="H55" i="2"/>
  <c r="M55" i="2"/>
  <c r="X55" i="2"/>
  <c r="Z55" i="2"/>
  <c r="N55" i="2"/>
  <c r="Y55" i="2"/>
  <c r="AA55" i="2"/>
  <c r="Q55" i="2"/>
  <c r="R55" i="2"/>
  <c r="S55" i="2"/>
  <c r="I55" i="2"/>
  <c r="L55" i="2"/>
  <c r="B56" i="2"/>
  <c r="C56" i="2"/>
  <c r="D56" i="2"/>
  <c r="E56" i="2"/>
  <c r="O56" i="2"/>
  <c r="H56" i="2"/>
  <c r="M56" i="2"/>
  <c r="X56" i="2"/>
  <c r="Z56" i="2"/>
  <c r="N56" i="2"/>
  <c r="Y56" i="2"/>
  <c r="AA56" i="2"/>
  <c r="Q56" i="2"/>
  <c r="R56" i="2"/>
  <c r="S56" i="2"/>
  <c r="I56" i="2"/>
  <c r="L56" i="2"/>
  <c r="B57" i="2"/>
  <c r="C57" i="2"/>
  <c r="D57" i="2"/>
  <c r="E57" i="2"/>
  <c r="O57" i="2"/>
  <c r="H57" i="2"/>
  <c r="M57" i="2"/>
  <c r="X57" i="2"/>
  <c r="Z57" i="2"/>
  <c r="N57" i="2"/>
  <c r="Y57" i="2"/>
  <c r="AA57" i="2"/>
  <c r="Q57" i="2"/>
  <c r="R57" i="2"/>
  <c r="S57" i="2"/>
  <c r="I57" i="2"/>
  <c r="L57" i="2"/>
  <c r="B58" i="2"/>
  <c r="C58" i="2"/>
  <c r="D58" i="2"/>
  <c r="E58" i="2"/>
  <c r="O58" i="2"/>
  <c r="H58" i="2"/>
  <c r="M58" i="2"/>
  <c r="X58" i="2"/>
  <c r="Z58" i="2"/>
  <c r="N58" i="2"/>
  <c r="Y58" i="2"/>
  <c r="AA58" i="2"/>
  <c r="Q58" i="2"/>
  <c r="R58" i="2"/>
  <c r="S58" i="2"/>
  <c r="I58" i="2"/>
  <c r="L58" i="2"/>
  <c r="B59" i="2"/>
  <c r="C59" i="2"/>
  <c r="D59" i="2"/>
  <c r="E59" i="2"/>
  <c r="O59" i="2"/>
  <c r="H59" i="2"/>
  <c r="M59" i="2"/>
  <c r="X59" i="2"/>
  <c r="Z59" i="2"/>
  <c r="N59" i="2"/>
  <c r="Y59" i="2"/>
  <c r="AA59" i="2"/>
  <c r="Q59" i="2"/>
  <c r="R59" i="2"/>
  <c r="S59" i="2"/>
  <c r="I59" i="2"/>
  <c r="L59" i="2"/>
  <c r="B60" i="2"/>
  <c r="C60" i="2"/>
  <c r="D60" i="2"/>
  <c r="E60" i="2"/>
  <c r="O60" i="2"/>
  <c r="H60" i="2"/>
  <c r="M60" i="2"/>
  <c r="X60" i="2"/>
  <c r="Z60" i="2"/>
  <c r="N60" i="2"/>
  <c r="Y60" i="2"/>
  <c r="AA60" i="2"/>
  <c r="Q60" i="2"/>
  <c r="R60" i="2"/>
  <c r="S60" i="2"/>
  <c r="I60" i="2"/>
  <c r="L60" i="2"/>
  <c r="B61" i="2"/>
  <c r="C61" i="2"/>
  <c r="D61" i="2"/>
  <c r="E61" i="2"/>
  <c r="O61" i="2"/>
  <c r="H61" i="2"/>
  <c r="M61" i="2"/>
  <c r="X61" i="2"/>
  <c r="Z61" i="2"/>
  <c r="N61" i="2"/>
  <c r="Y61" i="2"/>
  <c r="AA61" i="2"/>
  <c r="Q61" i="2"/>
  <c r="R61" i="2"/>
  <c r="S61" i="2"/>
  <c r="I61" i="2"/>
  <c r="L61" i="2"/>
  <c r="B62" i="2"/>
  <c r="C62" i="2"/>
  <c r="D62" i="2"/>
  <c r="E62" i="2"/>
  <c r="O62" i="2"/>
  <c r="H62" i="2"/>
  <c r="M62" i="2"/>
  <c r="X62" i="2"/>
  <c r="Z62" i="2"/>
  <c r="N62" i="2"/>
  <c r="Y62" i="2"/>
  <c r="AA62" i="2"/>
  <c r="Q62" i="2"/>
  <c r="R62" i="2"/>
  <c r="S62" i="2"/>
  <c r="I62" i="2"/>
  <c r="L62" i="2"/>
  <c r="B63" i="2"/>
  <c r="C63" i="2"/>
  <c r="D63" i="2"/>
  <c r="E63" i="2"/>
  <c r="O63" i="2"/>
  <c r="H63" i="2"/>
  <c r="M63" i="2"/>
  <c r="X63" i="2"/>
  <c r="Z63" i="2"/>
  <c r="N63" i="2"/>
  <c r="Y63" i="2"/>
  <c r="AA63" i="2"/>
  <c r="Q63" i="2"/>
  <c r="R63" i="2"/>
  <c r="S63" i="2"/>
  <c r="I63" i="2"/>
  <c r="L63" i="2"/>
  <c r="B64" i="2"/>
  <c r="C64" i="2"/>
  <c r="D64" i="2"/>
  <c r="E64" i="2"/>
  <c r="O64" i="2"/>
  <c r="H64" i="2"/>
  <c r="M64" i="2"/>
  <c r="X64" i="2"/>
  <c r="Z64" i="2"/>
  <c r="N64" i="2"/>
  <c r="Y64" i="2"/>
  <c r="AA64" i="2"/>
  <c r="Q64" i="2"/>
  <c r="R64" i="2"/>
  <c r="S64" i="2"/>
  <c r="I64" i="2"/>
  <c r="L64" i="2"/>
  <c r="B65" i="2"/>
  <c r="C65" i="2"/>
  <c r="D65" i="2"/>
  <c r="E65" i="2"/>
  <c r="O65" i="2"/>
  <c r="H65" i="2"/>
  <c r="M65" i="2"/>
  <c r="X65" i="2"/>
  <c r="Z65" i="2"/>
  <c r="N65" i="2"/>
  <c r="Y65" i="2"/>
  <c r="AA65" i="2"/>
  <c r="Q65" i="2"/>
  <c r="R65" i="2"/>
  <c r="S65" i="2"/>
  <c r="I65" i="2"/>
  <c r="L65" i="2"/>
  <c r="B66" i="2"/>
  <c r="C66" i="2"/>
  <c r="D66" i="2"/>
  <c r="E66" i="2"/>
  <c r="O66" i="2"/>
  <c r="H66" i="2"/>
  <c r="M66" i="2"/>
  <c r="X66" i="2"/>
  <c r="Z66" i="2"/>
  <c r="N66" i="2"/>
  <c r="Y66" i="2"/>
  <c r="AA66" i="2"/>
  <c r="Q66" i="2"/>
  <c r="R66" i="2"/>
  <c r="S66" i="2"/>
  <c r="I66" i="2"/>
  <c r="L66" i="2"/>
  <c r="B67" i="2"/>
  <c r="C67" i="2"/>
  <c r="D67" i="2"/>
  <c r="E67" i="2"/>
  <c r="O67" i="2"/>
  <c r="H67" i="2"/>
  <c r="M67" i="2"/>
  <c r="X67" i="2"/>
  <c r="Z67" i="2"/>
  <c r="N67" i="2"/>
  <c r="Y67" i="2"/>
  <c r="AA67" i="2"/>
  <c r="Q67" i="2"/>
  <c r="R67" i="2"/>
  <c r="S67" i="2"/>
  <c r="I67" i="2"/>
  <c r="L67" i="2"/>
  <c r="B68" i="2"/>
  <c r="C68" i="2"/>
  <c r="D68" i="2"/>
  <c r="E68" i="2"/>
  <c r="O68" i="2"/>
  <c r="H68" i="2"/>
  <c r="M68" i="2"/>
  <c r="X68" i="2"/>
  <c r="Z68" i="2"/>
  <c r="N68" i="2"/>
  <c r="Y68" i="2"/>
  <c r="AA68" i="2"/>
  <c r="Q68" i="2"/>
  <c r="R68" i="2"/>
  <c r="S68" i="2"/>
  <c r="I68" i="2"/>
  <c r="L68" i="2"/>
  <c r="B69" i="2"/>
  <c r="C69" i="2"/>
  <c r="D69" i="2"/>
  <c r="E69" i="2"/>
  <c r="O69" i="2"/>
  <c r="H69" i="2"/>
  <c r="M69" i="2"/>
  <c r="X69" i="2"/>
  <c r="Z69" i="2"/>
  <c r="N69" i="2"/>
  <c r="Y69" i="2"/>
  <c r="AA69" i="2"/>
  <c r="Q69" i="2"/>
  <c r="R69" i="2"/>
  <c r="S69" i="2"/>
  <c r="I69" i="2"/>
  <c r="L69" i="2"/>
  <c r="B70" i="2"/>
  <c r="C70" i="2"/>
  <c r="D70" i="2"/>
  <c r="E70" i="2"/>
  <c r="O70" i="2"/>
  <c r="H70" i="2"/>
  <c r="M70" i="2"/>
  <c r="X70" i="2"/>
  <c r="Z70" i="2"/>
  <c r="N70" i="2"/>
  <c r="Y70" i="2"/>
  <c r="AA70" i="2"/>
  <c r="Q70" i="2"/>
  <c r="R70" i="2"/>
  <c r="S70" i="2"/>
  <c r="I70" i="2"/>
  <c r="L70" i="2"/>
  <c r="B71" i="2"/>
  <c r="C71" i="2"/>
  <c r="D71" i="2"/>
  <c r="E71" i="2"/>
  <c r="O71" i="2"/>
  <c r="H71" i="2"/>
  <c r="M71" i="2"/>
  <c r="X71" i="2"/>
  <c r="Z71" i="2"/>
  <c r="N71" i="2"/>
  <c r="Y71" i="2"/>
  <c r="AA71" i="2"/>
  <c r="Q71" i="2"/>
  <c r="R71" i="2"/>
  <c r="S71" i="2"/>
  <c r="I71" i="2"/>
  <c r="L71" i="2"/>
  <c r="B72" i="2"/>
  <c r="C72" i="2"/>
  <c r="D72" i="2"/>
  <c r="E72" i="2"/>
  <c r="O72" i="2"/>
  <c r="H72" i="2"/>
  <c r="M72" i="2"/>
  <c r="X72" i="2"/>
  <c r="Z72" i="2"/>
  <c r="N72" i="2"/>
  <c r="Y72" i="2"/>
  <c r="AA72" i="2"/>
  <c r="Q72" i="2"/>
  <c r="R72" i="2"/>
  <c r="S72" i="2"/>
  <c r="I72" i="2"/>
  <c r="L72" i="2"/>
  <c r="B73" i="2"/>
  <c r="C73" i="2"/>
  <c r="D73" i="2"/>
  <c r="E73" i="2"/>
  <c r="O73" i="2"/>
  <c r="H73" i="2"/>
  <c r="M73" i="2"/>
  <c r="X73" i="2"/>
  <c r="Z73" i="2"/>
  <c r="N73" i="2"/>
  <c r="Y73" i="2"/>
  <c r="AA73" i="2"/>
  <c r="Q73" i="2"/>
  <c r="R73" i="2"/>
  <c r="S73" i="2"/>
  <c r="I73" i="2"/>
  <c r="L73" i="2"/>
  <c r="B74" i="2"/>
  <c r="C74" i="2"/>
  <c r="D74" i="2"/>
  <c r="E74" i="2"/>
  <c r="O74" i="2"/>
  <c r="H74" i="2"/>
  <c r="M74" i="2"/>
  <c r="X74" i="2"/>
  <c r="Z74" i="2"/>
  <c r="N74" i="2"/>
  <c r="Y74" i="2"/>
  <c r="AA74" i="2"/>
  <c r="Q74" i="2"/>
  <c r="R74" i="2"/>
  <c r="S74" i="2"/>
  <c r="I74" i="2"/>
  <c r="L74" i="2"/>
  <c r="B75" i="2"/>
  <c r="C75" i="2"/>
  <c r="D75" i="2"/>
  <c r="E75" i="2"/>
  <c r="O75" i="2"/>
  <c r="H75" i="2"/>
  <c r="M75" i="2"/>
  <c r="X75" i="2"/>
  <c r="Z75" i="2"/>
  <c r="N75" i="2"/>
  <c r="Y75" i="2"/>
  <c r="AA75" i="2"/>
  <c r="Q75" i="2"/>
  <c r="R75" i="2"/>
  <c r="S75" i="2"/>
  <c r="I75" i="2"/>
  <c r="L75" i="2"/>
  <c r="B76" i="2"/>
  <c r="C76" i="2"/>
  <c r="D76" i="2"/>
  <c r="E76" i="2"/>
  <c r="O76" i="2"/>
  <c r="H76" i="2"/>
  <c r="M76" i="2"/>
  <c r="X76" i="2"/>
  <c r="Z76" i="2"/>
  <c r="N76" i="2"/>
  <c r="Y76" i="2"/>
  <c r="AA76" i="2"/>
  <c r="Q76" i="2"/>
  <c r="R76" i="2"/>
  <c r="S76" i="2"/>
  <c r="I76" i="2"/>
  <c r="L76" i="2"/>
  <c r="B77" i="2"/>
  <c r="C77" i="2"/>
  <c r="D77" i="2"/>
  <c r="E77" i="2"/>
  <c r="O77" i="2"/>
  <c r="H77" i="2"/>
  <c r="M77" i="2"/>
  <c r="X77" i="2"/>
  <c r="Z77" i="2"/>
  <c r="N77" i="2"/>
  <c r="Y77" i="2"/>
  <c r="AA77" i="2"/>
  <c r="Q77" i="2"/>
  <c r="R77" i="2"/>
  <c r="S77" i="2"/>
  <c r="I77" i="2"/>
  <c r="L77" i="2"/>
  <c r="B78" i="2"/>
  <c r="C78" i="2"/>
  <c r="D78" i="2"/>
  <c r="E78" i="2"/>
  <c r="O78" i="2"/>
  <c r="H78" i="2"/>
  <c r="M78" i="2"/>
  <c r="X78" i="2"/>
  <c r="Z78" i="2"/>
  <c r="N78" i="2"/>
  <c r="Y78" i="2"/>
  <c r="AA78" i="2"/>
  <c r="Q78" i="2"/>
  <c r="R78" i="2"/>
  <c r="S78" i="2"/>
  <c r="I78" i="2"/>
  <c r="L78" i="2"/>
  <c r="B79" i="2"/>
  <c r="C79" i="2"/>
  <c r="D79" i="2"/>
  <c r="E79" i="2"/>
  <c r="O79" i="2"/>
  <c r="H79" i="2"/>
  <c r="M79" i="2"/>
  <c r="X79" i="2"/>
  <c r="Z79" i="2"/>
  <c r="N79" i="2"/>
  <c r="Y79" i="2"/>
  <c r="AA79" i="2"/>
  <c r="Q79" i="2"/>
  <c r="R79" i="2"/>
  <c r="S79" i="2"/>
  <c r="I79" i="2"/>
  <c r="L79" i="2"/>
  <c r="B80" i="2"/>
  <c r="C80" i="2"/>
  <c r="D80" i="2"/>
  <c r="E80" i="2"/>
  <c r="O80" i="2"/>
  <c r="H80" i="2"/>
  <c r="M80" i="2"/>
  <c r="X80" i="2"/>
  <c r="Z80" i="2"/>
  <c r="N80" i="2"/>
  <c r="Y80" i="2"/>
  <c r="AA80" i="2"/>
  <c r="Q80" i="2"/>
  <c r="R80" i="2"/>
  <c r="S80" i="2"/>
  <c r="I80" i="2"/>
  <c r="L80" i="2"/>
  <c r="B81" i="2"/>
  <c r="C81" i="2"/>
  <c r="D81" i="2"/>
  <c r="E81" i="2"/>
  <c r="O81" i="2"/>
  <c r="H81" i="2"/>
  <c r="M81" i="2"/>
  <c r="X81" i="2"/>
  <c r="Z81" i="2"/>
  <c r="N81" i="2"/>
  <c r="Y81" i="2"/>
  <c r="AA81" i="2"/>
  <c r="Q81" i="2"/>
  <c r="R81" i="2"/>
  <c r="S81" i="2"/>
  <c r="I81" i="2"/>
  <c r="L81" i="2"/>
  <c r="B82" i="2"/>
  <c r="C82" i="2"/>
  <c r="D82" i="2"/>
  <c r="E82" i="2"/>
  <c r="O82" i="2"/>
  <c r="H82" i="2"/>
  <c r="M82" i="2"/>
  <c r="X82" i="2"/>
  <c r="Z82" i="2"/>
  <c r="N82" i="2"/>
  <c r="Y82" i="2"/>
  <c r="AA82" i="2"/>
  <c r="Q82" i="2"/>
  <c r="R82" i="2"/>
  <c r="S82" i="2"/>
  <c r="I82" i="2"/>
  <c r="L82" i="2"/>
  <c r="B83" i="2"/>
  <c r="C83" i="2"/>
  <c r="D83" i="2"/>
  <c r="E83" i="2"/>
  <c r="O83" i="2"/>
  <c r="H83" i="2"/>
  <c r="M83" i="2"/>
  <c r="X83" i="2"/>
  <c r="Z83" i="2"/>
  <c r="N83" i="2"/>
  <c r="Y83" i="2"/>
  <c r="AA83" i="2"/>
  <c r="Q83" i="2"/>
  <c r="R83" i="2"/>
  <c r="S83" i="2"/>
  <c r="I83" i="2"/>
  <c r="L83" i="2"/>
  <c r="B84" i="2"/>
  <c r="C84" i="2"/>
  <c r="D84" i="2"/>
  <c r="E84" i="2"/>
  <c r="O84" i="2"/>
  <c r="H84" i="2"/>
  <c r="M84" i="2"/>
  <c r="X84" i="2"/>
  <c r="Z84" i="2"/>
  <c r="N84" i="2"/>
  <c r="Y84" i="2"/>
  <c r="AA84" i="2"/>
  <c r="Q84" i="2"/>
  <c r="R84" i="2"/>
  <c r="S84" i="2"/>
  <c r="I84" i="2"/>
  <c r="L84" i="2"/>
  <c r="B85" i="2"/>
  <c r="C85" i="2"/>
  <c r="D85" i="2"/>
  <c r="E85" i="2"/>
  <c r="O85" i="2"/>
  <c r="H85" i="2"/>
  <c r="M85" i="2"/>
  <c r="X85" i="2"/>
  <c r="Z85" i="2"/>
  <c r="N85" i="2"/>
  <c r="Y85" i="2"/>
  <c r="AA85" i="2"/>
  <c r="Q85" i="2"/>
  <c r="R85" i="2"/>
  <c r="S85" i="2"/>
  <c r="I85" i="2"/>
  <c r="L85" i="2"/>
  <c r="B86" i="2"/>
  <c r="C86" i="2"/>
  <c r="D86" i="2"/>
  <c r="E86" i="2"/>
  <c r="O86" i="2"/>
  <c r="H86" i="2"/>
  <c r="M86" i="2"/>
  <c r="X86" i="2"/>
  <c r="Z86" i="2"/>
  <c r="N86" i="2"/>
  <c r="Y86" i="2"/>
  <c r="AA86" i="2"/>
  <c r="Q86" i="2"/>
  <c r="R86" i="2"/>
  <c r="S86" i="2"/>
  <c r="I86" i="2"/>
  <c r="L86" i="2"/>
  <c r="B87" i="2"/>
  <c r="C87" i="2"/>
  <c r="D87" i="2"/>
  <c r="E87" i="2"/>
  <c r="O87" i="2"/>
  <c r="H87" i="2"/>
  <c r="M87" i="2"/>
  <c r="X87" i="2"/>
  <c r="Z87" i="2"/>
  <c r="N87" i="2"/>
  <c r="Y87" i="2"/>
  <c r="AA87" i="2"/>
  <c r="Q87" i="2"/>
  <c r="R87" i="2"/>
  <c r="S87" i="2"/>
  <c r="I87" i="2"/>
  <c r="L87" i="2"/>
  <c r="B88" i="2"/>
  <c r="C88" i="2"/>
  <c r="D88" i="2"/>
  <c r="E88" i="2"/>
  <c r="O88" i="2"/>
  <c r="H88" i="2"/>
  <c r="M88" i="2"/>
  <c r="X88" i="2"/>
  <c r="Z88" i="2"/>
  <c r="N88" i="2"/>
  <c r="Y88" i="2"/>
  <c r="AA88" i="2"/>
  <c r="Q88" i="2"/>
  <c r="R88" i="2"/>
  <c r="S88" i="2"/>
  <c r="I88" i="2"/>
  <c r="L88" i="2"/>
  <c r="B89" i="2"/>
  <c r="C89" i="2"/>
  <c r="D89" i="2"/>
  <c r="E89" i="2"/>
  <c r="O89" i="2"/>
  <c r="H89" i="2"/>
  <c r="M89" i="2"/>
  <c r="X89" i="2"/>
  <c r="Z89" i="2"/>
  <c r="N89" i="2"/>
  <c r="Y89" i="2"/>
  <c r="AA89" i="2"/>
  <c r="Q89" i="2"/>
  <c r="R89" i="2"/>
  <c r="S89" i="2"/>
  <c r="I89" i="2"/>
  <c r="L89" i="2"/>
  <c r="B90" i="2"/>
  <c r="C90" i="2"/>
  <c r="D90" i="2"/>
  <c r="E90" i="2"/>
  <c r="O90" i="2"/>
  <c r="H90" i="2"/>
  <c r="M90" i="2"/>
  <c r="X90" i="2"/>
  <c r="Z90" i="2"/>
  <c r="N90" i="2"/>
  <c r="Y90" i="2"/>
  <c r="AA90" i="2"/>
  <c r="Q90" i="2"/>
  <c r="R90" i="2"/>
  <c r="S90" i="2"/>
  <c r="I90" i="2"/>
  <c r="L90" i="2"/>
  <c r="B91" i="2"/>
  <c r="C91" i="2"/>
  <c r="D91" i="2"/>
  <c r="E91" i="2"/>
  <c r="O91" i="2"/>
  <c r="H91" i="2"/>
  <c r="M91" i="2"/>
  <c r="X91" i="2"/>
  <c r="Z91" i="2"/>
  <c r="N91" i="2"/>
  <c r="Y91" i="2"/>
  <c r="AA91" i="2"/>
  <c r="Q91" i="2"/>
  <c r="R91" i="2"/>
  <c r="S91" i="2"/>
  <c r="I91" i="2"/>
  <c r="L91" i="2"/>
  <c r="B92" i="2"/>
  <c r="C92" i="2"/>
  <c r="D92" i="2"/>
  <c r="E92" i="2"/>
  <c r="O92" i="2"/>
  <c r="H92" i="2"/>
  <c r="M92" i="2"/>
  <c r="X92" i="2"/>
  <c r="Z92" i="2"/>
  <c r="N92" i="2"/>
  <c r="Y92" i="2"/>
  <c r="AA92" i="2"/>
  <c r="Q92" i="2"/>
  <c r="R92" i="2"/>
  <c r="S92" i="2"/>
  <c r="I92" i="2"/>
  <c r="L92" i="2"/>
  <c r="B93" i="2"/>
  <c r="C93" i="2"/>
  <c r="D93" i="2"/>
  <c r="E93" i="2"/>
  <c r="O93" i="2"/>
  <c r="H93" i="2"/>
  <c r="M93" i="2"/>
  <c r="X93" i="2"/>
  <c r="Z93" i="2"/>
  <c r="N93" i="2"/>
  <c r="Y93" i="2"/>
  <c r="AA93" i="2"/>
  <c r="Q93" i="2"/>
  <c r="R93" i="2"/>
  <c r="S93" i="2"/>
  <c r="I93" i="2"/>
  <c r="L93" i="2"/>
  <c r="B94" i="2"/>
  <c r="C94" i="2"/>
  <c r="D94" i="2"/>
  <c r="E94" i="2"/>
  <c r="O94" i="2"/>
  <c r="H94" i="2"/>
  <c r="M94" i="2"/>
  <c r="X94" i="2"/>
  <c r="Z94" i="2"/>
  <c r="N94" i="2"/>
  <c r="Y94" i="2"/>
  <c r="AA94" i="2"/>
  <c r="Q94" i="2"/>
  <c r="R94" i="2"/>
  <c r="S94" i="2"/>
  <c r="I94" i="2"/>
  <c r="L94" i="2"/>
  <c r="B95" i="2"/>
  <c r="C95" i="2"/>
  <c r="D95" i="2"/>
  <c r="E95" i="2"/>
  <c r="O95" i="2"/>
  <c r="H95" i="2"/>
  <c r="M95" i="2"/>
  <c r="X95" i="2"/>
  <c r="Z95" i="2"/>
  <c r="N95" i="2"/>
  <c r="Y95" i="2"/>
  <c r="AA95" i="2"/>
  <c r="Q95" i="2"/>
  <c r="R95" i="2"/>
  <c r="S95" i="2"/>
  <c r="I95" i="2"/>
  <c r="L95" i="2"/>
  <c r="B96" i="2"/>
  <c r="C96" i="2"/>
  <c r="D96" i="2"/>
  <c r="E96" i="2"/>
  <c r="O96" i="2"/>
  <c r="H96" i="2"/>
  <c r="M96" i="2"/>
  <c r="X96" i="2"/>
  <c r="Z96" i="2"/>
  <c r="N96" i="2"/>
  <c r="Y96" i="2"/>
  <c r="AA96" i="2"/>
  <c r="Q96" i="2"/>
  <c r="R96" i="2"/>
  <c r="S96" i="2"/>
  <c r="I96" i="2"/>
  <c r="L96" i="2"/>
  <c r="B97" i="2"/>
  <c r="C97" i="2"/>
  <c r="D97" i="2"/>
  <c r="E97" i="2"/>
  <c r="O97" i="2"/>
  <c r="H97" i="2"/>
  <c r="M97" i="2"/>
  <c r="X97" i="2"/>
  <c r="Z97" i="2"/>
  <c r="N97" i="2"/>
  <c r="Y97" i="2"/>
  <c r="AA97" i="2"/>
  <c r="Q97" i="2"/>
  <c r="R97" i="2"/>
  <c r="S97" i="2"/>
  <c r="I97" i="2"/>
  <c r="L97" i="2"/>
  <c r="B98" i="2"/>
  <c r="C98" i="2"/>
  <c r="D98" i="2"/>
  <c r="E98" i="2"/>
  <c r="O98" i="2"/>
  <c r="H98" i="2"/>
  <c r="M98" i="2"/>
  <c r="X98" i="2"/>
  <c r="Z98" i="2"/>
  <c r="N98" i="2"/>
  <c r="Y98" i="2"/>
  <c r="AA98" i="2"/>
  <c r="Q98" i="2"/>
  <c r="R98" i="2"/>
  <c r="S98" i="2"/>
  <c r="I98" i="2"/>
  <c r="L98" i="2"/>
  <c r="B99" i="2"/>
  <c r="C99" i="2"/>
  <c r="D99" i="2"/>
  <c r="E99" i="2"/>
  <c r="O99" i="2"/>
  <c r="H99" i="2"/>
  <c r="M99" i="2"/>
  <c r="X99" i="2"/>
  <c r="Z99" i="2"/>
  <c r="N99" i="2"/>
  <c r="Y99" i="2"/>
  <c r="AA99" i="2"/>
  <c r="Q99" i="2"/>
  <c r="R99" i="2"/>
  <c r="S99" i="2"/>
  <c r="I99" i="2"/>
  <c r="L99" i="2"/>
  <c r="B100" i="2"/>
  <c r="C100" i="2"/>
  <c r="D100" i="2"/>
  <c r="E100" i="2"/>
  <c r="O100" i="2"/>
  <c r="H100" i="2"/>
  <c r="M100" i="2"/>
  <c r="X100" i="2"/>
  <c r="Z100" i="2"/>
  <c r="N100" i="2"/>
  <c r="Y100" i="2"/>
  <c r="AA100" i="2"/>
  <c r="Q100" i="2"/>
  <c r="R100" i="2"/>
  <c r="S100" i="2"/>
  <c r="I100" i="2"/>
  <c r="L100" i="2"/>
  <c r="B101" i="2"/>
  <c r="C101" i="2"/>
  <c r="D101" i="2"/>
  <c r="E101" i="2"/>
  <c r="O101" i="2"/>
  <c r="H101" i="2"/>
  <c r="M101" i="2"/>
  <c r="X101" i="2"/>
  <c r="Z101" i="2"/>
  <c r="N101" i="2"/>
  <c r="Y101" i="2"/>
  <c r="AA101" i="2"/>
  <c r="Q101" i="2"/>
  <c r="R101" i="2"/>
  <c r="S101" i="2"/>
  <c r="I101" i="2"/>
  <c r="L101" i="2"/>
  <c r="B102" i="2"/>
  <c r="C102" i="2"/>
  <c r="D102" i="2"/>
  <c r="E102" i="2"/>
  <c r="O102" i="2"/>
  <c r="H102" i="2"/>
  <c r="M102" i="2"/>
  <c r="X102" i="2"/>
  <c r="Z102" i="2"/>
  <c r="N102" i="2"/>
  <c r="Y102" i="2"/>
  <c r="AA102" i="2"/>
  <c r="Q102" i="2"/>
  <c r="R102" i="2"/>
  <c r="S102" i="2"/>
  <c r="I102" i="2"/>
  <c r="L102" i="2"/>
  <c r="B103" i="2"/>
  <c r="C103" i="2"/>
  <c r="D103" i="2"/>
  <c r="E103" i="2"/>
  <c r="O103" i="2"/>
  <c r="H103" i="2"/>
  <c r="M103" i="2"/>
  <c r="X103" i="2"/>
  <c r="Z103" i="2"/>
  <c r="N103" i="2"/>
  <c r="Y103" i="2"/>
  <c r="AA103" i="2"/>
  <c r="Q103" i="2"/>
  <c r="R103" i="2"/>
  <c r="S103" i="2"/>
  <c r="I103" i="2"/>
  <c r="L103" i="2"/>
  <c r="B104" i="2"/>
  <c r="C104" i="2"/>
  <c r="D104" i="2"/>
  <c r="E104" i="2"/>
  <c r="O104" i="2"/>
  <c r="H104" i="2"/>
  <c r="M104" i="2"/>
  <c r="X104" i="2"/>
  <c r="Z104" i="2"/>
  <c r="N104" i="2"/>
  <c r="Y104" i="2"/>
  <c r="AA104" i="2"/>
  <c r="Q104" i="2"/>
  <c r="R104" i="2"/>
  <c r="S104" i="2"/>
  <c r="I104" i="2"/>
  <c r="L104" i="2"/>
  <c r="B105" i="2"/>
  <c r="C105" i="2"/>
  <c r="D105" i="2"/>
  <c r="E105" i="2"/>
  <c r="O105" i="2"/>
  <c r="H105" i="2"/>
  <c r="M105" i="2"/>
  <c r="X105" i="2"/>
  <c r="Z105" i="2"/>
  <c r="N105" i="2"/>
  <c r="Y105" i="2"/>
  <c r="AA105" i="2"/>
  <c r="Q105" i="2"/>
  <c r="R105" i="2"/>
  <c r="S105" i="2"/>
  <c r="I105" i="2"/>
  <c r="L105" i="2"/>
  <c r="B106" i="2"/>
  <c r="C106" i="2"/>
  <c r="D106" i="2"/>
  <c r="E106" i="2"/>
  <c r="O106" i="2"/>
  <c r="H106" i="2"/>
  <c r="M106" i="2"/>
  <c r="X106" i="2"/>
  <c r="Z106" i="2"/>
  <c r="N106" i="2"/>
  <c r="Y106" i="2"/>
  <c r="AA106" i="2"/>
  <c r="Q106" i="2"/>
  <c r="R106" i="2"/>
  <c r="S106" i="2"/>
  <c r="I106" i="2"/>
  <c r="L106" i="2"/>
  <c r="B107" i="2"/>
  <c r="C107" i="2"/>
  <c r="D107" i="2"/>
  <c r="E107" i="2"/>
  <c r="O107" i="2"/>
  <c r="H107" i="2"/>
  <c r="M107" i="2"/>
  <c r="X107" i="2"/>
  <c r="Z107" i="2"/>
  <c r="N107" i="2"/>
  <c r="Y107" i="2"/>
  <c r="AA107" i="2"/>
  <c r="Q107" i="2"/>
  <c r="R107" i="2"/>
  <c r="S107" i="2"/>
  <c r="I107" i="2"/>
  <c r="L107" i="2"/>
  <c r="B108" i="2"/>
  <c r="C108" i="2"/>
  <c r="D108" i="2"/>
  <c r="E108" i="2"/>
  <c r="O108" i="2"/>
  <c r="H108" i="2"/>
  <c r="M108" i="2"/>
  <c r="X108" i="2"/>
  <c r="Z108" i="2"/>
  <c r="N108" i="2"/>
  <c r="Y108" i="2"/>
  <c r="AA108" i="2"/>
  <c r="Q108" i="2"/>
  <c r="R108" i="2"/>
  <c r="S108" i="2"/>
  <c r="I108" i="2"/>
  <c r="L108" i="2"/>
  <c r="B109" i="2"/>
  <c r="C109" i="2"/>
  <c r="D109" i="2"/>
  <c r="E109" i="2"/>
  <c r="O109" i="2"/>
  <c r="H109" i="2"/>
  <c r="M109" i="2"/>
  <c r="X109" i="2"/>
  <c r="Z109" i="2"/>
  <c r="N109" i="2"/>
  <c r="Y109" i="2"/>
  <c r="AA109" i="2"/>
  <c r="Q109" i="2"/>
  <c r="R109" i="2"/>
  <c r="S109" i="2"/>
  <c r="I109" i="2"/>
  <c r="L109" i="2"/>
  <c r="B110" i="2"/>
  <c r="C110" i="2"/>
  <c r="D110" i="2"/>
  <c r="E110" i="2"/>
  <c r="O110" i="2"/>
  <c r="H110" i="2"/>
  <c r="M110" i="2"/>
  <c r="X110" i="2"/>
  <c r="Z110" i="2"/>
  <c r="N110" i="2"/>
  <c r="Y110" i="2"/>
  <c r="AA110" i="2"/>
  <c r="Q110" i="2"/>
  <c r="R110" i="2"/>
  <c r="S110" i="2"/>
  <c r="I110" i="2"/>
  <c r="L110" i="2"/>
  <c r="L11" i="2"/>
  <c r="I11" i="2"/>
  <c r="AA11" i="2"/>
  <c r="Y11" i="2"/>
  <c r="N11" i="2"/>
  <c r="Z11" i="2"/>
  <c r="X11" i="2"/>
  <c r="M11" i="2"/>
  <c r="V10" i="12"/>
  <c r="C10" i="10"/>
  <c r="E38" i="18" s="1"/>
  <c r="L38" i="18" s="1"/>
  <c r="C10" i="12"/>
  <c r="C8" i="5"/>
  <c r="C7" i="5"/>
  <c r="C8" i="10"/>
  <c r="C7" i="10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U17" i="12"/>
  <c r="U18" i="12"/>
  <c r="U19" i="12"/>
  <c r="U20" i="12"/>
  <c r="U21" i="12"/>
  <c r="K16" i="2" s="1"/>
  <c r="U22" i="12"/>
  <c r="K17" i="2" s="1"/>
  <c r="U23" i="12"/>
  <c r="K18" i="2" s="1"/>
  <c r="U24" i="12"/>
  <c r="K19" i="2" s="1"/>
  <c r="U25" i="12"/>
  <c r="K20" i="2" s="1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V18" i="12"/>
  <c r="V19" i="12"/>
  <c r="V20" i="12"/>
  <c r="V21" i="12"/>
  <c r="T16" i="2" s="1"/>
  <c r="V22" i="12"/>
  <c r="T17" i="2" s="1"/>
  <c r="V23" i="12"/>
  <c r="T18" i="2" s="1"/>
  <c r="V24" i="12"/>
  <c r="T19" i="2" s="1"/>
  <c r="V25" i="12"/>
  <c r="T20" i="2" s="1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6" i="12"/>
  <c r="C10" i="6" l="1"/>
  <c r="D34" i="18" s="1"/>
  <c r="K34" i="18" s="1"/>
  <c r="D33" i="18"/>
  <c r="AL117" i="6"/>
  <c r="C19" i="18"/>
  <c r="E37" i="18" s="1"/>
  <c r="L37" i="18" s="1"/>
  <c r="D37" i="18"/>
  <c r="K37" i="18" s="1"/>
  <c r="AL35" i="6"/>
  <c r="AL58" i="6"/>
  <c r="AL114" i="6"/>
  <c r="AL52" i="6"/>
  <c r="AL64" i="6"/>
  <c r="L22" i="6"/>
  <c r="AL57" i="6"/>
  <c r="W24" i="7"/>
  <c r="V24" i="7"/>
  <c r="W26" i="7"/>
  <c r="V25" i="7"/>
  <c r="V26" i="7"/>
  <c r="AL122" i="6"/>
  <c r="AL72" i="6"/>
  <c r="AL84" i="6"/>
  <c r="AL104" i="6"/>
  <c r="AL38" i="6"/>
  <c r="Y19" i="12"/>
  <c r="AL113" i="6"/>
  <c r="AL62" i="6"/>
  <c r="Y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Y79" i="12"/>
  <c r="Y17" i="12"/>
  <c r="Y97" i="12"/>
  <c r="N32" i="6"/>
  <c r="C11" i="12"/>
  <c r="E33" i="18" s="1"/>
  <c r="E31" i="6"/>
  <c r="AL82" i="6"/>
  <c r="AL42" i="6"/>
  <c r="N129" i="6"/>
  <c r="N101" i="6"/>
  <c r="Y16" i="12"/>
  <c r="K44" i="8"/>
  <c r="K41" i="8"/>
  <c r="Q31" i="8"/>
  <c r="K31" i="8"/>
  <c r="V23" i="8" s="1"/>
  <c r="F12" i="8" s="1"/>
  <c r="AS10" i="7"/>
  <c r="AQ10" i="7"/>
  <c r="AR10" i="7"/>
  <c r="AQ11" i="7" s="1"/>
  <c r="AP11" i="7"/>
  <c r="BL16" i="3"/>
  <c r="BL24" i="3"/>
  <c r="BL26" i="3"/>
  <c r="BL35" i="3"/>
  <c r="BL36" i="3"/>
  <c r="BL76" i="3"/>
  <c r="BL84" i="3"/>
  <c r="BL87" i="3"/>
  <c r="BL107" i="3"/>
  <c r="BL108" i="3"/>
  <c r="BL161" i="3"/>
  <c r="BL177" i="3"/>
  <c r="BL184" i="3"/>
  <c r="BL186" i="3"/>
  <c r="BL208" i="3"/>
  <c r="BL215" i="3"/>
  <c r="BL124" i="3"/>
  <c r="BL127" i="3"/>
  <c r="BL136" i="3"/>
  <c r="BL137" i="3"/>
  <c r="BL157" i="3"/>
  <c r="BL15" i="3"/>
  <c r="BL176" i="3"/>
  <c r="BL58" i="3"/>
  <c r="BL235" i="3"/>
  <c r="BL61" i="3"/>
  <c r="BL237" i="3"/>
  <c r="BL75" i="3"/>
  <c r="BL27" i="3"/>
  <c r="BL77" i="3"/>
  <c r="BL128" i="3"/>
  <c r="BL178" i="3"/>
  <c r="BL241" i="3"/>
  <c r="BL28" i="3"/>
  <c r="BL81" i="3"/>
  <c r="BL135" i="3"/>
  <c r="BL181" i="3"/>
  <c r="BL247" i="3"/>
  <c r="BL255" i="3"/>
  <c r="BL261" i="3"/>
  <c r="BL198" i="3"/>
  <c r="BL37" i="3"/>
  <c r="BL88" i="3"/>
  <c r="BL138" i="3"/>
  <c r="BL187" i="3"/>
  <c r="BL281" i="3"/>
  <c r="BL41" i="3"/>
  <c r="BL95" i="3"/>
  <c r="BL141" i="3"/>
  <c r="BL188" i="3"/>
  <c r="BL301" i="3"/>
  <c r="BL44" i="3"/>
  <c r="BL96" i="3"/>
  <c r="BL144" i="3"/>
  <c r="BL195" i="3"/>
  <c r="BL321" i="3"/>
  <c r="BL47" i="3"/>
  <c r="BL97" i="3"/>
  <c r="BL146" i="3"/>
  <c r="BL196" i="3"/>
  <c r="BL341" i="3"/>
  <c r="BL3" i="3"/>
  <c r="BL48" i="3"/>
  <c r="BL98" i="3"/>
  <c r="BL147" i="3"/>
  <c r="BL197" i="3"/>
  <c r="BL361" i="3"/>
  <c r="BL4" i="3"/>
  <c r="BL55" i="3"/>
  <c r="BL101" i="3"/>
  <c r="BL148" i="3"/>
  <c r="BL201" i="3"/>
  <c r="BL7" i="3"/>
  <c r="BL56" i="3"/>
  <c r="BL104" i="3"/>
  <c r="BL155" i="3"/>
  <c r="BL204" i="3"/>
  <c r="BL8" i="3"/>
  <c r="BL57" i="3"/>
  <c r="BL106" i="3"/>
  <c r="BL156" i="3"/>
  <c r="BL207" i="3"/>
  <c r="BL17" i="3"/>
  <c r="BL64" i="3"/>
  <c r="BL115" i="3"/>
  <c r="BL164" i="3"/>
  <c r="BL217" i="3"/>
  <c r="BL18" i="3"/>
  <c r="BL66" i="3"/>
  <c r="BL116" i="3"/>
  <c r="BL167" i="3"/>
  <c r="BL221" i="3"/>
  <c r="BL21" i="3"/>
  <c r="BL67" i="3"/>
  <c r="BL117" i="3"/>
  <c r="BL168" i="3"/>
  <c r="BL226" i="3"/>
  <c r="BL23" i="3"/>
  <c r="BL68" i="3"/>
  <c r="BL121" i="3"/>
  <c r="BL175" i="3"/>
  <c r="BL227" i="3"/>
  <c r="BL2" i="3"/>
  <c r="BL22" i="3"/>
  <c r="BL42" i="3"/>
  <c r="BL62" i="3"/>
  <c r="BL82" i="3"/>
  <c r="BL102" i="3"/>
  <c r="BL122" i="3"/>
  <c r="BL142" i="3"/>
  <c r="BL162" i="3"/>
  <c r="BL182" i="3"/>
  <c r="BL202" i="3"/>
  <c r="BL222" i="3"/>
  <c r="BL242" i="3"/>
  <c r="BL262" i="3"/>
  <c r="BL282" i="3"/>
  <c r="BL302" i="3"/>
  <c r="BL322" i="3"/>
  <c r="BL342" i="3"/>
  <c r="BL362" i="3"/>
  <c r="BL43" i="3"/>
  <c r="BL63" i="3"/>
  <c r="BL83" i="3"/>
  <c r="BL103" i="3"/>
  <c r="BL123" i="3"/>
  <c r="BL143" i="3"/>
  <c r="BL163" i="3"/>
  <c r="BL183" i="3"/>
  <c r="BL203" i="3"/>
  <c r="BL223" i="3"/>
  <c r="BL243" i="3"/>
  <c r="BL263" i="3"/>
  <c r="BL283" i="3"/>
  <c r="BL303" i="3"/>
  <c r="BL323" i="3"/>
  <c r="BL343" i="3"/>
  <c r="BL363" i="3"/>
  <c r="BL224" i="3"/>
  <c r="BL244" i="3"/>
  <c r="BL264" i="3"/>
  <c r="BL284" i="3"/>
  <c r="BL304" i="3"/>
  <c r="BL324" i="3"/>
  <c r="BL344" i="3"/>
  <c r="BL364" i="3"/>
  <c r="BL5" i="3"/>
  <c r="BL25" i="3"/>
  <c r="BL45" i="3"/>
  <c r="BL65" i="3"/>
  <c r="BL85" i="3"/>
  <c r="BL105" i="3"/>
  <c r="BL125" i="3"/>
  <c r="BL145" i="3"/>
  <c r="BL165" i="3"/>
  <c r="BL185" i="3"/>
  <c r="BL205" i="3"/>
  <c r="BL225" i="3"/>
  <c r="BL245" i="3"/>
  <c r="BL265" i="3"/>
  <c r="BL285" i="3"/>
  <c r="BL305" i="3"/>
  <c r="BL325" i="3"/>
  <c r="BL345" i="3"/>
  <c r="BL365" i="3"/>
  <c r="BL6" i="3"/>
  <c r="BL46" i="3"/>
  <c r="BL86" i="3"/>
  <c r="BL126" i="3"/>
  <c r="BL166" i="3"/>
  <c r="BL206" i="3"/>
  <c r="BL246" i="3"/>
  <c r="BL266" i="3"/>
  <c r="BL286" i="3"/>
  <c r="BL306" i="3"/>
  <c r="BL326" i="3"/>
  <c r="BL346" i="3"/>
  <c r="BL366" i="3"/>
  <c r="BL267" i="3"/>
  <c r="BL287" i="3"/>
  <c r="BL307" i="3"/>
  <c r="BL327" i="3"/>
  <c r="BL347" i="3"/>
  <c r="BL367" i="3"/>
  <c r="BL228" i="3"/>
  <c r="BL248" i="3"/>
  <c r="BL268" i="3"/>
  <c r="BL288" i="3"/>
  <c r="BL308" i="3"/>
  <c r="BL328" i="3"/>
  <c r="BL348" i="3"/>
  <c r="BL368" i="3"/>
  <c r="BL9" i="3"/>
  <c r="BL29" i="3"/>
  <c r="BL49" i="3"/>
  <c r="BL69" i="3"/>
  <c r="BL89" i="3"/>
  <c r="BL109" i="3"/>
  <c r="BL129" i="3"/>
  <c r="BL149" i="3"/>
  <c r="BL169" i="3"/>
  <c r="BL189" i="3"/>
  <c r="BL209" i="3"/>
  <c r="BL229" i="3"/>
  <c r="BL249" i="3"/>
  <c r="BL269" i="3"/>
  <c r="BL289" i="3"/>
  <c r="BL309" i="3"/>
  <c r="BL329" i="3"/>
  <c r="BL349" i="3"/>
  <c r="BL369" i="3"/>
  <c r="AE12" i="6"/>
  <c r="AF11" i="6" s="1"/>
  <c r="BL10" i="3"/>
  <c r="BL30" i="3"/>
  <c r="BL50" i="3"/>
  <c r="BL70" i="3"/>
  <c r="BL90" i="3"/>
  <c r="BL110" i="3"/>
  <c r="BL130" i="3"/>
  <c r="BL150" i="3"/>
  <c r="BL170" i="3"/>
  <c r="BL190" i="3"/>
  <c r="BL210" i="3"/>
  <c r="BL230" i="3"/>
  <c r="BL250" i="3"/>
  <c r="BL270" i="3"/>
  <c r="BL290" i="3"/>
  <c r="BL310" i="3"/>
  <c r="BL330" i="3"/>
  <c r="BL350" i="3"/>
  <c r="BL11" i="3"/>
  <c r="BL31" i="3"/>
  <c r="BL51" i="3"/>
  <c r="BL71" i="3"/>
  <c r="BL91" i="3"/>
  <c r="BL111" i="3"/>
  <c r="BL131" i="3"/>
  <c r="BL151" i="3"/>
  <c r="BL171" i="3"/>
  <c r="BL191" i="3"/>
  <c r="BL211" i="3"/>
  <c r="BL231" i="3"/>
  <c r="BL251" i="3"/>
  <c r="BL271" i="3"/>
  <c r="BL291" i="3"/>
  <c r="BL311" i="3"/>
  <c r="BL331" i="3"/>
  <c r="BL351" i="3"/>
  <c r="BO1" i="3"/>
  <c r="BL12" i="3"/>
  <c r="BL32" i="3"/>
  <c r="BL52" i="3"/>
  <c r="BL72" i="3"/>
  <c r="BL92" i="3"/>
  <c r="BL112" i="3"/>
  <c r="BL132" i="3"/>
  <c r="BL152" i="3"/>
  <c r="BL172" i="3"/>
  <c r="BL192" i="3"/>
  <c r="BL212" i="3"/>
  <c r="BL232" i="3"/>
  <c r="BL252" i="3"/>
  <c r="BL272" i="3"/>
  <c r="BL292" i="3"/>
  <c r="BL312" i="3"/>
  <c r="BL332" i="3"/>
  <c r="BL352" i="3"/>
  <c r="BN1" i="3"/>
  <c r="BL13" i="3"/>
  <c r="BL33" i="3"/>
  <c r="BL53" i="3"/>
  <c r="BL73" i="3"/>
  <c r="BL93" i="3"/>
  <c r="BL113" i="3"/>
  <c r="BL133" i="3"/>
  <c r="BL153" i="3"/>
  <c r="BL173" i="3"/>
  <c r="BL193" i="3"/>
  <c r="BL213" i="3"/>
  <c r="BL233" i="3"/>
  <c r="BL253" i="3"/>
  <c r="BL273" i="3"/>
  <c r="BL293" i="3"/>
  <c r="BL313" i="3"/>
  <c r="BL333" i="3"/>
  <c r="BL353" i="3"/>
  <c r="BL377" i="3"/>
  <c r="BL14" i="3"/>
  <c r="BL34" i="3"/>
  <c r="BL54" i="3"/>
  <c r="BL74" i="3"/>
  <c r="BL94" i="3"/>
  <c r="BL114" i="3"/>
  <c r="BL134" i="3"/>
  <c r="BL154" i="3"/>
  <c r="BL174" i="3"/>
  <c r="BL194" i="3"/>
  <c r="BL214" i="3"/>
  <c r="BL234" i="3"/>
  <c r="BL254" i="3"/>
  <c r="BL274" i="3"/>
  <c r="BL294" i="3"/>
  <c r="BL314" i="3"/>
  <c r="BL334" i="3"/>
  <c r="BL354" i="3"/>
  <c r="BL376" i="3"/>
  <c r="BL275" i="3"/>
  <c r="BL295" i="3"/>
  <c r="BL315" i="3"/>
  <c r="BL335" i="3"/>
  <c r="BL355" i="3"/>
  <c r="BL375" i="3"/>
  <c r="BL216" i="3"/>
  <c r="BL236" i="3"/>
  <c r="BL256" i="3"/>
  <c r="BL276" i="3"/>
  <c r="BL296" i="3"/>
  <c r="BL316" i="3"/>
  <c r="BL336" i="3"/>
  <c r="BL356" i="3"/>
  <c r="BL374" i="3"/>
  <c r="BL257" i="3"/>
  <c r="BL277" i="3"/>
  <c r="BL297" i="3"/>
  <c r="BL317" i="3"/>
  <c r="BL337" i="3"/>
  <c r="BL357" i="3"/>
  <c r="BL373" i="3"/>
  <c r="BL38" i="3"/>
  <c r="BL78" i="3"/>
  <c r="BL118" i="3"/>
  <c r="BL158" i="3"/>
  <c r="BL218" i="3"/>
  <c r="BL238" i="3"/>
  <c r="BL258" i="3"/>
  <c r="BL278" i="3"/>
  <c r="BL298" i="3"/>
  <c r="BL318" i="3"/>
  <c r="BL338" i="3"/>
  <c r="BL358" i="3"/>
  <c r="BL372" i="3"/>
  <c r="BL19" i="3"/>
  <c r="BL39" i="3"/>
  <c r="BL59" i="3"/>
  <c r="BL79" i="3"/>
  <c r="BL99" i="3"/>
  <c r="BL119" i="3"/>
  <c r="BL139" i="3"/>
  <c r="BL159" i="3"/>
  <c r="BL179" i="3"/>
  <c r="BL199" i="3"/>
  <c r="BL219" i="3"/>
  <c r="BL239" i="3"/>
  <c r="BL259" i="3"/>
  <c r="BL279" i="3"/>
  <c r="BL299" i="3"/>
  <c r="BL319" i="3"/>
  <c r="BL339" i="3"/>
  <c r="BL359" i="3"/>
  <c r="BL371" i="3"/>
  <c r="BL20" i="3"/>
  <c r="BL40" i="3"/>
  <c r="BL60" i="3"/>
  <c r="BL80" i="3"/>
  <c r="BL100" i="3"/>
  <c r="BL120" i="3"/>
  <c r="BL140" i="3"/>
  <c r="BL160" i="3"/>
  <c r="BL180" i="3"/>
  <c r="BL200" i="3"/>
  <c r="BL220" i="3"/>
  <c r="BL240" i="3"/>
  <c r="BL260" i="3"/>
  <c r="BL280" i="3"/>
  <c r="BL300" i="3"/>
  <c r="BL320" i="3"/>
  <c r="BL340" i="3"/>
  <c r="BL360" i="3"/>
  <c r="BL370" i="3"/>
  <c r="BB366" i="3"/>
  <c r="BB365" i="3"/>
  <c r="BB325" i="3"/>
  <c r="BB265" i="3"/>
  <c r="BB246" i="3"/>
  <c r="BB225" i="3"/>
  <c r="BB205" i="3"/>
  <c r="BB166" i="3"/>
  <c r="BB165" i="3"/>
  <c r="BB125" i="3"/>
  <c r="BB65" i="3"/>
  <c r="BB46" i="3"/>
  <c r="BB23" i="3"/>
  <c r="BB186" i="3"/>
  <c r="BB185" i="3"/>
  <c r="BB346" i="3"/>
  <c r="BB146" i="3"/>
  <c r="BB345" i="3"/>
  <c r="BB145" i="3"/>
  <c r="BB326" i="3"/>
  <c r="BB126" i="3"/>
  <c r="BB306" i="3"/>
  <c r="BB106" i="3"/>
  <c r="BB305" i="3"/>
  <c r="BB105" i="3"/>
  <c r="BB286" i="3"/>
  <c r="BB86" i="3"/>
  <c r="BB285" i="3"/>
  <c r="BB85" i="3"/>
  <c r="BB266" i="3"/>
  <c r="BB66" i="3"/>
  <c r="BB245" i="3"/>
  <c r="BB45" i="3"/>
  <c r="BB226" i="3"/>
  <c r="BB24" i="3"/>
  <c r="BB206" i="3"/>
  <c r="BB364" i="3"/>
  <c r="BB344" i="3"/>
  <c r="BB324" i="3"/>
  <c r="BB304" i="3"/>
  <c r="BB284" i="3"/>
  <c r="BB264" i="3"/>
  <c r="BB244" i="3"/>
  <c r="BB224" i="3"/>
  <c r="BB204" i="3"/>
  <c r="BB184" i="3"/>
  <c r="BB164" i="3"/>
  <c r="BB144" i="3"/>
  <c r="BB124" i="3"/>
  <c r="BB104" i="3"/>
  <c r="BB84" i="3"/>
  <c r="BB64" i="3"/>
  <c r="BB44" i="3"/>
  <c r="BB21" i="3"/>
  <c r="BB363" i="3"/>
  <c r="BB343" i="3"/>
  <c r="BB323" i="3"/>
  <c r="BB303" i="3"/>
  <c r="BB283" i="3"/>
  <c r="BB263" i="3"/>
  <c r="BB243" i="3"/>
  <c r="BB223" i="3"/>
  <c r="BB203" i="3"/>
  <c r="BB183" i="3"/>
  <c r="BB163" i="3"/>
  <c r="BB143" i="3"/>
  <c r="BB123" i="3"/>
  <c r="BB103" i="3"/>
  <c r="BB83" i="3"/>
  <c r="BB63" i="3"/>
  <c r="BB43" i="3"/>
  <c r="BB20" i="3"/>
  <c r="BB362" i="3"/>
  <c r="BB342" i="3"/>
  <c r="BB322" i="3"/>
  <c r="BB302" i="3"/>
  <c r="BB282" i="3"/>
  <c r="BB262" i="3"/>
  <c r="BB242" i="3"/>
  <c r="BB222" i="3"/>
  <c r="BB202" i="3"/>
  <c r="BB182" i="3"/>
  <c r="BB162" i="3"/>
  <c r="BB142" i="3"/>
  <c r="BB122" i="3"/>
  <c r="BB102" i="3"/>
  <c r="BB82" i="3"/>
  <c r="BB62" i="3"/>
  <c r="BB42" i="3"/>
  <c r="BB19" i="3"/>
  <c r="BB361" i="3"/>
  <c r="BB341" i="3"/>
  <c r="BB321" i="3"/>
  <c r="BB301" i="3"/>
  <c r="BB281" i="3"/>
  <c r="BB261" i="3"/>
  <c r="BB241" i="3"/>
  <c r="BB221" i="3"/>
  <c r="BB201" i="3"/>
  <c r="BB181" i="3"/>
  <c r="BB161" i="3"/>
  <c r="BB141" i="3"/>
  <c r="BB121" i="3"/>
  <c r="BB101" i="3"/>
  <c r="BB81" i="3"/>
  <c r="BB61" i="3"/>
  <c r="BB41" i="3"/>
  <c r="BB18" i="3"/>
  <c r="BB360" i="3"/>
  <c r="BB340" i="3"/>
  <c r="BB320" i="3"/>
  <c r="BB300" i="3"/>
  <c r="BB280" i="3"/>
  <c r="BB260" i="3"/>
  <c r="BB240" i="3"/>
  <c r="BB220" i="3"/>
  <c r="BB200" i="3"/>
  <c r="BB180" i="3"/>
  <c r="BB160" i="3"/>
  <c r="BB140" i="3"/>
  <c r="BB120" i="3"/>
  <c r="BB100" i="3"/>
  <c r="BB80" i="3"/>
  <c r="BB60" i="3"/>
  <c r="BB40" i="3"/>
  <c r="BB17" i="3"/>
  <c r="BB359" i="3"/>
  <c r="BB339" i="3"/>
  <c r="BB319" i="3"/>
  <c r="BB299" i="3"/>
  <c r="BB279" i="3"/>
  <c r="BB259" i="3"/>
  <c r="BB239" i="3"/>
  <c r="BB219" i="3"/>
  <c r="BB199" i="3"/>
  <c r="BB179" i="3"/>
  <c r="BB159" i="3"/>
  <c r="BB139" i="3"/>
  <c r="BB119" i="3"/>
  <c r="BB99" i="3"/>
  <c r="BB79" i="3"/>
  <c r="BB59" i="3"/>
  <c r="BB39" i="3"/>
  <c r="BB16" i="3"/>
  <c r="BB358" i="3"/>
  <c r="BB338" i="3"/>
  <c r="BB318" i="3"/>
  <c r="BB298" i="3"/>
  <c r="BB278" i="3"/>
  <c r="BB258" i="3"/>
  <c r="BB238" i="3"/>
  <c r="BB218" i="3"/>
  <c r="BB198" i="3"/>
  <c r="BB178" i="3"/>
  <c r="BB158" i="3"/>
  <c r="BB138" i="3"/>
  <c r="BB118" i="3"/>
  <c r="BB98" i="3"/>
  <c r="BB78" i="3"/>
  <c r="BB58" i="3"/>
  <c r="BB37" i="3"/>
  <c r="BB15" i="3"/>
  <c r="BB357" i="3"/>
  <c r="BB337" i="3"/>
  <c r="BB317" i="3"/>
  <c r="BB297" i="3"/>
  <c r="BB277" i="3"/>
  <c r="BB257" i="3"/>
  <c r="BB237" i="3"/>
  <c r="BB217" i="3"/>
  <c r="BB197" i="3"/>
  <c r="BB177" i="3"/>
  <c r="BB157" i="3"/>
  <c r="BB137" i="3"/>
  <c r="BB117" i="3"/>
  <c r="BB97" i="3"/>
  <c r="BB77" i="3"/>
  <c r="BB57" i="3"/>
  <c r="BB36" i="3"/>
  <c r="BB13" i="3"/>
  <c r="BB356" i="3"/>
  <c r="BB336" i="3"/>
  <c r="BB316" i="3"/>
  <c r="BB296" i="3"/>
  <c r="BB276" i="3"/>
  <c r="BB256" i="3"/>
  <c r="BB236" i="3"/>
  <c r="BB216" i="3"/>
  <c r="BB196" i="3"/>
  <c r="BB176" i="3"/>
  <c r="BB156" i="3"/>
  <c r="BB136" i="3"/>
  <c r="BB116" i="3"/>
  <c r="BB96" i="3"/>
  <c r="BB76" i="3"/>
  <c r="BB56" i="3"/>
  <c r="BB35" i="3"/>
  <c r="BB12" i="3"/>
  <c r="BB355" i="3"/>
  <c r="BB335" i="3"/>
  <c r="BB315" i="3"/>
  <c r="BB295" i="3"/>
  <c r="BB275" i="3"/>
  <c r="BB255" i="3"/>
  <c r="BB235" i="3"/>
  <c r="BB215" i="3"/>
  <c r="BB195" i="3"/>
  <c r="BB175" i="3"/>
  <c r="BB155" i="3"/>
  <c r="BB135" i="3"/>
  <c r="BB115" i="3"/>
  <c r="BB95" i="3"/>
  <c r="BB75" i="3"/>
  <c r="BB55" i="3"/>
  <c r="BB34" i="3"/>
  <c r="BB11" i="3"/>
  <c r="BB354" i="3"/>
  <c r="BB334" i="3"/>
  <c r="BB314" i="3"/>
  <c r="BB294" i="3"/>
  <c r="BB274" i="3"/>
  <c r="BB254" i="3"/>
  <c r="BB234" i="3"/>
  <c r="BB214" i="3"/>
  <c r="BB194" i="3"/>
  <c r="BB174" i="3"/>
  <c r="BB154" i="3"/>
  <c r="BB134" i="3"/>
  <c r="BB114" i="3"/>
  <c r="BB94" i="3"/>
  <c r="BB74" i="3"/>
  <c r="BB54" i="3"/>
  <c r="BB33" i="3"/>
  <c r="BB10" i="3"/>
  <c r="BB22" i="3"/>
  <c r="BB353" i="3"/>
  <c r="BB333" i="3"/>
  <c r="BB313" i="3"/>
  <c r="BB293" i="3"/>
  <c r="BB273" i="3"/>
  <c r="BB253" i="3"/>
  <c r="BB233" i="3"/>
  <c r="BB213" i="3"/>
  <c r="BB193" i="3"/>
  <c r="BB173" i="3"/>
  <c r="BB153" i="3"/>
  <c r="BB133" i="3"/>
  <c r="BB113" i="3"/>
  <c r="BB93" i="3"/>
  <c r="BB73" i="3"/>
  <c r="BB53" i="3"/>
  <c r="BB32" i="3"/>
  <c r="BB9" i="3"/>
  <c r="BB352" i="3"/>
  <c r="BB332" i="3"/>
  <c r="BB312" i="3"/>
  <c r="BB292" i="3"/>
  <c r="BB272" i="3"/>
  <c r="BB252" i="3"/>
  <c r="BB232" i="3"/>
  <c r="BB212" i="3"/>
  <c r="BB192" i="3"/>
  <c r="BB172" i="3"/>
  <c r="BB152" i="3"/>
  <c r="BB132" i="3"/>
  <c r="BB112" i="3"/>
  <c r="BB92" i="3"/>
  <c r="BB72" i="3"/>
  <c r="BB52" i="3"/>
  <c r="BB31" i="3"/>
  <c r="BB8" i="3"/>
  <c r="BB351" i="3"/>
  <c r="BB331" i="3"/>
  <c r="BB311" i="3"/>
  <c r="BB291" i="3"/>
  <c r="BB271" i="3"/>
  <c r="BB251" i="3"/>
  <c r="BB231" i="3"/>
  <c r="BB211" i="3"/>
  <c r="BB191" i="3"/>
  <c r="BB171" i="3"/>
  <c r="BB151" i="3"/>
  <c r="BB131" i="3"/>
  <c r="BB111" i="3"/>
  <c r="BB91" i="3"/>
  <c r="BB71" i="3"/>
  <c r="BB51" i="3"/>
  <c r="BB29" i="3"/>
  <c r="BB7" i="3"/>
  <c r="BB2" i="3"/>
  <c r="BB350" i="3"/>
  <c r="BB330" i="3"/>
  <c r="BB310" i="3"/>
  <c r="BB290" i="3"/>
  <c r="BB270" i="3"/>
  <c r="BB250" i="3"/>
  <c r="BB230" i="3"/>
  <c r="BB210" i="3"/>
  <c r="BB190" i="3"/>
  <c r="BB170" i="3"/>
  <c r="BB150" i="3"/>
  <c r="BB130" i="3"/>
  <c r="BB110" i="3"/>
  <c r="BB90" i="3"/>
  <c r="BB70" i="3"/>
  <c r="BB50" i="3"/>
  <c r="BB28" i="3"/>
  <c r="BB5" i="3"/>
  <c r="BB369" i="3"/>
  <c r="BB349" i="3"/>
  <c r="BB329" i="3"/>
  <c r="BB309" i="3"/>
  <c r="BB289" i="3"/>
  <c r="BB269" i="3"/>
  <c r="BB249" i="3"/>
  <c r="BB229" i="3"/>
  <c r="BB209" i="3"/>
  <c r="BB189" i="3"/>
  <c r="BB169" i="3"/>
  <c r="BB149" i="3"/>
  <c r="BB129" i="3"/>
  <c r="BB109" i="3"/>
  <c r="BB89" i="3"/>
  <c r="BB69" i="3"/>
  <c r="BB49" i="3"/>
  <c r="BB27" i="3"/>
  <c r="BB4" i="3"/>
  <c r="BB368" i="3"/>
  <c r="BB348" i="3"/>
  <c r="BB328" i="3"/>
  <c r="BB308" i="3"/>
  <c r="BB288" i="3"/>
  <c r="BB268" i="3"/>
  <c r="BB248" i="3"/>
  <c r="BB228" i="3"/>
  <c r="BB208" i="3"/>
  <c r="BB188" i="3"/>
  <c r="BB168" i="3"/>
  <c r="BB148" i="3"/>
  <c r="BB128" i="3"/>
  <c r="BB108" i="3"/>
  <c r="BB88" i="3"/>
  <c r="BB68" i="3"/>
  <c r="BB48" i="3"/>
  <c r="BB26" i="3"/>
  <c r="BB3" i="3"/>
  <c r="BB367" i="3"/>
  <c r="BB347" i="3"/>
  <c r="BB327" i="3"/>
  <c r="BB307" i="3"/>
  <c r="BB287" i="3"/>
  <c r="BB267" i="3"/>
  <c r="BB247" i="3"/>
  <c r="BB227" i="3"/>
  <c r="BB207" i="3"/>
  <c r="BB187" i="3"/>
  <c r="BB167" i="3"/>
  <c r="BB147" i="3"/>
  <c r="BB127" i="3"/>
  <c r="BB107" i="3"/>
  <c r="BB87" i="3"/>
  <c r="BB67" i="3"/>
  <c r="BB47" i="3"/>
  <c r="BB38" i="3"/>
  <c r="BB14" i="3"/>
  <c r="BB30" i="3"/>
  <c r="BB6" i="3"/>
  <c r="AC12" i="6"/>
  <c r="AD11" i="6" s="1"/>
  <c r="AB17" i="7"/>
  <c r="AE24" i="7" s="1"/>
  <c r="U26" i="7"/>
  <c r="S11" i="2"/>
  <c r="R11" i="2"/>
  <c r="Q11" i="2"/>
  <c r="H11" i="2"/>
  <c r="O11" i="2"/>
  <c r="E11" i="2"/>
  <c r="D11" i="2"/>
  <c r="C11" i="2"/>
  <c r="B11" i="2"/>
  <c r="C8" i="6"/>
  <c r="C7" i="6"/>
  <c r="C8" i="12"/>
  <c r="C7" i="12"/>
  <c r="C8" i="2"/>
  <c r="C7" i="2"/>
  <c r="C8" i="8"/>
  <c r="C7" i="8"/>
  <c r="C8" i="7"/>
  <c r="C7" i="7"/>
  <c r="C8" i="9"/>
  <c r="C7" i="9"/>
  <c r="M37" i="18" l="1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S7" i="12"/>
  <c r="V7" i="12" s="1"/>
  <c r="R11" i="12" s="1"/>
  <c r="S10" i="12" s="1"/>
  <c r="C20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1" i="7"/>
  <c r="C10" i="7"/>
  <c r="C10" i="8"/>
  <c r="AN58" i="8"/>
  <c r="U27" i="8"/>
  <c r="AL58" i="8"/>
  <c r="T11" i="12"/>
  <c r="U10" i="12" s="1"/>
  <c r="S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D35" i="18"/>
  <c r="K35" i="18" s="1"/>
  <c r="E35" i="18"/>
  <c r="L35" i="18" s="1"/>
  <c r="D39" i="18"/>
  <c r="K36" i="18"/>
  <c r="M36" i="18" s="1"/>
  <c r="A36" i="18"/>
  <c r="C12" i="6"/>
  <c r="F34" i="18" s="1"/>
  <c r="C11" i="8"/>
  <c r="AO58" i="8"/>
  <c r="AB19" i="7"/>
  <c r="AB20" i="7"/>
  <c r="C21" i="7"/>
  <c r="E36" i="18" l="1"/>
  <c r="E39" i="18" s="1"/>
  <c r="F31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T10" i="12"/>
  <c r="X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2.6 a 6.6.</t>
        </r>
      </text>
    </comment>
    <comment ref="K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M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N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90. 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Assim como na interface, deve-se inserir o valor de percentual de abertura da fachada de forma adimensional, ou seja, como o fator.</t>
        </r>
      </text>
    </comment>
    <comment ref="T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X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Z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A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R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U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<sst xmlns="http://schemas.openxmlformats.org/spreadsheetml/2006/main" count="20196" uniqueCount="6173">
  <si>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</si>
  <si>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</si>
  <si>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</si>
  <si>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</si>
  <si>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</si>
  <si>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</si>
  <si>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</si>
  <si>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</si>
  <si>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</si>
  <si>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</si>
  <si>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</si>
  <si>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</si>
  <si>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Exemplo Ltda</t>
  </si>
  <si>
    <t>xxxxxxxxxx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</si>
  <si>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</si>
  <si>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</si>
  <si>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</si>
  <si>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</si>
  <si>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</si>
  <si>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</si>
  <si>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</si>
  <si>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</si>
  <si>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</si>
  <si>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</si>
  <si>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</si>
  <si>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</si>
  <si>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</si>
  <si>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</si>
  <si>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</si>
  <si>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</si>
  <si>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</si>
  <si>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</si>
  <si>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</si>
  <si>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</si>
  <si>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</si>
  <si>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</si>
  <si>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DPI</t>
  </si>
  <si>
    <t>FS</t>
  </si>
  <si>
    <t>UVID</t>
  </si>
  <si>
    <t>aCOB</t>
  </si>
  <si>
    <t>aPAR</t>
  </si>
  <si>
    <t>PD</t>
  </si>
  <si>
    <t>AHS</t>
  </si>
  <si>
    <t>AVS</t>
  </si>
  <si>
    <t>AOV</t>
  </si>
  <si>
    <t>Ucob</t>
  </si>
  <si>
    <t>Upar</t>
  </si>
  <si>
    <t>CTcob</t>
  </si>
  <si>
    <t>CTpar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</si>
  <si>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</si>
  <si>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</si>
  <si>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</si>
  <si>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</si>
  <si>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</si>
  <si>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</si>
  <si>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</si>
  <si>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</si>
  <si>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</si>
  <si>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</si>
  <si>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</si>
  <si>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</si>
  <si>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</si>
  <si>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</si>
  <si>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</si>
  <si>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</si>
  <si>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</si>
  <si>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</si>
  <si>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</si>
  <si>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</si>
  <si>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</si>
  <si>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</si>
  <si>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</si>
  <si>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</si>
  <si>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</si>
  <si>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</si>
  <si>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</si>
  <si>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</si>
  <si>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</si>
  <si>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</si>
  <si>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</si>
  <si>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</si>
  <si>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</si>
  <si>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</si>
  <si>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</si>
  <si>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</si>
  <si>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</si>
  <si>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</si>
  <si>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</si>
  <si>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</si>
  <si>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</si>
  <si>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</si>
  <si>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</si>
  <si>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</si>
  <si>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</si>
  <si>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</si>
  <si>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</si>
  <si>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</si>
  <si>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</si>
  <si>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</si>
  <si>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</si>
  <si>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</si>
  <si>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</si>
  <si>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</si>
  <si>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</si>
  <si>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</si>
  <si>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</si>
  <si>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</si>
  <si>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</si>
  <si>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</si>
  <si>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</si>
  <si>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</si>
  <si>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</si>
  <si>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</si>
  <si>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</si>
  <si>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</si>
  <si>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</si>
  <si>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</si>
  <si>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</si>
  <si>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</si>
  <si>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</si>
  <si>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</si>
  <si>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</si>
  <si>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</si>
  <si>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</si>
  <si>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</si>
  <si>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</si>
  <si>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</si>
  <si>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</si>
  <si>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</si>
  <si>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</si>
  <si>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</si>
  <si>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</si>
  <si>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</si>
  <si>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</si>
  <si>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</si>
  <si>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</si>
  <si>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</si>
  <si>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</si>
  <si>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</si>
  <si>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</si>
  <si>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</si>
  <si>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</si>
  <si>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</si>
  <si>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</si>
  <si>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</si>
  <si>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</si>
  <si>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</si>
  <si>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</si>
  <si>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</si>
  <si>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</si>
  <si>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</si>
  <si>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</si>
  <si>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</si>
  <si>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</si>
  <si>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</si>
  <si>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</si>
  <si>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</si>
  <si>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</si>
  <si>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</si>
  <si>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</si>
  <si>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</si>
  <si>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</si>
  <si>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</si>
  <si>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</si>
  <si>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</si>
  <si>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</si>
  <si>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</si>
  <si>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</si>
  <si>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</si>
  <si>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</si>
  <si>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</si>
  <si>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</si>
  <si>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</si>
  <si>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</si>
  <si>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</si>
  <si>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</si>
  <si>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</si>
  <si>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</si>
  <si>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</si>
  <si>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</si>
  <si>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</si>
  <si>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</si>
  <si>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</si>
  <si>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</si>
  <si>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</si>
  <si>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</si>
  <si>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</si>
  <si>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</si>
  <si>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</si>
  <si>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</si>
  <si>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</si>
  <si>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</si>
  <si>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</si>
  <si>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</si>
  <si>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</si>
  <si>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</si>
  <si>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</si>
  <si>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Condição de cobertura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</si>
  <si>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</si>
  <si>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</si>
  <si>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</si>
  <si>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</si>
  <si>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</si>
  <si>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</si>
  <si>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</si>
  <si>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</si>
  <si>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</si>
  <si>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</si>
  <si>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</si>
  <si>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Isolado sobre pilotis</t>
  </si>
  <si>
    <t>Isolado sobre o solo</t>
  </si>
  <si>
    <t>Não isolado sobre o solo</t>
  </si>
  <si>
    <t>Não isolado sobre pilotis</t>
  </si>
  <si>
    <t>Exposta</t>
  </si>
  <si>
    <t>Não exposta</t>
  </si>
  <si>
    <t>Pisol</t>
  </si>
  <si>
    <t>FloorGround</t>
  </si>
  <si>
    <t>Isolado entre pavimentos</t>
  </si>
  <si>
    <t>FloorOutdoors</t>
  </si>
  <si>
    <t>Não isolado entre pavimentos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</si>
  <si>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</si>
  <si>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</si>
  <si>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</si>
  <si>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</si>
  <si>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</si>
  <si>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</si>
  <si>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</si>
  <si>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</si>
  <si>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</si>
  <si>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</si>
  <si>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</si>
  <si>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</si>
  <si>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</si>
  <si>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</si>
  <si>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</si>
  <si>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</si>
  <si>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</si>
  <si>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</si>
  <si>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</si>
  <si>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</si>
  <si>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</si>
  <si>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</si>
  <si>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</si>
  <si>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</si>
  <si>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</si>
  <si>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</si>
  <si>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</si>
  <si>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</si>
  <si>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</si>
  <si>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</si>
  <si>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</si>
  <si>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</si>
  <si>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</si>
  <si>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</si>
  <si>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</si>
  <si>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</si>
  <si>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</si>
  <si>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</si>
  <si>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</si>
  <si>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</si>
  <si>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</si>
  <si>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</si>
  <si>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</si>
  <si>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</si>
  <si>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</si>
  <si>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</si>
  <si>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</si>
  <si>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</si>
  <si>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</si>
  <si>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</si>
  <si>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</si>
  <si>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</si>
  <si>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</si>
  <si>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</si>
  <si>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</si>
  <si>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</si>
  <si>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</si>
  <si>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</si>
  <si>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</si>
  <si>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</si>
  <si>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</si>
  <si>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</si>
  <si>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</si>
  <si>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</si>
  <si>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</si>
  <si>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</si>
  <si>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</si>
  <si>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</si>
  <si>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</si>
  <si>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</si>
  <si>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</si>
  <si>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</si>
  <si>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</si>
  <si>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</si>
  <si>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</si>
  <si>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</si>
  <si>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</si>
  <si>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</si>
  <si>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</si>
  <si>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</si>
  <si>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</si>
  <si>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</si>
  <si>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</si>
  <si>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</si>
  <si>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</si>
  <si>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</si>
  <si>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</si>
  <si>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</si>
  <si>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</si>
  <si>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</si>
  <si>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</si>
  <si>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</si>
  <si>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</si>
  <si>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</si>
  <si>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</si>
  <si>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</si>
  <si>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</si>
  <si>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</si>
  <si>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</si>
  <si>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</si>
  <si>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</si>
  <si>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</si>
  <si>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</si>
  <si>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</si>
  <si>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</si>
  <si>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</si>
  <si>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</si>
  <si>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</si>
  <si>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</si>
  <si>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</si>
  <si>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</si>
  <si>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</si>
  <si>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</si>
  <si>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</si>
  <si>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</si>
  <si>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</si>
  <si>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</si>
  <si>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</si>
  <si>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</si>
  <si>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</si>
  <si>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</si>
  <si>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</si>
  <si>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</si>
  <si>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</si>
  <si>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</si>
  <si>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</si>
  <si>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</si>
  <si>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</si>
  <si>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</si>
  <si>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</si>
  <si>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</si>
  <si>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</si>
  <si>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</si>
  <si>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</si>
  <si>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</si>
  <si>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</si>
  <si>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</si>
  <si>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</si>
  <si>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</si>
  <si>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</si>
  <si>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</si>
  <si>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</si>
  <si>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</si>
  <si>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</si>
  <si>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</si>
  <si>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</si>
  <si>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</si>
  <si>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</si>
  <si>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</si>
  <si>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</si>
  <si>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</si>
  <si>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</si>
  <si>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</si>
  <si>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</si>
  <si>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</si>
  <si>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</si>
  <si>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</si>
  <si>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</si>
  <si>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</si>
  <si>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</si>
  <si>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</si>
  <si>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</si>
  <si>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</si>
  <si>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</si>
  <si>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</si>
  <si>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</si>
  <si>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</si>
  <si>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</si>
  <si>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</si>
  <si>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</si>
  <si>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</si>
  <si>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</si>
  <si>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</si>
  <si>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</si>
  <si>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</si>
  <si>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</si>
  <si>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</si>
  <si>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</si>
  <si>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</si>
  <si>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</si>
  <si>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</si>
  <si>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</si>
  <si>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</si>
  <si>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</si>
  <si>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</si>
  <si>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</si>
  <si>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</si>
  <si>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</si>
  <si>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</si>
  <si>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</si>
  <si>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</si>
  <si>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</si>
  <si>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</si>
  <si>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</si>
  <si>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</si>
  <si>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</si>
  <si>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</si>
  <si>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</si>
  <si>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</si>
  <si>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</si>
  <si>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</si>
  <si>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</si>
  <si>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</si>
  <si>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</si>
  <si>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</si>
  <si>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</si>
  <si>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</si>
  <si>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</si>
  <si>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</si>
  <si>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</si>
  <si>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</si>
  <si>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</si>
  <si>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</si>
  <si>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</si>
  <si>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</si>
  <si>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</si>
  <si>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</si>
  <si>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</si>
  <si>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</si>
  <si>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</si>
  <si>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</si>
  <si>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</si>
  <si>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</si>
  <si>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</si>
  <si>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</si>
  <si>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</si>
  <si>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</si>
  <si>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</si>
  <si>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</si>
  <si>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</si>
  <si>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</si>
  <si>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</si>
  <si>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</si>
  <si>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</si>
  <si>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</si>
  <si>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</si>
  <si>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</si>
  <si>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</si>
  <si>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</si>
  <si>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</si>
  <si>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</si>
  <si>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</si>
  <si>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</si>
  <si>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</si>
  <si>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</si>
  <si>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</si>
  <si>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</si>
  <si>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</si>
  <si>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</si>
  <si>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</si>
  <si>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</si>
  <si>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</si>
  <si>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</si>
  <si>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</si>
  <si>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</si>
  <si>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</si>
  <si>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</si>
  <si>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</si>
  <si>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</si>
  <si>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</si>
  <si>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</si>
  <si>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</si>
  <si>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</si>
  <si>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</si>
  <si>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</si>
  <si>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</si>
  <si>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</si>
  <si>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</si>
  <si>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</si>
  <si>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</si>
  <si>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</si>
  <si>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</si>
  <si>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</si>
  <si>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</si>
  <si>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</si>
  <si>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</si>
  <si>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</si>
  <si>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</si>
  <si>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</si>
  <si>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</si>
  <si>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</si>
  <si>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</si>
  <si>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</si>
  <si>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</si>
  <si>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</si>
  <si>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</si>
  <si>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</si>
  <si>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</si>
  <si>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</si>
  <si>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</si>
  <si>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</si>
  <si>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</si>
  <si>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</si>
  <si>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</si>
  <si>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</si>
  <si>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</si>
  <si>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</si>
  <si>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</si>
  <si>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</si>
  <si>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</si>
  <si>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</si>
  <si>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</si>
  <si>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</si>
  <si>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</si>
  <si>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</si>
  <si>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</si>
  <si>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</si>
  <si>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</si>
  <si>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</si>
  <si>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</si>
  <si>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</si>
  <si>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</si>
  <si>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</si>
  <si>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</si>
  <si>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</si>
  <si>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</si>
  <si>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</si>
  <si>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</si>
  <si>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</si>
  <si>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</si>
  <si>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</si>
  <si>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</si>
  <si>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</si>
  <si>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</si>
  <si>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</si>
  <si>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</si>
  <si>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</si>
  <si>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</si>
  <si>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</si>
  <si>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</si>
  <si>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</si>
  <si>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</si>
  <si>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</si>
  <si>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</si>
  <si>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</si>
  <si>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</si>
  <si>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</si>
  <si>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</si>
  <si>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</si>
  <si>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</si>
  <si>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</si>
  <si>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</si>
  <si>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</si>
  <si>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</si>
  <si>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</si>
  <si>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</si>
  <si>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</si>
  <si>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</si>
  <si>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</si>
  <si>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</si>
  <si>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</si>
  <si>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</si>
  <si>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</si>
  <si>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</si>
  <si>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</si>
  <si>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</si>
  <si>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</si>
  <si>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</si>
  <si>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</si>
  <si>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</si>
  <si>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</si>
  <si>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</si>
  <si>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</si>
  <si>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</si>
  <si>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</si>
  <si>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</si>
  <si>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</si>
  <si>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</si>
  <si>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</si>
  <si>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</si>
  <si>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</si>
  <si>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</si>
  <si>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</si>
  <si>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</si>
  <si>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</si>
  <si>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</si>
  <si>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</si>
  <si>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</si>
  <si>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</si>
  <si>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</si>
  <si>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</si>
  <si>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</si>
  <si>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</si>
  <si>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</si>
  <si>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</si>
  <si>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</si>
  <si>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</si>
  <si>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</si>
  <si>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</si>
  <si>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</si>
  <si>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</si>
  <si>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</si>
  <si>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</si>
  <si>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</si>
  <si>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</si>
  <si>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</si>
  <si>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</si>
  <si>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</si>
  <si>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</si>
  <si>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</si>
  <si>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</si>
  <si>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</si>
  <si>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</si>
  <si>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</si>
  <si>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</si>
  <si>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</si>
  <si>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</si>
  <si>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</si>
  <si>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</si>
  <si>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</si>
  <si>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</si>
  <si>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</si>
  <si>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</si>
  <si>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</si>
  <si>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</si>
  <si>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</si>
  <si>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</si>
  <si>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</si>
  <si>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</si>
  <si>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</si>
  <si>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</si>
  <si>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</si>
  <si>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</si>
  <si>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</si>
  <si>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</si>
  <si>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</si>
  <si>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</si>
  <si>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</si>
  <si>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</si>
  <si>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</si>
  <si>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</si>
  <si>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</si>
  <si>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</si>
  <si>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</si>
  <si>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</si>
  <si>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</si>
  <si>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</si>
  <si>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</si>
  <si>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</si>
  <si>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</si>
  <si>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</si>
  <si>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</si>
  <si>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</si>
  <si>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</si>
  <si>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</si>
  <si>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</si>
  <si>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</si>
  <si>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</si>
  <si>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</si>
  <si>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</si>
  <si>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</si>
  <si>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</si>
  <si>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</si>
  <si>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</si>
  <si>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</si>
  <si>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</si>
  <si>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</si>
  <si>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</si>
  <si>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</si>
  <si>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</si>
  <si>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</si>
  <si>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</si>
  <si>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</si>
  <si>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</si>
  <si>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</si>
  <si>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</si>
  <si>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</si>
  <si>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</si>
  <si>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</si>
  <si>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</si>
  <si>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</si>
  <si>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</si>
  <si>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</si>
  <si>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</si>
  <si>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</si>
  <si>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</si>
  <si>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</si>
  <si>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</si>
  <si>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</si>
  <si>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</si>
  <si>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</si>
  <si>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</si>
  <si>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</si>
  <si>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</si>
  <si>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</si>
  <si>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</si>
  <si>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</si>
  <si>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</si>
  <si>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</si>
  <si>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</si>
  <si>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</si>
  <si>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</si>
  <si>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</si>
  <si>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</si>
  <si>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</si>
  <si>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</si>
  <si>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</si>
  <si>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</si>
  <si>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</si>
  <si>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</si>
  <si>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</si>
  <si>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</si>
  <si>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</si>
  <si>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</si>
  <si>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</si>
  <si>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</si>
  <si>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</si>
  <si>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</si>
  <si>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</si>
  <si>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</si>
  <si>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</si>
  <si>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</si>
  <si>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</si>
  <si>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</si>
  <si>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</si>
  <si>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</si>
  <si>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</si>
  <si>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</si>
  <si>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</si>
  <si>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</si>
  <si>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</si>
  <si>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</si>
  <si>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</si>
  <si>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</si>
  <si>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</si>
  <si>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</si>
  <si>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</si>
  <si>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</si>
  <si>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</si>
  <si>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</si>
  <si>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</si>
  <si>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</si>
  <si>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</si>
  <si>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</si>
  <si>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</si>
  <si>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</si>
  <si>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</si>
  <si>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</si>
  <si>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</si>
  <si>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</si>
  <si>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</si>
  <si>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</si>
  <si>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</si>
  <si>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</si>
  <si>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</si>
  <si>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</si>
  <si>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</si>
  <si>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</si>
  <si>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</si>
  <si>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</si>
  <si>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</si>
  <si>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</si>
  <si>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</si>
  <si>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</si>
  <si>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</si>
  <si>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</si>
  <si>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</si>
  <si>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</si>
  <si>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</si>
  <si>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</si>
  <si>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</si>
  <si>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</si>
  <si>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</si>
  <si>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</si>
  <si>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</si>
  <si>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</si>
  <si>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</si>
  <si>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</si>
  <si>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</si>
  <si>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</si>
  <si>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</si>
  <si>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</si>
  <si>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</si>
  <si>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</si>
  <si>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</si>
  <si>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</si>
  <si>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</si>
  <si>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</si>
  <si>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</si>
  <si>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</si>
  <si>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</si>
  <si>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</si>
  <si>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</si>
  <si>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</si>
  <si>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</si>
  <si>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</si>
  <si>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</si>
  <si>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</si>
  <si>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</si>
  <si>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</si>
  <si>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</si>
  <si>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</si>
  <si>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</si>
  <si>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</si>
  <si>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</si>
  <si>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</si>
  <si>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</si>
  <si>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</si>
  <si>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</si>
  <si>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</si>
  <si>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</si>
  <si>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</si>
  <si>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</si>
  <si>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</si>
  <si>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</si>
  <si>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</si>
  <si>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</si>
  <si>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</si>
  <si>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</si>
  <si>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</si>
  <si>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</si>
  <si>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</si>
  <si>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</si>
  <si>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</si>
  <si>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</si>
  <si>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</si>
  <si>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</si>
  <si>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</si>
  <si>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</si>
  <si>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</si>
  <si>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</si>
  <si>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</si>
  <si>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</si>
  <si>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</si>
  <si>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</si>
  <si>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</si>
  <si>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</si>
  <si>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</si>
  <si>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</si>
  <si>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</si>
  <si>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</si>
  <si>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</si>
  <si>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</si>
  <si>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</si>
  <si>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</si>
  <si>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</si>
  <si>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</si>
  <si>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</si>
  <si>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</si>
  <si>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</si>
  <si>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</si>
  <si>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</si>
  <si>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</si>
  <si>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</si>
  <si>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</si>
  <si>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</si>
  <si>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</si>
  <si>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</si>
  <si>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</si>
  <si>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</si>
  <si>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</si>
  <si>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</si>
  <si>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</si>
  <si>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</si>
  <si>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</si>
  <si>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</si>
  <si>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</si>
  <si>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</si>
  <si>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</si>
  <si>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</si>
  <si>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</si>
  <si>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</si>
  <si>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</si>
  <si>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</si>
  <si>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</si>
  <si>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</si>
  <si>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</si>
  <si>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</si>
  <si>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</si>
  <si>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</si>
  <si>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</si>
  <si>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</si>
  <si>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</si>
  <si>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</si>
  <si>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</si>
  <si>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</si>
  <si>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</si>
  <si>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</si>
  <si>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</si>
  <si>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</si>
  <si>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</si>
  <si>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</si>
  <si>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</si>
  <si>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</si>
  <si>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</si>
  <si>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</si>
  <si>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</si>
  <si>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</si>
  <si>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</si>
  <si>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</si>
  <si>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</si>
  <si>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</si>
  <si>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</si>
  <si>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</si>
  <si>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</si>
  <si>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</si>
  <si>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</si>
  <si>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</si>
  <si>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</si>
  <si>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</si>
  <si>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</si>
  <si>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</si>
  <si>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</si>
  <si>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</si>
  <si>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</si>
  <si>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</si>
  <si>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</si>
  <si>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</si>
  <si>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</si>
  <si>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</si>
  <si>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</si>
  <si>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</si>
  <si>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</si>
  <si>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</si>
  <si>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</si>
  <si>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</si>
  <si>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</si>
  <si>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</si>
  <si>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</si>
  <si>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</si>
  <si>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</si>
  <si>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</si>
  <si>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</si>
  <si>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</si>
  <si>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</si>
  <si>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</si>
  <si>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</si>
  <si>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</si>
  <si>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</si>
  <si>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</si>
  <si>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</si>
  <si>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</si>
  <si>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</si>
  <si>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</si>
  <si>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</si>
  <si>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</si>
  <si>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</si>
  <si>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</si>
  <si>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</si>
  <si>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</si>
  <si>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</si>
  <si>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</si>
  <si>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</si>
  <si>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</si>
  <si>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</si>
  <si>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</si>
  <si>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</si>
  <si>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</si>
  <si>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</si>
  <si>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</si>
  <si>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</si>
  <si>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</si>
  <si>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</si>
  <si>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</si>
  <si>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</si>
  <si>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</si>
  <si>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</si>
  <si>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</si>
  <si>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</si>
  <si>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</si>
  <si>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</si>
  <si>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</si>
  <si>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</si>
  <si>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</si>
  <si>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</si>
  <si>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</si>
  <si>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</si>
  <si>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</si>
  <si>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</si>
  <si>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</si>
  <si>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</si>
  <si>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</si>
  <si>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</si>
  <si>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</si>
  <si>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</si>
  <si>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</si>
  <si>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</si>
  <si>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</si>
  <si>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</si>
  <si>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</si>
  <si>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</si>
  <si>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</si>
  <si>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</si>
  <si>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</si>
  <si>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</si>
  <si>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</si>
  <si>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</si>
  <si>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</si>
  <si>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</si>
  <si>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</si>
  <si>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</si>
  <si>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</si>
  <si>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</si>
  <si>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</si>
  <si>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</si>
  <si>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</si>
  <si>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</si>
  <si>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</si>
  <si>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</si>
  <si>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</si>
  <si>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</si>
  <si>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</si>
  <si>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</si>
  <si>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</si>
  <si>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</si>
  <si>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</si>
  <si>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</si>
  <si>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</si>
  <si>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</si>
  <si>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</si>
  <si>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</si>
  <si>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</si>
  <si>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</si>
  <si>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</si>
  <si>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</si>
  <si>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</si>
  <si>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</si>
  <si>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</si>
  <si>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</si>
  <si>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</si>
  <si>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</si>
  <si>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</si>
  <si>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</si>
  <si>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</si>
  <si>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</si>
  <si>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</si>
  <si>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</si>
  <si>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</si>
  <si>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</si>
  <si>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</si>
  <si>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</si>
  <si>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</si>
  <si>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</si>
  <si>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</si>
  <si>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</si>
  <si>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</si>
  <si>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</si>
  <si>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</si>
  <si>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</si>
  <si>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</si>
  <si>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</si>
  <si>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</si>
  <si>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</si>
  <si>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</si>
  <si>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</si>
  <si>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</si>
  <si>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</si>
  <si>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</si>
  <si>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</si>
  <si>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</si>
  <si>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</si>
  <si>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</si>
  <si>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</si>
  <si>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</si>
  <si>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</si>
  <si>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</si>
  <si>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</si>
  <si>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</si>
  <si>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</si>
  <si>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</si>
  <si>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</si>
  <si>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</si>
  <si>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</si>
  <si>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</si>
  <si>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</si>
  <si>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</si>
  <si>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</si>
  <si>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</si>
  <si>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</si>
  <si>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</si>
  <si>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</si>
  <si>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</si>
  <si>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</si>
  <si>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</si>
  <si>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</si>
  <si>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</si>
  <si>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</si>
  <si>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</si>
  <si>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</si>
  <si>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</si>
  <si>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</si>
  <si>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</si>
  <si>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</si>
  <si>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</si>
  <si>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</si>
  <si>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</si>
  <si>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</si>
  <si>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</si>
  <si>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</si>
  <si>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</si>
  <si>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</si>
  <si>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</si>
  <si>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</si>
  <si>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</si>
  <si>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</si>
  <si>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</si>
  <si>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</si>
  <si>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</si>
  <si>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</si>
  <si>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</si>
  <si>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</si>
  <si>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</si>
  <si>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</si>
  <si>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</si>
  <si>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</si>
  <si>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</si>
  <si>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</si>
  <si>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</si>
  <si>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</si>
  <si>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</si>
  <si>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</si>
  <si>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</si>
  <si>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</si>
  <si>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</si>
  <si>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</si>
  <si>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</si>
  <si>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</si>
  <si>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</si>
  <si>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</si>
  <si>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</si>
  <si>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</si>
  <si>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</si>
  <si>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</si>
  <si>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</si>
  <si>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</si>
  <si>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</si>
  <si>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</si>
  <si>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</si>
  <si>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</si>
  <si>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</si>
  <si>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</si>
  <si>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</si>
  <si>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</si>
  <si>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</si>
  <si>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</si>
  <si>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</si>
  <si>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</si>
  <si>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</si>
  <si>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</si>
  <si>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</si>
  <si>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</si>
  <si>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</si>
  <si>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</si>
  <si>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</si>
  <si>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</si>
  <si>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</si>
  <si>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</si>
  <si>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</si>
  <si>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</si>
  <si>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</si>
  <si>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</si>
  <si>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</si>
  <si>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</si>
  <si>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</si>
  <si>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</si>
  <si>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</si>
  <si>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</si>
  <si>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</si>
  <si>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</si>
  <si>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</si>
  <si>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</si>
  <si>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</si>
  <si>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</si>
  <si>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</si>
  <si>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</si>
  <si>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</si>
  <si>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</si>
  <si>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</si>
  <si>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</si>
  <si>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</si>
  <si>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</si>
  <si>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</si>
  <si>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</si>
  <si>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</si>
  <si>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</si>
  <si>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</si>
  <si>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</si>
  <si>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</si>
  <si>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</si>
  <si>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</si>
  <si>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</si>
  <si>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</si>
  <si>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</si>
  <si>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</si>
  <si>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</si>
  <si>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</si>
  <si>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</si>
  <si>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</si>
  <si>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</si>
  <si>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</si>
  <si>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</si>
  <si>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</si>
  <si>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</si>
  <si>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</si>
  <si>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</si>
  <si>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</si>
  <si>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</si>
  <si>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</si>
  <si>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</si>
  <si>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</si>
  <si>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</si>
  <si>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</si>
  <si>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</si>
  <si>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</si>
  <si>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</si>
  <si>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</si>
  <si>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</si>
  <si>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</si>
  <si>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</si>
  <si>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</si>
  <si>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</si>
  <si>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</si>
  <si>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</si>
  <si>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</si>
  <si>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</si>
  <si>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</si>
  <si>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</si>
  <si>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</si>
  <si>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</si>
  <si>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</si>
  <si>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</si>
  <si>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</si>
  <si>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</si>
  <si>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</si>
  <si>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</si>
  <si>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</si>
  <si>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</si>
  <si>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</si>
  <si>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</si>
  <si>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</si>
  <si>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</si>
  <si>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</si>
  <si>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</si>
  <si>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</si>
  <si>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</si>
  <si>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</si>
  <si>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</si>
  <si>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</si>
  <si>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</si>
  <si>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</si>
  <si>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</si>
  <si>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</si>
  <si>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</si>
  <si>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</si>
  <si>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</si>
  <si>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</si>
  <si>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</si>
  <si>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</si>
  <si>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</si>
  <si>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</si>
  <si>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</si>
  <si>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</si>
  <si>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</si>
  <si>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</si>
  <si>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</si>
  <si>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</si>
  <si>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</si>
  <si>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</si>
  <si>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</si>
  <si>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</si>
  <si>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</si>
  <si>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</si>
  <si>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</si>
  <si>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</si>
  <si>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</si>
  <si>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</si>
  <si>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</si>
  <si>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</si>
  <si>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</si>
  <si>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</si>
  <si>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</si>
  <si>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</si>
  <si>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</si>
  <si>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</si>
  <si>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</si>
  <si>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</si>
  <si>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</si>
  <si>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</si>
  <si>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</si>
  <si>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</si>
  <si>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</si>
  <si>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</si>
  <si>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</si>
  <si>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</si>
  <si>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</si>
  <si>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</si>
  <si>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</si>
  <si>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</si>
  <si>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</si>
  <si>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</si>
  <si>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</si>
  <si>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</si>
  <si>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</si>
  <si>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</si>
  <si>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</si>
  <si>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</si>
  <si>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</si>
  <si>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</si>
  <si>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</si>
  <si>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</si>
  <si>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</si>
  <si>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</si>
  <si>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</si>
  <si>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</si>
  <si>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</si>
  <si>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</si>
  <si>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</si>
  <si>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</si>
  <si>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</si>
  <si>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</si>
  <si>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</si>
  <si>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</si>
  <si>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</si>
  <si>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</si>
  <si>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</si>
  <si>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</si>
  <si>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</si>
  <si>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</si>
  <si>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</si>
  <si>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</si>
  <si>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</si>
  <si>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</si>
  <si>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</si>
  <si>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</si>
  <si>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</si>
  <si>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</si>
  <si>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</si>
  <si>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</si>
  <si>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</si>
  <si>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</si>
  <si>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</si>
  <si>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</si>
  <si>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</si>
  <si>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</si>
  <si>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</si>
  <si>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</si>
  <si>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</si>
  <si>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</si>
  <si>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</si>
  <si>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</si>
  <si>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</si>
  <si>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</si>
  <si>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</si>
  <si>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</si>
  <si>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</si>
  <si>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</si>
  <si>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</si>
  <si>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</si>
  <si>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</si>
  <si>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</si>
  <si>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</si>
  <si>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</si>
  <si>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</si>
  <si>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</si>
  <si>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</si>
  <si>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</si>
  <si>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</si>
  <si>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</si>
  <si>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</si>
  <si>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</si>
  <si>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</si>
  <si>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</si>
  <si>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</si>
  <si>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</si>
  <si>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</si>
  <si>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</si>
  <si>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</si>
  <si>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</si>
  <si>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</si>
  <si>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</si>
  <si>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</si>
  <si>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</si>
  <si>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</si>
  <si>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</si>
  <si>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</si>
  <si>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</si>
  <si>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</si>
  <si>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</si>
  <si>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</si>
  <si>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</si>
  <si>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</si>
  <si>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</si>
  <si>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</si>
  <si>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</si>
  <si>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</si>
  <si>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</si>
  <si>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</si>
  <si>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</si>
  <si>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</si>
  <si>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</si>
  <si>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</si>
  <si>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</si>
  <si>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</si>
  <si>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</si>
  <si>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</si>
  <si>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</si>
  <si>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</si>
  <si>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</si>
  <si>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</si>
  <si>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</si>
  <si>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</si>
  <si>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</si>
  <si>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</si>
  <si>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</si>
  <si>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</si>
  <si>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</si>
  <si>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</si>
  <si>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</si>
  <si>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</si>
  <si>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</si>
  <si>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</si>
  <si>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</si>
  <si>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</si>
  <si>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</si>
  <si>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</si>
  <si>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</si>
  <si>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</si>
  <si>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</si>
  <si>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</si>
  <si>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</si>
  <si>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</si>
  <si>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</si>
  <si>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</si>
  <si>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</si>
  <si>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</si>
  <si>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</si>
  <si>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</si>
  <si>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</si>
  <si>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</si>
  <si>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</si>
  <si>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</si>
  <si>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</si>
  <si>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</si>
  <si>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</si>
  <si>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</si>
  <si>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</si>
  <si>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</si>
  <si>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</si>
  <si>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</si>
  <si>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</si>
  <si>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</si>
  <si>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</si>
  <si>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</si>
  <si>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</si>
  <si>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</si>
  <si>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</si>
  <si>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</si>
  <si>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</si>
  <si>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</si>
  <si>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</si>
  <si>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</si>
  <si>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</si>
  <si>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</si>
  <si>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</si>
  <si>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</si>
  <si>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</si>
  <si>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</si>
  <si>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</si>
  <si>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</si>
  <si>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</si>
  <si>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</si>
  <si>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</si>
  <si>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</si>
  <si>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</si>
  <si>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</si>
  <si>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</si>
  <si>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</si>
  <si>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</si>
  <si>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</si>
  <si>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</si>
  <si>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</si>
  <si>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</si>
  <si>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</si>
  <si>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</si>
  <si>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</si>
  <si>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</si>
  <si>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</si>
  <si>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</si>
  <si>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</si>
  <si>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</si>
  <si>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</si>
  <si>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</si>
  <si>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</si>
  <si>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</si>
  <si>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</si>
  <si>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</si>
  <si>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</si>
  <si>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</si>
  <si>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</si>
  <si>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</si>
  <si>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</si>
  <si>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</si>
  <si>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</si>
  <si>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</si>
  <si>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</si>
  <si>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</si>
  <si>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</si>
  <si>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</si>
  <si>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</si>
  <si>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</si>
  <si>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</si>
  <si>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</si>
  <si>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</si>
  <si>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</si>
  <si>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</si>
  <si>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</si>
  <si>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</si>
  <si>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</si>
  <si>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</si>
  <si>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</si>
  <si>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</si>
  <si>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</si>
  <si>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</si>
  <si>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</si>
  <si>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</si>
  <si>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</si>
  <si>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</si>
  <si>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</si>
  <si>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</si>
  <si>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</si>
  <si>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</si>
  <si>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</si>
  <si>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</si>
  <si>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</si>
  <si>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</si>
  <si>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</si>
  <si>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</si>
  <si>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</si>
  <si>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</si>
  <si>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</si>
  <si>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</si>
  <si>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</si>
  <si>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</si>
  <si>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</si>
  <si>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</si>
  <si>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</si>
  <si>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</si>
  <si>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</si>
  <si>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</si>
  <si>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</si>
  <si>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</si>
  <si>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</si>
  <si>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</si>
  <si>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</si>
  <si>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</si>
  <si>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</si>
  <si>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</si>
  <si>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</si>
  <si>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</si>
  <si>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</si>
  <si>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</si>
  <si>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</si>
  <si>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</si>
  <si>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</si>
  <si>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</si>
  <si>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</si>
  <si>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</si>
  <si>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</si>
  <si>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</si>
  <si>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</si>
  <si>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</si>
  <si>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</si>
  <si>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</si>
  <si>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</si>
  <si>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</si>
  <si>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</si>
  <si>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</si>
  <si>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</si>
  <si>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</si>
  <si>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</si>
  <si>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</si>
  <si>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</si>
  <si>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</si>
  <si>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</si>
  <si>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</si>
  <si>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</si>
  <si>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</si>
  <si>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</si>
  <si>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</si>
  <si>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</si>
  <si>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</si>
  <si>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</si>
  <si>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</si>
  <si>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</si>
  <si>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</si>
  <si>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</si>
  <si>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</si>
  <si>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</si>
  <si>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</si>
  <si>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</si>
  <si>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</si>
  <si>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</si>
  <si>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</si>
  <si>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</si>
  <si>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</si>
  <si>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</si>
  <si>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</si>
  <si>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</si>
  <si>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</si>
  <si>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</si>
  <si>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</si>
  <si>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</si>
  <si>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</si>
  <si>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</si>
  <si>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</si>
  <si>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</si>
  <si>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</si>
  <si>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</si>
  <si>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</si>
  <si>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</si>
  <si>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</si>
  <si>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</si>
  <si>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</si>
  <si>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</si>
  <si>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</si>
  <si>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</si>
  <si>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</si>
  <si>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</si>
  <si>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</si>
  <si>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</si>
  <si>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</si>
  <si>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</si>
  <si>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</si>
  <si>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</si>
  <si>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</si>
  <si>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</si>
  <si>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</si>
  <si>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</si>
  <si>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</si>
  <si>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</si>
  <si>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</si>
  <si>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</si>
  <si>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</si>
  <si>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</si>
  <si>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</si>
  <si>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</si>
  <si>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</si>
  <si>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</si>
  <si>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</si>
  <si>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</si>
  <si>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</si>
  <si>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</si>
  <si>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</si>
  <si>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</si>
  <si>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</si>
  <si>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</si>
  <si>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</si>
  <si>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</si>
  <si>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</si>
  <si>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</si>
  <si>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</si>
  <si>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</si>
  <si>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</si>
  <si>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</si>
  <si>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</si>
  <si>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</si>
  <si>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</si>
  <si>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</si>
  <si>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</si>
  <si>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</si>
  <si>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</si>
  <si>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</si>
  <si>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</si>
  <si>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</si>
  <si>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</si>
  <si>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</si>
  <si>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</si>
  <si>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</si>
  <si>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</si>
  <si>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</si>
  <si>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</si>
  <si>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</si>
  <si>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</si>
  <si>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</si>
  <si>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</si>
  <si>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</si>
  <si>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</si>
  <si>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</si>
  <si>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</si>
  <si>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</si>
  <si>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</si>
  <si>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</si>
  <si>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</si>
  <si>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</si>
  <si>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</si>
  <si>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</si>
  <si>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</si>
  <si>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</si>
  <si>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</si>
  <si>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</si>
  <si>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</si>
  <si>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</si>
  <si>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</si>
  <si>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</si>
  <si>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</si>
  <si>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</si>
  <si>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</si>
  <si>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</si>
  <si>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</si>
  <si>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</si>
  <si>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</si>
  <si>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</si>
  <si>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</si>
  <si>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</si>
  <si>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</si>
  <si>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</si>
  <si>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</si>
  <si>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</si>
  <si>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</si>
  <si>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</si>
  <si>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</si>
  <si>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</si>
  <si>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</si>
  <si>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</si>
  <si>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</si>
  <si>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</si>
  <si>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</si>
  <si>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</si>
  <si>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</si>
  <si>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</si>
  <si>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</si>
  <si>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</si>
  <si>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</si>
  <si>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</si>
  <si>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</si>
  <si>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</si>
  <si>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</si>
  <si>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</si>
  <si>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</si>
  <si>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</si>
  <si>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</si>
  <si>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</si>
  <si>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</si>
  <si>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</si>
  <si>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</si>
  <si>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</si>
  <si>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</si>
  <si>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</si>
  <si>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</si>
  <si>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</si>
  <si>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</si>
  <si>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</si>
  <si>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</si>
  <si>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</si>
  <si>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</si>
  <si>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</si>
  <si>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</si>
  <si>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</si>
  <si>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</si>
  <si>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</si>
  <si>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</si>
  <si>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</si>
  <si>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</si>
  <si>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</si>
  <si>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</si>
  <si>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</si>
  <si>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</si>
  <si>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</si>
  <si>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</si>
  <si>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</si>
  <si>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</si>
  <si>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</si>
  <si>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</si>
  <si>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</si>
  <si>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</si>
  <si>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</si>
  <si>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</si>
  <si>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</si>
  <si>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</si>
  <si>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</si>
  <si>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</si>
  <si>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</si>
  <si>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</si>
  <si>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</si>
  <si>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</si>
  <si>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</si>
  <si>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</si>
  <si>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</si>
  <si>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</si>
  <si>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</si>
  <si>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</si>
  <si>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</si>
  <si>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</si>
  <si>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</si>
  <si>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</si>
  <si>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</si>
  <si>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</si>
  <si>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</si>
  <si>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</si>
  <si>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</si>
  <si>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</si>
  <si>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</si>
  <si>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</si>
  <si>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</si>
  <si>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</si>
  <si>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</si>
  <si>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</si>
  <si>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</si>
  <si>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</si>
  <si>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</si>
  <si>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</si>
  <si>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</si>
  <si>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</si>
  <si>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</si>
  <si>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</si>
  <si>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</si>
  <si>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</si>
  <si>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</si>
  <si>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</si>
  <si>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</si>
  <si>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</si>
  <si>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</si>
  <si>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</si>
  <si>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</si>
  <si>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</si>
  <si>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</si>
  <si>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</si>
  <si>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</si>
  <si>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</si>
  <si>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</si>
  <si>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</si>
  <si>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</si>
  <si>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</si>
  <si>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</si>
  <si>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</si>
  <si>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</si>
  <si>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</si>
  <si>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</si>
  <si>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</si>
  <si>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</si>
  <si>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</si>
  <si>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</si>
  <si>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</si>
  <si>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</si>
  <si>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</si>
  <si>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</si>
  <si>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</si>
  <si>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</si>
  <si>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</si>
  <si>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</si>
  <si>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</si>
  <si>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</si>
  <si>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</si>
  <si>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</si>
  <si>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</si>
  <si>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</si>
  <si>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</si>
  <si>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</si>
  <si>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</si>
  <si>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</si>
  <si>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</si>
  <si>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</si>
  <si>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</si>
  <si>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</si>
  <si>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</si>
  <si>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</si>
  <si>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</si>
  <si>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</si>
  <si>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</si>
  <si>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</si>
  <si>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</si>
  <si>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</si>
  <si>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</si>
  <si>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</si>
  <si>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</si>
  <si>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</si>
  <si>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</si>
  <si>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</si>
  <si>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</si>
  <si>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</si>
  <si>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</si>
  <si>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</si>
  <si>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</si>
  <si>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</si>
  <si>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</si>
  <si>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</si>
  <si>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</si>
  <si>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</si>
  <si>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</si>
  <si>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</si>
  <si>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</si>
  <si>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</si>
  <si>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</si>
  <si>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</si>
  <si>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</si>
  <si>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</si>
  <si>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</si>
  <si>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</si>
  <si>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</si>
  <si>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</si>
  <si>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</si>
  <si>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</si>
  <si>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</si>
  <si>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</si>
  <si>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</si>
  <si>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</si>
  <si>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</si>
  <si>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</si>
  <si>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</si>
  <si>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</si>
  <si>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</si>
  <si>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</si>
  <si>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</si>
  <si>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</si>
  <si>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</si>
  <si>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</si>
  <si>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</si>
  <si>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</si>
  <si>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</si>
  <si>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</si>
  <si>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</si>
  <si>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</si>
  <si>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</si>
  <si>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</si>
  <si>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</si>
  <si>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</si>
  <si>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</si>
  <si>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</si>
  <si>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</si>
  <si>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</si>
  <si>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</si>
  <si>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</si>
  <si>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</si>
  <si>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</si>
  <si>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</si>
  <si>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</si>
  <si>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</si>
  <si>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</si>
  <si>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</si>
  <si>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</si>
  <si>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</si>
  <si>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</si>
  <si>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</si>
  <si>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</si>
  <si>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</si>
  <si>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</si>
  <si>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</si>
  <si>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</si>
  <si>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</si>
  <si>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</si>
  <si>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</si>
  <si>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</si>
  <si>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</si>
  <si>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</si>
  <si>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</si>
  <si>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</si>
  <si>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</si>
  <si>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</si>
  <si>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</si>
  <si>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</si>
  <si>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</si>
  <si>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</si>
  <si>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</si>
  <si>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</si>
  <si>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</si>
  <si>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</si>
  <si>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</si>
  <si>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</si>
  <si>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</si>
  <si>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</si>
  <si>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</si>
  <si>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</si>
  <si>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</si>
  <si>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</si>
  <si>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</si>
  <si>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</si>
  <si>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</si>
  <si>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</si>
  <si>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</si>
  <si>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</si>
  <si>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</si>
  <si>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</si>
  <si>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</si>
  <si>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</si>
  <si>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</si>
  <si>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</si>
  <si>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</si>
  <si>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</si>
  <si>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</si>
  <si>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</si>
  <si>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</si>
  <si>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</si>
  <si>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</si>
  <si>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</si>
  <si>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</si>
  <si>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</si>
  <si>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</si>
  <si>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</si>
  <si>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</si>
  <si>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</si>
  <si>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</si>
  <si>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</si>
  <si>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</si>
  <si>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</si>
  <si>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</si>
  <si>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</si>
  <si>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</si>
  <si>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</si>
  <si>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</si>
  <si>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</si>
  <si>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</si>
  <si>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</si>
  <si>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</si>
  <si>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</si>
  <si>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</si>
  <si>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</si>
  <si>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</si>
  <si>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</si>
  <si>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</si>
  <si>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</si>
  <si>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</si>
  <si>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</si>
  <si>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</si>
  <si>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</si>
  <si>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</si>
  <si>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</si>
  <si>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</si>
  <si>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</si>
  <si>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</si>
  <si>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</si>
  <si>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</si>
  <si>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</si>
  <si>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</si>
  <si>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</si>
  <si>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</si>
  <si>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</si>
  <si>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</si>
  <si>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</si>
  <si>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</si>
  <si>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</si>
  <si>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</si>
  <si>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</si>
  <si>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</si>
  <si>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</si>
  <si>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</si>
  <si>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</si>
  <si>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</si>
  <si>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</si>
  <si>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</si>
  <si>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</si>
  <si>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</si>
  <si>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</si>
  <si>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</si>
  <si>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</si>
  <si>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</si>
  <si>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</si>
  <si>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</si>
  <si>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</si>
  <si>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</si>
  <si>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</si>
  <si>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</si>
  <si>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</si>
  <si>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</si>
  <si>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</si>
  <si>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</si>
  <si>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</si>
  <si>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</si>
  <si>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</si>
  <si>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</si>
  <si>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</si>
  <si>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</si>
  <si>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</si>
  <si>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</si>
  <si>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</si>
  <si>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</si>
  <si>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</si>
  <si>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</si>
  <si>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</si>
  <si>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</si>
  <si>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</si>
  <si>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</si>
  <si>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</si>
  <si>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</si>
  <si>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</si>
  <si>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</si>
  <si>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</si>
  <si>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</si>
  <si>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</si>
  <si>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</si>
  <si>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</si>
  <si>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</si>
  <si>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</si>
  <si>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</si>
  <si>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</si>
  <si>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</si>
  <si>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</si>
  <si>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</si>
  <si>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</si>
  <si>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</si>
  <si>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</si>
  <si>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</si>
  <si>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</si>
  <si>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</si>
  <si>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</si>
  <si>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</si>
  <si>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</si>
  <si>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</si>
  <si>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</si>
  <si>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</si>
  <si>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</si>
  <si>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</si>
  <si>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</si>
  <si>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</si>
  <si>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</si>
  <si>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</si>
  <si>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</si>
  <si>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</si>
  <si>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</si>
  <si>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</si>
  <si>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</si>
  <si>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</si>
  <si>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</si>
  <si>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</si>
  <si>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</si>
  <si>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</si>
  <si>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</si>
  <si>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</si>
  <si>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</si>
  <si>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</si>
  <si>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</si>
  <si>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</si>
  <si>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</si>
  <si>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</si>
  <si>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</si>
  <si>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</si>
  <si>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</si>
  <si>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</si>
  <si>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</si>
  <si>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</si>
  <si>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</si>
  <si>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</si>
  <si>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</si>
  <si>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</si>
  <si>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</si>
  <si>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</si>
  <si>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</si>
  <si>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</si>
  <si>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</si>
  <si>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</si>
  <si>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</si>
  <si>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</si>
  <si>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</si>
  <si>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</si>
  <si>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</si>
  <si>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</si>
  <si>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</si>
  <si>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</si>
  <si>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</si>
  <si>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</si>
  <si>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</si>
  <si>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</si>
  <si>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</si>
  <si>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</si>
  <si>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</si>
  <si>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</si>
  <si>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</si>
  <si>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</si>
  <si>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</si>
  <si>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</si>
  <si>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</si>
  <si>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</si>
  <si>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</si>
  <si>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</si>
  <si>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</si>
  <si>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</si>
  <si>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</si>
  <si>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</si>
  <si>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</si>
  <si>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</si>
  <si>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</si>
  <si>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</si>
  <si>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</si>
  <si>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</si>
  <si>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</si>
  <si>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</si>
  <si>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</si>
  <si>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</si>
  <si>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</si>
  <si>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</si>
  <si>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</si>
  <si>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</si>
  <si>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</si>
  <si>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</si>
  <si>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</si>
  <si>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</si>
  <si>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</si>
  <si>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</si>
  <si>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</si>
  <si>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</si>
  <si>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</si>
  <si>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</si>
  <si>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</si>
  <si>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</si>
  <si>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</si>
  <si>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</si>
  <si>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</si>
  <si>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</si>
  <si>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</si>
  <si>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</si>
  <si>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</si>
  <si>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</si>
  <si>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</si>
  <si>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</si>
  <si>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</si>
  <si>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</si>
  <si>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</si>
  <si>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</si>
  <si>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</si>
  <si>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</si>
  <si>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</si>
  <si>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</si>
  <si>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</si>
  <si>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</si>
  <si>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</si>
  <si>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</si>
  <si>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</si>
  <si>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</si>
  <si>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</si>
  <si>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</si>
  <si>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</si>
  <si>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</si>
  <si>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</si>
  <si>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</si>
  <si>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</si>
  <si>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</si>
  <si>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</si>
  <si>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</si>
  <si>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</si>
  <si>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</si>
  <si>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</si>
  <si>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</si>
  <si>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</si>
  <si>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</si>
  <si>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</si>
  <si>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</si>
  <si>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</si>
  <si>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</si>
  <si>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</si>
  <si>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</si>
  <si>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</si>
  <si>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</si>
  <si>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</si>
  <si>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</si>
  <si>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</si>
  <si>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</si>
  <si>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</si>
  <si>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</si>
  <si>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</si>
  <si>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</si>
  <si>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</si>
  <si>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</si>
  <si>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</si>
  <si>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</si>
  <si>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</si>
  <si>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</si>
  <si>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</si>
  <si>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</si>
  <si>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</si>
  <si>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</si>
  <si>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</si>
  <si>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</si>
  <si>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</si>
  <si>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</si>
  <si>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</si>
  <si>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</si>
  <si>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</si>
  <si>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</si>
  <si>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</si>
  <si>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</si>
  <si>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</si>
  <si>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</si>
  <si>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</si>
  <si>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</si>
  <si>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</si>
  <si>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</si>
  <si>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</si>
  <si>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</si>
  <si>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</si>
  <si>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</si>
  <si>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</si>
  <si>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</si>
  <si>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</si>
  <si>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</si>
  <si>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</si>
  <si>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</si>
  <si>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</si>
  <si>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</si>
  <si>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</si>
  <si>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</si>
  <si>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</si>
  <si>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</si>
  <si>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</si>
  <si>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</si>
  <si>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</si>
  <si>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</si>
  <si>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</si>
  <si>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</si>
  <si>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</si>
  <si>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</si>
  <si>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</si>
  <si>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</si>
  <si>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</si>
  <si>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</si>
  <si>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</si>
  <si>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</si>
  <si>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</si>
  <si>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</si>
  <si>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</si>
  <si>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</si>
  <si>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</si>
  <si>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</si>
  <si>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</si>
  <si>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</si>
  <si>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</si>
  <si>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</si>
  <si>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</si>
  <si>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</si>
  <si>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</si>
  <si>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</si>
  <si>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</si>
  <si>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</si>
  <si>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</si>
  <si>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</si>
  <si>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</si>
  <si>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</si>
  <si>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</si>
  <si>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</si>
  <si>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</si>
  <si>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</si>
  <si>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</si>
  <si>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</si>
  <si>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</si>
  <si>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</si>
  <si>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</si>
  <si>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</si>
  <si>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</si>
  <si>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</si>
  <si>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</si>
  <si>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</si>
  <si>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</si>
  <si>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</si>
  <si>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</si>
  <si>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</si>
  <si>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</si>
  <si>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</si>
  <si>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</si>
  <si>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</si>
  <si>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</si>
  <si>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</si>
  <si>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</si>
  <si>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</si>
  <si>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</si>
  <si>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</si>
  <si>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</si>
  <si>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</si>
  <si>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</si>
  <si>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</si>
  <si>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</si>
  <si>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</si>
  <si>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</si>
  <si>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</si>
  <si>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</si>
  <si>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</si>
  <si>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</si>
  <si>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</si>
  <si>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</si>
  <si>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</si>
  <si>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</si>
  <si>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</si>
  <si>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</si>
  <si>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</si>
  <si>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</si>
  <si>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</si>
  <si>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</si>
  <si>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</si>
  <si>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</si>
  <si>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</si>
  <si>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</si>
  <si>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</si>
  <si>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</si>
  <si>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</si>
  <si>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</si>
  <si>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</si>
  <si>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</si>
  <si>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</si>
  <si>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</si>
  <si>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</si>
  <si>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</si>
  <si>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</si>
  <si>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</si>
  <si>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</si>
  <si>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</si>
  <si>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</si>
  <si>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</si>
  <si>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</si>
  <si>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</si>
  <si>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</si>
  <si>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</si>
  <si>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</si>
  <si>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</si>
  <si>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</si>
  <si>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</si>
  <si>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</si>
  <si>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</si>
  <si>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</si>
  <si>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</si>
  <si>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</si>
  <si>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</si>
  <si>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</si>
  <si>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</si>
  <si>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</si>
  <si>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</si>
  <si>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</si>
  <si>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</si>
  <si>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</si>
  <si>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</si>
  <si>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</si>
  <si>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</si>
  <si>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</si>
  <si>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</si>
  <si>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</si>
  <si>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</si>
  <si>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</si>
  <si>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</si>
  <si>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</si>
  <si>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</si>
  <si>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</si>
  <si>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</si>
  <si>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</si>
  <si>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</si>
  <si>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</si>
  <si>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</si>
  <si>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</si>
  <si>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</si>
  <si>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</si>
  <si>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</si>
  <si>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</si>
  <si>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</si>
  <si>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</si>
  <si>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</si>
  <si>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</si>
  <si>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</si>
  <si>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</si>
  <si>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</si>
  <si>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</si>
  <si>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</si>
  <si>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</si>
  <si>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</si>
  <si>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</si>
  <si>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</si>
  <si>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</si>
  <si>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</si>
  <si>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</si>
  <si>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</si>
  <si>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</si>
  <si>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</si>
  <si>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</si>
  <si>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</si>
  <si>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</si>
  <si>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</si>
  <si>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</si>
  <si>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</si>
  <si>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</si>
  <si>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</si>
  <si>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</si>
  <si>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</si>
  <si>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</si>
  <si>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</si>
  <si>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</si>
  <si>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</si>
  <si>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</si>
  <si>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</si>
  <si>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</si>
  <si>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</si>
  <si>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</si>
  <si>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</si>
  <si>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</si>
  <si>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</si>
  <si>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</si>
  <si>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</si>
  <si>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</si>
  <si>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</si>
  <si>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</si>
  <si>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</si>
  <si>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</si>
  <si>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</si>
  <si>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</si>
  <si>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</si>
  <si>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</si>
  <si>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</si>
  <si>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</si>
  <si>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</si>
  <si>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</si>
  <si>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</si>
  <si>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</si>
  <si>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</si>
  <si>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</si>
  <si>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</si>
  <si>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</si>
  <si>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</si>
  <si>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</si>
  <si>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</si>
  <si>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</si>
  <si>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</si>
  <si>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</si>
  <si>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</si>
  <si>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</si>
  <si>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</si>
  <si>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</si>
  <si>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</si>
  <si>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</si>
  <si>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</si>
  <si>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</si>
  <si>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</si>
  <si>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</si>
  <si>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</si>
  <si>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</si>
  <si>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</si>
  <si>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</si>
  <si>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</si>
  <si>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</si>
  <si>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</si>
  <si>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</si>
  <si>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</si>
  <si>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</si>
  <si>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</si>
  <si>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</si>
  <si>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</si>
  <si>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</si>
  <si>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</si>
  <si>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</si>
  <si>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</si>
  <si>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</si>
  <si>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</si>
  <si>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</si>
  <si>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</si>
  <si>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</si>
  <si>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</si>
  <si>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</si>
  <si>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</si>
  <si>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</si>
  <si>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</si>
  <si>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</si>
  <si>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</si>
  <si>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</si>
  <si>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</si>
  <si>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</si>
  <si>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</si>
  <si>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</si>
  <si>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</si>
  <si>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</si>
  <si>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</si>
  <si>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</si>
  <si>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</si>
  <si>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</si>
  <si>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</si>
  <si>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</si>
  <si>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</si>
  <si>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</si>
  <si>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</si>
  <si>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</si>
  <si>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</si>
  <si>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</si>
  <si>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</si>
  <si>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</si>
  <si>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</si>
  <si>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</si>
  <si>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</si>
  <si>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</si>
  <si>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</si>
  <si>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</si>
  <si>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</si>
  <si>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</si>
  <si>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</si>
  <si>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</si>
  <si>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</si>
  <si>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</si>
  <si>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</si>
  <si>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</si>
  <si>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</si>
  <si>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</si>
  <si>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</si>
  <si>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</si>
  <si>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</si>
  <si>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</si>
  <si>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</si>
  <si>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</si>
  <si>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</si>
  <si>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</si>
  <si>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</si>
  <si>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</si>
  <si>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</si>
  <si>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</si>
  <si>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</si>
  <si>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</si>
  <si>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</si>
  <si>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</si>
  <si>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</si>
  <si>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</si>
  <si>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</si>
  <si>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</si>
  <si>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</si>
  <si>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</si>
  <si>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</si>
  <si>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</si>
  <si>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</si>
  <si>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</si>
  <si>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</si>
  <si>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</si>
  <si>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</si>
  <si>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</si>
  <si>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</si>
  <si>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</si>
  <si>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</si>
  <si>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</si>
  <si>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</si>
  <si>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</si>
  <si>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</si>
  <si>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</si>
  <si>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</si>
  <si>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</si>
  <si>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</si>
  <si>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</si>
  <si>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</si>
  <si>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</si>
  <si>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</si>
  <si>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</si>
  <si>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</si>
  <si>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</si>
  <si>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</si>
  <si>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</si>
  <si>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</si>
  <si>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</si>
  <si>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</si>
  <si>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</si>
  <si>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</si>
  <si>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</si>
  <si>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</si>
  <si>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</si>
  <si>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</si>
  <si>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</si>
  <si>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</si>
  <si>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</si>
  <si>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</si>
  <si>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</si>
  <si>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</si>
  <si>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</si>
  <si>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</si>
  <si>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</si>
  <si>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</si>
  <si>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</si>
  <si>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</si>
  <si>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</si>
  <si>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</si>
  <si>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</si>
  <si>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</si>
  <si>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</si>
  <si>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</si>
  <si>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</si>
  <si>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</si>
  <si>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</si>
  <si>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</si>
  <si>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</si>
  <si>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</si>
  <si>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</si>
  <si>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</si>
  <si>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</si>
  <si>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</si>
  <si>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</si>
  <si>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</si>
  <si>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</si>
  <si>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</si>
  <si>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</si>
  <si>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</si>
  <si>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</si>
  <si>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</si>
  <si>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</si>
  <si>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</si>
  <si>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</si>
  <si>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</si>
  <si>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</si>
  <si>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</si>
  <si>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</si>
  <si>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</si>
  <si>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</si>
  <si>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</si>
  <si>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</si>
  <si>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</si>
  <si>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</si>
  <si>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</si>
  <si>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</si>
  <si>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</si>
  <si>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</si>
  <si>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</si>
  <si>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</si>
  <si>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</si>
  <si>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</si>
  <si>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</si>
  <si>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</si>
  <si>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</si>
  <si>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</si>
  <si>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</si>
  <si>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</si>
  <si>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</si>
  <si>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</si>
  <si>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</si>
  <si>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</si>
  <si>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</si>
  <si>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</si>
  <si>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</si>
  <si>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</si>
  <si>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</si>
  <si>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</si>
  <si>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</si>
  <si>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</si>
  <si>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</si>
  <si>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</si>
  <si>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</si>
  <si>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</si>
  <si>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</si>
  <si>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</si>
  <si>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</si>
  <si>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</si>
  <si>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</si>
  <si>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</si>
  <si>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</si>
  <si>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</si>
  <si>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</si>
  <si>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</si>
  <si>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</si>
  <si>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</si>
  <si>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</si>
  <si>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</si>
  <si>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</si>
  <si>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</si>
  <si>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</si>
  <si>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</si>
  <si>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</si>
  <si>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</si>
  <si>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</si>
  <si>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</si>
  <si>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</si>
  <si>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</si>
  <si>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</si>
  <si>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</si>
  <si>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</si>
  <si>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</si>
  <si>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</si>
  <si>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</si>
  <si>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</si>
  <si>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</si>
  <si>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</si>
  <si>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</si>
  <si>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</si>
  <si>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</si>
  <si>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</si>
  <si>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</si>
  <si>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</si>
  <si>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</si>
  <si>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</si>
  <si>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</si>
  <si>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</si>
  <si>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</si>
  <si>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</si>
  <si>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</si>
  <si>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</si>
  <si>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</si>
  <si>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</si>
  <si>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</si>
  <si>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</si>
  <si>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</si>
  <si>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</si>
  <si>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</si>
  <si>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</si>
  <si>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</si>
  <si>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</si>
  <si>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</si>
  <si>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</si>
  <si>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</si>
  <si>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</si>
  <si>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</si>
  <si>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</si>
  <si>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</si>
  <si>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</si>
  <si>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</si>
  <si>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</si>
  <si>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</si>
  <si>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</si>
  <si>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</si>
  <si>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</si>
  <si>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</si>
  <si>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</si>
  <si>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</si>
  <si>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</si>
  <si>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</si>
  <si>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</si>
  <si>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</si>
  <si>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</si>
  <si>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</si>
  <si>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</si>
  <si>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</si>
  <si>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</si>
  <si>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</si>
  <si>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</si>
  <si>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</si>
  <si>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</si>
  <si>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</si>
  <si>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</si>
  <si>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</si>
  <si>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</si>
  <si>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</si>
  <si>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</si>
  <si>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</si>
  <si>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</si>
  <si>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</si>
  <si>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</si>
  <si>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</si>
  <si>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</si>
  <si>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</si>
  <si>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</si>
  <si>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</si>
  <si>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</si>
  <si>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</si>
  <si>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</si>
  <si>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</si>
  <si>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</si>
  <si>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</si>
  <si>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</si>
  <si>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</si>
  <si>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</si>
  <si>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</si>
  <si>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</si>
  <si>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</si>
  <si>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</si>
  <si>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</si>
  <si>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</si>
  <si>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</si>
  <si>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</si>
  <si>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</si>
  <si>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</si>
  <si>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</si>
  <si>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</si>
  <si>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</si>
  <si>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</si>
  <si>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</si>
  <si>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</si>
  <si>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</si>
  <si>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</si>
  <si>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</si>
  <si>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</si>
  <si>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</si>
  <si>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</si>
  <si>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</si>
  <si>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</si>
  <si>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</si>
  <si>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</si>
  <si>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</si>
  <si>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</si>
  <si>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</si>
  <si>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</si>
  <si>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</si>
  <si>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</si>
  <si>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</si>
  <si>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</si>
  <si>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</si>
  <si>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</si>
  <si>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</si>
  <si>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</si>
  <si>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</si>
  <si>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</si>
  <si>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</si>
  <si>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</si>
  <si>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</si>
  <si>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</si>
  <si>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</si>
  <si>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</si>
  <si>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</si>
  <si>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</si>
  <si>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</si>
  <si>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</si>
  <si>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</si>
  <si>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</si>
  <si>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</si>
  <si>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</si>
  <si>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</si>
  <si>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</si>
  <si>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</si>
  <si>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</si>
  <si>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</si>
  <si>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</si>
  <si>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</si>
  <si>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</si>
  <si>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</si>
  <si>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</si>
  <si>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</si>
  <si>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</si>
  <si>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</si>
  <si>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</si>
  <si>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</si>
  <si>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</si>
  <si>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</si>
  <si>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</si>
  <si>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</si>
  <si>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</si>
  <si>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</si>
  <si>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</si>
  <si>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</si>
  <si>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</si>
  <si>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</si>
  <si>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</si>
  <si>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</si>
  <si>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</si>
  <si>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</si>
  <si>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</si>
  <si>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</si>
  <si>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</si>
  <si>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</si>
  <si>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</si>
  <si>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</si>
  <si>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</si>
  <si>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</si>
  <si>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</si>
  <si>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</si>
  <si>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</si>
  <si>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</si>
  <si>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</si>
  <si>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</si>
  <si>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</si>
  <si>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</si>
  <si>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</si>
  <si>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</si>
  <si>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</si>
  <si>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</si>
  <si>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</si>
  <si>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</si>
  <si>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</si>
  <si>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</si>
  <si>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</si>
  <si>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</si>
  <si>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</si>
  <si>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</si>
  <si>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</si>
  <si>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</si>
  <si>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</si>
  <si>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</si>
  <si>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</si>
  <si>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</si>
  <si>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</si>
  <si>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</si>
  <si>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</si>
  <si>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</si>
  <si>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</si>
  <si>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</si>
  <si>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</si>
  <si>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</si>
  <si>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</si>
  <si>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</si>
  <si>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</si>
  <si>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</si>
  <si>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</si>
  <si>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</si>
  <si>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</si>
  <si>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</si>
  <si>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</si>
  <si>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</si>
  <si>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</si>
  <si>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</si>
  <si>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</si>
  <si>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</si>
  <si>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</si>
  <si>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</si>
  <si>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</si>
  <si>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</si>
  <si>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</si>
  <si>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</si>
  <si>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</si>
  <si>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</si>
  <si>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</si>
  <si>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</si>
  <si>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</si>
  <si>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</si>
  <si>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</si>
  <si>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</si>
  <si>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</si>
  <si>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</si>
  <si>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</si>
  <si>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</si>
  <si>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</si>
  <si>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</si>
  <si>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</si>
  <si>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</si>
  <si>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</si>
  <si>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</si>
  <si>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</si>
  <si>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</si>
  <si>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</si>
  <si>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</si>
  <si>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</si>
  <si>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</si>
  <si>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</si>
  <si>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</si>
  <si>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</si>
  <si>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</si>
  <si>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</si>
  <si>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</si>
  <si>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</si>
  <si>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</si>
  <si>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</si>
  <si>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</si>
  <si>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</si>
  <si>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</si>
  <si>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</si>
  <si>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</si>
  <si>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</si>
  <si>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</si>
  <si>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</si>
  <si>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</si>
  <si>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</si>
  <si>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</si>
  <si>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</si>
  <si>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</si>
  <si>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</si>
  <si>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</si>
  <si>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</si>
  <si>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</si>
  <si>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</si>
  <si>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</si>
  <si>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</si>
  <si>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</si>
  <si>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</si>
  <si>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</si>
  <si>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</si>
  <si>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</si>
  <si>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</si>
  <si>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</si>
  <si>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</si>
  <si>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</si>
  <si>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</si>
  <si>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</si>
  <si>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</si>
  <si>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</si>
  <si>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</si>
  <si>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</si>
  <si>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</si>
  <si>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</si>
  <si>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</si>
  <si>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</si>
  <si>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</si>
  <si>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</si>
  <si>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</si>
  <si>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</si>
  <si>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</si>
  <si>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</si>
  <si>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</si>
  <si>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</si>
  <si>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</si>
  <si>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</si>
  <si>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</si>
  <si>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</si>
  <si>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</si>
  <si>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</si>
  <si>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</si>
  <si>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</si>
  <si>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</si>
  <si>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</si>
  <si>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</si>
  <si>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</si>
  <si>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</si>
  <si>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</si>
  <si>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</si>
  <si>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</si>
  <si>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</si>
  <si>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</si>
  <si>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</si>
  <si>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</si>
  <si>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</si>
  <si>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</si>
  <si>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</si>
  <si>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</si>
  <si>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</si>
  <si>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</si>
  <si>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</si>
  <si>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</si>
  <si>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</si>
  <si>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</si>
  <si>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</si>
  <si>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</si>
  <si>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</si>
  <si>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</si>
  <si>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</si>
  <si>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</si>
  <si>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</si>
  <si>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</si>
  <si>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</si>
  <si>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</si>
  <si>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</si>
  <si>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</si>
  <si>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</si>
  <si>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</si>
  <si>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</si>
  <si>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</si>
  <si>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</si>
  <si>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</si>
  <si>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</si>
  <si>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</si>
  <si>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</si>
  <si>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</si>
  <si>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</si>
  <si>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</si>
  <si>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</si>
  <si>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</si>
  <si>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</si>
  <si>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</si>
  <si>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</si>
  <si>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</si>
  <si>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</si>
  <si>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</si>
  <si>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</si>
  <si>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</si>
  <si>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</si>
  <si>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</si>
  <si>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</si>
  <si>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</si>
  <si>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</si>
  <si>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</si>
  <si>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</si>
  <si>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</si>
  <si>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</si>
  <si>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</si>
  <si>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</si>
  <si>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</si>
  <si>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</si>
  <si>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</si>
  <si>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</si>
  <si>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</si>
  <si>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</si>
  <si>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</si>
  <si>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</si>
  <si>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</si>
  <si>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</si>
  <si>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</si>
  <si>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</si>
  <si>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</si>
  <si>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</si>
  <si>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</si>
  <si>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</si>
  <si>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</si>
  <si>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</si>
  <si>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</si>
  <si>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</si>
  <si>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</si>
  <si>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</si>
  <si>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</si>
  <si>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</si>
  <si>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</si>
  <si>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</si>
  <si>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</si>
  <si>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</si>
  <si>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</si>
  <si>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</si>
  <si>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</si>
  <si>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</si>
  <si>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</si>
  <si>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</si>
  <si>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</si>
  <si>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</si>
  <si>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</si>
  <si>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</si>
  <si>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</si>
  <si>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</si>
  <si>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</si>
  <si>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</si>
  <si>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</si>
  <si>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</si>
  <si>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</si>
  <si>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</si>
  <si>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</si>
  <si>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</si>
  <si>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</si>
  <si>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</si>
  <si>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</si>
  <si>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</si>
  <si>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</si>
  <si>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</si>
  <si>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</si>
  <si>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</si>
  <si>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</si>
  <si>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</si>
  <si>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</si>
  <si>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</si>
  <si>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</si>
  <si>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</si>
  <si>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</si>
  <si>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</si>
  <si>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</si>
  <si>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</si>
  <si>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</si>
  <si>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</si>
  <si>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</si>
  <si>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</si>
  <si>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</si>
  <si>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</si>
  <si>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</si>
  <si>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</si>
  <si>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</si>
  <si>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</si>
  <si>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</si>
  <si>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</si>
  <si>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</si>
  <si>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</si>
  <si>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</si>
  <si>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</si>
  <si>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</si>
  <si>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</si>
  <si>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</si>
  <si>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</si>
  <si>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</si>
  <si>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</si>
  <si>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</si>
  <si>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</si>
  <si>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</si>
  <si>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</si>
  <si>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</si>
  <si>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</si>
  <si>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</si>
  <si>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</si>
  <si>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</si>
  <si>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</si>
  <si>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</si>
  <si>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</si>
  <si>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</si>
  <si>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</si>
  <si>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</si>
  <si>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</si>
  <si>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</si>
  <si>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</si>
  <si>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</si>
  <si>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</si>
  <si>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</si>
  <si>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</si>
  <si>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</si>
  <si>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</si>
  <si>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</si>
  <si>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</si>
  <si>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</si>
  <si>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</si>
  <si>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</si>
  <si>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</si>
  <si>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</si>
  <si>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</si>
  <si>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</si>
  <si>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</si>
  <si>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</si>
  <si>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</si>
  <si>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</si>
  <si>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</si>
  <si>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</si>
  <si>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</si>
  <si>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</si>
  <si>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</si>
  <si>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</si>
  <si>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</si>
  <si>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</si>
  <si>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</si>
  <si>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</si>
  <si>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</si>
  <si>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</si>
  <si>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</si>
  <si>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</si>
  <si>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</si>
  <si>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</si>
  <si>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</si>
  <si>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</si>
  <si>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</si>
  <si>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</si>
  <si>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</si>
  <si>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</si>
  <si>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</si>
  <si>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</si>
  <si>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</si>
  <si>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</si>
  <si>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</si>
  <si>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</si>
  <si>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</si>
  <si>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</si>
  <si>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</si>
  <si>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</si>
  <si>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</si>
  <si>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</si>
  <si>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</si>
  <si>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</si>
  <si>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</si>
  <si>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</si>
  <si>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</si>
  <si>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</si>
  <si>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</si>
  <si>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</si>
  <si>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</si>
  <si>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</si>
  <si>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</si>
  <si>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</si>
  <si>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</si>
  <si>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</si>
  <si>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</si>
  <si>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</si>
  <si>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</si>
  <si>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</si>
  <si>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</si>
  <si>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</si>
  <si>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</si>
  <si>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</si>
  <si>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</si>
  <si>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</si>
  <si>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</si>
  <si>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</si>
  <si>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</si>
  <si>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</si>
  <si>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</si>
  <si>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</si>
  <si>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</si>
  <si>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</si>
  <si>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</si>
  <si>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</si>
  <si>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</si>
  <si>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</si>
  <si>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</si>
  <si>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</si>
  <si>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</si>
  <si>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</si>
  <si>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</si>
  <si>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</si>
  <si>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</si>
  <si>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</si>
  <si>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</si>
  <si>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</si>
  <si>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</si>
  <si>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</si>
  <si>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</si>
  <si>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</si>
  <si>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</si>
  <si>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</si>
  <si>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</si>
  <si>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</si>
  <si>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</si>
  <si>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</si>
  <si>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</si>
  <si>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</si>
  <si>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</si>
  <si>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</si>
  <si>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</si>
  <si>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</si>
  <si>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</si>
  <si>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</si>
  <si>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</si>
  <si>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</si>
  <si>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</si>
  <si>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</si>
  <si>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</si>
  <si>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</si>
  <si>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</si>
  <si>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</si>
  <si>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</si>
  <si>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</si>
  <si>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</si>
  <si>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</si>
  <si>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</si>
  <si>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</si>
  <si>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</si>
  <si>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</si>
  <si>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</si>
  <si>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</si>
  <si>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</si>
  <si>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</si>
  <si>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</si>
  <si>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</si>
  <si>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</si>
  <si>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</si>
  <si>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</si>
  <si>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</si>
  <si>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</si>
  <si>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</si>
  <si>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</si>
  <si>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</si>
  <si>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</si>
  <si>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</si>
  <si>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</si>
  <si>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</si>
  <si>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</si>
  <si>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</si>
  <si>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</si>
  <si>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</si>
  <si>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</si>
  <si>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</si>
  <si>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</si>
  <si>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</si>
  <si>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</si>
  <si>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</si>
  <si>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</si>
  <si>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</si>
  <si>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</si>
  <si>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</si>
  <si>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</si>
  <si>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</si>
  <si>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</si>
  <si>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</si>
  <si>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</si>
  <si>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</si>
  <si>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</si>
  <si>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</si>
  <si>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</si>
  <si>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</si>
  <si>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</si>
  <si>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</si>
  <si>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</si>
  <si>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</si>
  <si>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</si>
  <si>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</si>
  <si>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</si>
  <si>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</si>
  <si>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</si>
  <si>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</si>
  <si>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</si>
  <si>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</si>
  <si>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</si>
  <si>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</si>
  <si>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</si>
  <si>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</si>
  <si>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</si>
  <si>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</si>
  <si>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</si>
  <si>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</si>
  <si>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</si>
  <si>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</si>
  <si>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</si>
  <si>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</si>
  <si>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</si>
  <si>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</si>
  <si>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</si>
  <si>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</si>
  <si>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</si>
  <si>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</si>
  <si>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</si>
  <si>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</si>
  <si>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</si>
  <si>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</si>
  <si>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</si>
  <si>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</si>
  <si>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</si>
  <si>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</si>
  <si>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</si>
  <si>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</si>
  <si>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</si>
  <si>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</si>
  <si>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</si>
  <si>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</si>
  <si>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</si>
  <si>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</si>
  <si>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</si>
  <si>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</si>
  <si>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</si>
  <si>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</si>
  <si>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</si>
  <si>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</si>
  <si>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</si>
  <si>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</si>
  <si>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</si>
  <si>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</si>
  <si>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</si>
  <si>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</si>
  <si>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</si>
  <si>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</si>
  <si>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</si>
  <si>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</si>
  <si>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</si>
  <si>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</si>
  <si>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</si>
  <si>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</si>
  <si>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</si>
  <si>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</si>
  <si>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</si>
  <si>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</si>
  <si>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</si>
  <si>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</si>
  <si>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</si>
  <si>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</si>
  <si>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</si>
  <si>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</si>
  <si>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</si>
  <si>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</si>
  <si>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</si>
  <si>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</si>
  <si>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</si>
  <si>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</si>
  <si>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</si>
  <si>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</si>
  <si>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</si>
  <si>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</si>
  <si>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</si>
  <si>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</si>
  <si>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</si>
  <si>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</si>
  <si>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</si>
  <si>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</si>
  <si>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</si>
  <si>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</si>
  <si>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</si>
  <si>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</si>
  <si>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</si>
  <si>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</si>
  <si>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</si>
  <si>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</si>
  <si>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</si>
  <si>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</si>
  <si>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</si>
  <si>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</si>
  <si>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</si>
  <si>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</si>
  <si>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</si>
  <si>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</si>
  <si>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</si>
  <si>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</si>
  <si>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</si>
  <si>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</si>
  <si>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</si>
  <si>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</si>
  <si>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</si>
  <si>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</si>
  <si>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</si>
  <si>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</si>
  <si>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</si>
  <si>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</si>
  <si>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</si>
  <si>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</si>
  <si>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</si>
  <si>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</si>
  <si>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</si>
  <si>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</si>
  <si>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</si>
  <si>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</si>
  <si>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</si>
  <si>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</si>
  <si>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</si>
  <si>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</si>
  <si>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</si>
  <si>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</si>
  <si>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</si>
  <si>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</si>
  <si>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</si>
  <si>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</si>
  <si>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</si>
  <si>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</si>
  <si>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</si>
  <si>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</si>
  <si>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</si>
  <si>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</si>
  <si>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</si>
  <si>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</si>
  <si>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</si>
  <si>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</si>
  <si>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</si>
  <si>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</si>
  <si>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</si>
  <si>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</si>
  <si>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</si>
  <si>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</si>
  <si>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</si>
  <si>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</si>
  <si>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</si>
  <si>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</si>
  <si>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</si>
  <si>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</si>
  <si>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</si>
  <si>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</si>
  <si>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</si>
  <si>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</si>
  <si>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</si>
  <si>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</si>
  <si>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</si>
  <si>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</si>
  <si>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</si>
  <si>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</si>
  <si>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</si>
  <si>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</si>
  <si>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</si>
  <si>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</si>
  <si>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</si>
  <si>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</si>
  <si>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</si>
  <si>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</si>
  <si>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</si>
  <si>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</si>
  <si>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</si>
  <si>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</si>
  <si>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</si>
  <si>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</si>
  <si>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</si>
  <si>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</si>
  <si>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</si>
  <si>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</si>
  <si>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</si>
  <si>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</si>
  <si>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</si>
  <si>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</si>
  <si>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</si>
  <si>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</si>
  <si>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</si>
  <si>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</si>
  <si>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</si>
  <si>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</si>
  <si>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</si>
  <si>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</si>
  <si>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</si>
  <si>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</si>
  <si>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</si>
  <si>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</si>
  <si>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</si>
  <si>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</si>
  <si>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</si>
  <si>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</si>
  <si>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</si>
  <si>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</si>
  <si>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</si>
  <si>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</si>
  <si>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</si>
  <si>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</si>
  <si>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</si>
  <si>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</si>
  <si>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</si>
  <si>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</si>
  <si>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</si>
  <si>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</si>
  <si>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</si>
  <si>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</si>
  <si>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</si>
  <si>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</si>
  <si>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</si>
  <si>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</si>
  <si>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</si>
  <si>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</si>
  <si>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</si>
  <si>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</si>
  <si>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</si>
  <si>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</si>
  <si>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</si>
  <si>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</si>
  <si>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</si>
  <si>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</si>
  <si>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</si>
  <si>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</si>
  <si>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</si>
  <si>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</si>
  <si>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</si>
  <si>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</si>
  <si>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</si>
  <si>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</si>
  <si>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</si>
  <si>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</si>
  <si>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</si>
  <si>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</si>
  <si>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</si>
  <si>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</si>
  <si>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</si>
  <si>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</si>
  <si>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</si>
  <si>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</si>
  <si>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</si>
  <si>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</si>
  <si>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</si>
  <si>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</si>
  <si>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</si>
  <si>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</si>
  <si>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</si>
  <si>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</si>
  <si>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</si>
  <si>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</si>
  <si>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</si>
  <si>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</si>
  <si>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</si>
  <si>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</si>
  <si>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</si>
  <si>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</si>
  <si>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</si>
  <si>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</si>
  <si>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</si>
  <si>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</si>
  <si>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</si>
  <si>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</si>
  <si>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</si>
  <si>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</si>
  <si>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</si>
  <si>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</si>
  <si>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</si>
  <si>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</si>
  <si>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</si>
  <si>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</si>
  <si>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</si>
  <si>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</si>
  <si>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</si>
  <si>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</si>
  <si>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</si>
  <si>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</si>
  <si>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</si>
  <si>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</si>
  <si>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</si>
  <si>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</si>
  <si>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</si>
  <si>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</si>
  <si>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</si>
  <si>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</si>
  <si>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</si>
  <si>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</si>
  <si>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</si>
  <si>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</si>
  <si>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</si>
  <si>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</si>
  <si>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</si>
  <si>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</si>
  <si>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</si>
  <si>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</si>
  <si>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</si>
  <si>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</si>
  <si>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</si>
  <si>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</si>
  <si>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</si>
  <si>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</si>
  <si>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</si>
  <si>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</si>
  <si>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</si>
  <si>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</si>
  <si>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</si>
  <si>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</si>
  <si>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</si>
  <si>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</si>
  <si>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</si>
  <si>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</si>
  <si>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</si>
  <si>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</si>
  <si>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</si>
  <si>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</si>
  <si>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</si>
  <si>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</si>
  <si>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</si>
  <si>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</si>
  <si>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</si>
  <si>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</si>
  <si>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</si>
  <si>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</si>
  <si>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</si>
  <si>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</si>
  <si>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</si>
  <si>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</si>
  <si>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</si>
  <si>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</si>
  <si>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</si>
  <si>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</si>
  <si>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</si>
  <si>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</si>
  <si>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</si>
  <si>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</si>
  <si>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</si>
  <si>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</si>
  <si>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</si>
  <si>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</si>
  <si>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</si>
  <si>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</si>
  <si>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</si>
  <si>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</si>
  <si>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</si>
  <si>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</si>
  <si>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</si>
  <si>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</si>
  <si>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</si>
  <si>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</si>
  <si>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</si>
  <si>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</si>
  <si>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</si>
  <si>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</si>
  <si>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</si>
  <si>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</si>
  <si>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</si>
  <si>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</si>
  <si>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</si>
  <si>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</si>
  <si>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</si>
  <si>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</si>
  <si>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</si>
  <si>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</si>
  <si>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</si>
  <si>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</si>
  <si>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</si>
  <si>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</si>
  <si>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</si>
  <si>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</si>
  <si>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</si>
  <si>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</si>
  <si>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</si>
  <si>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</si>
  <si>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</si>
  <si>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</si>
  <si>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</si>
  <si>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</si>
  <si>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</si>
  <si>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</si>
  <si>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</si>
  <si>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</si>
  <si>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</si>
  <si>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</si>
  <si>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</si>
  <si>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</si>
  <si>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</si>
  <si>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</si>
  <si>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</si>
  <si>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</si>
  <si>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</si>
  <si>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</si>
  <si>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</si>
  <si>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</si>
  <si>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</si>
  <si>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</si>
  <si>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</si>
  <si>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</si>
  <si>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</si>
  <si>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</si>
  <si>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</si>
  <si>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</si>
  <si>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</si>
  <si>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</si>
  <si>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</si>
  <si>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</si>
  <si>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</si>
  <si>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</si>
  <si>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</si>
  <si>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</si>
  <si>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</si>
  <si>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</si>
  <si>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</si>
  <si>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</si>
  <si>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</si>
  <si>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</si>
  <si>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</si>
  <si>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</si>
  <si>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</si>
  <si>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</si>
  <si>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</si>
  <si>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</si>
  <si>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</si>
  <si>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</si>
  <si>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</si>
  <si>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</si>
  <si>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</si>
  <si>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</si>
  <si>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</si>
  <si>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</si>
  <si>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</si>
  <si>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</si>
  <si>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</si>
  <si>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</si>
  <si>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</si>
  <si>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</si>
  <si>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</si>
  <si>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</si>
  <si>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</si>
  <si>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</si>
  <si>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</si>
  <si>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</si>
  <si>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</si>
  <si>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</si>
  <si>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</si>
  <si>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</si>
  <si>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</si>
  <si>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</si>
  <si>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</si>
  <si>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</si>
  <si>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</si>
  <si>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</si>
  <si>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</si>
  <si>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</si>
  <si>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</si>
  <si>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</si>
  <si>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</si>
  <si>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</si>
  <si>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</si>
  <si>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</si>
  <si>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</si>
  <si>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</si>
  <si>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</si>
  <si>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</si>
  <si>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</si>
  <si>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</si>
  <si>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</si>
  <si>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</si>
  <si>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</si>
  <si>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</si>
  <si>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</si>
  <si>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</si>
  <si>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</si>
  <si>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</si>
  <si>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</si>
  <si>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</si>
  <si>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</si>
  <si>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</si>
  <si>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</si>
  <si>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</si>
  <si>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</si>
  <si>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</si>
  <si>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</si>
  <si>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</si>
  <si>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</si>
  <si>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</si>
  <si>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</si>
  <si>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</si>
  <si>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</si>
  <si>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</si>
  <si>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</si>
  <si>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</si>
  <si>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</si>
  <si>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</si>
  <si>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</si>
  <si>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</si>
  <si>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</si>
  <si>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</si>
  <si>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</si>
  <si>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</si>
  <si>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</si>
  <si>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</si>
  <si>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</si>
  <si>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</si>
  <si>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</si>
  <si>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</si>
  <si>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</si>
  <si>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</si>
  <si>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</si>
  <si>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</si>
  <si>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</si>
  <si>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</si>
  <si>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</si>
  <si>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</si>
  <si>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</si>
  <si>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</si>
  <si>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</si>
  <si>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</si>
  <si>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</si>
  <si>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</si>
  <si>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</si>
  <si>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</si>
  <si>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</si>
  <si>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</si>
  <si>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</si>
  <si>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</si>
  <si>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</si>
  <si>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</si>
  <si>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</si>
  <si>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</si>
  <si>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</si>
  <si>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</si>
  <si>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</si>
  <si>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</si>
  <si>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</si>
  <si>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</si>
  <si>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</si>
  <si>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</si>
  <si>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</si>
  <si>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</si>
  <si>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</si>
  <si>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</si>
  <si>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</si>
  <si>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</si>
  <si>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</si>
  <si>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</si>
  <si>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</si>
  <si>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</si>
  <si>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</si>
  <si>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</si>
  <si>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</si>
  <si>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</si>
  <si>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</si>
  <si>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</si>
  <si>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</si>
  <si>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</si>
  <si>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</si>
  <si>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</si>
  <si>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</si>
  <si>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</si>
  <si>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</si>
  <si>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</si>
  <si>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</si>
  <si>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</si>
  <si>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</si>
  <si>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</si>
  <si>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</si>
  <si>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</si>
  <si>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</si>
  <si>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</si>
  <si>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</si>
  <si>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</si>
  <si>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</si>
  <si>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</si>
  <si>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</si>
  <si>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</si>
  <si>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</si>
  <si>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</si>
  <si>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</si>
  <si>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</si>
  <si>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</si>
  <si>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</si>
  <si>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</si>
  <si>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</si>
  <si>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</si>
  <si>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</si>
  <si>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</si>
  <si>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</si>
  <si>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</si>
  <si>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</si>
  <si>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</si>
  <si>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</si>
  <si>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</si>
  <si>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</si>
  <si>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</si>
  <si>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</si>
  <si>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</si>
  <si>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</si>
  <si>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</si>
  <si>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</si>
  <si>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</si>
  <si>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</si>
  <si>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</si>
  <si>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</si>
  <si>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</si>
  <si>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</si>
  <si>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</si>
  <si>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</si>
  <si>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</si>
  <si>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</si>
  <si>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</si>
  <si>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</si>
  <si>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</si>
  <si>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</si>
  <si>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</si>
  <si>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</si>
  <si>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</si>
  <si>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</si>
  <si>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</si>
  <si>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</si>
  <si>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</si>
  <si>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</si>
  <si>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</si>
  <si>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</si>
  <si>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</si>
  <si>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</si>
  <si>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</si>
  <si>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</si>
  <si>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</si>
  <si>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</si>
  <si>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</si>
  <si>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</si>
  <si>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</si>
  <si>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</si>
  <si>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</si>
  <si>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</si>
  <si>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</si>
  <si>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</si>
  <si>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</si>
  <si>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</si>
  <si>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</si>
  <si>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</si>
  <si>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</si>
  <si>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</si>
  <si>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</si>
  <si>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</si>
  <si>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</si>
  <si>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</si>
  <si>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</si>
  <si>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</si>
  <si>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</si>
  <si>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</si>
  <si>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</si>
  <si>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</si>
  <si>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</si>
  <si>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</si>
  <si>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</si>
  <si>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</si>
  <si>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</si>
  <si>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</si>
  <si>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</si>
  <si>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</si>
  <si>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</si>
  <si>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</si>
  <si>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</si>
  <si>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</si>
  <si>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</si>
  <si>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</si>
  <si>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</si>
  <si>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</si>
  <si>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</si>
  <si>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</si>
  <si>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</si>
  <si>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</si>
  <si>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</si>
  <si>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</si>
  <si>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</si>
  <si>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</si>
  <si>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</si>
  <si>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</si>
  <si>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</si>
  <si>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</si>
  <si>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</si>
  <si>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</si>
  <si>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</si>
  <si>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</si>
  <si>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</si>
  <si>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</si>
  <si>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</si>
  <si>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</si>
  <si>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</si>
  <si>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</si>
  <si>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</si>
  <si>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</si>
  <si>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</si>
  <si>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</si>
  <si>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</si>
  <si>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</si>
  <si>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</si>
  <si>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</si>
  <si>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</si>
  <si>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</si>
  <si>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</si>
  <si>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</si>
  <si>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</si>
  <si>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</si>
  <si>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</si>
  <si>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</si>
  <si>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</si>
  <si>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</si>
  <si>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</si>
  <si>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</si>
  <si>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</si>
  <si>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</si>
  <si>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</si>
  <si>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</si>
  <si>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</si>
  <si>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</si>
  <si>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</si>
  <si>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</si>
  <si>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</si>
  <si>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</si>
  <si>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</si>
  <si>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</si>
  <si>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</si>
  <si>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</si>
  <si>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</si>
  <si>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</si>
  <si>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</si>
  <si>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</si>
  <si>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</si>
  <si>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</si>
  <si>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</si>
  <si>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</si>
  <si>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</si>
  <si>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</si>
  <si>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</si>
  <si>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</si>
  <si>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</si>
  <si>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</si>
  <si>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</si>
  <si>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</si>
  <si>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</si>
  <si>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</si>
  <si>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</si>
  <si>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</si>
  <si>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</si>
  <si>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</si>
  <si>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</si>
  <si>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</si>
  <si>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</si>
  <si>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</si>
  <si>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</si>
  <si>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</si>
  <si>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</si>
  <si>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</si>
  <si>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</si>
  <si>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</si>
  <si>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</si>
  <si>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</si>
  <si>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</si>
  <si>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</si>
  <si>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</si>
  <si>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</si>
  <si>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</si>
  <si>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</si>
  <si>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</si>
  <si>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</si>
  <si>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</si>
  <si>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</si>
  <si>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</si>
  <si>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</si>
  <si>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</si>
  <si>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</si>
  <si>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</si>
  <si>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</si>
  <si>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</si>
  <si>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</si>
  <si>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</si>
  <si>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</si>
  <si>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</si>
  <si>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</si>
  <si>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</si>
  <si>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</si>
  <si>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</si>
  <si>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</si>
  <si>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</si>
  <si>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</si>
  <si>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</si>
  <si>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</si>
  <si>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</si>
  <si>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</si>
  <si>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</si>
  <si>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</si>
  <si>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</si>
  <si>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</si>
  <si>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</si>
  <si>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</si>
  <si>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</si>
  <si>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</si>
  <si>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</si>
  <si>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</si>
  <si>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</si>
  <si>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</si>
  <si>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</si>
  <si>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</si>
  <si>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</si>
  <si>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</si>
  <si>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</si>
  <si>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</si>
  <si>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</si>
  <si>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</si>
  <si>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</si>
  <si>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</si>
  <si>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</si>
  <si>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</si>
  <si>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</si>
  <si>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</si>
  <si>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</si>
  <si>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</si>
  <si>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</si>
  <si>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</si>
  <si>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</si>
  <si>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</si>
  <si>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</si>
  <si>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</si>
  <si>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</si>
  <si>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</si>
  <si>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</si>
  <si>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</si>
  <si>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</si>
  <si>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</si>
  <si>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</si>
  <si>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</si>
  <si>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</si>
  <si>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</si>
  <si>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</si>
  <si>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</si>
  <si>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</si>
  <si>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</si>
  <si>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</si>
  <si>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</si>
  <si>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</si>
  <si>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</si>
  <si>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</si>
  <si>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</si>
  <si>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</si>
  <si>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</si>
  <si>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</si>
  <si>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</si>
  <si>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</si>
  <si>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</si>
  <si>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</si>
  <si>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</si>
  <si>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</si>
  <si>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</si>
  <si>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</si>
  <si>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</si>
  <si>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</si>
  <si>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</si>
  <si>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</si>
  <si>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</si>
  <si>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</si>
  <si>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</si>
  <si>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</si>
  <si>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</si>
  <si>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</si>
  <si>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</si>
  <si>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</si>
  <si>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</si>
  <si>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</si>
  <si>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</si>
  <si>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</si>
  <si>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</si>
  <si>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</si>
  <si>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</si>
  <si>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</si>
  <si>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</si>
  <si>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</si>
  <si>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</si>
  <si>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</si>
  <si>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</si>
  <si>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</si>
  <si>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</si>
  <si>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</si>
  <si>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</si>
  <si>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</si>
  <si>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</si>
  <si>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</si>
  <si>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</si>
  <si>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</si>
  <si>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</si>
  <si>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</si>
  <si>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</si>
  <si>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</si>
  <si>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</si>
  <si>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</si>
  <si>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</si>
  <si>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</si>
  <si>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</si>
  <si>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</si>
  <si>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</si>
  <si>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</si>
  <si>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</si>
  <si>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</si>
  <si>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</si>
  <si>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</si>
  <si>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</si>
  <si>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</si>
  <si>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</si>
  <si>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</si>
  <si>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</si>
  <si>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</si>
  <si>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</si>
  <si>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</si>
  <si>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</si>
  <si>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</si>
  <si>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</si>
  <si>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</si>
  <si>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</si>
  <si>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</si>
  <si>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</si>
  <si>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</si>
  <si>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</si>
  <si>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</si>
  <si>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</si>
  <si>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</si>
  <si>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</si>
  <si>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</si>
  <si>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</si>
  <si>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</si>
  <si>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</si>
  <si>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</si>
  <si>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</si>
  <si>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</si>
  <si>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</si>
  <si>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</si>
  <si>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</si>
  <si>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</si>
  <si>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</si>
  <si>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</si>
  <si>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</si>
  <si>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</si>
  <si>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</si>
  <si>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</si>
  <si>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</si>
  <si>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</si>
  <si>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</si>
  <si>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</si>
  <si>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</si>
  <si>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</si>
  <si>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</si>
  <si>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</si>
  <si>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</si>
  <si>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</si>
  <si>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</si>
  <si>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</si>
  <si>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</si>
  <si>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</si>
  <si>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</si>
  <si>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</si>
  <si>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</si>
  <si>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</si>
  <si>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</si>
  <si>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</si>
  <si>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</si>
  <si>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</si>
  <si>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</si>
  <si>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</si>
  <si>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</si>
  <si>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</si>
  <si>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</si>
  <si>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</si>
  <si>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</si>
  <si>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</si>
  <si>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</si>
  <si>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</si>
  <si>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</si>
  <si>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</si>
  <si>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</si>
  <si>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</si>
  <si>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</si>
  <si>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</si>
  <si>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</si>
  <si>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</si>
  <si>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</si>
  <si>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</si>
  <si>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</si>
  <si>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</si>
  <si>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</si>
  <si>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</si>
  <si>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</si>
  <si>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</si>
  <si>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</si>
  <si>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</si>
  <si>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</si>
  <si>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</si>
  <si>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</si>
  <si>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</si>
  <si>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</si>
  <si>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</si>
  <si>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</si>
  <si>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</si>
  <si>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</si>
  <si>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</si>
  <si>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</si>
  <si>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</si>
  <si>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</si>
  <si>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</si>
  <si>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</si>
  <si>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</si>
  <si>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</si>
  <si>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</si>
  <si>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</si>
  <si>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</si>
  <si>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</si>
  <si>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</si>
  <si>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</si>
  <si>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</si>
  <si>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</si>
  <si>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</si>
  <si>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</si>
  <si>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</si>
  <si>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</si>
  <si>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</si>
  <si>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</si>
  <si>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</si>
  <si>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</si>
  <si>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</si>
  <si>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</si>
  <si>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</si>
  <si>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</si>
  <si>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</si>
  <si>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</si>
  <si>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</si>
  <si>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</si>
  <si>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</si>
  <si>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</si>
  <si>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</si>
  <si>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</si>
  <si>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</si>
  <si>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</si>
  <si>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</si>
  <si>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</si>
  <si>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</si>
  <si>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</si>
  <si>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</si>
  <si>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</si>
  <si>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</si>
  <si>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</si>
  <si>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</si>
  <si>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</si>
  <si>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</si>
  <si>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</si>
  <si>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</si>
  <si>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</si>
  <si>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</si>
  <si>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</si>
  <si>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</si>
  <si>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</si>
  <si>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</si>
  <si>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</si>
  <si>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</si>
  <si>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</si>
  <si>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</si>
  <si>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</si>
  <si>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</si>
  <si>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</si>
  <si>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</si>
  <si>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</si>
  <si>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</si>
  <si>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</si>
  <si>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</si>
  <si>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</si>
  <si>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</si>
  <si>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</si>
  <si>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</si>
  <si>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</si>
  <si>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</si>
  <si>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</si>
  <si>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</si>
  <si>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</si>
  <si>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</si>
  <si>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</si>
  <si>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</si>
  <si>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</si>
  <si>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</si>
  <si>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</si>
  <si>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</si>
  <si>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</si>
  <si>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</si>
  <si>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</si>
  <si>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</si>
  <si>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</si>
  <si>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</si>
  <si>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</si>
  <si>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</si>
  <si>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</si>
  <si>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</si>
  <si>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</si>
  <si>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</si>
  <si>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</si>
  <si>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</si>
  <si>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</si>
  <si>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</si>
  <si>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</si>
  <si>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</si>
  <si>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</si>
  <si>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</si>
  <si>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</si>
  <si>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</si>
  <si>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</si>
  <si>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</si>
  <si>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</si>
  <si>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</si>
  <si>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</si>
  <si>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</si>
  <si>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</si>
  <si>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</si>
  <si>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</si>
  <si>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</si>
  <si>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</si>
  <si>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</si>
  <si>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</si>
  <si>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</si>
  <si>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</si>
  <si>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</si>
  <si>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</si>
  <si>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</si>
  <si>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</si>
  <si>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</si>
  <si>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</si>
  <si>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</si>
  <si>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</si>
  <si>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</si>
  <si>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</si>
  <si>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</si>
  <si>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</si>
  <si>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</si>
  <si>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</si>
  <si>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</si>
  <si>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</si>
  <si>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</si>
  <si>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</si>
  <si>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</si>
  <si>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</si>
  <si>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</si>
  <si>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</si>
  <si>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</si>
  <si>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</si>
  <si>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</si>
  <si>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</si>
  <si>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</si>
  <si>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</si>
  <si>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</si>
  <si>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</si>
  <si>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</si>
  <si>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</si>
  <si>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</si>
  <si>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</si>
  <si>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</si>
  <si>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</si>
  <si>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</si>
  <si>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</si>
  <si>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</si>
  <si>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</si>
  <si>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</si>
  <si>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</si>
  <si>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</si>
  <si>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</si>
  <si>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</si>
  <si>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</si>
  <si>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</si>
  <si>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</si>
  <si>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</si>
  <si>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</si>
  <si>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</si>
  <si>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</si>
  <si>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</si>
  <si>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</si>
  <si>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</si>
  <si>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</si>
  <si>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</si>
  <si>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</si>
  <si>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</si>
  <si>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</si>
  <si>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</si>
  <si>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</si>
  <si>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</si>
  <si>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</si>
  <si>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</si>
  <si>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</si>
  <si>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</si>
  <si>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</si>
  <si>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</si>
  <si>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</si>
  <si>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</si>
  <si>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</si>
  <si>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</si>
  <si>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</si>
  <si>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</si>
  <si>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</si>
  <si>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</si>
  <si>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</si>
  <si>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</si>
  <si>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</si>
  <si>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</si>
  <si>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</si>
  <si>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</si>
  <si>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</si>
  <si>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</si>
  <si>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</si>
  <si>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</si>
  <si>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</si>
  <si>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</si>
  <si>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</si>
  <si>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</si>
  <si>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</si>
  <si>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</si>
  <si>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</si>
  <si>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</si>
  <si>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</si>
  <si>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</si>
  <si>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</si>
  <si>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</si>
  <si>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</si>
  <si>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</si>
  <si>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</si>
  <si>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</si>
  <si>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</si>
  <si>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</si>
  <si>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</si>
  <si>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</si>
  <si>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</si>
  <si>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</si>
  <si>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</si>
  <si>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</si>
  <si>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</si>
  <si>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</si>
  <si>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</si>
  <si>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</si>
  <si>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</si>
  <si>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</si>
  <si>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</si>
  <si>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</si>
  <si>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</si>
  <si>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</si>
  <si>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</si>
  <si>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</si>
  <si>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</si>
  <si>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</si>
  <si>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</si>
  <si>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</si>
  <si>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</si>
  <si>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</si>
  <si>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</si>
  <si>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</si>
  <si>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</si>
  <si>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</si>
  <si>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</si>
  <si>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</si>
  <si>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</si>
  <si>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</si>
  <si>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</si>
  <si>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</si>
  <si>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</si>
  <si>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</si>
  <si>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</si>
  <si>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</si>
  <si>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</si>
  <si>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</si>
  <si>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</si>
  <si>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</si>
  <si>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</si>
  <si>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</si>
  <si>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</si>
  <si>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</si>
  <si>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</si>
  <si>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</si>
  <si>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</si>
  <si>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</si>
  <si>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</si>
  <si>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</si>
  <si>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</si>
  <si>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</si>
  <si>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</si>
  <si>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</si>
  <si>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</si>
  <si>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</si>
  <si>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</si>
  <si>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</si>
  <si>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</si>
  <si>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</si>
  <si>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</si>
  <si>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</si>
  <si>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</si>
  <si>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</si>
  <si>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</si>
  <si>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</si>
  <si>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</si>
  <si>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</si>
  <si>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</si>
  <si>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</si>
  <si>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</si>
  <si>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</si>
  <si>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</si>
  <si>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</si>
  <si>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</si>
  <si>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</si>
  <si>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</si>
  <si>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</si>
  <si>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</si>
  <si>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</si>
  <si>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</si>
  <si>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</si>
  <si>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</si>
  <si>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</si>
  <si>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</si>
  <si>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</si>
  <si>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</si>
  <si>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</si>
  <si>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</si>
  <si>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</si>
  <si>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</si>
  <si>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</si>
  <si>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</si>
  <si>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</si>
  <si>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</si>
  <si>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</si>
  <si>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</si>
  <si>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</si>
  <si>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</si>
  <si>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</si>
  <si>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</si>
  <si>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</si>
  <si>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</si>
  <si>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</si>
  <si>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</si>
  <si>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</si>
  <si>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</si>
  <si>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</si>
  <si>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</si>
  <si>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</si>
  <si>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</si>
  <si>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</si>
  <si>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</si>
  <si>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</si>
  <si>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</si>
  <si>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</si>
  <si>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</si>
  <si>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</si>
  <si>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</si>
  <si>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</si>
  <si>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</si>
  <si>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</si>
  <si>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</si>
  <si>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</si>
  <si>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</si>
  <si>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</si>
  <si>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</si>
  <si>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</si>
  <si>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</si>
  <si>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</si>
  <si>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</si>
  <si>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</si>
  <si>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</si>
  <si>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</si>
  <si>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</si>
  <si>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</si>
  <si>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</si>
  <si>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</si>
  <si>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</si>
  <si>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</si>
  <si>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</si>
  <si>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</si>
  <si>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</si>
  <si>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</si>
  <si>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</si>
  <si>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</si>
  <si>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</si>
  <si>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</si>
  <si>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</si>
  <si>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</si>
  <si>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</si>
  <si>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</si>
  <si>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</si>
  <si>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</si>
  <si>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</si>
  <si>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</si>
  <si>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</si>
  <si>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</si>
  <si>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</si>
  <si>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</si>
  <si>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</si>
  <si>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</si>
  <si>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</si>
  <si>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</si>
  <si>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</si>
  <si>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</si>
  <si>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</si>
  <si>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</si>
  <si>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</si>
  <si>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</si>
  <si>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</si>
  <si>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</si>
  <si>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</si>
  <si>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</si>
  <si>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</si>
  <si>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</si>
  <si>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</si>
  <si>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</si>
  <si>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</si>
  <si>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</si>
  <si>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</si>
  <si>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</si>
  <si>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</si>
  <si>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</si>
  <si>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</si>
  <si>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</si>
  <si>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</si>
  <si>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</si>
  <si>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</si>
  <si>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</si>
  <si>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</si>
  <si>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</si>
  <si>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</si>
  <si>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</si>
  <si>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</si>
  <si>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</si>
  <si>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</si>
  <si>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</si>
  <si>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</si>
  <si>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</si>
  <si>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</si>
  <si>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</si>
  <si>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</si>
  <si>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</si>
  <si>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</si>
  <si>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</si>
  <si>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</si>
  <si>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</si>
  <si>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</si>
  <si>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</si>
  <si>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</si>
  <si>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</si>
  <si>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</si>
  <si>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</si>
  <si>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</si>
  <si>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</si>
  <si>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</si>
  <si>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</si>
  <si>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</si>
  <si>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</si>
  <si>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</si>
  <si>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</si>
  <si>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</si>
  <si>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</si>
  <si>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</si>
  <si>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</si>
  <si>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</si>
  <si>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</si>
  <si>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</si>
  <si>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</si>
  <si>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</si>
  <si>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</si>
  <si>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</si>
  <si>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</si>
  <si>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</si>
  <si>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</si>
  <si>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</si>
  <si>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</si>
  <si>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</si>
  <si>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</si>
  <si>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</si>
  <si>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</si>
  <si>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</si>
  <si>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</si>
  <si>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</si>
  <si>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</si>
  <si>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</si>
  <si>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</si>
  <si>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</si>
  <si>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</si>
  <si>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</si>
  <si>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</si>
  <si>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</si>
  <si>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</si>
  <si>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</si>
  <si>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</si>
  <si>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</si>
  <si>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</si>
  <si>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</si>
  <si>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</si>
  <si>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</si>
  <si>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</si>
  <si>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</si>
  <si>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</si>
  <si>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</si>
  <si>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</si>
  <si>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</si>
  <si>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</si>
  <si>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</si>
  <si>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</si>
  <si>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</si>
  <si>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</si>
  <si>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</si>
  <si>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</si>
  <si>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</si>
  <si>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</si>
  <si>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</si>
  <si>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</si>
  <si>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</si>
  <si>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</si>
  <si>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</si>
  <si>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</si>
  <si>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</si>
  <si>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</si>
  <si>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</si>
  <si>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</si>
  <si>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</si>
  <si>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</si>
  <si>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</si>
  <si>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</si>
  <si>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</si>
  <si>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</si>
  <si>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</si>
  <si>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</si>
  <si>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</si>
  <si>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</si>
  <si>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</si>
  <si>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</si>
  <si>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</si>
  <si>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</si>
  <si>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</si>
  <si>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</si>
  <si>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</si>
  <si>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</si>
  <si>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</si>
  <si>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</si>
  <si>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</si>
  <si>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</si>
  <si>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</si>
  <si>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</si>
  <si>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</si>
  <si>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</si>
  <si>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</si>
  <si>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</si>
  <si>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</si>
  <si>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</si>
  <si>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</si>
  <si>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</si>
  <si>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</si>
  <si>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</si>
  <si>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</si>
  <si>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</si>
  <si>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</si>
  <si>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</si>
  <si>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</si>
  <si>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</si>
  <si>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</si>
  <si>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</si>
  <si>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</si>
  <si>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</si>
  <si>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</si>
  <si>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</si>
  <si>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</si>
  <si>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</si>
  <si>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</si>
  <si>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</si>
  <si>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</si>
  <si>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</si>
  <si>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</si>
  <si>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</si>
  <si>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</si>
  <si>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</si>
  <si>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</si>
  <si>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</si>
  <si>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</si>
  <si>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</si>
  <si>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</si>
  <si>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</si>
  <si>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</si>
  <si>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</si>
  <si>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</si>
  <si>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</si>
  <si>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</si>
  <si>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</si>
  <si>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</si>
  <si>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</si>
  <si>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</si>
  <si>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</si>
  <si>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</si>
  <si>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</si>
  <si>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</si>
  <si>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</si>
  <si>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</si>
  <si>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</si>
  <si>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</si>
  <si>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</si>
  <si>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</si>
  <si>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</si>
  <si>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</si>
  <si>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</si>
  <si>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</si>
  <si>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</si>
  <si>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</si>
  <si>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</si>
  <si>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</si>
  <si>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</si>
  <si>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</si>
  <si>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</si>
  <si>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</si>
  <si>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</si>
  <si>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</si>
  <si>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</si>
  <si>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</si>
  <si>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</si>
  <si>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</si>
  <si>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</si>
  <si>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</si>
  <si>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</si>
  <si>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</si>
  <si>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</si>
  <si>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</si>
  <si>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</si>
  <si>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</si>
  <si>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</si>
  <si>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</si>
  <si>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</si>
  <si>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</si>
  <si>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</si>
  <si>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</si>
  <si>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</si>
  <si>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</si>
  <si>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</si>
  <si>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</si>
  <si>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</si>
  <si>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</si>
  <si>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</si>
  <si>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</si>
  <si>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</si>
  <si>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</si>
  <si>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</si>
  <si>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</si>
  <si>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</si>
  <si>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</si>
  <si>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</si>
  <si>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</si>
  <si>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</si>
  <si>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</si>
  <si>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</si>
  <si>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</si>
  <si>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</si>
  <si>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</si>
  <si>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</si>
  <si>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</si>
  <si>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</si>
  <si>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</si>
  <si>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</si>
  <si>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</si>
  <si>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</si>
  <si>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</si>
  <si>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</si>
  <si>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</si>
  <si>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</si>
  <si>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</si>
  <si>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</si>
  <si>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</si>
  <si>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</si>
  <si>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</si>
  <si>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</si>
  <si>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</si>
  <si>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</si>
  <si>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</si>
  <si>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</si>
  <si>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</si>
  <si>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</si>
  <si>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</si>
  <si>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</si>
  <si>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</si>
  <si>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</si>
  <si>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</si>
  <si>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</si>
  <si>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</si>
  <si>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</si>
  <si>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</si>
  <si>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</si>
  <si>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</si>
  <si>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</si>
  <si>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</si>
  <si>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</si>
  <si>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</si>
  <si>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</si>
  <si>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</si>
  <si>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</si>
  <si>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</si>
  <si>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</si>
  <si>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</si>
  <si>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</si>
  <si>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</si>
  <si>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</si>
  <si>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</si>
  <si>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</si>
  <si>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</si>
  <si>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</si>
  <si>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</si>
  <si>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</si>
  <si>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</si>
  <si>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</si>
  <si>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</si>
  <si>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</si>
  <si>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</si>
  <si>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</si>
  <si>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</si>
  <si>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</si>
  <si>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</si>
  <si>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</si>
  <si>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</si>
  <si>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</si>
  <si>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</si>
  <si>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</si>
  <si>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</si>
  <si>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</si>
  <si>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</si>
  <si>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</si>
  <si>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</si>
  <si>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</si>
  <si>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</si>
  <si>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</si>
  <si>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</si>
  <si>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</si>
  <si>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</si>
  <si>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</si>
  <si>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</si>
  <si>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</si>
  <si>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</si>
  <si>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</si>
  <si>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</si>
  <si>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</si>
  <si>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</si>
  <si>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</si>
  <si>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</si>
  <si>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</si>
  <si>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</si>
  <si>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</si>
  <si>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</si>
  <si>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</si>
  <si>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</si>
  <si>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</si>
  <si>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</si>
  <si>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</si>
  <si>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</si>
  <si>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</si>
  <si>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</si>
  <si>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</si>
  <si>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</si>
  <si>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</si>
  <si>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</si>
  <si>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</si>
  <si>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</si>
  <si>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</si>
  <si>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</si>
  <si>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</si>
  <si>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</si>
  <si>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</si>
  <si>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</si>
  <si>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</si>
  <si>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</si>
  <si>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</si>
  <si>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</si>
  <si>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</si>
  <si>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</si>
  <si>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</si>
  <si>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</si>
  <si>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</si>
  <si>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</si>
  <si>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</si>
  <si>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</si>
  <si>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</si>
  <si>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</si>
  <si>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</si>
  <si>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</si>
  <si>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</si>
  <si>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</si>
  <si>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</si>
  <si>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</si>
  <si>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</si>
  <si>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</si>
  <si>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</si>
  <si>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</si>
  <si>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</si>
  <si>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</si>
  <si>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</si>
  <si>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</si>
  <si>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</si>
  <si>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</si>
  <si>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</si>
  <si>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</si>
  <si>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</si>
  <si>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</si>
  <si>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</si>
  <si>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</si>
  <si>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</si>
  <si>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</si>
  <si>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</si>
  <si>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</si>
  <si>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</si>
  <si>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</si>
  <si>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</si>
  <si>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</si>
  <si>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</si>
  <si>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</si>
  <si>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</si>
  <si>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</si>
  <si>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</si>
  <si>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</si>
  <si>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</si>
  <si>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</si>
  <si>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</si>
  <si>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</si>
  <si>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</si>
  <si>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</si>
  <si>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</si>
  <si>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</si>
  <si>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</si>
  <si>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</si>
  <si>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</si>
  <si>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</si>
  <si>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</si>
  <si>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</si>
  <si>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</si>
  <si>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</si>
  <si>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</si>
  <si>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</si>
  <si>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</si>
  <si>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</si>
  <si>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</si>
  <si>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</si>
  <si>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</si>
  <si>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</si>
  <si>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</si>
  <si>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</si>
  <si>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</si>
  <si>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</si>
  <si>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</si>
  <si>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</si>
  <si>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</si>
  <si>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</si>
  <si>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</si>
  <si>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</si>
  <si>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</si>
  <si>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</si>
  <si>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</si>
  <si>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</si>
  <si>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</si>
  <si>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</si>
  <si>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</si>
  <si>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</si>
  <si>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</si>
  <si>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</si>
  <si>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</si>
  <si>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</si>
  <si>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</si>
  <si>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</si>
  <si>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</si>
  <si>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</si>
  <si>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</si>
  <si>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</si>
  <si>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</si>
  <si>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</si>
  <si>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</si>
  <si>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</si>
  <si>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</si>
  <si>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</si>
  <si>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</si>
  <si>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</si>
  <si>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</si>
  <si>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</si>
  <si>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</si>
  <si>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</si>
  <si>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</si>
  <si>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</si>
  <si>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</si>
  <si>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</si>
  <si>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</si>
  <si>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</si>
  <si>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</si>
  <si>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</si>
  <si>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</si>
  <si>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</si>
  <si>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</si>
  <si>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</si>
  <si>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</si>
  <si>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</si>
  <si>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</si>
  <si>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</si>
  <si>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</si>
  <si>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</si>
  <si>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</si>
  <si>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</si>
  <si>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</si>
  <si>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</si>
  <si>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</si>
  <si>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</si>
  <si>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</si>
  <si>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</si>
  <si>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</si>
  <si>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</si>
  <si>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</si>
  <si>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</si>
  <si>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</si>
  <si>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</si>
  <si>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</si>
  <si>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</si>
  <si>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</si>
  <si>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</si>
  <si>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</si>
  <si>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</si>
  <si>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</si>
  <si>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</si>
  <si>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</si>
  <si>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</si>
  <si>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</si>
  <si>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</si>
  <si>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</si>
  <si>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</si>
  <si>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</si>
  <si>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</si>
  <si>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</si>
  <si>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</si>
  <si>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</si>
  <si>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</si>
  <si>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</si>
  <si>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</si>
  <si>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</si>
  <si>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</si>
  <si>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</si>
  <si>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</si>
  <si>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</si>
  <si>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</si>
  <si>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</si>
  <si>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</si>
  <si>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</si>
  <si>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</si>
  <si>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</si>
  <si>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</si>
  <si>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</si>
  <si>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</si>
  <si>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</si>
  <si>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</si>
  <si>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</si>
  <si>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</si>
  <si>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</si>
  <si>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</si>
  <si>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</si>
  <si>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</si>
  <si>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</si>
  <si>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</si>
  <si>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</si>
  <si>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</si>
  <si>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</si>
  <si>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</si>
  <si>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</si>
  <si>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</si>
  <si>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</si>
  <si>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</si>
  <si>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</si>
  <si>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</si>
  <si>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</si>
  <si>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</si>
  <si>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</si>
  <si>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</si>
  <si>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</si>
  <si>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</si>
  <si>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</si>
  <si>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</si>
  <si>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</si>
  <si>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</si>
  <si>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</si>
  <si>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</si>
  <si>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</si>
  <si>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</si>
  <si>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</si>
  <si>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</si>
  <si>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</si>
  <si>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</si>
  <si>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</si>
  <si>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</si>
  <si>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</si>
  <si>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</si>
  <si>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</si>
  <si>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</si>
  <si>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</si>
  <si>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</si>
  <si>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</si>
  <si>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</si>
  <si>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</si>
  <si>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</si>
  <si>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</si>
  <si>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</si>
  <si>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</si>
  <si>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</si>
  <si>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</si>
  <si>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</si>
  <si>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</si>
  <si>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</si>
  <si>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</si>
  <si>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</si>
  <si>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</si>
  <si>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</si>
  <si>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</si>
  <si>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</si>
  <si>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</si>
  <si>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</si>
  <si>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</si>
  <si>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</si>
  <si>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</si>
  <si>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</si>
  <si>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</si>
  <si>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</si>
  <si>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</si>
  <si>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</si>
  <si>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</si>
  <si>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</si>
  <si>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</si>
  <si>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</si>
  <si>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</si>
  <si>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</si>
  <si>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</si>
  <si>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</si>
  <si>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</si>
  <si>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</si>
  <si>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</si>
  <si>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</si>
  <si>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</si>
  <si>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</si>
  <si>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</si>
  <si>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</si>
  <si>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</si>
  <si>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</si>
  <si>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</si>
  <si>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</si>
  <si>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</si>
  <si>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</si>
  <si>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</si>
  <si>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</si>
  <si>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</si>
  <si>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</si>
  <si>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</si>
  <si>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</si>
  <si>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</si>
  <si>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</si>
  <si>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</si>
  <si>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</si>
  <si>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</si>
  <si>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</si>
  <si>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</si>
  <si>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</si>
  <si>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</si>
  <si>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</si>
  <si>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</si>
  <si>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</si>
  <si>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</si>
  <si>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</si>
  <si>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</si>
  <si>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</si>
  <si>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</si>
  <si>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</si>
  <si>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</si>
  <si>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</si>
  <si>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</si>
  <si>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</si>
  <si>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</si>
  <si>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</si>
  <si>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</si>
  <si>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</si>
  <si>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</si>
  <si>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</si>
  <si>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</si>
  <si>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</si>
  <si>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</si>
  <si>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</si>
  <si>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</si>
  <si>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</si>
  <si>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</si>
  <si>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</si>
  <si>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</si>
  <si>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</si>
  <si>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</si>
  <si>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</si>
  <si>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</si>
  <si>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</si>
  <si>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</si>
  <si>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</si>
  <si>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</si>
  <si>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</si>
  <si>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</si>
  <si>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</si>
  <si>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</si>
  <si>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</si>
  <si>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</si>
  <si>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</si>
  <si>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</si>
  <si>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</si>
  <si>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</si>
  <si>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</si>
  <si>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</si>
  <si>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</si>
  <si>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</si>
  <si>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</si>
  <si>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</si>
  <si>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</si>
  <si>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</si>
  <si>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</si>
  <si>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</si>
  <si>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</si>
  <si>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</si>
  <si>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</si>
  <si>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</si>
  <si>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</si>
  <si>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</si>
  <si>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</si>
  <si>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</si>
  <si>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</si>
  <si>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</si>
  <si>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</si>
  <si>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</si>
  <si>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</si>
  <si>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</si>
  <si>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</si>
  <si>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</si>
  <si>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</si>
  <si>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</si>
  <si>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</si>
  <si>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</si>
  <si>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</si>
  <si>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</si>
  <si>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</si>
  <si>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</si>
  <si>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</si>
  <si>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</si>
  <si>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</si>
  <si>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</si>
  <si>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</si>
  <si>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</si>
  <si>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</si>
  <si>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</si>
  <si>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</si>
  <si>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</si>
  <si>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</si>
  <si>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</si>
  <si>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</si>
  <si>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</si>
  <si>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</si>
  <si>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</si>
  <si>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</si>
  <si>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</si>
  <si>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</si>
  <si>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</si>
  <si>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</si>
  <si>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</si>
  <si>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</si>
  <si>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</si>
  <si>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</si>
  <si>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</si>
  <si>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</si>
  <si>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</si>
  <si>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</si>
  <si>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</si>
  <si>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</si>
  <si>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</si>
  <si>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</si>
  <si>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</si>
  <si>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</si>
  <si>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</si>
  <si>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</si>
  <si>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</si>
  <si>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</si>
  <si>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</si>
  <si>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</si>
  <si>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</si>
  <si>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</si>
  <si>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</si>
  <si>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</si>
  <si>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</si>
  <si>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</si>
  <si>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</si>
  <si>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</si>
  <si>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</si>
  <si>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</si>
  <si>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</si>
  <si>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</si>
  <si>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</si>
  <si>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</si>
  <si>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</si>
  <si>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</si>
  <si>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</si>
  <si>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</si>
  <si>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</si>
  <si>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</si>
  <si>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</si>
  <si>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</si>
  <si>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</si>
  <si>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</si>
  <si>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</si>
  <si>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</si>
  <si>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</si>
  <si>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</si>
  <si>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</si>
  <si>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</si>
  <si>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</si>
  <si>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</si>
  <si>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</si>
  <si>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</si>
  <si>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</si>
  <si>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</si>
  <si>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</si>
  <si>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</si>
  <si>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</si>
  <si>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</si>
  <si>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</si>
  <si>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</si>
  <si>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</si>
  <si>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</si>
  <si>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</si>
  <si>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</si>
  <si>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</si>
  <si>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</si>
  <si>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</si>
  <si>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</si>
  <si>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</si>
  <si>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</si>
  <si>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</si>
  <si>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</si>
  <si>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</si>
  <si>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</si>
  <si>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</si>
  <si>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</si>
  <si>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</si>
  <si>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</si>
  <si>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</si>
  <si>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</si>
  <si>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</si>
  <si>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</si>
  <si>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</si>
  <si>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</si>
  <si>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</si>
  <si>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</si>
  <si>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</si>
  <si>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</si>
  <si>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</si>
  <si>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</si>
  <si>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</si>
  <si>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</si>
  <si>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</si>
  <si>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</si>
  <si>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</si>
  <si>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</si>
  <si>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</si>
  <si>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</si>
  <si>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</si>
  <si>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</si>
  <si>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</si>
  <si>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</si>
  <si>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</si>
  <si>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</si>
  <si>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</si>
  <si>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</si>
  <si>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</si>
  <si>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</si>
  <si>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</si>
  <si>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</si>
  <si>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</si>
  <si>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</si>
  <si>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</si>
  <si>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</si>
  <si>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</si>
  <si>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</si>
  <si>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</si>
  <si>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</si>
  <si>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</si>
  <si>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</si>
  <si>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</si>
  <si>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</si>
  <si>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</si>
  <si>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</si>
  <si>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</si>
  <si>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</si>
  <si>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</si>
  <si>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</si>
  <si>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</si>
  <si>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</si>
  <si>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</si>
  <si>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</si>
  <si>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</si>
  <si>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</si>
  <si>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</si>
  <si>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</si>
  <si>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</si>
  <si>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</si>
  <si>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</si>
  <si>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</si>
  <si>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</si>
  <si>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</si>
  <si>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</si>
  <si>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</si>
  <si>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</si>
  <si>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</si>
  <si>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</si>
  <si>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</si>
  <si>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</si>
  <si>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</si>
  <si>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</si>
  <si>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</si>
  <si>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</si>
  <si>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</si>
  <si>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</si>
  <si>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</si>
  <si>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</si>
  <si>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</si>
  <si>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</si>
  <si>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</si>
  <si>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</si>
  <si>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</si>
  <si>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</si>
  <si>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</si>
  <si>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</si>
  <si>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</si>
  <si>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</si>
  <si>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</si>
  <si>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</si>
  <si>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</si>
  <si>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</si>
  <si>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</si>
  <si>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</si>
  <si>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</si>
  <si>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</si>
  <si>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</si>
  <si>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</si>
  <si>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</si>
  <si>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</si>
  <si>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</si>
  <si>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</si>
  <si>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</si>
  <si>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</si>
  <si>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</si>
  <si>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</si>
  <si>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</si>
  <si>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</si>
  <si>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</si>
  <si>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</si>
  <si>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</si>
  <si>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</si>
  <si>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</si>
  <si>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</si>
  <si>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</si>
  <si>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</si>
  <si>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</si>
  <si>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Parede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</si>
  <si>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</si>
  <si>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</si>
  <si>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</si>
  <si>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</si>
  <si>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Função 1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</si>
  <si>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</si>
  <si>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</si>
  <si>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</si>
  <si>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</si>
  <si>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</si>
  <si>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</si>
  <si>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</si>
  <si>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</si>
  <si>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</si>
  <si>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</si>
  <si>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</si>
  <si>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</si>
  <si>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</si>
  <si>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</si>
  <si>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</si>
  <si>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</si>
  <si>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SPLV</t>
  </si>
  <si>
    <t>Declaração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</si>
  <si>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</si>
  <si>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</si>
  <si>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</si>
  <si>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</si>
  <si>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</si>
  <si>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</si>
  <si>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</si>
  <si>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</si>
  <si>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</si>
  <si>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</si>
  <si>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</si>
  <si>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</si>
  <si>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</si>
  <si>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</si>
  <si>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</si>
  <si>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</si>
  <si>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</si>
  <si>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</si>
  <si>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</si>
  <si>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</si>
  <si>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</si>
  <si>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</si>
  <si>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</si>
  <si>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</si>
  <si>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</si>
  <si>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</si>
  <si>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</si>
  <si>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</si>
  <si>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</si>
  <si>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</si>
  <si>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</si>
  <si>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</si>
  <si>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</si>
  <si>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</si>
  <si>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</si>
  <si>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</si>
  <si>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</si>
  <si>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</si>
  <si>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</si>
  <si>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</si>
  <si>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</si>
  <si>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</si>
  <si>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</si>
  <si>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</si>
  <si>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</si>
  <si>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</si>
  <si>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</si>
  <si>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</si>
  <si>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</si>
  <si>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</si>
  <si>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</si>
  <si>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</si>
  <si>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</si>
  <si>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</si>
  <si>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</si>
  <si>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</si>
  <si>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</si>
  <si>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</si>
  <si>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</si>
  <si>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</si>
  <si>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</si>
  <si>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</si>
  <si>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</si>
  <si>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</si>
  <si>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</si>
  <si>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</si>
  <si>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</si>
  <si>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</si>
  <si>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</si>
  <si>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</si>
  <si>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</si>
  <si>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</si>
  <si>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</si>
  <si>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</si>
  <si>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</si>
  <si>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</si>
  <si>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</si>
  <si>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</si>
  <si>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</si>
  <si>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</si>
  <si>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</si>
  <si>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</si>
  <si>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</si>
  <si>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</si>
  <si>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</si>
  <si>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</si>
  <si>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</si>
  <si>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</si>
  <si>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</si>
  <si>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</si>
  <si>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Não se aplica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</si>
  <si>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</si>
  <si>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</si>
  <si>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</si>
  <si>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</si>
  <si>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</si>
  <si>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</si>
  <si>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</si>
  <si>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</si>
  <si>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</si>
  <si>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</si>
  <si>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</si>
  <si>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</si>
  <si>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</si>
  <si>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</si>
  <si>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</si>
  <si>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</si>
  <si>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</si>
  <si>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</si>
  <si>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</si>
  <si>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</si>
  <si>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</si>
  <si>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</si>
  <si>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</si>
  <si>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</si>
  <si>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</si>
  <si>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</si>
  <si>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</si>
  <si>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</si>
  <si>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</si>
  <si>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</si>
  <si>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</si>
  <si>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</si>
  <si>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</si>
  <si>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</si>
  <si>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</si>
  <si>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</si>
  <si>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</si>
  <si>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</si>
  <si>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</si>
  <si>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</si>
  <si>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</si>
  <si>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</si>
  <si>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</si>
  <si>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</si>
  <si>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</si>
  <si>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</si>
  <si>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</si>
  <si>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</si>
  <si>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</si>
  <si>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</si>
  <si>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</si>
  <si>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</si>
  <si>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</si>
  <si>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</si>
  <si>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</si>
  <si>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</si>
  <si>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</si>
  <si>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</si>
  <si>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</si>
  <si>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</si>
  <si>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</si>
  <si>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</si>
  <si>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</si>
  <si>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</si>
  <si>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</si>
  <si>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</si>
  <si>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</si>
  <si>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</si>
  <si>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</si>
  <si>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</si>
  <si>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</si>
  <si>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</si>
  <si>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</si>
  <si>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</si>
  <si>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</si>
  <si>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</si>
  <si>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</si>
  <si>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</si>
  <si>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</si>
  <si>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</si>
  <si>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</si>
  <si>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</si>
  <si>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</si>
  <si>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</si>
  <si>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</si>
  <si>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</si>
  <si>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</si>
  <si>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</si>
  <si>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</si>
  <si>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</si>
  <si>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</si>
  <si>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</si>
  <si>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</si>
  <si>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</si>
  <si>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</si>
  <si>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</si>
  <si>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</si>
  <si>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</si>
  <si>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</si>
  <si>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</si>
  <si>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</si>
  <si>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</si>
  <si>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</si>
  <si>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</si>
  <si>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</si>
  <si>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</si>
  <si>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</si>
  <si>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</si>
  <si>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</si>
  <si>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</si>
  <si>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</si>
  <si>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</si>
  <si>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</si>
  <si>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</si>
  <si>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</si>
  <si>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</si>
  <si>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</si>
  <si>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</si>
  <si>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</si>
  <si>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</si>
  <si>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</si>
  <si>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</si>
  <si>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</si>
  <si>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</si>
  <si>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</si>
  <si>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</si>
  <si>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</si>
  <si>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</si>
  <si>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</si>
  <si>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</si>
  <si>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</si>
  <si>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</si>
  <si>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</si>
  <si>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</si>
  <si>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</si>
  <si>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</si>
  <si>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</si>
  <si>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</si>
  <si>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</si>
  <si>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</si>
  <si>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</si>
  <si>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</si>
  <si>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</si>
  <si>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</si>
  <si>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</si>
  <si>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</si>
  <si>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</si>
  <si>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</si>
  <si>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</si>
  <si>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</si>
  <si>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</si>
  <si>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</si>
  <si>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</si>
  <si>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</si>
  <si>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</si>
  <si>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</si>
  <si>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</si>
  <si>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</si>
  <si>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</si>
  <si>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</si>
  <si>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</si>
  <si>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</si>
  <si>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</si>
  <si>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</si>
  <si>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</si>
  <si>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</si>
  <si>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</si>
  <si>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</si>
  <si>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</si>
  <si>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</si>
  <si>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</si>
  <si>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</si>
  <si>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</si>
  <si>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</si>
  <si>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</si>
  <si>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</si>
  <si>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</si>
  <si>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</si>
  <si>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</si>
  <si>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</si>
  <si>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</si>
  <si>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</si>
  <si>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</si>
  <si>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</si>
  <si>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</si>
  <si>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</si>
  <si>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</si>
  <si>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</si>
  <si>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</si>
  <si>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</si>
  <si>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</si>
  <si>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</si>
  <si>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</si>
  <si>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</si>
  <si>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</si>
  <si>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</si>
  <si>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</si>
  <si>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</si>
  <si>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VRV 01</t>
  </si>
  <si>
    <t>IDRS</t>
  </si>
  <si>
    <t>Equipamento de  Ar-Condicionado</t>
  </si>
  <si>
    <t>Tipo de Sistema</t>
  </si>
  <si>
    <t>SCOP/ICOP</t>
  </si>
  <si>
    <t>Baixa capacidade (até 17.6kW)</t>
  </si>
  <si>
    <t>Alta capacidade (acima de 17.6kW)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</si>
  <si>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</si>
  <si>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</si>
  <si>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</si>
  <si>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</si>
  <si>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</si>
  <si>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</si>
  <si>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</si>
  <si>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</si>
  <si>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</si>
  <si>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</si>
  <si>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Sala 01 ZT1</t>
  </si>
  <si>
    <t>Sala 01 ZT2</t>
  </si>
  <si>
    <t>Sala 01 ZT3</t>
  </si>
  <si>
    <t>Sala 01 ZT4</t>
  </si>
  <si>
    <t>Sala 01 ZT5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</si>
  <si>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</si>
  <si>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</si>
  <si>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</si>
  <si>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</si>
  <si>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</si>
  <si>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</si>
  <si>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</si>
  <si>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Split 36000 BTU/h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</si>
  <si>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</si>
  <si>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</si>
  <si>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</si>
  <si>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</si>
  <si>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</si>
  <si>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</si>
  <si>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</si>
  <si>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</si>
  <si>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</si>
  <si>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</si>
  <si>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Paredes</t>
  </si>
  <si>
    <t>Coberturas</t>
  </si>
  <si>
    <t>Vidros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</si>
  <si>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</si>
  <si>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</si>
  <si>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</si>
  <si>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</si>
  <si>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</si>
  <si>
    <t>AZI</t>
  </si>
  <si>
    <t>DPE</t>
  </si>
  <si>
    <t>INF</t>
  </si>
  <si>
    <t>PESSOAS</t>
  </si>
  <si>
    <t>WWR</t>
  </si>
  <si>
    <t>hOcc</t>
  </si>
  <si>
    <t xml:space="preserve"> FloorGround</t>
  </si>
  <si>
    <t xml:space="preserve"> FloorOutdoors</t>
  </si>
  <si>
    <t xml:space="preserve"> RoofOutdoors</t>
  </si>
  <si>
    <t xml:space="preserve"> PISOisol</t>
  </si>
  <si>
    <t xml:space="preserve"> Zint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</si>
</sst>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0.000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4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/>
    <xf numFmtId="0" fontId="2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43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4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3" fontId="0" fillId="10" borderId="8" xfId="2" applyFont="1" applyFill="1" applyBorder="1" applyAlignment="1">
      <alignment horizontal="center" vertical="center" wrapText="1"/>
    </xf>
    <xf numFmtId="43" fontId="0" fillId="0" borderId="8" xfId="2" applyFont="1" applyBorder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43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3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43" fontId="0" fillId="7" borderId="26" xfId="2" applyFont="1" applyFill="1" applyBorder="1" applyAlignment="1">
      <alignment horizontal="center" vertical="center"/>
    </xf>
    <xf numFmtId="43" fontId="0" fillId="7" borderId="27" xfId="2" applyFont="1" applyFill="1" applyBorder="1" applyAlignment="1">
      <alignment horizontal="center" vertical="center"/>
    </xf>
    <xf numFmtId="43" fontId="0" fillId="7" borderId="28" xfId="2" applyFont="1" applyFill="1" applyBorder="1" applyAlignment="1">
      <alignment horizontal="center" vertical="center"/>
    </xf>
    <xf numFmtId="43" fontId="0" fillId="7" borderId="29" xfId="2" applyFont="1" applyFill="1" applyBorder="1" applyAlignment="1">
      <alignment horizontal="center" vertical="center"/>
    </xf>
    <xf numFmtId="43" fontId="0" fillId="7" borderId="30" xfId="2" applyFont="1" applyFill="1" applyBorder="1" applyAlignment="1">
      <alignment horizontal="center" vertical="center"/>
    </xf>
    <xf numFmtId="43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43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4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4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4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4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4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4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5" fontId="0" fillId="7" borderId="8" xfId="0" applyNumberFormat="1" applyFill="1" applyBorder="1" applyAlignment="1">
      <alignment horizontal="center" vertical="center"/>
    </xf>
    <xf numFmtId="43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5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6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6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4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4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4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166" fontId="0" fillId="0" borderId="8" xfId="0" applyNumberFormat="1" applyBorder="1" applyAlignment="1">
      <alignment horizontal="center" vertical="center"/>
    </xf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43" fontId="0" fillId="0" borderId="0" xfId="0" applyNumberFormat="1"/>
    <xf numFmtId="0" fontId="1" fillId="7" borderId="8" xfId="0" applyFont="1" applyFill="1" applyBorder="1" applyAlignment="1">
      <alignment vertical="center"/>
    </xf>
    <xf numFmtId="43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6" fontId="0" fillId="7" borderId="8" xfId="0" applyNumberForma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10" borderId="0" xfId="0" applyFont="1" applyFill="1" applyBorder="1"/>
    <xf numFmtId="165" fontId="2" fillId="10" borderId="0" xfId="0" applyNumberFormat="1" applyFont="1" applyFill="1" applyBorder="1"/>
    <xf numFmtId="165" fontId="0" fillId="0" borderId="0" xfId="0" applyNumberFormat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/>
    <xf numFmtId="0" fontId="2" fillId="8" borderId="1" xfId="0" applyFont="1" applyFill="1" applyBorder="1"/>
    <xf numFmtId="0" fontId="0" fillId="0" borderId="0" xfId="0" applyAlignment="1">
      <alignment horizontal="center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7" xfId="0" applyFill="1" applyBorder="1" applyAlignment="1">
      <alignment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" wrapText="1"/>
    </xf>
    <xf numFmtId="0" fontId="69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91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59994</c:v>
                </c:pt>
                <c:pt idx="1">
                  <c:v>37855.384615384617</c:v>
                </c:pt>
                <c:pt idx="2">
                  <c:v>39904.800000000003</c:v>
                </c:pt>
                <c:pt idx="3">
                  <c:v>23288.473519407678</c:v>
                </c:pt>
                <c:pt idx="4">
                  <c:v>93600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39114</c:v>
                </c:pt>
                <c:pt idx="1">
                  <c:v>12302.4</c:v>
                </c:pt>
                <c:pt idx="2">
                  <c:v>18720</c:v>
                </c:pt>
                <c:pt idx="3">
                  <c:v>19145.021877818479</c:v>
                </c:pt>
                <c:pt idx="4">
                  <c:v>93600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194648.65813479229</c:v>
                </c:pt>
                <c:pt idx="1">
                  <c:v>141767.42187781847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2BA1095E-4721-4D77-882E-D90504FE69AB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D72A719C-E9BC-9192-71ED-F1455C89969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EAA1B130-F7C4-C454-92D7-2F6E02E1288C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470647</xdr:colOff>
      <xdr:row>2</xdr:row>
      <xdr:rowOff>161305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CD01F2AB-8BF4-44FB-A9A0-B1095B6A686A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16BC21FC-3699-1AAC-C5BE-DAAE6680E66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F2080BED-9392-6A4B-A618-D8D2CB423C84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A31348BE-62B5-47BB-B127-D6ACD7E7DE7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0F0E08E4-0836-6856-A53C-03A696AA320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E10B4C2F-5F38-E921-FF77-073A3929E3D4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5"/>
  <sheetViews>
    <sheetView showGridLines="0" zoomScale="85" zoomScaleNormal="85" workbookViewId="0">
      <selection activeCell="E1" sqref="E1"/>
    </sheetView>
  </sheetViews>
  <sheetFormatPr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8"/>
    </row>
    <row r="2" spans="1:5" ht="20.100000000000001" customHeight="1" x14ac:dyDescent="0.25">
      <c r="A2"/>
      <c r="B2"/>
      <c r="C2"/>
      <c r="D2"/>
      <c r="E2" s="48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40"/>
      <c r="B5" s="41" t="s">
        <v>5854</v>
      </c>
      <c r="C5" s="40"/>
      <c r="D5" s="40"/>
      <c r="E5" s="40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74" t="s">
        <v>5873</v>
      </c>
      <c r="C7"/>
      <c r="D7"/>
      <c r="E7"/>
    </row>
    <row r="8" spans="1:5" ht="41.25" customHeight="1" x14ac:dyDescent="0.25">
      <c r="A8"/>
      <c r="B8" s="380" t="s">
        <v>5874</v>
      </c>
      <c r="C8" s="380"/>
      <c r="D8" s="380"/>
      <c r="E8"/>
    </row>
    <row r="9" spans="1:5" x14ac:dyDescent="0.25">
      <c r="A9"/>
      <c r="B9" s="243"/>
      <c r="C9" s="243"/>
      <c r="D9" s="243"/>
      <c r="E9"/>
    </row>
    <row r="10" spans="1:5" ht="15" customHeight="1" x14ac:dyDescent="0.25">
      <c r="A10"/>
      <c r="B10" s="74" t="s">
        <v>5871</v>
      </c>
      <c r="C10" s="243"/>
      <c r="D10" s="243"/>
      <c r="E10"/>
    </row>
    <row r="11" spans="1:5" ht="123" customHeight="1" x14ac:dyDescent="0.25">
      <c r="A11"/>
      <c r="B11" s="380" t="s">
        <v>6094</v>
      </c>
      <c r="C11" s="380"/>
      <c r="D11" s="380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74" t="s">
        <v>5872</v>
      </c>
      <c r="C13" s="13"/>
      <c r="D13"/>
      <c r="E13"/>
    </row>
    <row r="14" spans="1:5" ht="115.5" customHeight="1" x14ac:dyDescent="0.25">
      <c r="A14"/>
      <c r="B14" s="381" t="s">
        <v>6151</v>
      </c>
      <c r="C14" s="382"/>
      <c r="D14" s="382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35" t="s">
        <v>5870</v>
      </c>
      <c r="C16" s="13"/>
      <c r="D16" s="235" t="s">
        <v>5866</v>
      </c>
      <c r="E16"/>
    </row>
    <row r="17" spans="1:5" ht="24.95" customHeight="1" x14ac:dyDescent="0.25">
      <c r="A17"/>
      <c r="B17" s="236" t="s">
        <v>222</v>
      </c>
      <c r="C17" s="13"/>
      <c r="D17" s="244" t="s">
        <v>5868</v>
      </c>
      <c r="E17"/>
    </row>
    <row r="18" spans="1:5" ht="24.95" customHeight="1" x14ac:dyDescent="0.25">
      <c r="A18"/>
      <c r="B18" s="77" t="s">
        <v>221</v>
      </c>
      <c r="C18" s="13"/>
      <c r="D18" s="240" t="s">
        <v>6152</v>
      </c>
      <c r="E18"/>
    </row>
    <row r="19" spans="1:5" ht="24.95" customHeight="1" x14ac:dyDescent="0.25">
      <c r="A19"/>
      <c r="B19" s="237" t="s">
        <v>220</v>
      </c>
      <c r="C19" s="13"/>
      <c r="D19" s="241" t="s">
        <v>5867</v>
      </c>
      <c r="E19"/>
    </row>
    <row r="20" spans="1:5" ht="24.95" customHeight="1" x14ac:dyDescent="0.25">
      <c r="A20"/>
      <c r="B20" s="238" t="s">
        <v>5518</v>
      </c>
      <c r="C20" s="13"/>
      <c r="D20" s="242" t="s">
        <v>5869</v>
      </c>
      <c r="E20"/>
    </row>
    <row r="21" spans="1:5" ht="24.95" customHeight="1" x14ac:dyDescent="0.25">
      <c r="A21"/>
      <c r="B21" s="239" t="s">
        <v>5826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15" customHeight="1" x14ac:dyDescent="0.25">
      <c r="A23"/>
      <c r="B23" s="74" t="s">
        <v>5875</v>
      </c>
      <c r="C23" s="13"/>
      <c r="D23" s="245" t="s">
        <v>5865</v>
      </c>
      <c r="E23"/>
    </row>
    <row r="24" spans="1:5" ht="24.95" customHeight="1" x14ac:dyDescent="0.25">
      <c r="A24"/>
      <c r="B24" s="383">
        <v>44844</v>
      </c>
      <c r="C24" s="384"/>
      <c r="D24" s="384"/>
      <c r="E24"/>
    </row>
    <row r="25" spans="1:5" ht="24.95" customHeight="1" x14ac:dyDescent="0.25">
      <c r="A25"/>
      <c r="B25"/>
      <c r="C25"/>
      <c r="D25"/>
      <c r="E25"/>
    </row>
    <row r="26" spans="1:5" ht="24.95" customHeight="1" x14ac:dyDescent="0.25"/>
    <row r="27" spans="1:5" ht="24.95" customHeight="1" x14ac:dyDescent="0.25"/>
    <row r="29" spans="1:5" ht="24.95" customHeight="1" x14ac:dyDescent="0.25"/>
    <row r="30" spans="1:5" ht="24.95" customHeight="1" x14ac:dyDescent="0.25"/>
    <row r="31" spans="1:5" ht="24.95" customHeight="1" x14ac:dyDescent="0.25"/>
    <row r="32" spans="1:5" ht="24.95" customHeight="1" x14ac:dyDescent="0.25"/>
    <row r="33" ht="24.95" customHeight="1" x14ac:dyDescent="0.25"/>
    <row r="34" ht="50.1" customHeight="1" x14ac:dyDescent="0.25"/>
    <row r="35" ht="24.95" customHeight="1" x14ac:dyDescent="0.25"/>
  </sheetData>
  <protectedRanges>
    <protectedRange sqref="C8:C21" name="Resumo"/>
  </protectedRanges>
  <mergeCells count="4">
    <mergeCell ref="B11:D11"/>
    <mergeCell ref="B8:D8"/>
    <mergeCell ref="B14:D14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D1" sqref="D1"/>
    </sheetView>
  </sheetViews>
  <sheetFormatPr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8"/>
      <c r="F1" s="49"/>
      <c r="G1" s="49"/>
      <c r="H1" s="49"/>
      <c r="I1"/>
    </row>
    <row r="2" spans="1:9" ht="20.100000000000001" customHeight="1" x14ac:dyDescent="0.25">
      <c r="A2"/>
      <c r="B2"/>
      <c r="C2"/>
      <c r="D2" s="48" t="s">
        <v>223</v>
      </c>
      <c r="E2" s="151" t="s">
        <v>222</v>
      </c>
      <c r="F2" s="152" t="s">
        <v>221</v>
      </c>
      <c r="G2" s="153" t="s">
        <v>220</v>
      </c>
      <c r="H2" s="154" t="s">
        <v>5518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40"/>
      <c r="B5" s="41" t="s">
        <v>206</v>
      </c>
      <c r="C5" s="40"/>
      <c r="D5" s="40"/>
      <c r="E5" s="40"/>
      <c r="F5" s="40"/>
      <c r="G5" s="40"/>
      <c r="H5" s="40"/>
      <c r="I5" s="40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7" t="s">
        <v>184</v>
      </c>
      <c r="C7" s="86" t="str">
        <f>Geral!C7</f>
        <v>Exemplo Ltda</v>
      </c>
      <c r="D7"/>
      <c r="E7"/>
      <c r="F7"/>
      <c r="G7"/>
      <c r="H7"/>
      <c r="I7"/>
    </row>
    <row r="8" spans="1:9" ht="24.95" customHeight="1" x14ac:dyDescent="0.25">
      <c r="A8"/>
      <c r="B8" s="157" t="s">
        <v>5514</v>
      </c>
      <c r="C8" s="86" t="str">
        <f>Geral!C8</f>
        <v>xxxxxxxxxx</v>
      </c>
      <c r="D8"/>
      <c r="E8"/>
      <c r="F8"/>
      <c r="G8"/>
      <c r="H8"/>
      <c r="I8"/>
    </row>
    <row r="9" spans="1:9" s="57" customFormat="1" ht="24.95" customHeight="1" x14ac:dyDescent="0.25">
      <c r="A9" s="13"/>
      <c r="B9" s="157" t="s">
        <v>5515</v>
      </c>
      <c r="C9" s="86" t="str">
        <f>Geral!C9</f>
        <v>Exemplo Ltda</v>
      </c>
      <c r="D9" s="13"/>
      <c r="E9" s="13"/>
      <c r="F9" s="13"/>
      <c r="G9" s="13"/>
      <c r="H9" s="13"/>
      <c r="I9" s="13"/>
    </row>
    <row r="10" spans="1:9" s="57" customFormat="1" ht="24.95" customHeight="1" x14ac:dyDescent="0.25">
      <c r="A10" s="13"/>
      <c r="B10" s="157" t="s">
        <v>135</v>
      </c>
      <c r="C10" s="86" t="str">
        <f>Geral!C10</f>
        <v>Projeto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7" t="s">
        <v>227</v>
      </c>
      <c r="C11" s="86" t="str">
        <f>Geral!C11</f>
        <v>SC</v>
      </c>
      <c r="D11"/>
      <c r="E11"/>
      <c r="F11"/>
      <c r="G11"/>
      <c r="H11"/>
      <c r="I11"/>
    </row>
    <row r="12" spans="1:9" ht="24.95" customHeight="1" x14ac:dyDescent="0.25">
      <c r="A12"/>
      <c r="B12" s="157" t="s">
        <v>224</v>
      </c>
      <c r="C12" s="86" t="str">
        <f>Geral!C12</f>
        <v>Florianópolis</v>
      </c>
      <c r="D12"/>
      <c r="E12"/>
      <c r="F12"/>
      <c r="G12"/>
      <c r="H12"/>
      <c r="I12"/>
    </row>
    <row r="13" spans="1:9" ht="24.95" customHeight="1" x14ac:dyDescent="0.25">
      <c r="A13"/>
      <c r="B13" s="157" t="s">
        <v>6138</v>
      </c>
      <c r="C13" s="86" t="str">
        <f>Geral!C13</f>
        <v>Sistema Interligado Nacional</v>
      </c>
      <c r="D13"/>
      <c r="E13"/>
      <c r="F13"/>
      <c r="G13"/>
      <c r="H13"/>
      <c r="I13"/>
    </row>
    <row r="14" spans="1:9" ht="24.95" customHeight="1" x14ac:dyDescent="0.25">
      <c r="A14"/>
      <c r="B14" s="157" t="s">
        <v>226</v>
      </c>
      <c r="C14" s="86">
        <f>Geral!C14</f>
        <v>3</v>
      </c>
      <c r="D14"/>
      <c r="E14"/>
      <c r="F14"/>
      <c r="G14"/>
      <c r="H14"/>
      <c r="I14"/>
    </row>
    <row r="15" spans="1:9" ht="24.95" customHeight="1" x14ac:dyDescent="0.25">
      <c r="A15"/>
      <c r="B15" s="157" t="s">
        <v>225</v>
      </c>
      <c r="C15" s="86">
        <f>Geral!C15</f>
        <v>1500</v>
      </c>
      <c r="D15"/>
      <c r="E15"/>
      <c r="F15"/>
      <c r="G15"/>
      <c r="H15"/>
      <c r="I15"/>
    </row>
    <row r="16" spans="1:9" ht="24.95" customHeight="1" x14ac:dyDescent="0.25">
      <c r="A16"/>
      <c r="B16" s="157" t="s">
        <v>228</v>
      </c>
      <c r="C16" s="83" t="str">
        <f>Geral!C16</f>
        <v>Escritórios</v>
      </c>
      <c r="D16"/>
      <c r="E16"/>
      <c r="F16"/>
      <c r="G16"/>
      <c r="H16"/>
      <c r="I16"/>
    </row>
    <row r="17" spans="1:14" ht="24.95" customHeight="1" x14ac:dyDescent="0.25">
      <c r="A17"/>
      <c r="B17" s="157" t="s">
        <v>6136</v>
      </c>
      <c r="C17" s="369">
        <f>Geral!C17</f>
        <v>0.49333333333333335</v>
      </c>
      <c r="D17"/>
      <c r="E17"/>
      <c r="F17"/>
      <c r="G17"/>
      <c r="H17"/>
      <c r="I17"/>
    </row>
    <row r="18" spans="1:14" ht="24.95" customHeight="1" x14ac:dyDescent="0.25">
      <c r="A18"/>
      <c r="B18"/>
      <c r="C18"/>
      <c r="D18"/>
      <c r="E18"/>
      <c r="F18"/>
      <c r="G18"/>
      <c r="H18"/>
      <c r="I18"/>
    </row>
    <row r="19" spans="1:14" ht="24.95" customHeight="1" x14ac:dyDescent="0.25">
      <c r="A19"/>
      <c r="B19" s="75" t="s">
        <v>5863</v>
      </c>
      <c r="C19" s="86">
        <f>Geral!C22</f>
        <v>15</v>
      </c>
      <c r="D19"/>
      <c r="E19"/>
      <c r="F19"/>
      <c r="G19"/>
      <c r="H19"/>
      <c r="I19"/>
    </row>
    <row r="20" spans="1:14" ht="15" customHeight="1" x14ac:dyDescent="0.25">
      <c r="A20"/>
      <c r="B20"/>
      <c r="C20"/>
      <c r="D20"/>
      <c r="E20"/>
      <c r="F20"/>
      <c r="G20"/>
      <c r="H20"/>
      <c r="I20"/>
    </row>
    <row r="21" spans="1:14" ht="18.75" x14ac:dyDescent="0.3">
      <c r="A21" s="40"/>
      <c r="B21" s="41" t="s">
        <v>5853</v>
      </c>
      <c r="C21" s="40"/>
      <c r="D21" s="40"/>
      <c r="E21" s="40"/>
      <c r="F21" s="40"/>
      <c r="G21" s="40"/>
      <c r="H21" s="40"/>
      <c r="I21" s="40"/>
    </row>
    <row r="22" spans="1:14" ht="15" customHeight="1" x14ac:dyDescent="0.25">
      <c r="A22"/>
      <c r="B22"/>
      <c r="C22"/>
      <c r="D22"/>
      <c r="E22"/>
      <c r="F22"/>
      <c r="G22"/>
      <c r="H22"/>
      <c r="I22"/>
    </row>
    <row r="23" spans="1:14" ht="24.95" customHeight="1" x14ac:dyDescent="0.25">
      <c r="A23"/>
      <c r="B23"/>
      <c r="C23" s="160" t="s">
        <v>5850</v>
      </c>
      <c r="D23" s="85">
        <f>SUM(Aux_Lista!BL:BL)</f>
        <v>0.35</v>
      </c>
      <c r="E23"/>
      <c r="F23"/>
      <c r="G23"/>
      <c r="H23"/>
      <c r="I23"/>
    </row>
    <row r="24" spans="1:14" ht="5.0999999999999996" customHeight="1" x14ac:dyDescent="0.25">
      <c r="A24"/>
      <c r="B24"/>
      <c r="C24"/>
      <c r="D24"/>
      <c r="E24"/>
      <c r="F24"/>
      <c r="G24"/>
      <c r="H24"/>
      <c r="I24"/>
    </row>
    <row r="25" spans="1:14" ht="24.95" customHeight="1" x14ac:dyDescent="0.25">
      <c r="A25"/>
      <c r="B25"/>
      <c r="C25" s="160" t="s">
        <v>5820</v>
      </c>
      <c r="D25" s="85">
        <f>D23/3</f>
        <v>0.11666666666666665</v>
      </c>
      <c r="E25"/>
      <c r="F25"/>
      <c r="G25"/>
      <c r="H25"/>
      <c r="I25"/>
    </row>
    <row r="26" spans="1:14" ht="24.95" customHeight="1" x14ac:dyDescent="0.25">
      <c r="A26"/>
      <c r="B26"/>
      <c r="C26"/>
      <c r="D26"/>
      <c r="E26"/>
      <c r="F26"/>
      <c r="G26"/>
      <c r="H26"/>
      <c r="I26"/>
    </row>
    <row r="27" spans="1:14" ht="24.95" customHeight="1" x14ac:dyDescent="0.25">
      <c r="A27"/>
      <c r="B27"/>
      <c r="C27" s="59"/>
      <c r="D27" s="142" t="s">
        <v>34</v>
      </c>
      <c r="E27" s="143" t="s">
        <v>25</v>
      </c>
      <c r="F27" s="144" t="s">
        <v>118</v>
      </c>
      <c r="G27" s="145" t="s">
        <v>5766</v>
      </c>
      <c r="H27" s="146" t="s">
        <v>5767</v>
      </c>
      <c r="I27"/>
    </row>
    <row r="28" spans="1:14" ht="24.95" customHeight="1" x14ac:dyDescent="0.25">
      <c r="A28"/>
      <c r="B28"/>
      <c r="C28" s="75" t="s">
        <v>5771</v>
      </c>
      <c r="D28" s="85" t="s">
        <v>14</v>
      </c>
      <c r="E28" s="85">
        <f>D29</f>
        <v>0.35</v>
      </c>
      <c r="F28" s="85">
        <f>E29</f>
        <v>0.23333333333333331</v>
      </c>
      <c r="G28" s="85">
        <f>F29</f>
        <v>0.11666666666666665</v>
      </c>
      <c r="H28" s="85">
        <f>G29</f>
        <v>0</v>
      </c>
      <c r="I28"/>
    </row>
    <row r="29" spans="1:14" ht="24.95" customHeight="1" x14ac:dyDescent="0.25">
      <c r="A29"/>
      <c r="B29"/>
      <c r="C29" s="75" t="s">
        <v>5770</v>
      </c>
      <c r="D29" s="85">
        <f>D25*3</f>
        <v>0.35</v>
      </c>
      <c r="E29" s="85">
        <f>D25*2</f>
        <v>0.23333333333333331</v>
      </c>
      <c r="F29" s="85">
        <f>D25</f>
        <v>0.11666666666666665</v>
      </c>
      <c r="G29" s="85">
        <v>0</v>
      </c>
      <c r="H29" s="85" t="s">
        <v>14</v>
      </c>
      <c r="I29"/>
    </row>
    <row r="30" spans="1:14" ht="24.95" customHeight="1" x14ac:dyDescent="0.25">
      <c r="A30"/>
      <c r="B30"/>
      <c r="C30"/>
      <c r="D30"/>
      <c r="E30"/>
      <c r="F30"/>
      <c r="G30"/>
      <c r="H30"/>
      <c r="I30"/>
    </row>
    <row r="31" spans="1:14" ht="24.95" customHeight="1" x14ac:dyDescent="0.35">
      <c r="A31"/>
      <c r="B31"/>
      <c r="C31" s="264" t="s">
        <v>6003</v>
      </c>
      <c r="D31"/>
      <c r="E31">
        <v>197414</v>
      </c>
      <c r="F31" s="368">
        <f>E31-E39</f>
        <v>55646.578122181527</v>
      </c>
      <c r="G31"/>
      <c r="H31"/>
      <c r="I31"/>
      <c r="J31" s="264" t="s">
        <v>6126</v>
      </c>
      <c r="K31" s="264"/>
      <c r="L31" s="264"/>
      <c r="M31" s="264"/>
      <c r="N31" s="264"/>
    </row>
    <row r="32" spans="1:14" ht="48" x14ac:dyDescent="0.25">
      <c r="A32"/>
      <c r="B32"/>
      <c r="C32" s="344" t="s">
        <v>76</v>
      </c>
      <c r="D32" s="345" t="s">
        <v>6013</v>
      </c>
      <c r="E32" s="345" t="s">
        <v>6014</v>
      </c>
      <c r="F32" s="346" t="s">
        <v>5816</v>
      </c>
      <c r="G32" s="345" t="s">
        <v>5817</v>
      </c>
      <c r="H32" s="347"/>
      <c r="I32" s="347"/>
      <c r="J32" s="344" t="s">
        <v>76</v>
      </c>
      <c r="K32" s="345" t="s">
        <v>6128</v>
      </c>
      <c r="L32" s="346" t="s">
        <v>6127</v>
      </c>
      <c r="M32" s="348" t="s">
        <v>5816</v>
      </c>
      <c r="N32" s="59"/>
    </row>
    <row r="33" spans="1:14" ht="24.95" customHeight="1" x14ac:dyDescent="0.25">
      <c r="A33"/>
      <c r="B33"/>
      <c r="C33" s="349" t="s">
        <v>6012</v>
      </c>
      <c r="D33" s="228">
        <f>Envoltória!C10</f>
        <v>59994</v>
      </c>
      <c r="E33" s="228">
        <f>Envoltória!C11</f>
        <v>39114</v>
      </c>
      <c r="F33" s="229">
        <f>Envoltória!C12</f>
        <v>0.34803480348034804</v>
      </c>
      <c r="G33" s="159" t="str">
        <f>Envoltória!C13</f>
        <v>A</v>
      </c>
      <c r="H33"/>
      <c r="I33"/>
      <c r="J33" s="349" t="s">
        <v>3</v>
      </c>
      <c r="K33" s="228" t="s">
        <v>14</v>
      </c>
      <c r="L33" s="229" t="s">
        <v>14</v>
      </c>
      <c r="M33" s="350" t="s">
        <v>14</v>
      </c>
      <c r="N33" s="59"/>
    </row>
    <row r="34" spans="1:14" ht="24.95" customHeight="1" x14ac:dyDescent="0.25">
      <c r="A34"/>
      <c r="B34"/>
      <c r="C34" s="349" t="s">
        <v>5818</v>
      </c>
      <c r="D34" s="228">
        <f>ArCondicionado!C10*Aux_Lista!AM2</f>
        <v>37855.384615384617</v>
      </c>
      <c r="E34" s="228">
        <f>ArCondicionado!C11*Aux_Lista!AM2</f>
        <v>12302.4</v>
      </c>
      <c r="F34" s="229">
        <f>ArCondicionado!C12</f>
        <v>0.67501584979273344</v>
      </c>
      <c r="G34" s="159" t="str">
        <f>ArCondicionado!C13</f>
        <v>A</v>
      </c>
      <c r="H34"/>
      <c r="I34"/>
      <c r="J34" s="349" t="s">
        <v>5818</v>
      </c>
      <c r="K34" s="228">
        <f>D34*Aux_Lista!$AT$2</f>
        <v>3406.9846153846156</v>
      </c>
      <c r="L34" s="228">
        <f>E34*Aux_Lista!AT2</f>
        <v>1107.2159999999999</v>
      </c>
      <c r="M34" s="350">
        <f>(1-L34/K34)</f>
        <v>0.67501584979273355</v>
      </c>
      <c r="N34" s="59"/>
    </row>
    <row r="35" spans="1:14" ht="24.95" customHeight="1" x14ac:dyDescent="0.25">
      <c r="A35"/>
      <c r="B35"/>
      <c r="C35" s="349" t="s">
        <v>16</v>
      </c>
      <c r="D35" s="228">
        <f>Iluminação!C10*Aux_Lista!AM2</f>
        <v>39904.800000000003</v>
      </c>
      <c r="E35" s="228">
        <f>Iluminação!C11*Aux_Lista!AM2</f>
        <v>18720</v>
      </c>
      <c r="F35" s="229">
        <f>Iluminação!C12</f>
        <v>0.53088350273651286</v>
      </c>
      <c r="G35" s="159" t="str">
        <f>Iluminação!C13</f>
        <v>A</v>
      </c>
      <c r="H35"/>
      <c r="I35"/>
      <c r="J35" s="349" t="s">
        <v>16</v>
      </c>
      <c r="K35" s="228">
        <f>D35*Aux_Lista!$AT$2</f>
        <v>3591.4320000000002</v>
      </c>
      <c r="L35" s="228">
        <f>E35*Aux_Lista!AT2</f>
        <v>1684.8</v>
      </c>
      <c r="M35" s="350">
        <f t="shared" ref="M35:M37" si="0">(1-L35/K35)</f>
        <v>0.53088350273651297</v>
      </c>
      <c r="N35" s="59"/>
    </row>
    <row r="36" spans="1:14" ht="24.95" customHeight="1" x14ac:dyDescent="0.25">
      <c r="A36" s="460" t="str">
        <f>IF(ISERROR(D36),"Conferir a cidade na aba Aquecimento de água!","")</f>
        <v/>
      </c>
      <c r="B36" s="461"/>
      <c r="C36" s="349" t="s">
        <v>17</v>
      </c>
      <c r="D36" s="228">
        <f>AquecimentoÁgua!C10</f>
        <v>23288.473519407678</v>
      </c>
      <c r="E36" s="228">
        <f>AquecimentoÁgua!C11</f>
        <v>19145.021877818479</v>
      </c>
      <c r="F36" s="229">
        <f>AquecimentoÁgua!C12</f>
        <v>0.17791855864388076</v>
      </c>
      <c r="G36" s="159" t="str">
        <f>AquecimentoÁgua!C13</f>
        <v>B</v>
      </c>
      <c r="H36"/>
      <c r="I36"/>
      <c r="J36" s="349" t="s">
        <v>17</v>
      </c>
      <c r="K36" s="228">
        <f>D36*Aux_Lista!$AT$2</f>
        <v>2095.9626167466909</v>
      </c>
      <c r="L36" s="228">
        <f>AquecimentoÁgua!F12+AquecimentoÁgua!F13</f>
        <v>1723.0519690036631</v>
      </c>
      <c r="M36" s="350">
        <f t="shared" si="0"/>
        <v>0.17791855864388073</v>
      </c>
      <c r="N36" s="59"/>
    </row>
    <row r="37" spans="1:14" ht="24.95" customHeight="1" x14ac:dyDescent="0.25">
      <c r="A37"/>
      <c r="B37"/>
      <c r="C37" s="349" t="s">
        <v>5859</v>
      </c>
      <c r="D37" s="228">
        <f>IF(Envoltória!C9="Método Simplificado",(C15*C19*VLOOKUP(C16,Aux_Lista!A:K,10,FALSE)*VLOOKUP(C16,Aux_Lista!A:K,11,FALSE)/1000)*Aux_Lista!AM2,Opc_Simulação!AD12*Aux_Lista!AM2)</f>
        <v>93600</v>
      </c>
      <c r="E37" s="228">
        <f>IF(Envoltória!C9="Método Simplificado",(C15*C19*VLOOKUP(C16,Aux_Lista!A:K,10,FALSE)*VLOOKUP(C16,Aux_Lista!A:K,11,FALSE)/1000)*Aux_Lista!AM2,Opc_Simulação!AD12*Aux_Lista!AM2)</f>
        <v>93600</v>
      </c>
      <c r="F37" s="229" t="s">
        <v>14</v>
      </c>
      <c r="G37" s="233" t="s">
        <v>14</v>
      </c>
      <c r="H37"/>
      <c r="I37"/>
      <c r="J37" s="349" t="s">
        <v>5859</v>
      </c>
      <c r="K37" s="228">
        <f>D37*Aux_Lista!$AT$2</f>
        <v>8424</v>
      </c>
      <c r="L37" s="228">
        <f>E37*Aux_Lista!AT2</f>
        <v>8424</v>
      </c>
      <c r="M37" s="350">
        <f t="shared" si="0"/>
        <v>0</v>
      </c>
      <c r="N37" s="59"/>
    </row>
    <row r="38" spans="1:14" ht="24.95" customHeight="1" x14ac:dyDescent="0.25">
      <c r="A38"/>
      <c r="B38"/>
      <c r="C38" s="349" t="s">
        <v>19</v>
      </c>
      <c r="D38" s="230" t="s">
        <v>14</v>
      </c>
      <c r="E38" s="231">
        <f>-Opc_Geração!C10</f>
        <v>-2000</v>
      </c>
      <c r="F38" s="232" t="s">
        <v>14</v>
      </c>
      <c r="G38" s="233" t="s">
        <v>14</v>
      </c>
      <c r="H38"/>
      <c r="I38"/>
      <c r="J38" s="349" t="s">
        <v>19</v>
      </c>
      <c r="K38" s="231" t="s">
        <v>14</v>
      </c>
      <c r="L38" s="228">
        <f>-E38*Aux_Lista!AT3</f>
        <v>1506</v>
      </c>
      <c r="M38" s="350" t="s">
        <v>14</v>
      </c>
      <c r="N38" s="59"/>
    </row>
    <row r="39" spans="1:14" ht="50.1" customHeight="1" x14ac:dyDescent="0.25">
      <c r="A39"/>
      <c r="B39"/>
      <c r="C39" s="359" t="s">
        <v>5819</v>
      </c>
      <c r="D39" s="351">
        <f>SUM(D34:D37)</f>
        <v>194648.65813479229</v>
      </c>
      <c r="E39" s="351">
        <f>SUM(E34:E37)+E38</f>
        <v>141767.42187781847</v>
      </c>
      <c r="F39" s="352">
        <f>(D39-E39)/D39</f>
        <v>0.27167531882163853</v>
      </c>
      <c r="G39" s="353" t="str">
        <f>IF(F39&gt;=D29,D27,IF(F39&gt;=E29,E27,IF(F39&gt;=F29,F27,IF(F39&gt;=G29,G27,H27))))</f>
        <v>B</v>
      </c>
      <c r="H39" s="354"/>
      <c r="I39" s="354"/>
      <c r="J39" s="359" t="s">
        <v>6125</v>
      </c>
      <c r="K39" s="351">
        <f>SUM(K34:K38)</f>
        <v>17518.379232131309</v>
      </c>
      <c r="L39" s="351">
        <f>SUM(L34:L38)</f>
        <v>14445.067969003663</v>
      </c>
      <c r="M39" s="355">
        <f>(K39-L39)/K39</f>
        <v>0.17543353882251483</v>
      </c>
      <c r="N39" s="59"/>
    </row>
    <row r="40" spans="1:14" ht="24.95" customHeight="1" x14ac:dyDescent="0.25">
      <c r="A40"/>
      <c r="B40"/>
      <c r="C40"/>
      <c r="D40" s="89"/>
      <c r="E40" s="89"/>
      <c r="F40"/>
      <c r="G40"/>
      <c r="H40"/>
      <c r="I40"/>
      <c r="J40" s="59"/>
      <c r="K40" s="59"/>
      <c r="L40" s="59"/>
      <c r="M40" s="59"/>
      <c r="N40" s="59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Aux_Lista!$BR$2:$BR$3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D61"/>
  <sheetViews>
    <sheetView showGridLines="0" zoomScale="85" zoomScaleNormal="85" workbookViewId="0">
      <selection activeCell="C12" sqref="C12"/>
    </sheetView>
  </sheetViews>
  <sheetFormatPr defaultRowHeight="15" x14ac:dyDescent="0.25"/>
  <cols>
    <col min="1" max="1" width="5.7109375" customWidth="1"/>
    <col min="2" max="5" width="20.7109375" customWidth="1"/>
    <col min="6" max="6" width="2.7109375" customWidth="1"/>
    <col min="7" max="10" width="20.7109375" customWidth="1"/>
    <col min="11" max="11" width="2.7109375" customWidth="1"/>
    <col min="12" max="14" width="20.7109375" customWidth="1"/>
    <col min="15" max="15" width="2.7109375" customWidth="1"/>
    <col min="16" max="16" width="20.7109375" customWidth="1"/>
    <col min="17" max="17" width="33.85546875" customWidth="1"/>
    <col min="18" max="20" width="20.7109375" customWidth="1"/>
    <col min="21" max="21" width="24.85546875" customWidth="1"/>
    <col min="22" max="22" width="2.7109375" customWidth="1"/>
    <col min="23" max="16384" width="9.140625" style="28"/>
  </cols>
  <sheetData>
    <row r="1" spans="1:30" ht="20.100000000000001" customHeight="1" x14ac:dyDescent="0.25">
      <c r="G1" s="48"/>
      <c r="H1" s="49"/>
      <c r="I1" s="49"/>
      <c r="J1" s="49"/>
    </row>
    <row r="2" spans="1:30" ht="20.100000000000001" customHeight="1" x14ac:dyDescent="0.25">
      <c r="G2" s="48" t="s">
        <v>223</v>
      </c>
      <c r="H2" s="151" t="s">
        <v>222</v>
      </c>
      <c r="I2" s="152" t="s">
        <v>221</v>
      </c>
      <c r="J2" s="195" t="s">
        <v>220</v>
      </c>
      <c r="K2" s="464" t="s">
        <v>5518</v>
      </c>
      <c r="L2" s="465"/>
    </row>
    <row r="3" spans="1:30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30" x14ac:dyDescent="0.25">
      <c r="G4" s="1"/>
      <c r="H4" s="1"/>
      <c r="I4" s="1"/>
      <c r="J4" s="1"/>
      <c r="K4" s="1"/>
      <c r="L4" s="1"/>
      <c r="P4" s="1"/>
      <c r="Q4" s="1"/>
    </row>
    <row r="5" spans="1:30" ht="18.75" x14ac:dyDescent="0.3">
      <c r="A5" s="40"/>
      <c r="B5" s="41" t="s">
        <v>5821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2"/>
      <c r="X5" s="42"/>
      <c r="Y5" s="42"/>
      <c r="Z5" s="42"/>
      <c r="AA5" s="42"/>
      <c r="AB5" s="42"/>
      <c r="AC5" s="42"/>
      <c r="AD5" s="42"/>
    </row>
    <row r="6" spans="1:30" ht="15" customHeight="1" x14ac:dyDescent="0.25">
      <c r="G6" s="1"/>
      <c r="H6" s="1"/>
      <c r="I6" s="1"/>
      <c r="J6" s="1"/>
      <c r="K6" s="1"/>
      <c r="L6" s="1"/>
      <c r="P6" s="1"/>
      <c r="Q6" s="1"/>
    </row>
    <row r="7" spans="1:30" ht="30" customHeight="1" x14ac:dyDescent="0.25">
      <c r="B7" s="75" t="s">
        <v>184</v>
      </c>
      <c r="C7" s="76" t="str">
        <f>Geral!C7</f>
        <v>Exemplo Ltda</v>
      </c>
      <c r="G7" s="1"/>
      <c r="H7" s="1"/>
      <c r="I7" s="1"/>
      <c r="J7" s="1"/>
      <c r="K7" s="1"/>
      <c r="L7" s="1"/>
      <c r="P7" s="1"/>
      <c r="Q7" s="1"/>
    </row>
    <row r="8" spans="1:30" ht="30" customHeight="1" x14ac:dyDescent="0.25">
      <c r="B8" s="75" t="s">
        <v>135</v>
      </c>
      <c r="C8" s="76" t="str">
        <f>Geral!C10</f>
        <v>Projeto</v>
      </c>
      <c r="G8" s="1"/>
      <c r="H8" s="1"/>
      <c r="I8" s="1"/>
      <c r="J8" s="1"/>
      <c r="K8" s="1"/>
      <c r="L8" s="1"/>
      <c r="P8" s="1"/>
      <c r="Q8" s="1"/>
      <c r="R8" s="89"/>
    </row>
    <row r="10" spans="1:30" ht="20.100000000000001" customHeight="1" x14ac:dyDescent="0.25">
      <c r="B10" s="431" t="s">
        <v>6154</v>
      </c>
      <c r="C10" s="462"/>
      <c r="D10" s="462"/>
      <c r="E10" s="463"/>
      <c r="G10" s="431" t="s">
        <v>6155</v>
      </c>
      <c r="H10" s="462"/>
      <c r="I10" s="462"/>
      <c r="J10" s="463"/>
      <c r="L10" s="431" t="s">
        <v>6156</v>
      </c>
      <c r="M10" s="462"/>
      <c r="N10" s="463"/>
      <c r="P10" s="431" t="s">
        <v>6157</v>
      </c>
      <c r="Q10" s="462"/>
      <c r="R10" s="462"/>
      <c r="S10" s="462"/>
      <c r="T10" s="462"/>
      <c r="U10" s="463"/>
    </row>
    <row r="11" spans="1:30" ht="35.1" customHeight="1" x14ac:dyDescent="0.25">
      <c r="B11" s="92" t="s">
        <v>5516</v>
      </c>
      <c r="C11" s="93" t="s">
        <v>198</v>
      </c>
      <c r="D11" s="93" t="s">
        <v>199</v>
      </c>
      <c r="E11" s="94" t="s">
        <v>200</v>
      </c>
      <c r="G11" s="92" t="s">
        <v>5516</v>
      </c>
      <c r="H11" s="93" t="s">
        <v>198</v>
      </c>
      <c r="I11" s="93" t="s">
        <v>199</v>
      </c>
      <c r="J11" s="94" t="s">
        <v>200</v>
      </c>
      <c r="L11" s="92" t="s">
        <v>5516</v>
      </c>
      <c r="M11" s="93" t="s">
        <v>198</v>
      </c>
      <c r="N11" s="94" t="s">
        <v>201</v>
      </c>
      <c r="P11" s="92" t="s">
        <v>5516</v>
      </c>
      <c r="Q11" s="93" t="s">
        <v>6117</v>
      </c>
      <c r="R11" s="93" t="s">
        <v>6153</v>
      </c>
      <c r="S11" s="93" t="s">
        <v>6113</v>
      </c>
      <c r="T11" s="93" t="s">
        <v>6112</v>
      </c>
      <c r="U11" s="94" t="s">
        <v>6107</v>
      </c>
    </row>
    <row r="12" spans="1:30" s="30" customFormat="1" ht="20.100000000000001" customHeight="1" x14ac:dyDescent="0.25">
      <c r="A12" s="2"/>
      <c r="B12" s="95" t="s">
        <v>5519</v>
      </c>
      <c r="C12" s="96">
        <v>2.39</v>
      </c>
      <c r="D12" s="96">
        <v>150</v>
      </c>
      <c r="E12" s="97">
        <v>0.5</v>
      </c>
      <c r="F12" s="2"/>
      <c r="G12" s="95" t="s">
        <v>5519</v>
      </c>
      <c r="H12" s="96">
        <v>2.06</v>
      </c>
      <c r="I12" s="96">
        <v>233</v>
      </c>
      <c r="J12" s="97">
        <v>0.8</v>
      </c>
      <c r="K12" s="2"/>
      <c r="L12" s="95" t="s">
        <v>5519</v>
      </c>
      <c r="M12" s="96">
        <v>5.7</v>
      </c>
      <c r="N12" s="97">
        <v>0.82</v>
      </c>
      <c r="O12" s="2"/>
      <c r="P12" s="95" t="s">
        <v>6143</v>
      </c>
      <c r="Q12" s="334" t="s">
        <v>6119</v>
      </c>
      <c r="R12" s="114">
        <f>36000*0.2929/1000</f>
        <v>10.5444</v>
      </c>
      <c r="S12" s="334" t="s">
        <v>6115</v>
      </c>
      <c r="T12" s="96">
        <v>6</v>
      </c>
      <c r="U12" s="335">
        <v>45</v>
      </c>
      <c r="V12" s="2"/>
    </row>
    <row r="13" spans="1:30" s="30" customFormat="1" ht="20.100000000000001" customHeight="1" x14ac:dyDescent="0.25">
      <c r="A13" s="2"/>
      <c r="B13" s="95"/>
      <c r="C13" s="96"/>
      <c r="D13" s="96"/>
      <c r="E13" s="97"/>
      <c r="F13" s="2"/>
      <c r="G13" s="95"/>
      <c r="H13" s="96"/>
      <c r="I13" s="96"/>
      <c r="J13" s="97"/>
      <c r="K13" s="2"/>
      <c r="L13" s="95"/>
      <c r="M13" s="96"/>
      <c r="N13" s="97"/>
      <c r="O13" s="2"/>
      <c r="P13" s="95" t="s">
        <v>6114</v>
      </c>
      <c r="Q13" s="334" t="s">
        <v>6120</v>
      </c>
      <c r="R13" s="96">
        <v>25</v>
      </c>
      <c r="S13" s="334" t="s">
        <v>5823</v>
      </c>
      <c r="T13" s="96">
        <v>7</v>
      </c>
      <c r="U13" s="335">
        <v>45</v>
      </c>
      <c r="V13" s="2"/>
    </row>
    <row r="14" spans="1:30" s="30" customFormat="1" ht="20.100000000000001" customHeight="1" x14ac:dyDescent="0.25">
      <c r="A14" s="2"/>
      <c r="B14" s="95"/>
      <c r="C14" s="96"/>
      <c r="D14" s="96"/>
      <c r="E14" s="97"/>
      <c r="F14" s="2"/>
      <c r="G14" s="95"/>
      <c r="H14" s="96"/>
      <c r="I14" s="96"/>
      <c r="J14" s="97"/>
      <c r="K14" s="2"/>
      <c r="L14" s="95"/>
      <c r="M14" s="96"/>
      <c r="N14" s="97"/>
      <c r="O14" s="2"/>
      <c r="P14" s="95"/>
      <c r="Q14" s="334"/>
      <c r="R14" s="114"/>
      <c r="S14" s="334"/>
      <c r="T14" s="96"/>
      <c r="U14" s="335"/>
      <c r="V14" s="2"/>
    </row>
    <row r="15" spans="1:30" s="30" customFormat="1" ht="20.100000000000001" customHeight="1" x14ac:dyDescent="0.25">
      <c r="A15" s="2"/>
      <c r="B15" s="95"/>
      <c r="C15" s="96"/>
      <c r="D15" s="96"/>
      <c r="E15" s="97"/>
      <c r="F15" s="2"/>
      <c r="G15" s="95"/>
      <c r="H15" s="96"/>
      <c r="I15" s="96"/>
      <c r="J15" s="97"/>
      <c r="K15" s="2"/>
      <c r="L15" s="95"/>
      <c r="M15" s="96"/>
      <c r="N15" s="97"/>
      <c r="O15" s="2"/>
      <c r="P15" s="95"/>
      <c r="Q15" s="334"/>
      <c r="R15" s="96"/>
      <c r="S15" s="334"/>
      <c r="T15" s="96"/>
      <c r="U15" s="335"/>
      <c r="V15" s="2"/>
    </row>
    <row r="16" spans="1:30" s="30" customFormat="1" ht="20.100000000000001" customHeight="1" x14ac:dyDescent="0.25">
      <c r="A16" s="2"/>
      <c r="B16" s="95"/>
      <c r="C16" s="96"/>
      <c r="D16" s="96"/>
      <c r="E16" s="97"/>
      <c r="F16" s="2"/>
      <c r="G16" s="95"/>
      <c r="H16" s="96"/>
      <c r="I16" s="96"/>
      <c r="J16" s="97"/>
      <c r="K16" s="2"/>
      <c r="L16" s="95"/>
      <c r="M16" s="96"/>
      <c r="N16" s="97"/>
      <c r="O16" s="2"/>
      <c r="P16" s="95"/>
      <c r="Q16" s="334"/>
      <c r="R16" s="96"/>
      <c r="S16" s="334"/>
      <c r="T16" s="96"/>
      <c r="U16" s="335"/>
      <c r="V16" s="2"/>
    </row>
    <row r="17" spans="1:22" s="30" customFormat="1" ht="20.100000000000001" customHeight="1" x14ac:dyDescent="0.25">
      <c r="A17" s="2"/>
      <c r="B17" s="95"/>
      <c r="C17" s="96"/>
      <c r="D17" s="96"/>
      <c r="E17" s="97"/>
      <c r="F17" s="2"/>
      <c r="G17" s="95"/>
      <c r="H17" s="96"/>
      <c r="I17" s="96"/>
      <c r="J17" s="97"/>
      <c r="K17" s="2"/>
      <c r="L17" s="95"/>
      <c r="M17" s="96"/>
      <c r="N17" s="97"/>
      <c r="O17" s="2"/>
      <c r="P17" s="95"/>
      <c r="Q17" s="334"/>
      <c r="R17" s="96"/>
      <c r="S17" s="334"/>
      <c r="T17" s="96"/>
      <c r="U17" s="335"/>
      <c r="V17" s="2"/>
    </row>
    <row r="18" spans="1:22" s="30" customFormat="1" ht="20.100000000000001" customHeight="1" x14ac:dyDescent="0.25">
      <c r="A18" s="2"/>
      <c r="B18" s="95"/>
      <c r="C18" s="96"/>
      <c r="D18" s="96"/>
      <c r="E18" s="97"/>
      <c r="F18" s="2"/>
      <c r="G18" s="95"/>
      <c r="H18" s="96"/>
      <c r="I18" s="96"/>
      <c r="J18" s="97"/>
      <c r="K18" s="2"/>
      <c r="L18" s="95"/>
      <c r="M18" s="96"/>
      <c r="N18" s="97"/>
      <c r="O18" s="2"/>
      <c r="P18" s="95"/>
      <c r="Q18" s="334"/>
      <c r="R18" s="96"/>
      <c r="S18" s="334"/>
      <c r="T18" s="96"/>
      <c r="U18" s="335"/>
      <c r="V18" s="2"/>
    </row>
    <row r="19" spans="1:22" s="30" customFormat="1" ht="20.100000000000001" customHeight="1" x14ac:dyDescent="0.25">
      <c r="A19" s="2"/>
      <c r="B19" s="95"/>
      <c r="C19" s="96"/>
      <c r="D19" s="96"/>
      <c r="E19" s="97"/>
      <c r="F19" s="2"/>
      <c r="G19" s="95"/>
      <c r="H19" s="96"/>
      <c r="I19" s="96"/>
      <c r="J19" s="97"/>
      <c r="K19" s="2"/>
      <c r="L19" s="95"/>
      <c r="M19" s="96"/>
      <c r="N19" s="97"/>
      <c r="O19" s="2"/>
      <c r="P19" s="95"/>
      <c r="Q19" s="334"/>
      <c r="R19" s="96"/>
      <c r="S19" s="334"/>
      <c r="T19" s="96"/>
      <c r="U19" s="335"/>
      <c r="V19" s="2"/>
    </row>
    <row r="20" spans="1:22" s="30" customFormat="1" ht="20.100000000000001" customHeight="1" x14ac:dyDescent="0.25">
      <c r="A20" s="2"/>
      <c r="B20" s="95"/>
      <c r="C20" s="96"/>
      <c r="D20" s="96"/>
      <c r="E20" s="97"/>
      <c r="F20" s="2"/>
      <c r="G20" s="95"/>
      <c r="H20" s="96"/>
      <c r="I20" s="96"/>
      <c r="J20" s="97"/>
      <c r="K20" s="2"/>
      <c r="L20" s="95"/>
      <c r="M20" s="96"/>
      <c r="N20" s="97"/>
      <c r="O20" s="2"/>
      <c r="P20" s="95"/>
      <c r="Q20" s="334"/>
      <c r="R20" s="96"/>
      <c r="S20" s="334"/>
      <c r="T20" s="96"/>
      <c r="U20" s="335"/>
      <c r="V20" s="2"/>
    </row>
    <row r="21" spans="1:22" s="30" customFormat="1" ht="20.100000000000001" customHeight="1" x14ac:dyDescent="0.25">
      <c r="A21" s="2"/>
      <c r="B21" s="95"/>
      <c r="C21" s="96"/>
      <c r="D21" s="96"/>
      <c r="E21" s="97"/>
      <c r="F21" s="2"/>
      <c r="G21" s="95"/>
      <c r="H21" s="96"/>
      <c r="I21" s="96"/>
      <c r="J21" s="97"/>
      <c r="K21" s="2"/>
      <c r="L21" s="95"/>
      <c r="M21" s="96"/>
      <c r="N21" s="97"/>
      <c r="O21" s="2"/>
      <c r="P21" s="95"/>
      <c r="Q21" s="334"/>
      <c r="R21" s="96"/>
      <c r="S21" s="334"/>
      <c r="T21" s="96"/>
      <c r="U21" s="335"/>
      <c r="V21" s="2"/>
    </row>
    <row r="22" spans="1:22" s="30" customFormat="1" ht="20.100000000000001" customHeight="1" x14ac:dyDescent="0.25">
      <c r="A22" s="2"/>
      <c r="B22" s="95"/>
      <c r="C22" s="96"/>
      <c r="D22" s="96"/>
      <c r="E22" s="97"/>
      <c r="F22" s="2"/>
      <c r="G22" s="95"/>
      <c r="H22" s="96"/>
      <c r="I22" s="96"/>
      <c r="J22" s="97"/>
      <c r="K22" s="2"/>
      <c r="L22" s="95"/>
      <c r="M22" s="96"/>
      <c r="N22" s="97"/>
      <c r="O22" s="2"/>
      <c r="P22" s="95"/>
      <c r="Q22" s="334"/>
      <c r="R22" s="96"/>
      <c r="S22" s="334"/>
      <c r="T22" s="96"/>
      <c r="U22" s="335"/>
      <c r="V22" s="2"/>
    </row>
    <row r="23" spans="1:22" s="30" customFormat="1" ht="20.100000000000001" customHeight="1" x14ac:dyDescent="0.25">
      <c r="A23" s="2"/>
      <c r="B23" s="95"/>
      <c r="C23" s="96"/>
      <c r="D23" s="96"/>
      <c r="E23" s="97"/>
      <c r="F23" s="2"/>
      <c r="G23" s="95"/>
      <c r="H23" s="96"/>
      <c r="I23" s="96"/>
      <c r="J23" s="97"/>
      <c r="K23" s="2"/>
      <c r="L23" s="95"/>
      <c r="M23" s="96"/>
      <c r="N23" s="97"/>
      <c r="O23" s="2"/>
      <c r="P23" s="95"/>
      <c r="Q23" s="334"/>
      <c r="R23" s="96"/>
      <c r="S23" s="334"/>
      <c r="T23" s="96"/>
      <c r="U23" s="335"/>
      <c r="V23" s="2"/>
    </row>
    <row r="24" spans="1:22" s="30" customFormat="1" ht="20.100000000000001" customHeight="1" x14ac:dyDescent="0.25">
      <c r="A24" s="2"/>
      <c r="B24" s="95"/>
      <c r="C24" s="96"/>
      <c r="D24" s="96"/>
      <c r="E24" s="97"/>
      <c r="F24" s="2"/>
      <c r="G24" s="95"/>
      <c r="H24" s="96"/>
      <c r="I24" s="96"/>
      <c r="J24" s="97"/>
      <c r="K24" s="2"/>
      <c r="L24" s="95"/>
      <c r="M24" s="96"/>
      <c r="N24" s="97"/>
      <c r="O24" s="2"/>
      <c r="P24" s="95"/>
      <c r="Q24" s="334"/>
      <c r="R24" s="96"/>
      <c r="S24" s="334"/>
      <c r="T24" s="96"/>
      <c r="U24" s="335"/>
      <c r="V24" s="2"/>
    </row>
    <row r="25" spans="1:22" s="30" customFormat="1" ht="20.100000000000001" customHeight="1" x14ac:dyDescent="0.25">
      <c r="A25" s="2"/>
      <c r="B25" s="95"/>
      <c r="C25" s="96"/>
      <c r="D25" s="96"/>
      <c r="E25" s="97"/>
      <c r="F25" s="2"/>
      <c r="G25" s="95"/>
      <c r="H25" s="96"/>
      <c r="I25" s="96"/>
      <c r="J25" s="97"/>
      <c r="K25" s="2"/>
      <c r="L25" s="95"/>
      <c r="M25" s="96"/>
      <c r="N25" s="97"/>
      <c r="O25" s="2"/>
      <c r="P25" s="95"/>
      <c r="Q25" s="334"/>
      <c r="R25" s="96"/>
      <c r="S25" s="334"/>
      <c r="T25" s="96"/>
      <c r="U25" s="335"/>
      <c r="V25" s="2"/>
    </row>
    <row r="26" spans="1:22" s="30" customFormat="1" ht="20.100000000000001" customHeight="1" x14ac:dyDescent="0.25">
      <c r="A26" s="2"/>
      <c r="B26" s="95"/>
      <c r="C26" s="96"/>
      <c r="D26" s="96"/>
      <c r="E26" s="97"/>
      <c r="F26" s="2"/>
      <c r="G26" s="95"/>
      <c r="H26" s="96"/>
      <c r="I26" s="96"/>
      <c r="J26" s="97"/>
      <c r="K26" s="2"/>
      <c r="L26" s="95"/>
      <c r="M26" s="96"/>
      <c r="N26" s="97"/>
      <c r="O26" s="2"/>
      <c r="P26" s="95"/>
      <c r="Q26" s="334"/>
      <c r="R26" s="96"/>
      <c r="S26" s="334"/>
      <c r="T26" s="96"/>
      <c r="U26" s="335"/>
      <c r="V26" s="2"/>
    </row>
    <row r="27" spans="1:22" s="30" customFormat="1" ht="20.100000000000001" customHeight="1" x14ac:dyDescent="0.25">
      <c r="A27" s="2"/>
      <c r="B27" s="95"/>
      <c r="C27" s="96"/>
      <c r="D27" s="96"/>
      <c r="E27" s="97"/>
      <c r="F27" s="2"/>
      <c r="G27" s="95"/>
      <c r="H27" s="96"/>
      <c r="I27" s="96"/>
      <c r="J27" s="97"/>
      <c r="K27" s="2"/>
      <c r="L27" s="95"/>
      <c r="M27" s="96"/>
      <c r="N27" s="97"/>
      <c r="O27" s="2"/>
      <c r="P27" s="95"/>
      <c r="Q27" s="334"/>
      <c r="R27" s="96"/>
      <c r="S27" s="334"/>
      <c r="T27" s="96"/>
      <c r="U27" s="335"/>
      <c r="V27" s="2"/>
    </row>
    <row r="28" spans="1:22" s="30" customFormat="1" ht="20.100000000000001" customHeight="1" x14ac:dyDescent="0.25">
      <c r="A28" s="2"/>
      <c r="B28" s="95"/>
      <c r="C28" s="96"/>
      <c r="D28" s="96"/>
      <c r="E28" s="97"/>
      <c r="F28" s="2"/>
      <c r="G28" s="95"/>
      <c r="H28" s="96"/>
      <c r="I28" s="96"/>
      <c r="J28" s="97"/>
      <c r="K28" s="2"/>
      <c r="L28" s="95"/>
      <c r="M28" s="96"/>
      <c r="N28" s="97"/>
      <c r="O28" s="2"/>
      <c r="P28" s="95"/>
      <c r="Q28" s="334"/>
      <c r="R28" s="96"/>
      <c r="S28" s="334"/>
      <c r="T28" s="96"/>
      <c r="U28" s="335"/>
      <c r="V28" s="2"/>
    </row>
    <row r="29" spans="1:22" s="70" customFormat="1" ht="20.100000000000001" customHeight="1" x14ac:dyDescent="0.25">
      <c r="A29" s="2"/>
      <c r="B29" s="95"/>
      <c r="C29" s="96"/>
      <c r="D29" s="96"/>
      <c r="E29" s="97"/>
      <c r="F29" s="2"/>
      <c r="G29" s="95"/>
      <c r="H29" s="96"/>
      <c r="I29" s="96"/>
      <c r="J29" s="97"/>
      <c r="K29" s="2"/>
      <c r="L29" s="95"/>
      <c r="M29" s="96"/>
      <c r="N29" s="97"/>
      <c r="O29" s="68"/>
      <c r="P29" s="95"/>
      <c r="Q29" s="334"/>
      <c r="R29" s="96"/>
      <c r="S29" s="334"/>
      <c r="T29" s="96"/>
      <c r="U29" s="335"/>
      <c r="V29" s="68"/>
    </row>
    <row r="30" spans="1:22" s="70" customFormat="1" ht="20.100000000000001" customHeight="1" x14ac:dyDescent="0.25">
      <c r="A30" s="2"/>
      <c r="B30" s="95"/>
      <c r="C30" s="96"/>
      <c r="D30" s="96"/>
      <c r="E30" s="97"/>
      <c r="F30" s="2"/>
      <c r="G30" s="95"/>
      <c r="H30" s="96"/>
      <c r="I30" s="96"/>
      <c r="J30" s="97"/>
      <c r="K30" s="2"/>
      <c r="L30" s="95"/>
      <c r="M30" s="96"/>
      <c r="N30" s="97"/>
      <c r="O30" s="68"/>
      <c r="P30" s="95"/>
      <c r="Q30" s="334"/>
      <c r="R30" s="96"/>
      <c r="S30" s="334"/>
      <c r="T30" s="96"/>
      <c r="U30" s="335"/>
      <c r="V30" s="68"/>
    </row>
    <row r="31" spans="1:22" s="70" customFormat="1" ht="20.100000000000001" customHeight="1" x14ac:dyDescent="0.25">
      <c r="A31" s="2"/>
      <c r="B31" s="95"/>
      <c r="C31" s="96"/>
      <c r="D31" s="96"/>
      <c r="E31" s="97"/>
      <c r="F31" s="2"/>
      <c r="G31" s="95"/>
      <c r="H31" s="96"/>
      <c r="I31" s="96"/>
      <c r="J31" s="97"/>
      <c r="K31" s="2"/>
      <c r="L31" s="95"/>
      <c r="M31" s="96"/>
      <c r="N31" s="97"/>
      <c r="O31" s="68"/>
      <c r="P31" s="95"/>
      <c r="Q31" s="334"/>
      <c r="R31" s="96"/>
      <c r="S31" s="334"/>
      <c r="T31" s="96"/>
      <c r="U31" s="335"/>
      <c r="V31" s="68"/>
    </row>
    <row r="32" spans="1:22" s="70" customFormat="1" ht="20.100000000000001" customHeight="1" x14ac:dyDescent="0.25">
      <c r="A32" s="2"/>
      <c r="B32" s="95"/>
      <c r="C32" s="96"/>
      <c r="D32" s="96"/>
      <c r="E32" s="97"/>
      <c r="F32" s="2"/>
      <c r="G32" s="95"/>
      <c r="H32" s="96"/>
      <c r="I32" s="96"/>
      <c r="J32" s="97"/>
      <c r="K32" s="2"/>
      <c r="L32" s="95"/>
      <c r="M32" s="96"/>
      <c r="N32" s="97"/>
      <c r="O32" s="68"/>
      <c r="P32" s="95"/>
      <c r="Q32" s="334"/>
      <c r="R32" s="96"/>
      <c r="S32" s="334"/>
      <c r="T32" s="96"/>
      <c r="U32" s="335"/>
      <c r="V32" s="68"/>
    </row>
    <row r="33" spans="1:22" s="70" customFormat="1" ht="20.100000000000001" customHeight="1" x14ac:dyDescent="0.25">
      <c r="A33" s="2"/>
      <c r="B33" s="95"/>
      <c r="C33" s="96"/>
      <c r="D33" s="96"/>
      <c r="E33" s="97"/>
      <c r="F33" s="2"/>
      <c r="G33" s="95"/>
      <c r="H33" s="96"/>
      <c r="I33" s="96"/>
      <c r="J33" s="97"/>
      <c r="K33" s="2"/>
      <c r="L33" s="95"/>
      <c r="M33" s="96"/>
      <c r="N33" s="97"/>
      <c r="O33" s="68"/>
      <c r="P33" s="95"/>
      <c r="Q33" s="334"/>
      <c r="R33" s="96"/>
      <c r="S33" s="334"/>
      <c r="T33" s="96"/>
      <c r="U33" s="335"/>
      <c r="V33" s="68"/>
    </row>
    <row r="34" spans="1:22" s="70" customFormat="1" ht="20.100000000000001" customHeight="1" x14ac:dyDescent="0.25">
      <c r="A34" s="2"/>
      <c r="B34" s="95"/>
      <c r="C34" s="96"/>
      <c r="D34" s="96"/>
      <c r="E34" s="97"/>
      <c r="F34" s="2"/>
      <c r="G34" s="95"/>
      <c r="H34" s="96"/>
      <c r="I34" s="96"/>
      <c r="J34" s="97"/>
      <c r="K34" s="2"/>
      <c r="L34" s="95"/>
      <c r="M34" s="96"/>
      <c r="N34" s="97"/>
      <c r="O34" s="68"/>
      <c r="P34" s="95"/>
      <c r="Q34" s="334"/>
      <c r="R34" s="96"/>
      <c r="S34" s="334"/>
      <c r="T34" s="96"/>
      <c r="U34" s="335"/>
      <c r="V34" s="68"/>
    </row>
    <row r="35" spans="1:22" s="70" customFormat="1" ht="20.100000000000001" customHeight="1" x14ac:dyDescent="0.25">
      <c r="A35" s="2"/>
      <c r="B35" s="95"/>
      <c r="C35" s="96"/>
      <c r="D35" s="96"/>
      <c r="E35" s="97"/>
      <c r="F35" s="2"/>
      <c r="G35" s="95"/>
      <c r="H35" s="96"/>
      <c r="I35" s="96"/>
      <c r="J35" s="97"/>
      <c r="K35" s="2"/>
      <c r="L35" s="95"/>
      <c r="M35" s="96"/>
      <c r="N35" s="97"/>
      <c r="O35" s="68"/>
      <c r="P35" s="95"/>
      <c r="Q35" s="334"/>
      <c r="R35" s="96"/>
      <c r="S35" s="334"/>
      <c r="T35" s="96"/>
      <c r="U35" s="335"/>
      <c r="V35" s="68"/>
    </row>
    <row r="36" spans="1:22" s="70" customFormat="1" ht="20.100000000000001" customHeight="1" x14ac:dyDescent="0.25">
      <c r="A36" s="2"/>
      <c r="B36" s="95"/>
      <c r="C36" s="96"/>
      <c r="D36" s="96"/>
      <c r="E36" s="97"/>
      <c r="F36" s="2"/>
      <c r="G36" s="95"/>
      <c r="H36" s="96"/>
      <c r="I36" s="96"/>
      <c r="J36" s="97"/>
      <c r="K36" s="2"/>
      <c r="L36" s="95"/>
      <c r="M36" s="96"/>
      <c r="N36" s="97"/>
      <c r="O36" s="68"/>
      <c r="P36" s="95"/>
      <c r="Q36" s="334"/>
      <c r="R36" s="96"/>
      <c r="S36" s="334"/>
      <c r="T36" s="96"/>
      <c r="U36" s="335"/>
      <c r="V36" s="68"/>
    </row>
    <row r="37" spans="1:22" s="70" customFormat="1" ht="20.100000000000001" customHeight="1" x14ac:dyDescent="0.25">
      <c r="A37" s="2"/>
      <c r="B37" s="95"/>
      <c r="C37" s="96"/>
      <c r="D37" s="96"/>
      <c r="E37" s="97"/>
      <c r="F37" s="2"/>
      <c r="G37" s="95"/>
      <c r="H37" s="96"/>
      <c r="I37" s="96"/>
      <c r="J37" s="97"/>
      <c r="K37" s="2"/>
      <c r="L37" s="95"/>
      <c r="M37" s="96"/>
      <c r="N37" s="97"/>
      <c r="O37" s="68"/>
      <c r="P37" s="95"/>
      <c r="Q37" s="334"/>
      <c r="R37" s="96"/>
      <c r="S37" s="334"/>
      <c r="T37" s="96"/>
      <c r="U37" s="335"/>
      <c r="V37" s="68"/>
    </row>
    <row r="38" spans="1:22" s="70" customFormat="1" ht="20.100000000000001" customHeight="1" x14ac:dyDescent="0.25">
      <c r="A38" s="2"/>
      <c r="B38" s="95"/>
      <c r="C38" s="96"/>
      <c r="D38" s="96"/>
      <c r="E38" s="97"/>
      <c r="F38" s="2"/>
      <c r="G38" s="95"/>
      <c r="H38" s="96"/>
      <c r="I38" s="96"/>
      <c r="J38" s="97"/>
      <c r="K38" s="2"/>
      <c r="L38" s="95"/>
      <c r="M38" s="96"/>
      <c r="N38" s="97"/>
      <c r="O38" s="68"/>
      <c r="P38" s="95"/>
      <c r="Q38" s="334"/>
      <c r="R38" s="96"/>
      <c r="S38" s="334"/>
      <c r="T38" s="96"/>
      <c r="U38" s="335"/>
      <c r="V38" s="68"/>
    </row>
    <row r="39" spans="1:22" s="70" customFormat="1" ht="20.100000000000001" customHeight="1" x14ac:dyDescent="0.25">
      <c r="A39" s="2"/>
      <c r="B39" s="95"/>
      <c r="C39" s="96"/>
      <c r="D39" s="96"/>
      <c r="E39" s="97"/>
      <c r="F39" s="2"/>
      <c r="G39" s="95"/>
      <c r="H39" s="96"/>
      <c r="I39" s="96"/>
      <c r="J39" s="97"/>
      <c r="K39" s="2"/>
      <c r="L39" s="95"/>
      <c r="M39" s="96"/>
      <c r="N39" s="97"/>
      <c r="O39" s="68"/>
      <c r="P39" s="95"/>
      <c r="Q39" s="334"/>
      <c r="R39" s="96"/>
      <c r="S39" s="334"/>
      <c r="T39" s="96"/>
      <c r="U39" s="335"/>
      <c r="V39" s="68"/>
    </row>
    <row r="40" spans="1:22" s="70" customFormat="1" ht="20.100000000000001" customHeight="1" x14ac:dyDescent="0.25">
      <c r="A40" s="2"/>
      <c r="B40" s="95"/>
      <c r="C40" s="96"/>
      <c r="D40" s="96"/>
      <c r="E40" s="97"/>
      <c r="F40" s="2"/>
      <c r="G40" s="95"/>
      <c r="H40" s="96"/>
      <c r="I40" s="96"/>
      <c r="J40" s="97"/>
      <c r="K40" s="2"/>
      <c r="L40" s="95"/>
      <c r="M40" s="96"/>
      <c r="N40" s="97"/>
      <c r="O40" s="68"/>
      <c r="P40" s="95"/>
      <c r="Q40" s="334"/>
      <c r="R40" s="96"/>
      <c r="S40" s="334"/>
      <c r="T40" s="96"/>
      <c r="U40" s="335"/>
      <c r="V40" s="68"/>
    </row>
    <row r="41" spans="1:22" s="70" customFormat="1" ht="20.100000000000001" customHeight="1" x14ac:dyDescent="0.25">
      <c r="A41" s="2"/>
      <c r="B41" s="95"/>
      <c r="C41" s="96"/>
      <c r="D41" s="96"/>
      <c r="E41" s="97"/>
      <c r="F41" s="2"/>
      <c r="G41" s="95"/>
      <c r="H41" s="96"/>
      <c r="I41" s="96"/>
      <c r="J41" s="97"/>
      <c r="K41" s="2"/>
      <c r="L41" s="95"/>
      <c r="M41" s="96"/>
      <c r="N41" s="97"/>
      <c r="O41" s="68"/>
      <c r="P41" s="95"/>
      <c r="Q41" s="334"/>
      <c r="R41" s="96"/>
      <c r="S41" s="334"/>
      <c r="T41" s="96"/>
      <c r="U41" s="335"/>
      <c r="V41" s="68"/>
    </row>
    <row r="42" spans="1:22" s="70" customFormat="1" ht="20.100000000000001" customHeight="1" x14ac:dyDescent="0.25">
      <c r="A42" s="2"/>
      <c r="B42" s="95"/>
      <c r="C42" s="96"/>
      <c r="D42" s="96"/>
      <c r="E42" s="97"/>
      <c r="F42" s="2"/>
      <c r="G42" s="95"/>
      <c r="H42" s="96"/>
      <c r="I42" s="96"/>
      <c r="J42" s="97"/>
      <c r="K42" s="2"/>
      <c r="L42" s="95"/>
      <c r="M42" s="96"/>
      <c r="N42" s="97"/>
      <c r="O42" s="68"/>
      <c r="P42" s="95"/>
      <c r="Q42" s="334"/>
      <c r="R42" s="96"/>
      <c r="S42" s="334"/>
      <c r="T42" s="96"/>
      <c r="U42" s="335"/>
      <c r="V42" s="68"/>
    </row>
    <row r="43" spans="1:22" s="70" customFormat="1" ht="20.100000000000001" customHeight="1" x14ac:dyDescent="0.25">
      <c r="A43" s="2"/>
      <c r="B43" s="95"/>
      <c r="C43" s="96"/>
      <c r="D43" s="96"/>
      <c r="E43" s="97"/>
      <c r="F43" s="2"/>
      <c r="G43" s="95"/>
      <c r="H43" s="96"/>
      <c r="I43" s="96"/>
      <c r="J43" s="97"/>
      <c r="K43" s="2"/>
      <c r="L43" s="95"/>
      <c r="M43" s="96"/>
      <c r="N43" s="97"/>
      <c r="O43" s="68"/>
      <c r="P43" s="95"/>
      <c r="Q43" s="334"/>
      <c r="R43" s="96"/>
      <c r="S43" s="334"/>
      <c r="T43" s="96"/>
      <c r="U43" s="335"/>
      <c r="V43" s="68"/>
    </row>
    <row r="44" spans="1:22" s="70" customFormat="1" ht="20.100000000000001" customHeight="1" x14ac:dyDescent="0.25">
      <c r="A44" s="2"/>
      <c r="B44" s="95"/>
      <c r="C44" s="96"/>
      <c r="D44" s="96"/>
      <c r="E44" s="97"/>
      <c r="F44" s="2"/>
      <c r="G44" s="95"/>
      <c r="H44" s="96"/>
      <c r="I44" s="96"/>
      <c r="J44" s="97"/>
      <c r="K44" s="2"/>
      <c r="L44" s="95"/>
      <c r="M44" s="96"/>
      <c r="N44" s="97"/>
      <c r="O44" s="68"/>
      <c r="P44" s="95"/>
      <c r="Q44" s="334"/>
      <c r="R44" s="96"/>
      <c r="S44" s="334"/>
      <c r="T44" s="96"/>
      <c r="U44" s="335"/>
      <c r="V44" s="68"/>
    </row>
    <row r="45" spans="1:22" s="70" customFormat="1" ht="20.100000000000001" customHeight="1" x14ac:dyDescent="0.25">
      <c r="A45" s="2"/>
      <c r="B45" s="95"/>
      <c r="C45" s="96"/>
      <c r="D45" s="96"/>
      <c r="E45" s="97"/>
      <c r="F45" s="2"/>
      <c r="G45" s="95"/>
      <c r="H45" s="96"/>
      <c r="I45" s="96"/>
      <c r="J45" s="97"/>
      <c r="K45" s="2"/>
      <c r="L45" s="95"/>
      <c r="M45" s="96"/>
      <c r="N45" s="97"/>
      <c r="O45" s="68"/>
      <c r="P45" s="95"/>
      <c r="Q45" s="334"/>
      <c r="R45" s="96"/>
      <c r="S45" s="334"/>
      <c r="T45" s="96"/>
      <c r="U45" s="335"/>
      <c r="V45" s="68"/>
    </row>
    <row r="46" spans="1:22" s="70" customFormat="1" ht="20.100000000000001" customHeight="1" x14ac:dyDescent="0.25">
      <c r="A46" s="2"/>
      <c r="B46" s="95"/>
      <c r="C46" s="96"/>
      <c r="D46" s="96"/>
      <c r="E46" s="97"/>
      <c r="F46" s="2"/>
      <c r="G46" s="95"/>
      <c r="H46" s="96"/>
      <c r="I46" s="96"/>
      <c r="J46" s="97"/>
      <c r="K46" s="2"/>
      <c r="L46" s="95"/>
      <c r="M46" s="96"/>
      <c r="N46" s="97"/>
      <c r="O46" s="68"/>
      <c r="P46" s="95"/>
      <c r="Q46" s="334"/>
      <c r="R46" s="96"/>
      <c r="S46" s="334"/>
      <c r="T46" s="96"/>
      <c r="U46" s="335"/>
      <c r="V46" s="68"/>
    </row>
    <row r="47" spans="1:22" s="70" customFormat="1" ht="20.100000000000001" customHeight="1" x14ac:dyDescent="0.25">
      <c r="A47" s="2"/>
      <c r="B47" s="95"/>
      <c r="C47" s="96"/>
      <c r="D47" s="96"/>
      <c r="E47" s="97"/>
      <c r="F47" s="2"/>
      <c r="G47" s="95"/>
      <c r="H47" s="96"/>
      <c r="I47" s="96"/>
      <c r="J47" s="97"/>
      <c r="K47" s="2"/>
      <c r="L47" s="95"/>
      <c r="M47" s="96"/>
      <c r="N47" s="97"/>
      <c r="O47" s="68"/>
      <c r="P47" s="95"/>
      <c r="Q47" s="334"/>
      <c r="R47" s="96"/>
      <c r="S47" s="334"/>
      <c r="T47" s="96"/>
      <c r="U47" s="335"/>
      <c r="V47" s="68"/>
    </row>
    <row r="48" spans="1:22" s="70" customFormat="1" ht="20.100000000000001" customHeight="1" x14ac:dyDescent="0.25">
      <c r="A48" s="2"/>
      <c r="B48" s="95"/>
      <c r="C48" s="96"/>
      <c r="D48" s="96"/>
      <c r="E48" s="97"/>
      <c r="F48" s="2"/>
      <c r="G48" s="95"/>
      <c r="H48" s="96"/>
      <c r="I48" s="96"/>
      <c r="J48" s="97"/>
      <c r="K48" s="2"/>
      <c r="L48" s="95"/>
      <c r="M48" s="96"/>
      <c r="N48" s="97"/>
      <c r="O48" s="68"/>
      <c r="P48" s="95"/>
      <c r="Q48" s="334"/>
      <c r="R48" s="96"/>
      <c r="S48" s="334"/>
      <c r="T48" s="96"/>
      <c r="U48" s="335"/>
      <c r="V48" s="68"/>
    </row>
    <row r="49" spans="1:22" s="70" customFormat="1" ht="20.100000000000001" customHeight="1" x14ac:dyDescent="0.25">
      <c r="A49" s="2"/>
      <c r="B49" s="95"/>
      <c r="C49" s="96"/>
      <c r="D49" s="96"/>
      <c r="E49" s="97"/>
      <c r="F49" s="2"/>
      <c r="G49" s="95"/>
      <c r="H49" s="96"/>
      <c r="I49" s="96"/>
      <c r="J49" s="97"/>
      <c r="K49" s="2"/>
      <c r="L49" s="95"/>
      <c r="M49" s="96"/>
      <c r="N49" s="97"/>
      <c r="O49" s="68"/>
      <c r="P49" s="95"/>
      <c r="Q49" s="334"/>
      <c r="R49" s="96"/>
      <c r="S49" s="334"/>
      <c r="T49" s="96"/>
      <c r="U49" s="335"/>
      <c r="V49" s="68"/>
    </row>
    <row r="50" spans="1:22" s="70" customFormat="1" ht="20.100000000000001" customHeight="1" x14ac:dyDescent="0.25">
      <c r="A50" s="2"/>
      <c r="B50" s="95"/>
      <c r="C50" s="96"/>
      <c r="D50" s="96"/>
      <c r="E50" s="97"/>
      <c r="F50" s="2"/>
      <c r="G50" s="95"/>
      <c r="H50" s="96"/>
      <c r="I50" s="96"/>
      <c r="J50" s="97"/>
      <c r="K50" s="2"/>
      <c r="L50" s="95"/>
      <c r="M50" s="96"/>
      <c r="N50" s="97"/>
      <c r="O50" s="68"/>
      <c r="P50" s="95"/>
      <c r="Q50" s="334"/>
      <c r="R50" s="96"/>
      <c r="S50" s="334"/>
      <c r="T50" s="96"/>
      <c r="U50" s="335"/>
      <c r="V50" s="68"/>
    </row>
    <row r="51" spans="1:22" s="70" customFormat="1" ht="20.100000000000001" customHeight="1" x14ac:dyDescent="0.25">
      <c r="A51" s="2"/>
      <c r="B51" s="95"/>
      <c r="C51" s="96"/>
      <c r="D51" s="96"/>
      <c r="E51" s="97"/>
      <c r="F51" s="2"/>
      <c r="G51" s="95"/>
      <c r="H51" s="96"/>
      <c r="I51" s="96"/>
      <c r="J51" s="97"/>
      <c r="K51" s="2"/>
      <c r="L51" s="95"/>
      <c r="M51" s="96"/>
      <c r="N51" s="97"/>
      <c r="O51" s="68"/>
      <c r="P51" s="95"/>
      <c r="Q51" s="334"/>
      <c r="R51" s="96"/>
      <c r="S51" s="334"/>
      <c r="T51" s="96"/>
      <c r="U51" s="335"/>
      <c r="V51" s="68"/>
    </row>
    <row r="52" spans="1:22" s="70" customFormat="1" ht="20.100000000000001" customHeight="1" x14ac:dyDescent="0.25">
      <c r="A52" s="2"/>
      <c r="B52" s="95"/>
      <c r="C52" s="96"/>
      <c r="D52" s="96"/>
      <c r="E52" s="97"/>
      <c r="F52" s="2"/>
      <c r="G52" s="95"/>
      <c r="H52" s="96"/>
      <c r="I52" s="96"/>
      <c r="J52" s="97"/>
      <c r="K52" s="2"/>
      <c r="L52" s="95"/>
      <c r="M52" s="96"/>
      <c r="N52" s="97"/>
      <c r="O52" s="68"/>
      <c r="P52" s="95"/>
      <c r="Q52" s="334"/>
      <c r="R52" s="96"/>
      <c r="S52" s="334"/>
      <c r="T52" s="96"/>
      <c r="U52" s="335"/>
      <c r="V52" s="68"/>
    </row>
    <row r="53" spans="1:22" s="70" customFormat="1" ht="20.100000000000001" customHeight="1" x14ac:dyDescent="0.25">
      <c r="A53" s="2"/>
      <c r="B53" s="95"/>
      <c r="C53" s="96"/>
      <c r="D53" s="96"/>
      <c r="E53" s="97"/>
      <c r="F53" s="2"/>
      <c r="G53" s="95"/>
      <c r="H53" s="96"/>
      <c r="I53" s="96"/>
      <c r="J53" s="97"/>
      <c r="K53" s="2"/>
      <c r="L53" s="95"/>
      <c r="M53" s="96"/>
      <c r="N53" s="97"/>
      <c r="O53" s="68"/>
      <c r="P53" s="95"/>
      <c r="Q53" s="334"/>
      <c r="R53" s="96"/>
      <c r="S53" s="334"/>
      <c r="T53" s="96"/>
      <c r="U53" s="335"/>
      <c r="V53" s="68"/>
    </row>
    <row r="54" spans="1:22" s="70" customFormat="1" ht="20.100000000000001" customHeight="1" x14ac:dyDescent="0.25">
      <c r="A54" s="2"/>
      <c r="B54" s="95"/>
      <c r="C54" s="96"/>
      <c r="D54" s="96"/>
      <c r="E54" s="97"/>
      <c r="F54" s="2"/>
      <c r="G54" s="95"/>
      <c r="H54" s="96"/>
      <c r="I54" s="96"/>
      <c r="J54" s="97"/>
      <c r="K54" s="2"/>
      <c r="L54" s="95"/>
      <c r="M54" s="96"/>
      <c r="N54" s="97"/>
      <c r="O54" s="68"/>
      <c r="P54" s="95"/>
      <c r="Q54" s="334"/>
      <c r="R54" s="96"/>
      <c r="S54" s="334"/>
      <c r="T54" s="96"/>
      <c r="U54" s="335"/>
      <c r="V54" s="68"/>
    </row>
    <row r="55" spans="1:22" s="70" customFormat="1" ht="20.100000000000001" customHeight="1" x14ac:dyDescent="0.25">
      <c r="A55" s="2"/>
      <c r="B55" s="95"/>
      <c r="C55" s="96"/>
      <c r="D55" s="96"/>
      <c r="E55" s="97"/>
      <c r="F55" s="2"/>
      <c r="G55" s="95"/>
      <c r="H55" s="96"/>
      <c r="I55" s="96"/>
      <c r="J55" s="97"/>
      <c r="K55" s="2"/>
      <c r="L55" s="95"/>
      <c r="M55" s="96"/>
      <c r="N55" s="97"/>
      <c r="O55" s="68"/>
      <c r="P55" s="95"/>
      <c r="Q55" s="334"/>
      <c r="R55" s="96"/>
      <c r="S55" s="334"/>
      <c r="T55" s="96"/>
      <c r="U55" s="335"/>
      <c r="V55" s="68"/>
    </row>
    <row r="56" spans="1:22" s="70" customFormat="1" ht="20.100000000000001" customHeight="1" x14ac:dyDescent="0.25">
      <c r="A56" s="2"/>
      <c r="B56" s="95"/>
      <c r="C56" s="96"/>
      <c r="D56" s="96"/>
      <c r="E56" s="97"/>
      <c r="F56" s="2"/>
      <c r="G56" s="95"/>
      <c r="H56" s="96"/>
      <c r="I56" s="96"/>
      <c r="J56" s="97"/>
      <c r="K56" s="2"/>
      <c r="L56" s="95"/>
      <c r="M56" s="96"/>
      <c r="N56" s="97"/>
      <c r="O56" s="68"/>
      <c r="P56" s="95"/>
      <c r="Q56" s="334"/>
      <c r="R56" s="96"/>
      <c r="S56" s="334"/>
      <c r="T56" s="96"/>
      <c r="U56" s="335"/>
      <c r="V56" s="68"/>
    </row>
    <row r="57" spans="1:22" s="70" customFormat="1" ht="20.100000000000001" customHeight="1" x14ac:dyDescent="0.25">
      <c r="A57" s="2"/>
      <c r="B57" s="95"/>
      <c r="C57" s="96"/>
      <c r="D57" s="96"/>
      <c r="E57" s="97"/>
      <c r="F57" s="2"/>
      <c r="G57" s="95"/>
      <c r="H57" s="96"/>
      <c r="I57" s="96"/>
      <c r="J57" s="97"/>
      <c r="K57" s="2"/>
      <c r="L57" s="95"/>
      <c r="M57" s="96"/>
      <c r="N57" s="97"/>
      <c r="O57" s="68"/>
      <c r="P57" s="95"/>
      <c r="Q57" s="334"/>
      <c r="R57" s="96"/>
      <c r="S57" s="334"/>
      <c r="T57" s="96"/>
      <c r="U57" s="335"/>
      <c r="V57" s="68"/>
    </row>
    <row r="58" spans="1:22" s="70" customFormat="1" ht="20.100000000000001" customHeight="1" x14ac:dyDescent="0.25">
      <c r="A58" s="2"/>
      <c r="B58" s="95"/>
      <c r="C58" s="96"/>
      <c r="D58" s="96"/>
      <c r="E58" s="97"/>
      <c r="F58" s="2"/>
      <c r="G58" s="95"/>
      <c r="H58" s="96"/>
      <c r="I58" s="96"/>
      <c r="J58" s="97"/>
      <c r="K58" s="2"/>
      <c r="L58" s="95"/>
      <c r="M58" s="96"/>
      <c r="N58" s="97"/>
      <c r="O58" s="68"/>
      <c r="P58" s="95"/>
      <c r="Q58" s="334"/>
      <c r="R58" s="96"/>
      <c r="S58" s="334"/>
      <c r="T58" s="96"/>
      <c r="U58" s="335"/>
      <c r="V58" s="68"/>
    </row>
    <row r="59" spans="1:22" s="70" customFormat="1" ht="20.100000000000001" customHeight="1" x14ac:dyDescent="0.25">
      <c r="A59" s="2"/>
      <c r="B59" s="95"/>
      <c r="C59" s="96"/>
      <c r="D59" s="96"/>
      <c r="E59" s="97"/>
      <c r="F59" s="2"/>
      <c r="G59" s="95"/>
      <c r="H59" s="96"/>
      <c r="I59" s="96"/>
      <c r="J59" s="97"/>
      <c r="K59" s="2"/>
      <c r="L59" s="95"/>
      <c r="M59" s="96"/>
      <c r="N59" s="97"/>
      <c r="O59" s="68"/>
      <c r="P59" s="95"/>
      <c r="Q59" s="334"/>
      <c r="R59" s="96"/>
      <c r="S59" s="334"/>
      <c r="T59" s="96"/>
      <c r="U59" s="335"/>
      <c r="V59" s="68"/>
    </row>
    <row r="60" spans="1:22" s="70" customFormat="1" ht="20.100000000000001" customHeight="1" x14ac:dyDescent="0.25">
      <c r="A60" s="2"/>
      <c r="B60" s="95"/>
      <c r="C60" s="96"/>
      <c r="D60" s="96"/>
      <c r="E60" s="97"/>
      <c r="F60" s="2"/>
      <c r="G60" s="95"/>
      <c r="H60" s="96"/>
      <c r="I60" s="96"/>
      <c r="J60" s="97"/>
      <c r="K60" s="2"/>
      <c r="L60" s="95"/>
      <c r="M60" s="96"/>
      <c r="N60" s="97"/>
      <c r="O60" s="68"/>
      <c r="P60" s="95"/>
      <c r="Q60" s="334"/>
      <c r="R60" s="96"/>
      <c r="S60" s="334"/>
      <c r="T60" s="96"/>
      <c r="U60" s="335"/>
      <c r="V60" s="68"/>
    </row>
    <row r="61" spans="1:22" s="70" customFormat="1" ht="20.100000000000001" customHeight="1" x14ac:dyDescent="0.25">
      <c r="A61" s="2"/>
      <c r="B61" s="95"/>
      <c r="C61" s="96"/>
      <c r="D61" s="96"/>
      <c r="E61" s="97"/>
      <c r="F61" s="2"/>
      <c r="G61" s="95"/>
      <c r="H61" s="96"/>
      <c r="I61" s="96"/>
      <c r="J61" s="97"/>
      <c r="K61" s="2"/>
      <c r="L61" s="95"/>
      <c r="M61" s="96"/>
      <c r="N61" s="97"/>
      <c r="O61" s="68"/>
      <c r="P61" s="95"/>
      <c r="Q61" s="334"/>
      <c r="R61" s="96"/>
      <c r="S61" s="334"/>
      <c r="T61" s="96"/>
      <c r="U61" s="335"/>
      <c r="V61" s="68"/>
    </row>
  </sheetData>
  <protectedRanges>
    <protectedRange sqref="L12:N61 P12:P61 R12:R61 T12:U61" name="Intervalo3"/>
    <protectedRange sqref="G12:J61" name="Intervalo2"/>
    <protectedRange sqref="B12:E61" name="Intervalo1"/>
    <protectedRange sqref="Q12:Q61 S12:S61" name="Intervalo2_1"/>
  </protectedRanges>
  <mergeCells count="5">
    <mergeCell ref="B10:E10"/>
    <mergeCell ref="G10:J10"/>
    <mergeCell ref="L10:N10"/>
    <mergeCell ref="K2:L2"/>
    <mergeCell ref="P10:U10"/>
  </mergeCells>
  <conditionalFormatting sqref="U12:U61">
    <cfRule type="expression" dxfId="60" priority="1">
      <formula>AND(Q12="Alta capacidade (&gt;17.6kW)",U12&lt;&gt;0)</formula>
    </cfRule>
  </conditionalFormatting>
  <dataValidations count="10">
    <dataValidation type="custom" allowBlank="1" showInputMessage="1" showErrorMessage="1" errorTitle="FORA DO INTERVALO!" error="VERIFIQUE O INTERVALO ACEITÁVEL!" sqref="C12:C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2:D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2:E61 J12:J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N12:N61" xr:uid="{BFD80611-254E-461C-842C-D45D48949E63}">
      <formula1>AND(N12&gt;=0.21,N12&lt;=0.87)</formula1>
    </dataValidation>
    <dataValidation type="custom" allowBlank="1" showInputMessage="1" showErrorMessage="1" errorTitle="FORA DO INTERVALO!" error="VERIFIQUE O INTERVALO ACEITÁVEL!" sqref="H12:H61" xr:uid="{9FC68AB2-9DE9-4D0E-9608-1FC05CCE6908}">
      <formula1>AND(H12&gt;=0.51,H12&lt;=5.07)</formula1>
    </dataValidation>
    <dataValidation type="custom" allowBlank="1" showInputMessage="1" showErrorMessage="1" errorTitle="FORA DO INTERVALO!" error="VERIFIQUE O INTERVALO ACEITÁVEL!" sqref="M12:M61" xr:uid="{572F4E3D-EC27-4F3F-A9E0-16787DDB8B82}">
      <formula1>AND(M12&gt;=1.9,M12&lt;=5.7)</formula1>
    </dataValidation>
    <dataValidation type="list" allowBlank="1" showInputMessage="1" showErrorMessage="1" sqref="S12:S61" xr:uid="{B342F9D2-45A5-4052-A2AC-3287957C3154}">
      <formula1>"COP, IDRS, CSPF,SPLV,k"</formula1>
    </dataValidation>
    <dataValidation type="list" allowBlank="1" showInputMessage="1" showErrorMessage="1" sqref="Q12:Q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U12:U61 R12:R61" xr:uid="{CC680F24-B862-42CE-816C-ED643FF3EE47}">
      <formula1>AND(R12&gt;=0,R12&lt;=2000)</formula1>
    </dataValidation>
    <dataValidation type="custom" allowBlank="1" showInputMessage="1" showErrorMessage="1" errorTitle="FORA DO INTERVALO!" error="VERIFIQUE O INTERVALO ACEITÁVEL!" sqref="T12:T61" xr:uid="{EA5D8CCD-0410-491B-A542-313EB7E43BC8}">
      <formula1>AND(T12&gt;=0,T12&lt;=20)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5565"/>
  <sheetViews>
    <sheetView showGridLines="0" workbookViewId="0">
      <selection activeCell="C3" sqref="C3"/>
    </sheetView>
  </sheetViews>
  <sheetFormatPr defaultRowHeight="15" x14ac:dyDescent="0.25"/>
  <cols>
    <col min="1" max="1" width="33.140625" style="215" bestFit="1" customWidth="1"/>
    <col min="2" max="2" width="4.7109375" style="215" customWidth="1"/>
    <col min="3" max="3" width="13.5703125" style="215" customWidth="1"/>
    <col min="4" max="4" width="2.7109375" style="215" customWidth="1"/>
    <col min="5" max="5" width="10.7109375" style="215" bestFit="1" customWidth="1"/>
    <col min="6" max="6" width="2.7109375" style="215" customWidth="1"/>
    <col min="7" max="7" width="11.140625" style="215" bestFit="1" customWidth="1"/>
    <col min="8" max="8" width="11.5703125" style="215" bestFit="1" customWidth="1"/>
    <col min="9" max="9" width="21.140625" style="215" bestFit="1" customWidth="1"/>
    <col min="10" max="10" width="17.7109375" style="215" bestFit="1" customWidth="1"/>
    <col min="11" max="11" width="16.28515625" style="215" bestFit="1" customWidth="1"/>
    <col min="12" max="12" width="2.7109375" style="215" customWidth="1"/>
    <col min="13" max="13" width="28.140625" style="215" bestFit="1" customWidth="1"/>
    <col min="14" max="14" width="5.28515625" style="215" bestFit="1" customWidth="1"/>
    <col min="15" max="15" width="12.28515625" style="215" bestFit="1" customWidth="1"/>
    <col min="16" max="16" width="14" style="215" bestFit="1" customWidth="1"/>
    <col min="17" max="17" width="2.7109375" style="215" customWidth="1"/>
    <col min="18" max="18" width="21.140625" style="215" bestFit="1" customWidth="1"/>
    <col min="19" max="19" width="2" style="215" bestFit="1" customWidth="1"/>
    <col min="20" max="20" width="2.7109375" style="215" customWidth="1"/>
    <col min="21" max="21" width="8" style="215" customWidth="1"/>
    <col min="22" max="22" width="2.7109375" style="215" customWidth="1"/>
    <col min="23" max="23" width="7.5703125" style="215" customWidth="1"/>
    <col min="24" max="24" width="30" style="215" bestFit="1" customWidth="1"/>
    <col min="25" max="25" width="5.5703125" style="221" bestFit="1" customWidth="1"/>
    <col min="26" max="26" width="2.7109375" style="215" customWidth="1"/>
    <col min="27" max="27" width="56.42578125" style="215" customWidth="1"/>
    <col min="28" max="28" width="20.42578125" style="215" customWidth="1"/>
    <col min="29" max="29" width="2.7109375" style="215" customWidth="1"/>
    <col min="30" max="30" width="58.5703125" style="215" customWidth="1"/>
    <col min="31" max="31" width="27.28515625" style="215" customWidth="1"/>
    <col min="32" max="32" width="34" style="215" customWidth="1"/>
    <col min="33" max="33" width="2.7109375" style="215" customWidth="1"/>
    <col min="34" max="34" width="60.85546875" style="215" customWidth="1"/>
    <col min="35" max="36" width="18.28515625" style="215" customWidth="1"/>
    <col min="37" max="37" width="2.7109375" style="215" customWidth="1"/>
    <col min="38" max="38" width="12" style="215" bestFit="1" customWidth="1"/>
    <col min="39" max="39" width="6.7109375" style="215" bestFit="1" customWidth="1"/>
    <col min="40" max="40" width="2.7109375" style="215" customWidth="1"/>
    <col min="41" max="41" width="34.7109375" style="215" customWidth="1"/>
    <col min="42" max="42" width="29.42578125" style="215" customWidth="1"/>
    <col min="43" max="43" width="11.85546875" style="215" bestFit="1" customWidth="1"/>
    <col min="44" max="44" width="2.7109375" style="215" customWidth="1"/>
    <col min="45" max="45" width="31.85546875" style="215" bestFit="1" customWidth="1"/>
    <col min="46" max="46" width="69.85546875" style="215" customWidth="1"/>
    <col min="47" max="47" width="12.140625" style="215" bestFit="1" customWidth="1"/>
    <col min="48" max="48" width="2.7109375" style="215" customWidth="1"/>
    <col min="49" max="49" width="34.7109375" style="215" customWidth="1"/>
    <col min="50" max="50" width="12.140625" style="215" bestFit="1" customWidth="1"/>
    <col min="51" max="52" width="12.140625" style="215" customWidth="1"/>
    <col min="53" max="53" width="12.5703125" style="215" bestFit="1" customWidth="1"/>
    <col min="54" max="54" width="13.85546875" style="215" customWidth="1"/>
    <col min="55" max="55" width="9.140625" style="215"/>
    <col min="56" max="56" width="12.85546875" style="215" customWidth="1"/>
    <col min="57" max="58" width="9.140625" style="215"/>
    <col min="59" max="59" width="33.140625" style="215" bestFit="1" customWidth="1"/>
    <col min="60" max="60" width="13.85546875" style="215" customWidth="1"/>
    <col min="61" max="62" width="12.140625" style="215" customWidth="1"/>
    <col min="63" max="63" width="12" style="215" customWidth="1"/>
    <col min="64" max="64" width="13.85546875" style="215" customWidth="1"/>
    <col min="65" max="65" width="9.140625" style="215"/>
    <col min="66" max="66" width="12.85546875" style="215" customWidth="1"/>
    <col min="67" max="69" width="9.140625" style="215"/>
    <col min="70" max="70" width="31.5703125" style="215" customWidth="1"/>
    <col min="71" max="16384" width="9.140625" style="215"/>
  </cols>
  <sheetData>
    <row r="1" spans="1:70" s="213" customFormat="1" ht="33.75" customHeight="1" x14ac:dyDescent="0.25">
      <c r="A1" s="208" t="s">
        <v>195</v>
      </c>
      <c r="C1" s="208" t="s">
        <v>50</v>
      </c>
      <c r="E1" s="208" t="s">
        <v>49</v>
      </c>
      <c r="G1" s="208" t="s">
        <v>203</v>
      </c>
      <c r="H1" s="208" t="s">
        <v>208</v>
      </c>
      <c r="I1" s="208" t="s">
        <v>204</v>
      </c>
      <c r="J1" s="208" t="s">
        <v>205</v>
      </c>
      <c r="K1" s="208" t="s">
        <v>207</v>
      </c>
      <c r="M1" s="208" t="s">
        <v>196</v>
      </c>
      <c r="N1" s="208" t="s">
        <v>215</v>
      </c>
      <c r="O1" s="208" t="s">
        <v>216</v>
      </c>
      <c r="P1" s="208" t="s">
        <v>218</v>
      </c>
      <c r="R1" s="208" t="s">
        <v>197</v>
      </c>
      <c r="S1" s="208"/>
      <c r="U1" s="223" t="s">
        <v>20</v>
      </c>
      <c r="V1" s="224"/>
      <c r="W1" s="216" t="s">
        <v>5876</v>
      </c>
      <c r="X1" s="216" t="s">
        <v>7</v>
      </c>
      <c r="Y1" s="216" t="s">
        <v>5513</v>
      </c>
      <c r="AA1" s="216" t="s">
        <v>5537</v>
      </c>
      <c r="AB1" s="208" t="s">
        <v>5536</v>
      </c>
      <c r="AD1" s="207" t="s">
        <v>5539</v>
      </c>
      <c r="AE1" s="208" t="s">
        <v>5569</v>
      </c>
      <c r="AF1" s="208" t="s">
        <v>5570</v>
      </c>
      <c r="AH1" s="207" t="s">
        <v>5571</v>
      </c>
      <c r="AI1" s="208" t="s">
        <v>5569</v>
      </c>
      <c r="AJ1" s="208" t="s">
        <v>5570</v>
      </c>
      <c r="AL1" s="207" t="s">
        <v>5775</v>
      </c>
      <c r="AM1" s="207" t="s">
        <v>5776</v>
      </c>
      <c r="AO1" s="207" t="s">
        <v>5779</v>
      </c>
      <c r="AP1" s="207" t="s">
        <v>5837</v>
      </c>
      <c r="AQ1" s="207" t="s">
        <v>5780</v>
      </c>
      <c r="AS1" s="207" t="s">
        <v>5787</v>
      </c>
      <c r="AT1" s="207" t="s">
        <v>5788</v>
      </c>
      <c r="AU1" s="207" t="s">
        <v>5780</v>
      </c>
      <c r="AW1" s="208" t="s">
        <v>8</v>
      </c>
      <c r="AX1" s="208" t="s">
        <v>5828</v>
      </c>
      <c r="AY1" s="208" t="s">
        <v>5833</v>
      </c>
      <c r="AZ1" s="208" t="s">
        <v>5834</v>
      </c>
      <c r="BA1" s="208" t="s">
        <v>5832</v>
      </c>
      <c r="BB1" s="208" t="s">
        <v>5836</v>
      </c>
      <c r="BC1" s="222">
        <f>Geral!C17</f>
        <v>0.49333333333333335</v>
      </c>
      <c r="BD1" s="222" t="str">
        <f>Geral!C16</f>
        <v>Escritórios</v>
      </c>
      <c r="BE1" s="222">
        <f>Geral!C14</f>
        <v>3</v>
      </c>
      <c r="BF1" s="224"/>
      <c r="BG1" s="208" t="s">
        <v>8</v>
      </c>
      <c r="BH1" s="208" t="s">
        <v>5828</v>
      </c>
      <c r="BI1" s="208" t="s">
        <v>5833</v>
      </c>
      <c r="BJ1" s="208" t="s">
        <v>5834</v>
      </c>
      <c r="BK1" s="208" t="s">
        <v>5832</v>
      </c>
      <c r="BL1" s="208" t="s">
        <v>5836</v>
      </c>
      <c r="BM1" s="222">
        <f>BC1</f>
        <v>0.49333333333333335</v>
      </c>
      <c r="BN1" s="222" t="str">
        <f>BD1</f>
        <v>Escritórios</v>
      </c>
      <c r="BO1" s="222">
        <f>BE1</f>
        <v>3</v>
      </c>
      <c r="BP1" s="215"/>
      <c r="BR1" s="363" t="s">
        <v>6140</v>
      </c>
    </row>
    <row r="2" spans="1:70" ht="15.75" x14ac:dyDescent="0.25">
      <c r="A2" s="214" t="s">
        <v>51</v>
      </c>
      <c r="C2" s="214" t="s">
        <v>62</v>
      </c>
      <c r="E2" s="214" t="s">
        <v>64</v>
      </c>
      <c r="G2" s="214">
        <v>14.1</v>
      </c>
      <c r="H2" s="214">
        <v>15</v>
      </c>
      <c r="I2" s="214">
        <v>10</v>
      </c>
      <c r="J2" s="214">
        <v>10</v>
      </c>
      <c r="K2" s="214">
        <v>260</v>
      </c>
      <c r="M2" s="214" t="s">
        <v>210</v>
      </c>
      <c r="N2" s="214">
        <v>1</v>
      </c>
      <c r="O2" s="214">
        <v>1</v>
      </c>
      <c r="P2" s="214">
        <v>0</v>
      </c>
      <c r="R2" s="214" t="s">
        <v>213</v>
      </c>
      <c r="S2" s="214">
        <v>1</v>
      </c>
      <c r="U2" s="214" t="s">
        <v>230</v>
      </c>
      <c r="V2" s="215" t="s">
        <v>6040</v>
      </c>
      <c r="W2" s="214" t="s">
        <v>232</v>
      </c>
      <c r="X2" s="214" t="s">
        <v>233</v>
      </c>
      <c r="Y2" s="220">
        <v>2</v>
      </c>
      <c r="AA2" s="217" t="s">
        <v>5532</v>
      </c>
      <c r="AB2" s="208">
        <v>0.9</v>
      </c>
      <c r="AD2" s="210" t="s">
        <v>5540</v>
      </c>
      <c r="AE2" s="211">
        <v>7</v>
      </c>
      <c r="AF2" s="211">
        <v>13.8</v>
      </c>
      <c r="AH2" s="207" t="s">
        <v>5572</v>
      </c>
      <c r="AI2" s="209"/>
      <c r="AJ2" s="209"/>
      <c r="AL2" s="210" t="s">
        <v>5777</v>
      </c>
      <c r="AM2" s="210">
        <v>1.6</v>
      </c>
      <c r="AO2" s="210" t="s">
        <v>5781</v>
      </c>
      <c r="AP2" s="210">
        <v>0.20200000000000001</v>
      </c>
      <c r="AQ2" s="210" t="s">
        <v>5838</v>
      </c>
      <c r="AS2" s="210" t="s">
        <v>5789</v>
      </c>
      <c r="AT2" s="211">
        <v>0.09</v>
      </c>
      <c r="AU2" s="207" t="s">
        <v>5790</v>
      </c>
      <c r="AW2" s="214" t="s">
        <v>51</v>
      </c>
      <c r="AX2" s="205">
        <v>1</v>
      </c>
      <c r="AY2" s="205">
        <v>0</v>
      </c>
      <c r="AZ2" s="205">
        <v>0.2</v>
      </c>
      <c r="BA2" s="205">
        <v>0.3</v>
      </c>
      <c r="BB2" s="214" t="str">
        <f t="shared" ref="BB2:BB65" si="0">IF(AX2=$BE$1,IF(AW2=$BD$1,IF(AND($BC$1&gt;AY2,$BC$1&lt;AZ2),BA2,""),""),"")</f>
        <v/>
      </c>
      <c r="BG2" s="214" t="s">
        <v>51</v>
      </c>
      <c r="BH2" s="205">
        <v>1</v>
      </c>
      <c r="BI2" s="205">
        <v>0</v>
      </c>
      <c r="BJ2" s="205">
        <v>0.2</v>
      </c>
      <c r="BK2" s="205">
        <v>0.3</v>
      </c>
      <c r="BL2" s="214" t="str">
        <f t="shared" ref="BL2:BL65" si="1">IF(BH2=$BE$1,IF(BG2=$BD$1,IF(AND($BC$1&gt;BI2,$BC$1&lt;BJ2),BK2,""),""),"")</f>
        <v/>
      </c>
      <c r="BR2" s="364" t="s">
        <v>6139</v>
      </c>
    </row>
    <row r="3" spans="1:70" x14ac:dyDescent="0.25">
      <c r="A3" s="214" t="s">
        <v>6159</v>
      </c>
      <c r="C3" s="214" t="s">
        <v>63</v>
      </c>
      <c r="E3" s="214" t="s">
        <v>65</v>
      </c>
      <c r="G3" s="214">
        <v>15.5</v>
      </c>
      <c r="H3" s="214">
        <v>15</v>
      </c>
      <c r="I3" s="214">
        <v>2.5</v>
      </c>
      <c r="J3" s="214">
        <v>8</v>
      </c>
      <c r="K3" s="214">
        <v>200</v>
      </c>
      <c r="M3" s="214" t="s">
        <v>217</v>
      </c>
      <c r="N3" s="214">
        <v>1</v>
      </c>
      <c r="O3" s="214">
        <v>0</v>
      </c>
      <c r="P3" s="214">
        <v>0</v>
      </c>
      <c r="R3" s="214" t="s">
        <v>214</v>
      </c>
      <c r="S3" s="214">
        <v>0</v>
      </c>
      <c r="U3" s="214" t="s">
        <v>1716</v>
      </c>
      <c r="V3" s="215" t="s">
        <v>6041</v>
      </c>
      <c r="W3" s="214" t="s">
        <v>232</v>
      </c>
      <c r="X3" s="214" t="s">
        <v>234</v>
      </c>
      <c r="Y3" s="220">
        <v>3</v>
      </c>
      <c r="AA3" s="218" t="s">
        <v>5533</v>
      </c>
      <c r="AB3" s="214">
        <v>0.8</v>
      </c>
      <c r="AD3" s="210" t="s">
        <v>936</v>
      </c>
      <c r="AE3" s="211">
        <v>5.2</v>
      </c>
      <c r="AF3" s="211">
        <v>10.3</v>
      </c>
      <c r="AH3" s="210" t="s">
        <v>5573</v>
      </c>
      <c r="AI3" s="211" t="s">
        <v>5574</v>
      </c>
      <c r="AJ3" s="211" t="s">
        <v>5575</v>
      </c>
      <c r="AL3" s="210" t="s">
        <v>5778</v>
      </c>
      <c r="AM3" s="210">
        <v>1.1000000000000001</v>
      </c>
      <c r="AO3" s="210" t="s">
        <v>5782</v>
      </c>
      <c r="AP3" s="210">
        <v>0.26700000000000002</v>
      </c>
      <c r="AQ3" s="210" t="s">
        <v>5838</v>
      </c>
      <c r="AS3" s="210" t="s">
        <v>5791</v>
      </c>
      <c r="AT3" s="211">
        <v>0.753</v>
      </c>
      <c r="AU3" s="207" t="s">
        <v>5790</v>
      </c>
      <c r="AW3" s="214" t="s">
        <v>51</v>
      </c>
      <c r="AX3" s="205">
        <v>2</v>
      </c>
      <c r="AY3" s="205">
        <v>0</v>
      </c>
      <c r="AZ3" s="205">
        <v>0.2</v>
      </c>
      <c r="BA3" s="205">
        <v>0.26</v>
      </c>
      <c r="BB3" s="214" t="str">
        <f t="shared" si="0"/>
        <v/>
      </c>
      <c r="BG3" s="214" t="s">
        <v>51</v>
      </c>
      <c r="BH3" s="205">
        <v>2</v>
      </c>
      <c r="BI3" s="205">
        <v>0</v>
      </c>
      <c r="BJ3" s="205">
        <v>0.2</v>
      </c>
      <c r="BK3" s="205">
        <v>0.28999999999999998</v>
      </c>
      <c r="BL3" s="214" t="str">
        <f t="shared" si="1"/>
        <v/>
      </c>
      <c r="BR3" s="364" t="s">
        <v>6141</v>
      </c>
    </row>
    <row r="4" spans="1:70" ht="15.75" x14ac:dyDescent="0.25">
      <c r="A4" s="214" t="s">
        <v>6160</v>
      </c>
      <c r="E4" s="214" t="s">
        <v>66</v>
      </c>
      <c r="G4" s="214">
        <v>15.5</v>
      </c>
      <c r="H4" s="214">
        <v>15</v>
      </c>
      <c r="I4" s="214">
        <v>1.5</v>
      </c>
      <c r="J4" s="214">
        <v>8</v>
      </c>
      <c r="K4" s="214">
        <v>200</v>
      </c>
      <c r="M4" s="214" t="s">
        <v>209</v>
      </c>
      <c r="N4" s="214">
        <v>1</v>
      </c>
      <c r="O4" s="214">
        <v>0</v>
      </c>
      <c r="P4" s="214">
        <v>1</v>
      </c>
      <c r="U4" s="214" t="s">
        <v>231</v>
      </c>
      <c r="V4" s="215" t="s">
        <v>6040</v>
      </c>
      <c r="W4" s="214" t="s">
        <v>27</v>
      </c>
      <c r="X4" s="214" t="s">
        <v>235</v>
      </c>
      <c r="Y4" s="220">
        <v>2</v>
      </c>
      <c r="AA4" s="218" t="s">
        <v>5534</v>
      </c>
      <c r="AB4" s="214">
        <v>0.95</v>
      </c>
      <c r="AD4" s="210" t="s">
        <v>5541</v>
      </c>
      <c r="AE4" s="211">
        <v>8.4</v>
      </c>
      <c r="AF4" s="211">
        <v>18.399999999999999</v>
      </c>
      <c r="AH4" s="210" t="s">
        <v>5576</v>
      </c>
      <c r="AI4" s="211" t="s">
        <v>5577</v>
      </c>
      <c r="AJ4" s="211" t="s">
        <v>5578</v>
      </c>
      <c r="AO4" s="210" t="s">
        <v>5783</v>
      </c>
      <c r="AP4" s="210">
        <v>0.22700000000000001</v>
      </c>
      <c r="AQ4" s="210" t="s">
        <v>5838</v>
      </c>
      <c r="AW4" s="214" t="s">
        <v>51</v>
      </c>
      <c r="AX4" s="205">
        <v>3</v>
      </c>
      <c r="AY4" s="205">
        <v>0</v>
      </c>
      <c r="AZ4" s="205">
        <v>0.2</v>
      </c>
      <c r="BA4" s="205">
        <v>0.23</v>
      </c>
      <c r="BB4" s="214" t="str">
        <f t="shared" si="0"/>
        <v/>
      </c>
      <c r="BG4" s="214" t="s">
        <v>51</v>
      </c>
      <c r="BH4" s="205">
        <v>3</v>
      </c>
      <c r="BI4" s="205">
        <v>0</v>
      </c>
      <c r="BJ4" s="205">
        <v>0.2</v>
      </c>
      <c r="BK4" s="205">
        <v>0.3</v>
      </c>
      <c r="BL4" s="214" t="str">
        <f t="shared" si="1"/>
        <v/>
      </c>
      <c r="BP4" s="204"/>
    </row>
    <row r="5" spans="1:70" ht="15.75" x14ac:dyDescent="0.25">
      <c r="A5" s="214" t="s">
        <v>6161</v>
      </c>
      <c r="E5" s="214" t="s">
        <v>67</v>
      </c>
      <c r="G5" s="214">
        <v>15.5</v>
      </c>
      <c r="H5" s="214">
        <v>15</v>
      </c>
      <c r="I5" s="214">
        <v>1.5</v>
      </c>
      <c r="J5" s="214">
        <v>8</v>
      </c>
      <c r="K5" s="214">
        <v>200</v>
      </c>
      <c r="M5" s="214" t="s">
        <v>211</v>
      </c>
      <c r="N5" s="214">
        <v>0</v>
      </c>
      <c r="O5" s="214">
        <v>1</v>
      </c>
      <c r="P5" s="214">
        <v>0</v>
      </c>
      <c r="U5" s="214" t="s">
        <v>4004</v>
      </c>
      <c r="V5" s="215" t="s">
        <v>6040</v>
      </c>
      <c r="W5" s="214" t="s">
        <v>232</v>
      </c>
      <c r="X5" s="214" t="s">
        <v>236</v>
      </c>
      <c r="Y5" s="220">
        <v>2</v>
      </c>
      <c r="AA5" s="218" t="s">
        <v>5535</v>
      </c>
      <c r="AB5" s="214">
        <v>1</v>
      </c>
      <c r="AD5" s="210" t="s">
        <v>5542</v>
      </c>
      <c r="AE5" s="211">
        <v>5.7</v>
      </c>
      <c r="AF5" s="211">
        <v>11</v>
      </c>
      <c r="AH5" s="207" t="s">
        <v>5579</v>
      </c>
      <c r="AI5" s="209"/>
      <c r="AJ5" s="209"/>
      <c r="AO5" s="210" t="s">
        <v>5784</v>
      </c>
      <c r="AP5" s="210">
        <v>0.53100000000000003</v>
      </c>
      <c r="AQ5" s="210" t="s">
        <v>5838</v>
      </c>
      <c r="AW5" s="214" t="s">
        <v>51</v>
      </c>
      <c r="AX5" s="205">
        <v>4</v>
      </c>
      <c r="AY5" s="205">
        <v>0</v>
      </c>
      <c r="AZ5" s="205">
        <v>0.2</v>
      </c>
      <c r="BA5" s="205">
        <v>0.19</v>
      </c>
      <c r="BB5" s="214" t="str">
        <f t="shared" si="0"/>
        <v/>
      </c>
      <c r="BG5" s="214" t="s">
        <v>51</v>
      </c>
      <c r="BH5" s="205">
        <v>4</v>
      </c>
      <c r="BI5" s="205">
        <v>0</v>
      </c>
      <c r="BJ5" s="205">
        <v>0.2</v>
      </c>
      <c r="BK5" s="205">
        <v>0.28999999999999998</v>
      </c>
      <c r="BL5" s="214" t="str">
        <f t="shared" si="1"/>
        <v/>
      </c>
      <c r="BP5" s="204"/>
    </row>
    <row r="6" spans="1:70" ht="15.75" x14ac:dyDescent="0.25">
      <c r="A6" s="214" t="s">
        <v>5851</v>
      </c>
      <c r="E6" s="214" t="s">
        <v>68</v>
      </c>
      <c r="G6" s="214">
        <v>15.7</v>
      </c>
      <c r="H6" s="214">
        <v>20</v>
      </c>
      <c r="I6" s="214">
        <v>18</v>
      </c>
      <c r="J6" s="214">
        <v>14.4</v>
      </c>
      <c r="K6" s="214">
        <v>365</v>
      </c>
      <c r="M6" s="214" t="s">
        <v>219</v>
      </c>
      <c r="N6" s="214">
        <v>0</v>
      </c>
      <c r="O6" s="214">
        <v>0</v>
      </c>
      <c r="P6" s="214">
        <v>0</v>
      </c>
      <c r="U6" s="214" t="s">
        <v>398</v>
      </c>
      <c r="V6" s="215" t="s">
        <v>6041</v>
      </c>
      <c r="W6" s="214" t="s">
        <v>232</v>
      </c>
      <c r="X6" s="214" t="s">
        <v>237</v>
      </c>
      <c r="Y6" s="220">
        <v>2</v>
      </c>
      <c r="AD6" s="210" t="s">
        <v>5543</v>
      </c>
      <c r="AE6" s="211">
        <v>8.6999999999999993</v>
      </c>
      <c r="AF6" s="211">
        <v>16.8</v>
      </c>
      <c r="AH6" s="210" t="s">
        <v>5580</v>
      </c>
      <c r="AI6" s="211" t="s">
        <v>5581</v>
      </c>
      <c r="AJ6" s="211" t="s">
        <v>5582</v>
      </c>
      <c r="AO6" s="210" t="s">
        <v>5785</v>
      </c>
      <c r="AP6" s="210">
        <v>0.249</v>
      </c>
      <c r="AQ6" s="210" t="s">
        <v>5838</v>
      </c>
      <c r="AW6" s="214" t="s">
        <v>51</v>
      </c>
      <c r="AX6" s="205">
        <v>5</v>
      </c>
      <c r="AY6" s="205">
        <v>0</v>
      </c>
      <c r="AZ6" s="205">
        <v>0.2</v>
      </c>
      <c r="BA6" s="205">
        <v>0.22</v>
      </c>
      <c r="BB6" s="214" t="str">
        <f t="shared" si="0"/>
        <v/>
      </c>
      <c r="BG6" s="214" t="s">
        <v>51</v>
      </c>
      <c r="BH6" s="205">
        <v>5</v>
      </c>
      <c r="BI6" s="205">
        <v>0</v>
      </c>
      <c r="BJ6" s="205">
        <v>0.2</v>
      </c>
      <c r="BK6" s="205">
        <v>0.3</v>
      </c>
      <c r="BL6" s="214" t="str">
        <f t="shared" si="1"/>
        <v/>
      </c>
      <c r="BP6" s="204"/>
    </row>
    <row r="7" spans="1:70" ht="15.75" x14ac:dyDescent="0.25">
      <c r="A7" s="214" t="s">
        <v>55</v>
      </c>
      <c r="E7" s="214" t="s">
        <v>69</v>
      </c>
      <c r="G7" s="214">
        <v>15</v>
      </c>
      <c r="H7" s="214">
        <v>40</v>
      </c>
      <c r="I7" s="214">
        <v>5</v>
      </c>
      <c r="J7" s="214">
        <v>12</v>
      </c>
      <c r="K7" s="214">
        <v>365</v>
      </c>
      <c r="M7" s="214" t="s">
        <v>212</v>
      </c>
      <c r="N7" s="214">
        <v>0</v>
      </c>
      <c r="O7" s="214">
        <v>0</v>
      </c>
      <c r="P7" s="214">
        <v>1</v>
      </c>
      <c r="U7" s="214" t="s">
        <v>1943</v>
      </c>
      <c r="V7" s="215" t="s">
        <v>6041</v>
      </c>
      <c r="W7" s="214" t="s">
        <v>27</v>
      </c>
      <c r="X7" s="214" t="s">
        <v>238</v>
      </c>
      <c r="Y7" s="220">
        <v>2</v>
      </c>
      <c r="AD7" s="210" t="s">
        <v>5544</v>
      </c>
      <c r="AE7" s="211">
        <v>8.9</v>
      </c>
      <c r="AF7" s="211">
        <v>12.9</v>
      </c>
      <c r="AH7" s="210" t="s">
        <v>5583</v>
      </c>
      <c r="AI7" s="466" t="s">
        <v>5585</v>
      </c>
      <c r="AJ7" s="466" t="s">
        <v>5586</v>
      </c>
      <c r="AO7" s="210" t="s">
        <v>5786</v>
      </c>
      <c r="AP7" s="210">
        <v>0.248</v>
      </c>
      <c r="AQ7" s="210" t="s">
        <v>5838</v>
      </c>
      <c r="AW7" s="214" t="s">
        <v>51</v>
      </c>
      <c r="AX7" s="205">
        <v>6</v>
      </c>
      <c r="AY7" s="205">
        <v>0</v>
      </c>
      <c r="AZ7" s="205">
        <v>0.2</v>
      </c>
      <c r="BA7" s="205">
        <v>0.19</v>
      </c>
      <c r="BB7" s="214" t="str">
        <f t="shared" si="0"/>
        <v/>
      </c>
      <c r="BG7" s="214" t="s">
        <v>51</v>
      </c>
      <c r="BH7" s="205">
        <v>6</v>
      </c>
      <c r="BI7" s="205">
        <v>0</v>
      </c>
      <c r="BJ7" s="205">
        <v>0.2</v>
      </c>
      <c r="BK7" s="205">
        <v>0.3</v>
      </c>
      <c r="BL7" s="214" t="str">
        <f t="shared" si="1"/>
        <v/>
      </c>
      <c r="BP7" s="204"/>
    </row>
    <row r="8" spans="1:70" ht="15.75" x14ac:dyDescent="0.25">
      <c r="A8" s="214" t="s">
        <v>5830</v>
      </c>
      <c r="E8" s="214" t="s">
        <v>70</v>
      </c>
      <c r="G8" s="214">
        <v>20</v>
      </c>
      <c r="H8" s="214">
        <v>20</v>
      </c>
      <c r="I8" s="214">
        <v>5</v>
      </c>
      <c r="J8" s="214">
        <v>12</v>
      </c>
      <c r="K8" s="214">
        <v>300</v>
      </c>
      <c r="U8" s="214" t="s">
        <v>24</v>
      </c>
      <c r="V8" s="215" t="s">
        <v>6042</v>
      </c>
      <c r="W8" s="214" t="s">
        <v>239</v>
      </c>
      <c r="X8" s="214" t="s">
        <v>240</v>
      </c>
      <c r="Y8" s="220">
        <v>2</v>
      </c>
      <c r="AD8" s="210" t="s">
        <v>5545</v>
      </c>
      <c r="AE8" s="211">
        <v>11.4</v>
      </c>
      <c r="AF8" s="211">
        <v>21.9</v>
      </c>
      <c r="AH8" s="210" t="s">
        <v>5584</v>
      </c>
      <c r="AI8" s="466"/>
      <c r="AJ8" s="466"/>
      <c r="AW8" s="214" t="s">
        <v>51</v>
      </c>
      <c r="AX8" s="205">
        <v>7</v>
      </c>
      <c r="AY8" s="205">
        <v>0</v>
      </c>
      <c r="AZ8" s="205">
        <v>0.2</v>
      </c>
      <c r="BA8" s="205">
        <v>0.13</v>
      </c>
      <c r="BB8" s="214" t="str">
        <f t="shared" si="0"/>
        <v/>
      </c>
      <c r="BG8" s="214" t="s">
        <v>51</v>
      </c>
      <c r="BH8" s="205">
        <v>7</v>
      </c>
      <c r="BI8" s="205">
        <v>0</v>
      </c>
      <c r="BJ8" s="205">
        <v>0.2</v>
      </c>
      <c r="BK8" s="205">
        <v>0.28999999999999998</v>
      </c>
      <c r="BL8" s="214" t="str">
        <f t="shared" si="1"/>
        <v/>
      </c>
      <c r="BP8" s="204"/>
    </row>
    <row r="9" spans="1:70" ht="15.75" x14ac:dyDescent="0.25">
      <c r="A9" s="214" t="s">
        <v>56</v>
      </c>
      <c r="E9" s="214" t="s">
        <v>71</v>
      </c>
      <c r="G9" s="214">
        <v>16.3</v>
      </c>
      <c r="H9" s="214">
        <v>40</v>
      </c>
      <c r="I9" s="214">
        <v>5</v>
      </c>
      <c r="J9" s="214">
        <v>12</v>
      </c>
      <c r="K9" s="214">
        <v>350</v>
      </c>
      <c r="U9" s="214" t="s">
        <v>244</v>
      </c>
      <c r="V9" s="215" t="s">
        <v>6043</v>
      </c>
      <c r="W9" s="214" t="s">
        <v>239</v>
      </c>
      <c r="X9" s="214" t="s">
        <v>241</v>
      </c>
      <c r="Y9" s="220">
        <v>2</v>
      </c>
      <c r="AD9" s="210" t="s">
        <v>5546</v>
      </c>
      <c r="AE9" s="211">
        <v>7.2</v>
      </c>
      <c r="AF9" s="211">
        <v>13.6</v>
      </c>
      <c r="AH9" s="207" t="s">
        <v>5587</v>
      </c>
      <c r="AI9" s="209"/>
      <c r="AJ9" s="209"/>
      <c r="AW9" s="214" t="s">
        <v>51</v>
      </c>
      <c r="AX9" s="205">
        <v>8</v>
      </c>
      <c r="AY9" s="205">
        <v>0</v>
      </c>
      <c r="AZ9" s="205">
        <v>0.2</v>
      </c>
      <c r="BA9" s="205">
        <v>0.15</v>
      </c>
      <c r="BB9" s="214" t="str">
        <f t="shared" si="0"/>
        <v/>
      </c>
      <c r="BG9" s="214" t="s">
        <v>51</v>
      </c>
      <c r="BH9" s="205">
        <v>8</v>
      </c>
      <c r="BI9" s="205">
        <v>0</v>
      </c>
      <c r="BJ9" s="205">
        <v>0.2</v>
      </c>
      <c r="BK9" s="205">
        <v>0.28999999999999998</v>
      </c>
      <c r="BL9" s="214" t="str">
        <f t="shared" si="1"/>
        <v/>
      </c>
      <c r="BP9" s="204"/>
    </row>
    <row r="10" spans="1:70" ht="15.75" x14ac:dyDescent="0.25">
      <c r="A10" s="214" t="s">
        <v>57</v>
      </c>
      <c r="E10" s="214" t="s">
        <v>63</v>
      </c>
      <c r="G10" s="214">
        <v>13.9</v>
      </c>
      <c r="H10" s="214">
        <v>40</v>
      </c>
      <c r="I10" s="214">
        <v>5</v>
      </c>
      <c r="J10" s="214">
        <v>8</v>
      </c>
      <c r="K10" s="214">
        <v>350</v>
      </c>
      <c r="U10" s="214" t="s">
        <v>1740</v>
      </c>
      <c r="V10" s="215" t="s">
        <v>6042</v>
      </c>
      <c r="W10" s="214" t="s">
        <v>242</v>
      </c>
      <c r="X10" s="214" t="s">
        <v>243</v>
      </c>
      <c r="Y10" s="220">
        <v>8</v>
      </c>
      <c r="AD10" s="210" t="s">
        <v>5547</v>
      </c>
      <c r="AE10" s="211">
        <v>7.6</v>
      </c>
      <c r="AF10" s="211">
        <v>12.8</v>
      </c>
      <c r="AH10" s="210" t="s">
        <v>5588</v>
      </c>
      <c r="AI10" s="211" t="s">
        <v>5589</v>
      </c>
      <c r="AJ10" s="211" t="s">
        <v>5590</v>
      </c>
      <c r="AW10" s="214" t="s">
        <v>51</v>
      </c>
      <c r="AX10" s="205">
        <v>1</v>
      </c>
      <c r="AY10" s="205">
        <v>0.2</v>
      </c>
      <c r="AZ10" s="205">
        <v>0.3</v>
      </c>
      <c r="BA10" s="205">
        <v>0.33</v>
      </c>
      <c r="BB10" s="214" t="str">
        <f t="shared" si="0"/>
        <v/>
      </c>
      <c r="BG10" s="214" t="s">
        <v>51</v>
      </c>
      <c r="BH10" s="205">
        <v>1</v>
      </c>
      <c r="BI10" s="205">
        <v>0.2</v>
      </c>
      <c r="BJ10" s="205">
        <v>0.3</v>
      </c>
      <c r="BK10" s="205">
        <v>0.33</v>
      </c>
      <c r="BL10" s="214" t="str">
        <f t="shared" si="1"/>
        <v/>
      </c>
      <c r="BP10" s="204"/>
    </row>
    <row r="11" spans="1:70" ht="15.75" x14ac:dyDescent="0.25">
      <c r="A11" s="214" t="s">
        <v>58</v>
      </c>
      <c r="G11" s="214">
        <v>15</v>
      </c>
      <c r="H11" s="214">
        <v>40</v>
      </c>
      <c r="I11" s="214">
        <v>10</v>
      </c>
      <c r="J11" s="214">
        <v>12</v>
      </c>
      <c r="K11" s="214">
        <v>300</v>
      </c>
      <c r="U11" s="214" t="s">
        <v>3872</v>
      </c>
      <c r="V11" s="215" t="s">
        <v>6041</v>
      </c>
      <c r="W11" s="214" t="s">
        <v>244</v>
      </c>
      <c r="X11" s="214" t="s">
        <v>245</v>
      </c>
      <c r="Y11" s="220">
        <v>8</v>
      </c>
      <c r="AD11" s="210" t="s">
        <v>5548</v>
      </c>
      <c r="AE11" s="211">
        <v>8.6999999999999993</v>
      </c>
      <c r="AF11" s="211">
        <v>15.5</v>
      </c>
      <c r="AH11" s="210" t="s">
        <v>5543</v>
      </c>
      <c r="AI11" s="211" t="s">
        <v>5589</v>
      </c>
      <c r="AJ11" s="211" t="s">
        <v>5591</v>
      </c>
      <c r="AW11" s="214" t="s">
        <v>51</v>
      </c>
      <c r="AX11" s="205">
        <v>2</v>
      </c>
      <c r="AY11" s="205">
        <v>0.2</v>
      </c>
      <c r="AZ11" s="205">
        <v>0.3</v>
      </c>
      <c r="BA11" s="205">
        <v>0.28999999999999998</v>
      </c>
      <c r="BB11" s="214" t="str">
        <f t="shared" si="0"/>
        <v/>
      </c>
      <c r="BG11" s="214" t="s">
        <v>51</v>
      </c>
      <c r="BH11" s="205">
        <v>2</v>
      </c>
      <c r="BI11" s="205">
        <v>0.2</v>
      </c>
      <c r="BJ11" s="205">
        <v>0.3</v>
      </c>
      <c r="BK11" s="205">
        <v>0.33</v>
      </c>
      <c r="BL11" s="214" t="str">
        <f t="shared" si="1"/>
        <v/>
      </c>
      <c r="BP11" s="204"/>
    </row>
    <row r="12" spans="1:70" x14ac:dyDescent="0.25">
      <c r="U12" s="214" t="s">
        <v>274</v>
      </c>
      <c r="V12" s="215" t="s">
        <v>6043</v>
      </c>
      <c r="W12" s="214" t="s">
        <v>244</v>
      </c>
      <c r="X12" s="214" t="s">
        <v>246</v>
      </c>
      <c r="Y12" s="220">
        <v>8</v>
      </c>
      <c r="AD12" s="210" t="s">
        <v>5549</v>
      </c>
      <c r="AE12" s="211">
        <v>8.5</v>
      </c>
      <c r="AF12" s="211">
        <v>14.1</v>
      </c>
      <c r="AH12" s="210" t="s">
        <v>5544</v>
      </c>
      <c r="AI12" s="211" t="s">
        <v>5592</v>
      </c>
      <c r="AJ12" s="211" t="s">
        <v>5593</v>
      </c>
      <c r="AW12" s="214" t="s">
        <v>51</v>
      </c>
      <c r="AX12" s="205">
        <v>3</v>
      </c>
      <c r="AY12" s="205">
        <v>0.2</v>
      </c>
      <c r="AZ12" s="205">
        <v>0.3</v>
      </c>
      <c r="BA12" s="205">
        <v>0.25</v>
      </c>
      <c r="BB12" s="214" t="str">
        <f t="shared" si="0"/>
        <v/>
      </c>
      <c r="BG12" s="214" t="s">
        <v>51</v>
      </c>
      <c r="BH12" s="205">
        <v>3</v>
      </c>
      <c r="BI12" s="205">
        <v>0.2</v>
      </c>
      <c r="BJ12" s="205">
        <v>0.3</v>
      </c>
      <c r="BK12" s="205">
        <v>0.33</v>
      </c>
      <c r="BL12" s="214" t="str">
        <f t="shared" si="1"/>
        <v/>
      </c>
    </row>
    <row r="13" spans="1:70" x14ac:dyDescent="0.25">
      <c r="U13" s="214" t="s">
        <v>1978</v>
      </c>
      <c r="V13" s="215" t="s">
        <v>6042</v>
      </c>
      <c r="W13" s="214" t="s">
        <v>27</v>
      </c>
      <c r="X13" s="214" t="s">
        <v>247</v>
      </c>
      <c r="Y13" s="220">
        <v>3</v>
      </c>
      <c r="AD13" s="210" t="s">
        <v>5550</v>
      </c>
      <c r="AE13" s="211">
        <v>9.4</v>
      </c>
      <c r="AF13" s="211">
        <v>12.2</v>
      </c>
      <c r="AH13" s="210" t="s">
        <v>5561</v>
      </c>
      <c r="AI13" s="211" t="s">
        <v>5589</v>
      </c>
      <c r="AJ13" s="211" t="s">
        <v>5594</v>
      </c>
      <c r="AW13" s="214" t="s">
        <v>51</v>
      </c>
      <c r="AX13" s="205">
        <v>4</v>
      </c>
      <c r="AY13" s="205">
        <v>0.2</v>
      </c>
      <c r="AZ13" s="205">
        <v>0.3</v>
      </c>
      <c r="BA13" s="205">
        <v>0.21</v>
      </c>
      <c r="BB13" s="214" t="str">
        <f t="shared" si="0"/>
        <v/>
      </c>
      <c r="BG13" s="214" t="s">
        <v>51</v>
      </c>
      <c r="BH13" s="205">
        <v>4</v>
      </c>
      <c r="BI13" s="205">
        <v>0.2</v>
      </c>
      <c r="BJ13" s="205">
        <v>0.3</v>
      </c>
      <c r="BK13" s="205">
        <v>0.32</v>
      </c>
      <c r="BL13" s="214" t="str">
        <f t="shared" si="1"/>
        <v/>
      </c>
    </row>
    <row r="14" spans="1:70" x14ac:dyDescent="0.25">
      <c r="U14" s="214" t="s">
        <v>2185</v>
      </c>
      <c r="V14" s="215" t="s">
        <v>6042</v>
      </c>
      <c r="W14" s="214" t="s">
        <v>244</v>
      </c>
      <c r="X14" s="214" t="s">
        <v>248</v>
      </c>
      <c r="Y14" s="220">
        <v>8</v>
      </c>
      <c r="AD14" s="210" t="s">
        <v>5551</v>
      </c>
      <c r="AE14" s="211">
        <v>1.6</v>
      </c>
      <c r="AF14" s="211">
        <v>3.9</v>
      </c>
      <c r="AH14" s="210" t="s">
        <v>5565</v>
      </c>
      <c r="AI14" s="211" t="s">
        <v>5595</v>
      </c>
      <c r="AJ14" s="211" t="s">
        <v>5596</v>
      </c>
      <c r="AW14" s="214" t="s">
        <v>51</v>
      </c>
      <c r="AX14" s="205">
        <v>5</v>
      </c>
      <c r="AY14" s="205">
        <v>0.2</v>
      </c>
      <c r="AZ14" s="205">
        <v>0.3</v>
      </c>
      <c r="BA14" s="205">
        <v>0.25</v>
      </c>
      <c r="BB14" s="214" t="str">
        <f t="shared" si="0"/>
        <v/>
      </c>
      <c r="BG14" s="214" t="s">
        <v>51</v>
      </c>
      <c r="BH14" s="205">
        <v>5</v>
      </c>
      <c r="BI14" s="205">
        <v>0.2</v>
      </c>
      <c r="BJ14" s="205">
        <v>0.3</v>
      </c>
      <c r="BK14" s="205">
        <v>0.33</v>
      </c>
      <c r="BL14" s="214" t="str">
        <f t="shared" si="1"/>
        <v/>
      </c>
    </row>
    <row r="15" spans="1:70" x14ac:dyDescent="0.25">
      <c r="U15" s="214" t="s">
        <v>29</v>
      </c>
      <c r="V15" s="215" t="s">
        <v>6040</v>
      </c>
      <c r="W15" s="214" t="s">
        <v>27</v>
      </c>
      <c r="X15" s="214" t="s">
        <v>249</v>
      </c>
      <c r="Y15" s="220">
        <v>3</v>
      </c>
      <c r="AD15" s="210" t="s">
        <v>5552</v>
      </c>
      <c r="AE15" s="211">
        <v>7.3</v>
      </c>
      <c r="AF15" s="211">
        <v>15.7</v>
      </c>
      <c r="AH15" s="207" t="s">
        <v>5597</v>
      </c>
      <c r="AI15" s="211" t="s">
        <v>5598</v>
      </c>
      <c r="AJ15" s="211" t="s">
        <v>5599</v>
      </c>
      <c r="AW15" s="214" t="s">
        <v>51</v>
      </c>
      <c r="AX15" s="205">
        <v>6</v>
      </c>
      <c r="AY15" s="205">
        <v>0.2</v>
      </c>
      <c r="AZ15" s="205">
        <v>0.3</v>
      </c>
      <c r="BA15" s="205">
        <v>0.21</v>
      </c>
      <c r="BB15" s="214" t="str">
        <f t="shared" si="0"/>
        <v/>
      </c>
      <c r="BG15" s="214" t="s">
        <v>51</v>
      </c>
      <c r="BH15" s="205">
        <v>6</v>
      </c>
      <c r="BI15" s="205">
        <v>0.2</v>
      </c>
      <c r="BJ15" s="205">
        <v>0.3</v>
      </c>
      <c r="BK15" s="205">
        <v>0.33</v>
      </c>
      <c r="BL15" s="214" t="str">
        <f t="shared" si="1"/>
        <v/>
      </c>
    </row>
    <row r="16" spans="1:70" x14ac:dyDescent="0.25">
      <c r="U16" s="214" t="s">
        <v>1763</v>
      </c>
      <c r="V16" s="215" t="s">
        <v>6041</v>
      </c>
      <c r="W16" s="214" t="s">
        <v>27</v>
      </c>
      <c r="X16" s="214" t="s">
        <v>250</v>
      </c>
      <c r="Y16" s="220">
        <v>2</v>
      </c>
      <c r="AD16" s="210" t="s">
        <v>5553</v>
      </c>
      <c r="AE16" s="211">
        <v>6.6</v>
      </c>
      <c r="AF16" s="211">
        <v>9.6</v>
      </c>
      <c r="AH16" s="207" t="s">
        <v>5600</v>
      </c>
      <c r="AI16" s="211" t="s">
        <v>5601</v>
      </c>
      <c r="AJ16" s="211" t="s">
        <v>5602</v>
      </c>
      <c r="AW16" s="214" t="s">
        <v>51</v>
      </c>
      <c r="AX16" s="205">
        <v>7</v>
      </c>
      <c r="AY16" s="205">
        <v>0.2</v>
      </c>
      <c r="AZ16" s="205">
        <v>0.3</v>
      </c>
      <c r="BA16" s="205">
        <v>0.15</v>
      </c>
      <c r="BB16" s="214" t="str">
        <f t="shared" si="0"/>
        <v/>
      </c>
      <c r="BG16" s="214" t="s">
        <v>51</v>
      </c>
      <c r="BH16" s="205">
        <v>7</v>
      </c>
      <c r="BI16" s="205">
        <v>0.2</v>
      </c>
      <c r="BJ16" s="205">
        <v>0.3</v>
      </c>
      <c r="BK16" s="205">
        <v>0.31</v>
      </c>
      <c r="BL16" s="214" t="str">
        <f t="shared" si="1"/>
        <v/>
      </c>
    </row>
    <row r="17" spans="1:64" ht="15.75" x14ac:dyDescent="0.25">
      <c r="A17" s="219" t="s">
        <v>5822</v>
      </c>
      <c r="B17" s="219">
        <v>2.6</v>
      </c>
      <c r="U17" s="214" t="s">
        <v>242</v>
      </c>
      <c r="V17" s="215" t="s">
        <v>6041</v>
      </c>
      <c r="W17" s="214" t="s">
        <v>27</v>
      </c>
      <c r="X17" s="214" t="s">
        <v>251</v>
      </c>
      <c r="Y17" s="220">
        <v>1</v>
      </c>
      <c r="AD17" s="210" t="s">
        <v>5554</v>
      </c>
      <c r="AE17" s="211">
        <v>11.3</v>
      </c>
      <c r="AF17" s="211">
        <v>18.899999999999999</v>
      </c>
      <c r="AH17" s="207" t="s">
        <v>5541</v>
      </c>
      <c r="AI17" s="209"/>
      <c r="AJ17" s="209"/>
      <c r="AW17" s="214" t="s">
        <v>51</v>
      </c>
      <c r="AX17" s="205">
        <v>8</v>
      </c>
      <c r="AY17" s="205">
        <v>0.2</v>
      </c>
      <c r="AZ17" s="205">
        <v>0.3</v>
      </c>
      <c r="BA17" s="205">
        <v>0.17</v>
      </c>
      <c r="BB17" s="214" t="str">
        <f t="shared" si="0"/>
        <v/>
      </c>
      <c r="BG17" s="214" t="s">
        <v>51</v>
      </c>
      <c r="BH17" s="205">
        <v>8</v>
      </c>
      <c r="BI17" s="205">
        <v>0.2</v>
      </c>
      <c r="BJ17" s="205">
        <v>0.3</v>
      </c>
      <c r="BK17" s="205">
        <v>0.31</v>
      </c>
      <c r="BL17" s="214" t="str">
        <f t="shared" si="1"/>
        <v/>
      </c>
    </row>
    <row r="18" spans="1:64" x14ac:dyDescent="0.25">
      <c r="U18" s="214" t="s">
        <v>3870</v>
      </c>
      <c r="V18" s="215" t="s">
        <v>6041</v>
      </c>
      <c r="W18" s="214" t="s">
        <v>252</v>
      </c>
      <c r="X18" s="214" t="s">
        <v>253</v>
      </c>
      <c r="Y18" s="220">
        <v>3</v>
      </c>
      <c r="AD18" s="210" t="s">
        <v>5555</v>
      </c>
      <c r="AE18" s="211">
        <v>8.1</v>
      </c>
      <c r="AF18" s="211">
        <v>15.7</v>
      </c>
      <c r="AH18" s="210" t="s">
        <v>5603</v>
      </c>
      <c r="AI18" s="211" t="s">
        <v>5604</v>
      </c>
      <c r="AJ18" s="211" t="s">
        <v>5605</v>
      </c>
      <c r="AW18" s="214" t="s">
        <v>51</v>
      </c>
      <c r="AX18" s="205">
        <v>1</v>
      </c>
      <c r="AY18" s="205">
        <v>0.3</v>
      </c>
      <c r="AZ18" s="205">
        <v>0.4</v>
      </c>
      <c r="BA18" s="205">
        <v>0.34</v>
      </c>
      <c r="BB18" s="214" t="str">
        <f t="shared" si="0"/>
        <v/>
      </c>
      <c r="BG18" s="214" t="s">
        <v>51</v>
      </c>
      <c r="BH18" s="205">
        <v>1</v>
      </c>
      <c r="BI18" s="205">
        <v>0.3</v>
      </c>
      <c r="BJ18" s="205">
        <v>0.4</v>
      </c>
      <c r="BK18" s="205">
        <v>0.35</v>
      </c>
      <c r="BL18" s="214" t="str">
        <f t="shared" si="1"/>
        <v/>
      </c>
    </row>
    <row r="19" spans="1:64" x14ac:dyDescent="0.25">
      <c r="A19" s="208" t="s">
        <v>6158</v>
      </c>
      <c r="U19" s="214" t="s">
        <v>239</v>
      </c>
      <c r="V19" s="215" t="s">
        <v>6044</v>
      </c>
      <c r="W19" s="214" t="s">
        <v>27</v>
      </c>
      <c r="X19" s="214" t="s">
        <v>254</v>
      </c>
      <c r="Y19" s="220">
        <v>1</v>
      </c>
      <c r="AD19" s="210" t="s">
        <v>5556</v>
      </c>
      <c r="AE19" s="211">
        <v>10.1</v>
      </c>
      <c r="AF19" s="211">
        <v>16.399999999999999</v>
      </c>
      <c r="AH19" s="210" t="s">
        <v>5606</v>
      </c>
      <c r="AI19" s="211" t="s">
        <v>5607</v>
      </c>
      <c r="AJ19" s="211" t="s">
        <v>5608</v>
      </c>
      <c r="AW19" s="214" t="s">
        <v>51</v>
      </c>
      <c r="AX19" s="205">
        <v>2</v>
      </c>
      <c r="AY19" s="205">
        <v>0.3</v>
      </c>
      <c r="AZ19" s="205">
        <v>0.4</v>
      </c>
      <c r="BA19" s="205">
        <v>0.3</v>
      </c>
      <c r="BB19" s="214" t="str">
        <f t="shared" si="0"/>
        <v/>
      </c>
      <c r="BG19" s="214" t="s">
        <v>51</v>
      </c>
      <c r="BH19" s="205">
        <v>2</v>
      </c>
      <c r="BI19" s="205">
        <v>0.3</v>
      </c>
      <c r="BJ19" s="205">
        <v>0.4</v>
      </c>
      <c r="BK19" s="205">
        <v>0.33</v>
      </c>
      <c r="BL19" s="214" t="str">
        <f t="shared" si="1"/>
        <v/>
      </c>
    </row>
    <row r="20" spans="1:64" x14ac:dyDescent="0.25">
      <c r="A20" s="214" t="s">
        <v>51</v>
      </c>
      <c r="U20" s="214" t="s">
        <v>252</v>
      </c>
      <c r="V20" s="215" t="s">
        <v>6043</v>
      </c>
      <c r="W20" s="214" t="s">
        <v>239</v>
      </c>
      <c r="X20" s="214" t="s">
        <v>255</v>
      </c>
      <c r="Y20" s="220">
        <v>1</v>
      </c>
      <c r="AD20" s="210" t="s">
        <v>5557</v>
      </c>
      <c r="AE20" s="211">
        <v>8.4</v>
      </c>
      <c r="AF20" s="211">
        <v>13.9</v>
      </c>
      <c r="AH20" s="210" t="s">
        <v>5609</v>
      </c>
      <c r="AI20" s="211" t="s">
        <v>5610</v>
      </c>
      <c r="AJ20" s="211" t="s">
        <v>5611</v>
      </c>
      <c r="AW20" s="214" t="s">
        <v>51</v>
      </c>
      <c r="AX20" s="205">
        <v>3</v>
      </c>
      <c r="AY20" s="205">
        <v>0.3</v>
      </c>
      <c r="AZ20" s="205">
        <v>0.4</v>
      </c>
      <c r="BA20" s="205">
        <v>0.26</v>
      </c>
      <c r="BB20" s="214" t="str">
        <f t="shared" si="0"/>
        <v/>
      </c>
      <c r="BG20" s="214" t="s">
        <v>51</v>
      </c>
      <c r="BH20" s="205">
        <v>3</v>
      </c>
      <c r="BI20" s="205">
        <v>0.3</v>
      </c>
      <c r="BJ20" s="205">
        <v>0.4</v>
      </c>
      <c r="BK20" s="205">
        <v>0.34</v>
      </c>
      <c r="BL20" s="214" t="str">
        <f t="shared" si="1"/>
        <v/>
      </c>
    </row>
    <row r="21" spans="1:64" x14ac:dyDescent="0.25">
      <c r="A21" s="214" t="s">
        <v>6142</v>
      </c>
      <c r="U21" s="214" t="s">
        <v>1667</v>
      </c>
      <c r="V21" s="215" t="s">
        <v>6041</v>
      </c>
      <c r="W21" s="214" t="s">
        <v>27</v>
      </c>
      <c r="X21" s="214" t="s">
        <v>256</v>
      </c>
      <c r="Y21" s="220">
        <v>2</v>
      </c>
      <c r="AD21" s="210" t="s">
        <v>5558</v>
      </c>
      <c r="AE21" s="211">
        <v>10.7</v>
      </c>
      <c r="AF21" s="211">
        <v>15.5</v>
      </c>
      <c r="AH21" s="207" t="s">
        <v>5612</v>
      </c>
      <c r="AI21" s="211" t="s">
        <v>5613</v>
      </c>
      <c r="AJ21" s="211" t="s">
        <v>5614</v>
      </c>
      <c r="AW21" s="214" t="s">
        <v>51</v>
      </c>
      <c r="AX21" s="205">
        <v>4</v>
      </c>
      <c r="AY21" s="205">
        <v>0.3</v>
      </c>
      <c r="AZ21" s="205">
        <v>0.4</v>
      </c>
      <c r="BA21" s="205">
        <v>0.22</v>
      </c>
      <c r="BB21" s="214" t="str">
        <f t="shared" si="0"/>
        <v/>
      </c>
      <c r="BG21" s="214" t="s">
        <v>51</v>
      </c>
      <c r="BH21" s="205">
        <v>4</v>
      </c>
      <c r="BI21" s="205">
        <v>0.3</v>
      </c>
      <c r="BJ21" s="205">
        <v>0.4</v>
      </c>
      <c r="BK21" s="205">
        <v>0.34</v>
      </c>
      <c r="BL21" s="214" t="str">
        <f t="shared" si="1"/>
        <v/>
      </c>
    </row>
    <row r="22" spans="1:64" ht="15.75" x14ac:dyDescent="0.25">
      <c r="A22" s="214" t="s">
        <v>5851</v>
      </c>
      <c r="U22" s="214" t="s">
        <v>2198</v>
      </c>
      <c r="V22" s="215" t="s">
        <v>6040</v>
      </c>
      <c r="W22" s="214" t="s">
        <v>27</v>
      </c>
      <c r="X22" s="214" t="s">
        <v>257</v>
      </c>
      <c r="Y22" s="220">
        <v>2</v>
      </c>
      <c r="AD22" s="210" t="s">
        <v>5568</v>
      </c>
      <c r="AE22" s="211">
        <v>8.5</v>
      </c>
      <c r="AF22" s="211">
        <v>14.1</v>
      </c>
      <c r="AH22" s="207" t="s">
        <v>5615</v>
      </c>
      <c r="AI22" s="212"/>
      <c r="AJ22" s="212"/>
      <c r="AW22" s="214" t="s">
        <v>51</v>
      </c>
      <c r="AX22" s="205">
        <v>5</v>
      </c>
      <c r="AY22" s="205">
        <v>0.3</v>
      </c>
      <c r="AZ22" s="205">
        <v>0.4</v>
      </c>
      <c r="BA22" s="205">
        <v>0.26</v>
      </c>
      <c r="BB22" s="214" t="str">
        <f t="shared" si="0"/>
        <v/>
      </c>
      <c r="BG22" s="214" t="s">
        <v>51</v>
      </c>
      <c r="BH22" s="205">
        <v>5</v>
      </c>
      <c r="BI22" s="205">
        <v>0.3</v>
      </c>
      <c r="BJ22" s="205">
        <v>0.4</v>
      </c>
      <c r="BK22" s="205">
        <v>0.35</v>
      </c>
      <c r="BL22" s="214" t="str">
        <f t="shared" si="1"/>
        <v/>
      </c>
    </row>
    <row r="23" spans="1:64" x14ac:dyDescent="0.25">
      <c r="A23" s="214" t="s">
        <v>55</v>
      </c>
      <c r="U23" s="214" t="s">
        <v>1694</v>
      </c>
      <c r="V23" s="215" t="s">
        <v>6040</v>
      </c>
      <c r="W23" s="214" t="s">
        <v>258</v>
      </c>
      <c r="X23" s="214" t="s">
        <v>259</v>
      </c>
      <c r="Y23" s="220">
        <v>3</v>
      </c>
      <c r="AD23" s="210" t="s">
        <v>5559</v>
      </c>
      <c r="AE23" s="211">
        <v>11.4</v>
      </c>
      <c r="AF23" s="211">
        <v>16.5</v>
      </c>
      <c r="AH23" s="210" t="s">
        <v>5839</v>
      </c>
      <c r="AI23" s="211" t="s">
        <v>5616</v>
      </c>
      <c r="AJ23" s="211" t="s">
        <v>5617</v>
      </c>
      <c r="AW23" s="214" t="s">
        <v>51</v>
      </c>
      <c r="AX23" s="205">
        <v>6</v>
      </c>
      <c r="AY23" s="205">
        <v>0.3</v>
      </c>
      <c r="AZ23" s="205">
        <v>0.4</v>
      </c>
      <c r="BA23" s="205">
        <v>0.23</v>
      </c>
      <c r="BB23" s="214" t="str">
        <f t="shared" si="0"/>
        <v/>
      </c>
      <c r="BG23" s="214" t="s">
        <v>51</v>
      </c>
      <c r="BH23" s="205">
        <v>6</v>
      </c>
      <c r="BI23" s="205">
        <v>0.3</v>
      </c>
      <c r="BJ23" s="205">
        <v>0.4</v>
      </c>
      <c r="BK23" s="205">
        <v>0.35</v>
      </c>
      <c r="BL23" s="214" t="str">
        <f t="shared" si="1"/>
        <v/>
      </c>
    </row>
    <row r="24" spans="1:64" x14ac:dyDescent="0.25">
      <c r="A24" s="214" t="s">
        <v>5830</v>
      </c>
      <c r="U24" s="214" t="s">
        <v>232</v>
      </c>
      <c r="V24" s="215" t="s">
        <v>6044</v>
      </c>
      <c r="W24" s="214" t="s">
        <v>252</v>
      </c>
      <c r="X24" s="214" t="s">
        <v>260</v>
      </c>
      <c r="Y24" s="220">
        <v>3</v>
      </c>
      <c r="AD24" s="210" t="s">
        <v>5560</v>
      </c>
      <c r="AE24" s="211">
        <v>11.2</v>
      </c>
      <c r="AF24" s="211">
        <v>18.7</v>
      </c>
      <c r="AH24" s="207" t="s">
        <v>5618</v>
      </c>
      <c r="AI24" s="211" t="s">
        <v>5619</v>
      </c>
      <c r="AJ24" s="211" t="s">
        <v>5620</v>
      </c>
      <c r="AW24" s="214" t="s">
        <v>51</v>
      </c>
      <c r="AX24" s="205">
        <v>7</v>
      </c>
      <c r="AY24" s="205">
        <v>0.3</v>
      </c>
      <c r="AZ24" s="205">
        <v>0.4</v>
      </c>
      <c r="BA24" s="205">
        <v>0.16</v>
      </c>
      <c r="BB24" s="214" t="str">
        <f t="shared" si="0"/>
        <v/>
      </c>
      <c r="BG24" s="214" t="s">
        <v>51</v>
      </c>
      <c r="BH24" s="205">
        <v>7</v>
      </c>
      <c r="BI24" s="205">
        <v>0.3</v>
      </c>
      <c r="BJ24" s="205">
        <v>0.4</v>
      </c>
      <c r="BK24" s="205">
        <v>0.33</v>
      </c>
      <c r="BL24" s="214" t="str">
        <f t="shared" si="1"/>
        <v/>
      </c>
    </row>
    <row r="25" spans="1:64" x14ac:dyDescent="0.25">
      <c r="A25" s="214" t="s">
        <v>56</v>
      </c>
      <c r="U25" s="214" t="s">
        <v>27</v>
      </c>
      <c r="V25" s="215" t="s">
        <v>6044</v>
      </c>
      <c r="W25" s="214" t="s">
        <v>258</v>
      </c>
      <c r="X25" s="214" t="s">
        <v>261</v>
      </c>
      <c r="Y25" s="220">
        <v>3</v>
      </c>
      <c r="AD25" s="210" t="s">
        <v>5561</v>
      </c>
      <c r="AE25" s="211">
        <v>8.6</v>
      </c>
      <c r="AF25" s="211">
        <v>15.1</v>
      </c>
      <c r="AH25" s="210" t="s">
        <v>5621</v>
      </c>
      <c r="AI25" s="211" t="s">
        <v>5622</v>
      </c>
      <c r="AJ25" s="211" t="s">
        <v>5623</v>
      </c>
      <c r="AW25" s="214" t="s">
        <v>51</v>
      </c>
      <c r="AX25" s="205">
        <v>8</v>
      </c>
      <c r="AY25" s="205">
        <v>0.3</v>
      </c>
      <c r="AZ25" s="205">
        <v>0.4</v>
      </c>
      <c r="BA25" s="205">
        <v>0.18</v>
      </c>
      <c r="BB25" s="214" t="str">
        <f t="shared" si="0"/>
        <v/>
      </c>
      <c r="BG25" s="214" t="s">
        <v>51</v>
      </c>
      <c r="BH25" s="205">
        <v>8</v>
      </c>
      <c r="BI25" s="205">
        <v>0.3</v>
      </c>
      <c r="BJ25" s="205">
        <v>0.4</v>
      </c>
      <c r="BK25" s="205">
        <v>0.34</v>
      </c>
      <c r="BL25" s="214" t="str">
        <f t="shared" si="1"/>
        <v/>
      </c>
    </row>
    <row r="26" spans="1:64" x14ac:dyDescent="0.25">
      <c r="A26" s="214" t="s">
        <v>57</v>
      </c>
      <c r="U26" s="214" t="s">
        <v>69</v>
      </c>
      <c r="V26" s="215" t="s">
        <v>6041</v>
      </c>
      <c r="W26" s="214" t="s">
        <v>258</v>
      </c>
      <c r="X26" s="214" t="s">
        <v>262</v>
      </c>
      <c r="Y26" s="220">
        <v>3</v>
      </c>
      <c r="AD26" s="210" t="s">
        <v>5562</v>
      </c>
      <c r="AE26" s="211">
        <v>8.8000000000000007</v>
      </c>
      <c r="AF26" s="211">
        <v>13.6</v>
      </c>
      <c r="AH26" s="210" t="s">
        <v>5624</v>
      </c>
      <c r="AI26" s="211" t="s">
        <v>5625</v>
      </c>
      <c r="AJ26" s="211" t="s">
        <v>5575</v>
      </c>
      <c r="AW26" s="214" t="s">
        <v>51</v>
      </c>
      <c r="AX26" s="205">
        <v>1</v>
      </c>
      <c r="AY26" s="205">
        <v>0.4</v>
      </c>
      <c r="AZ26" s="205">
        <v>0.5</v>
      </c>
      <c r="BA26" s="205">
        <v>0.35</v>
      </c>
      <c r="BB26" s="214" t="str">
        <f t="shared" si="0"/>
        <v/>
      </c>
      <c r="BG26" s="214" t="s">
        <v>51</v>
      </c>
      <c r="BH26" s="205">
        <v>1</v>
      </c>
      <c r="BI26" s="205">
        <v>0.4</v>
      </c>
      <c r="BJ26" s="205">
        <v>0.5</v>
      </c>
      <c r="BK26" s="205">
        <v>0.36</v>
      </c>
      <c r="BL26" s="214" t="str">
        <f t="shared" si="1"/>
        <v/>
      </c>
    </row>
    <row r="27" spans="1:64" x14ac:dyDescent="0.25">
      <c r="A27" s="214" t="s">
        <v>58</v>
      </c>
      <c r="U27" s="214" t="s">
        <v>258</v>
      </c>
      <c r="V27" s="215" t="s">
        <v>6043</v>
      </c>
      <c r="W27" s="214" t="s">
        <v>27</v>
      </c>
      <c r="X27" s="214" t="s">
        <v>263</v>
      </c>
      <c r="Y27" s="220">
        <v>2</v>
      </c>
      <c r="AD27" s="210" t="s">
        <v>5563</v>
      </c>
      <c r="AE27" s="211">
        <v>8.6</v>
      </c>
      <c r="AF27" s="211">
        <v>14.9</v>
      </c>
      <c r="AH27" s="207" t="s">
        <v>5626</v>
      </c>
      <c r="AI27" s="211" t="s">
        <v>5627</v>
      </c>
      <c r="AJ27" s="211" t="s">
        <v>5628</v>
      </c>
      <c r="AW27" s="214" t="s">
        <v>51</v>
      </c>
      <c r="AX27" s="205">
        <v>2</v>
      </c>
      <c r="AY27" s="205">
        <v>0.4</v>
      </c>
      <c r="AZ27" s="205">
        <v>0.5</v>
      </c>
      <c r="BA27" s="205">
        <v>0.31</v>
      </c>
      <c r="BB27" s="214" t="str">
        <f t="shared" si="0"/>
        <v/>
      </c>
      <c r="BG27" s="214" t="s">
        <v>51</v>
      </c>
      <c r="BH27" s="205">
        <v>2</v>
      </c>
      <c r="BI27" s="205">
        <v>0.4</v>
      </c>
      <c r="BJ27" s="205">
        <v>0.5</v>
      </c>
      <c r="BK27" s="205">
        <v>0.34</v>
      </c>
      <c r="BL27" s="214" t="str">
        <f t="shared" si="1"/>
        <v/>
      </c>
    </row>
    <row r="28" spans="1:64" x14ac:dyDescent="0.25">
      <c r="U28" s="214" t="s">
        <v>1976</v>
      </c>
      <c r="V28" s="215" t="s">
        <v>6040</v>
      </c>
      <c r="W28" s="214" t="s">
        <v>27</v>
      </c>
      <c r="X28" s="214" t="s">
        <v>264</v>
      </c>
      <c r="Y28" s="220">
        <v>2</v>
      </c>
      <c r="AD28" s="210" t="s">
        <v>5564</v>
      </c>
      <c r="AE28" s="211">
        <v>8.6</v>
      </c>
      <c r="AF28" s="211">
        <v>14.4</v>
      </c>
      <c r="AH28" s="207" t="s">
        <v>5629</v>
      </c>
      <c r="AI28" s="211" t="s">
        <v>5630</v>
      </c>
      <c r="AJ28" s="211" t="s">
        <v>5578</v>
      </c>
      <c r="AW28" s="214" t="s">
        <v>51</v>
      </c>
      <c r="AX28" s="205">
        <v>3</v>
      </c>
      <c r="AY28" s="205">
        <v>0.4</v>
      </c>
      <c r="AZ28" s="205">
        <v>0.5</v>
      </c>
      <c r="BA28" s="205">
        <v>0.27</v>
      </c>
      <c r="BB28" s="214">
        <f t="shared" si="0"/>
        <v>0.27</v>
      </c>
      <c r="BG28" s="214" t="s">
        <v>51</v>
      </c>
      <c r="BH28" s="205">
        <v>3</v>
      </c>
      <c r="BI28" s="205">
        <v>0.4</v>
      </c>
      <c r="BJ28" s="205">
        <v>0.5</v>
      </c>
      <c r="BK28" s="205">
        <v>0.35</v>
      </c>
      <c r="BL28" s="214">
        <f t="shared" si="1"/>
        <v>0.35</v>
      </c>
    </row>
    <row r="29" spans="1:64" x14ac:dyDescent="0.25">
      <c r="W29" s="214" t="s">
        <v>27</v>
      </c>
      <c r="X29" s="214" t="s">
        <v>265</v>
      </c>
      <c r="Y29" s="220">
        <v>2</v>
      </c>
      <c r="AD29" s="210" t="s">
        <v>5565</v>
      </c>
      <c r="AE29" s="211">
        <v>12.7</v>
      </c>
      <c r="AF29" s="211">
        <v>21.8</v>
      </c>
      <c r="AH29" s="207" t="s">
        <v>5631</v>
      </c>
      <c r="AI29" s="211" t="s">
        <v>5632</v>
      </c>
      <c r="AJ29" s="211" t="s">
        <v>5633</v>
      </c>
      <c r="AW29" s="214" t="s">
        <v>51</v>
      </c>
      <c r="AX29" s="205">
        <v>4</v>
      </c>
      <c r="AY29" s="205">
        <v>0.4</v>
      </c>
      <c r="AZ29" s="205">
        <v>0.5</v>
      </c>
      <c r="BA29" s="205">
        <v>0.23</v>
      </c>
      <c r="BB29" s="214" t="str">
        <f t="shared" si="0"/>
        <v/>
      </c>
      <c r="BG29" s="214" t="s">
        <v>51</v>
      </c>
      <c r="BH29" s="205">
        <v>4</v>
      </c>
      <c r="BI29" s="205">
        <v>0.4</v>
      </c>
      <c r="BJ29" s="205">
        <v>0.5</v>
      </c>
      <c r="BK29" s="205">
        <v>0.35</v>
      </c>
      <c r="BL29" s="214" t="str">
        <f t="shared" si="1"/>
        <v/>
      </c>
    </row>
    <row r="30" spans="1:64" x14ac:dyDescent="0.25">
      <c r="W30" s="214" t="s">
        <v>258</v>
      </c>
      <c r="X30" s="214" t="s">
        <v>266</v>
      </c>
      <c r="Y30" s="220">
        <v>3</v>
      </c>
      <c r="AD30" s="210" t="s">
        <v>5566</v>
      </c>
      <c r="AE30" s="211">
        <v>6.8</v>
      </c>
      <c r="AF30" s="211">
        <v>12</v>
      </c>
      <c r="AH30" s="207" t="s">
        <v>5634</v>
      </c>
      <c r="AI30" s="211" t="s">
        <v>5635</v>
      </c>
      <c r="AJ30" s="211" t="s">
        <v>5636</v>
      </c>
      <c r="AW30" s="214" t="s">
        <v>51</v>
      </c>
      <c r="AX30" s="205">
        <v>5</v>
      </c>
      <c r="AY30" s="205">
        <v>0.4</v>
      </c>
      <c r="AZ30" s="205">
        <v>0.5</v>
      </c>
      <c r="BA30" s="205">
        <v>0.27</v>
      </c>
      <c r="BB30" s="214" t="str">
        <f t="shared" si="0"/>
        <v/>
      </c>
      <c r="BG30" s="214" t="s">
        <v>51</v>
      </c>
      <c r="BH30" s="205">
        <v>5</v>
      </c>
      <c r="BI30" s="205">
        <v>0.4</v>
      </c>
      <c r="BJ30" s="205">
        <v>0.5</v>
      </c>
      <c r="BK30" s="205">
        <v>0.36</v>
      </c>
      <c r="BL30" s="214" t="str">
        <f t="shared" si="1"/>
        <v/>
      </c>
    </row>
    <row r="31" spans="1:64" x14ac:dyDescent="0.25">
      <c r="W31" s="214" t="s">
        <v>258</v>
      </c>
      <c r="X31" s="214" t="s">
        <v>267</v>
      </c>
      <c r="Y31" s="220">
        <v>3</v>
      </c>
      <c r="AD31" s="210" t="s">
        <v>5567</v>
      </c>
      <c r="AE31" s="211">
        <v>9.6999999999999993</v>
      </c>
      <c r="AF31" s="211">
        <v>16.399999999999999</v>
      </c>
      <c r="AH31" s="207" t="s">
        <v>5549</v>
      </c>
      <c r="AI31" s="211" t="s">
        <v>5598</v>
      </c>
      <c r="AJ31" s="211" t="s">
        <v>5637</v>
      </c>
      <c r="AW31" s="214" t="s">
        <v>51</v>
      </c>
      <c r="AX31" s="205">
        <v>6</v>
      </c>
      <c r="AY31" s="205">
        <v>0.4</v>
      </c>
      <c r="AZ31" s="205">
        <v>0.5</v>
      </c>
      <c r="BA31" s="205">
        <v>0.23</v>
      </c>
      <c r="BB31" s="214" t="str">
        <f t="shared" si="0"/>
        <v/>
      </c>
      <c r="BG31" s="214" t="s">
        <v>51</v>
      </c>
      <c r="BH31" s="205">
        <v>6</v>
      </c>
      <c r="BI31" s="205">
        <v>0.4</v>
      </c>
      <c r="BJ31" s="205">
        <v>0.5</v>
      </c>
      <c r="BK31" s="205">
        <v>0.36</v>
      </c>
      <c r="BL31" s="214" t="str">
        <f t="shared" si="1"/>
        <v/>
      </c>
    </row>
    <row r="32" spans="1:64" x14ac:dyDescent="0.25">
      <c r="W32" s="214" t="s">
        <v>258</v>
      </c>
      <c r="X32" s="214" t="s">
        <v>268</v>
      </c>
      <c r="Y32" s="220">
        <v>3</v>
      </c>
      <c r="AH32" s="210" t="s">
        <v>5840</v>
      </c>
      <c r="AI32" s="211" t="s">
        <v>5638</v>
      </c>
      <c r="AJ32" s="211" t="s">
        <v>5639</v>
      </c>
      <c r="AW32" s="214" t="s">
        <v>51</v>
      </c>
      <c r="AX32" s="205">
        <v>7</v>
      </c>
      <c r="AY32" s="205">
        <v>0.4</v>
      </c>
      <c r="AZ32" s="205">
        <v>0.5</v>
      </c>
      <c r="BA32" s="205">
        <v>0.16</v>
      </c>
      <c r="BB32" s="214" t="str">
        <f t="shared" si="0"/>
        <v/>
      </c>
      <c r="BG32" s="214" t="s">
        <v>51</v>
      </c>
      <c r="BH32" s="205">
        <v>7</v>
      </c>
      <c r="BI32" s="205">
        <v>0.4</v>
      </c>
      <c r="BJ32" s="205">
        <v>0.5</v>
      </c>
      <c r="BK32" s="205">
        <v>0.34</v>
      </c>
      <c r="BL32" s="214" t="str">
        <f t="shared" si="1"/>
        <v/>
      </c>
    </row>
    <row r="33" spans="23:64" x14ac:dyDescent="0.25">
      <c r="W33" s="214" t="s">
        <v>258</v>
      </c>
      <c r="X33" s="214" t="s">
        <v>269</v>
      </c>
      <c r="Y33" s="220">
        <v>3</v>
      </c>
      <c r="AH33" s="207" t="s">
        <v>5640</v>
      </c>
      <c r="AI33" s="211" t="s">
        <v>5641</v>
      </c>
      <c r="AJ33" s="211" t="s">
        <v>5642</v>
      </c>
      <c r="AW33" s="214" t="s">
        <v>51</v>
      </c>
      <c r="AX33" s="205">
        <v>8</v>
      </c>
      <c r="AY33" s="205">
        <v>0.4</v>
      </c>
      <c r="AZ33" s="205">
        <v>0.5</v>
      </c>
      <c r="BA33" s="205">
        <v>0.19</v>
      </c>
      <c r="BB33" s="214" t="str">
        <f t="shared" si="0"/>
        <v/>
      </c>
      <c r="BG33" s="214" t="s">
        <v>51</v>
      </c>
      <c r="BH33" s="205">
        <v>8</v>
      </c>
      <c r="BI33" s="205">
        <v>0.4</v>
      </c>
      <c r="BJ33" s="205">
        <v>0.5</v>
      </c>
      <c r="BK33" s="205">
        <v>0.35</v>
      </c>
      <c r="BL33" s="214" t="str">
        <f t="shared" si="1"/>
        <v/>
      </c>
    </row>
    <row r="34" spans="23:64" ht="15.75" x14ac:dyDescent="0.25">
      <c r="W34" s="214" t="s">
        <v>27</v>
      </c>
      <c r="X34" s="214" t="s">
        <v>270</v>
      </c>
      <c r="Y34" s="220">
        <v>2</v>
      </c>
      <c r="AH34" s="207" t="s">
        <v>5643</v>
      </c>
      <c r="AI34" s="209"/>
      <c r="AJ34" s="209"/>
      <c r="AW34" s="214" t="s">
        <v>51</v>
      </c>
      <c r="AX34" s="205">
        <v>1</v>
      </c>
      <c r="AY34" s="205">
        <v>0.5</v>
      </c>
      <c r="AZ34" s="205">
        <v>100</v>
      </c>
      <c r="BA34" s="205">
        <v>0.35</v>
      </c>
      <c r="BB34" s="214" t="str">
        <f t="shared" si="0"/>
        <v/>
      </c>
      <c r="BG34" s="214" t="s">
        <v>51</v>
      </c>
      <c r="BH34" s="205">
        <v>1</v>
      </c>
      <c r="BI34" s="205">
        <v>0.5</v>
      </c>
      <c r="BJ34" s="205">
        <v>100</v>
      </c>
      <c r="BK34" s="205">
        <v>0.36</v>
      </c>
      <c r="BL34" s="214" t="str">
        <f t="shared" si="1"/>
        <v/>
      </c>
    </row>
    <row r="35" spans="23:64" x14ac:dyDescent="0.25">
      <c r="W35" s="214" t="s">
        <v>27</v>
      </c>
      <c r="X35" s="214" t="s">
        <v>271</v>
      </c>
      <c r="Y35" s="220">
        <v>2</v>
      </c>
      <c r="AH35" s="210" t="s">
        <v>5644</v>
      </c>
      <c r="AI35" s="211" t="s">
        <v>5607</v>
      </c>
      <c r="AJ35" s="211" t="s">
        <v>5605</v>
      </c>
      <c r="AW35" s="214" t="s">
        <v>51</v>
      </c>
      <c r="AX35" s="205">
        <v>2</v>
      </c>
      <c r="AY35" s="205">
        <v>0.5</v>
      </c>
      <c r="AZ35" s="205">
        <v>100</v>
      </c>
      <c r="BA35" s="205">
        <v>0.31</v>
      </c>
      <c r="BB35" s="214" t="str">
        <f t="shared" si="0"/>
        <v/>
      </c>
      <c r="BG35" s="214" t="s">
        <v>51</v>
      </c>
      <c r="BH35" s="205">
        <v>2</v>
      </c>
      <c r="BI35" s="205">
        <v>0.5</v>
      </c>
      <c r="BJ35" s="205">
        <v>100</v>
      </c>
      <c r="BK35" s="205">
        <v>0.35</v>
      </c>
      <c r="BL35" s="214" t="str">
        <f t="shared" si="1"/>
        <v/>
      </c>
    </row>
    <row r="36" spans="23:64" x14ac:dyDescent="0.25">
      <c r="W36" s="214" t="s">
        <v>252</v>
      </c>
      <c r="X36" s="214" t="s">
        <v>272</v>
      </c>
      <c r="Y36" s="220">
        <v>3</v>
      </c>
      <c r="AH36" s="210" t="s">
        <v>5645</v>
      </c>
      <c r="AI36" s="211" t="s">
        <v>5646</v>
      </c>
      <c r="AJ36" s="211" t="s">
        <v>5647</v>
      </c>
      <c r="AW36" s="214" t="s">
        <v>51</v>
      </c>
      <c r="AX36" s="205">
        <v>3</v>
      </c>
      <c r="AY36" s="205">
        <v>0.5</v>
      </c>
      <c r="AZ36" s="205">
        <v>100</v>
      </c>
      <c r="BA36" s="205">
        <v>0.27</v>
      </c>
      <c r="BB36" s="214" t="str">
        <f t="shared" si="0"/>
        <v/>
      </c>
      <c r="BG36" s="214" t="s">
        <v>51</v>
      </c>
      <c r="BH36" s="205">
        <v>3</v>
      </c>
      <c r="BI36" s="205">
        <v>0.5</v>
      </c>
      <c r="BJ36" s="205">
        <v>100</v>
      </c>
      <c r="BK36" s="205">
        <v>0.36</v>
      </c>
      <c r="BL36" s="214" t="str">
        <f t="shared" si="1"/>
        <v/>
      </c>
    </row>
    <row r="37" spans="23:64" x14ac:dyDescent="0.25">
      <c r="W37" s="214" t="s">
        <v>27</v>
      </c>
      <c r="X37" s="214" t="s">
        <v>273</v>
      </c>
      <c r="Y37" s="220">
        <v>2</v>
      </c>
      <c r="AH37" s="210" t="s">
        <v>5648</v>
      </c>
      <c r="AI37" s="211" t="s">
        <v>5649</v>
      </c>
      <c r="AJ37" s="211" t="s">
        <v>5650</v>
      </c>
      <c r="AW37" s="214" t="s">
        <v>51</v>
      </c>
      <c r="AX37" s="205">
        <v>4</v>
      </c>
      <c r="AY37" s="205">
        <v>0.5</v>
      </c>
      <c r="AZ37" s="205">
        <v>100</v>
      </c>
      <c r="BA37" s="205">
        <v>0.23</v>
      </c>
      <c r="BB37" s="214" t="str">
        <f t="shared" si="0"/>
        <v/>
      </c>
      <c r="BG37" s="214" t="s">
        <v>51</v>
      </c>
      <c r="BH37" s="205">
        <v>4</v>
      </c>
      <c r="BI37" s="205">
        <v>0.5</v>
      </c>
      <c r="BJ37" s="205">
        <v>100</v>
      </c>
      <c r="BK37" s="205">
        <v>0.35</v>
      </c>
      <c r="BL37" s="214" t="str">
        <f t="shared" si="1"/>
        <v/>
      </c>
    </row>
    <row r="38" spans="23:64" x14ac:dyDescent="0.25">
      <c r="W38" s="214" t="s">
        <v>274</v>
      </c>
      <c r="X38" s="214" t="s">
        <v>275</v>
      </c>
      <c r="Y38" s="220">
        <v>3</v>
      </c>
      <c r="AH38" s="210" t="s">
        <v>5841</v>
      </c>
      <c r="AI38" s="211" t="s">
        <v>5651</v>
      </c>
      <c r="AJ38" s="211" t="s">
        <v>5652</v>
      </c>
      <c r="AW38" s="214" t="s">
        <v>51</v>
      </c>
      <c r="AX38" s="205">
        <v>5</v>
      </c>
      <c r="AY38" s="205">
        <v>0.5</v>
      </c>
      <c r="AZ38" s="205">
        <v>100</v>
      </c>
      <c r="BA38" s="205">
        <v>0.27</v>
      </c>
      <c r="BB38" s="214" t="str">
        <f t="shared" si="0"/>
        <v/>
      </c>
      <c r="BG38" s="214" t="s">
        <v>51</v>
      </c>
      <c r="BH38" s="205">
        <v>5</v>
      </c>
      <c r="BI38" s="205">
        <v>0.5</v>
      </c>
      <c r="BJ38" s="205">
        <v>100</v>
      </c>
      <c r="BK38" s="205">
        <v>0.36</v>
      </c>
      <c r="BL38" s="214" t="str">
        <f t="shared" si="1"/>
        <v/>
      </c>
    </row>
    <row r="39" spans="23:64" x14ac:dyDescent="0.25">
      <c r="W39" s="214" t="s">
        <v>239</v>
      </c>
      <c r="X39" s="214" t="s">
        <v>276</v>
      </c>
      <c r="Y39" s="220">
        <v>2</v>
      </c>
      <c r="AH39" s="210" t="s">
        <v>5842</v>
      </c>
      <c r="AI39" s="211" t="s">
        <v>5653</v>
      </c>
      <c r="AJ39" s="211" t="s">
        <v>5654</v>
      </c>
      <c r="AW39" s="214" t="s">
        <v>51</v>
      </c>
      <c r="AX39" s="205">
        <v>6</v>
      </c>
      <c r="AY39" s="205">
        <v>0.5</v>
      </c>
      <c r="AZ39" s="205">
        <v>100</v>
      </c>
      <c r="BA39" s="205">
        <v>0.23</v>
      </c>
      <c r="BB39" s="214" t="str">
        <f t="shared" si="0"/>
        <v/>
      </c>
      <c r="BG39" s="214" t="s">
        <v>51</v>
      </c>
      <c r="BH39" s="205">
        <v>6</v>
      </c>
      <c r="BI39" s="205">
        <v>0.5</v>
      </c>
      <c r="BJ39" s="205">
        <v>100</v>
      </c>
      <c r="BK39" s="205">
        <v>0.36</v>
      </c>
      <c r="BL39" s="214" t="str">
        <f t="shared" si="1"/>
        <v/>
      </c>
    </row>
    <row r="40" spans="23:64" x14ac:dyDescent="0.25">
      <c r="W40" s="214" t="s">
        <v>239</v>
      </c>
      <c r="X40" s="214" t="s">
        <v>277</v>
      </c>
      <c r="Y40" s="220">
        <v>1</v>
      </c>
      <c r="AH40" s="210" t="s">
        <v>5843</v>
      </c>
      <c r="AI40" s="211" t="s">
        <v>5655</v>
      </c>
      <c r="AJ40" s="211" t="s">
        <v>5656</v>
      </c>
      <c r="AW40" s="214" t="s">
        <v>51</v>
      </c>
      <c r="AX40" s="205">
        <v>7</v>
      </c>
      <c r="AY40" s="205">
        <v>0.5</v>
      </c>
      <c r="AZ40" s="205">
        <v>100</v>
      </c>
      <c r="BA40" s="205">
        <v>0.17</v>
      </c>
      <c r="BB40" s="214" t="str">
        <f t="shared" si="0"/>
        <v/>
      </c>
      <c r="BG40" s="214" t="s">
        <v>51</v>
      </c>
      <c r="BH40" s="205">
        <v>7</v>
      </c>
      <c r="BI40" s="205">
        <v>0.5</v>
      </c>
      <c r="BJ40" s="205">
        <v>100</v>
      </c>
      <c r="BK40" s="205">
        <v>0.36</v>
      </c>
      <c r="BL40" s="214" t="str">
        <f t="shared" si="1"/>
        <v/>
      </c>
    </row>
    <row r="41" spans="23:64" x14ac:dyDescent="0.25">
      <c r="W41" s="214" t="s">
        <v>239</v>
      </c>
      <c r="X41" s="214" t="s">
        <v>278</v>
      </c>
      <c r="Y41" s="220">
        <v>2</v>
      </c>
      <c r="AH41" s="210" t="s">
        <v>5844</v>
      </c>
      <c r="AI41" s="211" t="s">
        <v>5657</v>
      </c>
      <c r="AJ41" s="211" t="s">
        <v>5658</v>
      </c>
      <c r="AW41" s="214" t="s">
        <v>51</v>
      </c>
      <c r="AX41" s="205">
        <v>8</v>
      </c>
      <c r="AY41" s="205">
        <v>0.5</v>
      </c>
      <c r="AZ41" s="205">
        <v>100</v>
      </c>
      <c r="BA41" s="205">
        <v>0.19</v>
      </c>
      <c r="BB41" s="214" t="str">
        <f t="shared" si="0"/>
        <v/>
      </c>
      <c r="BG41" s="214" t="s">
        <v>51</v>
      </c>
      <c r="BH41" s="205">
        <v>8</v>
      </c>
      <c r="BI41" s="205">
        <v>0.5</v>
      </c>
      <c r="BJ41" s="205">
        <v>100</v>
      </c>
      <c r="BK41" s="205">
        <v>0.36</v>
      </c>
      <c r="BL41" s="214" t="str">
        <f t="shared" si="1"/>
        <v/>
      </c>
    </row>
    <row r="42" spans="23:64" ht="15.75" x14ac:dyDescent="0.25">
      <c r="W42" s="214" t="s">
        <v>258</v>
      </c>
      <c r="X42" s="214" t="s">
        <v>279</v>
      </c>
      <c r="Y42" s="220">
        <v>3</v>
      </c>
      <c r="AH42" s="207" t="s">
        <v>5659</v>
      </c>
      <c r="AI42" s="209"/>
      <c r="AJ42" s="209"/>
      <c r="AW42" s="214" t="s">
        <v>6142</v>
      </c>
      <c r="AX42" s="205">
        <v>1</v>
      </c>
      <c r="AY42" s="205">
        <v>0</v>
      </c>
      <c r="AZ42" s="205">
        <v>0.2</v>
      </c>
      <c r="BA42" s="205">
        <v>0.19</v>
      </c>
      <c r="BB42" s="214" t="str">
        <f t="shared" si="0"/>
        <v/>
      </c>
      <c r="BG42" s="214" t="s">
        <v>6142</v>
      </c>
      <c r="BH42" s="205">
        <v>1</v>
      </c>
      <c r="BI42" s="205">
        <v>0</v>
      </c>
      <c r="BJ42" s="205">
        <v>0.2</v>
      </c>
      <c r="BK42" s="205">
        <v>0.33</v>
      </c>
      <c r="BL42" s="214" t="str">
        <f t="shared" si="1"/>
        <v/>
      </c>
    </row>
    <row r="43" spans="23:64" x14ac:dyDescent="0.25">
      <c r="W43" s="214" t="s">
        <v>27</v>
      </c>
      <c r="X43" s="214" t="s">
        <v>280</v>
      </c>
      <c r="Y43" s="220">
        <v>2</v>
      </c>
      <c r="AH43" s="210" t="s">
        <v>5660</v>
      </c>
      <c r="AI43" s="211" t="s">
        <v>5574</v>
      </c>
      <c r="AJ43" s="211" t="s">
        <v>5661</v>
      </c>
      <c r="AW43" s="214" t="s">
        <v>6142</v>
      </c>
      <c r="AX43" s="205">
        <v>2</v>
      </c>
      <c r="AY43" s="205">
        <v>0</v>
      </c>
      <c r="AZ43" s="205">
        <v>0.2</v>
      </c>
      <c r="BA43" s="205">
        <v>0.16</v>
      </c>
      <c r="BB43" s="214" t="str">
        <f t="shared" si="0"/>
        <v/>
      </c>
      <c r="BG43" s="214" t="s">
        <v>6142</v>
      </c>
      <c r="BH43" s="205">
        <v>2</v>
      </c>
      <c r="BI43" s="205">
        <v>0</v>
      </c>
      <c r="BJ43" s="205">
        <v>0.2</v>
      </c>
      <c r="BK43" s="205">
        <v>0.32</v>
      </c>
      <c r="BL43" s="214" t="str">
        <f t="shared" si="1"/>
        <v/>
      </c>
    </row>
    <row r="44" spans="23:64" x14ac:dyDescent="0.25">
      <c r="W44" s="214" t="s">
        <v>27</v>
      </c>
      <c r="X44" s="214" t="s">
        <v>281</v>
      </c>
      <c r="Y44" s="220">
        <v>2</v>
      </c>
      <c r="AH44" s="210" t="s">
        <v>5662</v>
      </c>
      <c r="AI44" s="211" t="s">
        <v>5663</v>
      </c>
      <c r="AJ44" s="211" t="s">
        <v>5664</v>
      </c>
      <c r="AW44" s="214" t="s">
        <v>6142</v>
      </c>
      <c r="AX44" s="205">
        <v>3</v>
      </c>
      <c r="AY44" s="205">
        <v>0</v>
      </c>
      <c r="AZ44" s="205">
        <v>0.2</v>
      </c>
      <c r="BA44" s="205">
        <v>0.14000000000000001</v>
      </c>
      <c r="BB44" s="214" t="str">
        <f t="shared" si="0"/>
        <v/>
      </c>
      <c r="BG44" s="214" t="s">
        <v>6142</v>
      </c>
      <c r="BH44" s="205">
        <v>3</v>
      </c>
      <c r="BI44" s="205">
        <v>0</v>
      </c>
      <c r="BJ44" s="205">
        <v>0.2</v>
      </c>
      <c r="BK44" s="205">
        <v>0.31</v>
      </c>
      <c r="BL44" s="214" t="str">
        <f t="shared" si="1"/>
        <v/>
      </c>
    </row>
    <row r="45" spans="23:64" x14ac:dyDescent="0.25">
      <c r="W45" s="214" t="s">
        <v>27</v>
      </c>
      <c r="X45" s="214" t="s">
        <v>282</v>
      </c>
      <c r="Y45" s="220">
        <v>2</v>
      </c>
      <c r="AH45" s="210" t="s">
        <v>5555</v>
      </c>
      <c r="AI45" s="211" t="s">
        <v>5627</v>
      </c>
      <c r="AJ45" s="211" t="s">
        <v>5664</v>
      </c>
      <c r="AW45" s="214" t="s">
        <v>6142</v>
      </c>
      <c r="AX45" s="205">
        <v>4</v>
      </c>
      <c r="AY45" s="205">
        <v>0</v>
      </c>
      <c r="AZ45" s="205">
        <v>0.2</v>
      </c>
      <c r="BA45" s="205">
        <v>0.11</v>
      </c>
      <c r="BB45" s="214" t="str">
        <f t="shared" si="0"/>
        <v/>
      </c>
      <c r="BG45" s="214" t="s">
        <v>6142</v>
      </c>
      <c r="BH45" s="205">
        <v>4</v>
      </c>
      <c r="BI45" s="205">
        <v>0</v>
      </c>
      <c r="BJ45" s="205">
        <v>0.2</v>
      </c>
      <c r="BK45" s="205">
        <v>0.3</v>
      </c>
      <c r="BL45" s="214" t="str">
        <f t="shared" si="1"/>
        <v/>
      </c>
    </row>
    <row r="46" spans="23:64" x14ac:dyDescent="0.25">
      <c r="W46" s="214" t="s">
        <v>239</v>
      </c>
      <c r="X46" s="214" t="s">
        <v>283</v>
      </c>
      <c r="Y46" s="220">
        <v>2</v>
      </c>
      <c r="AH46" s="210" t="s">
        <v>5665</v>
      </c>
      <c r="AI46" s="211" t="s">
        <v>5653</v>
      </c>
      <c r="AJ46" s="211" t="s">
        <v>5666</v>
      </c>
      <c r="AW46" s="214" t="s">
        <v>6142</v>
      </c>
      <c r="AX46" s="205">
        <v>5</v>
      </c>
      <c r="AY46" s="205">
        <v>0</v>
      </c>
      <c r="AZ46" s="205">
        <v>0.2</v>
      </c>
      <c r="BA46" s="205">
        <v>0.14000000000000001</v>
      </c>
      <c r="BB46" s="214" t="str">
        <f t="shared" si="0"/>
        <v/>
      </c>
      <c r="BG46" s="214" t="s">
        <v>6142</v>
      </c>
      <c r="BH46" s="205">
        <v>5</v>
      </c>
      <c r="BI46" s="205">
        <v>0</v>
      </c>
      <c r="BJ46" s="205">
        <v>0.2</v>
      </c>
      <c r="BK46" s="205">
        <v>0.31</v>
      </c>
      <c r="BL46" s="214" t="str">
        <f t="shared" si="1"/>
        <v/>
      </c>
    </row>
    <row r="47" spans="23:64" x14ac:dyDescent="0.25">
      <c r="W47" s="214" t="s">
        <v>239</v>
      </c>
      <c r="X47" s="214" t="s">
        <v>284</v>
      </c>
      <c r="Y47" s="220">
        <v>2</v>
      </c>
      <c r="AH47" s="210" t="s">
        <v>121</v>
      </c>
      <c r="AI47" s="211" t="s">
        <v>5667</v>
      </c>
      <c r="AJ47" s="211" t="s">
        <v>5668</v>
      </c>
      <c r="AW47" s="214" t="s">
        <v>6142</v>
      </c>
      <c r="AX47" s="205">
        <v>6</v>
      </c>
      <c r="AY47" s="205">
        <v>0</v>
      </c>
      <c r="AZ47" s="205">
        <v>0.2</v>
      </c>
      <c r="BA47" s="205">
        <v>0.12</v>
      </c>
      <c r="BB47" s="214" t="str">
        <f t="shared" si="0"/>
        <v/>
      </c>
      <c r="BG47" s="214" t="s">
        <v>6142</v>
      </c>
      <c r="BH47" s="205">
        <v>6</v>
      </c>
      <c r="BI47" s="205">
        <v>0</v>
      </c>
      <c r="BJ47" s="205">
        <v>0.2</v>
      </c>
      <c r="BK47" s="205">
        <v>0.31</v>
      </c>
      <c r="BL47" s="214" t="str">
        <f t="shared" si="1"/>
        <v/>
      </c>
    </row>
    <row r="48" spans="23:64" ht="15.75" x14ac:dyDescent="0.25">
      <c r="W48" s="214" t="s">
        <v>232</v>
      </c>
      <c r="X48" s="214" t="s">
        <v>285</v>
      </c>
      <c r="Y48" s="220">
        <v>2</v>
      </c>
      <c r="AH48" s="207" t="s">
        <v>5554</v>
      </c>
      <c r="AI48" s="209"/>
      <c r="AJ48" s="209"/>
      <c r="AW48" s="214" t="s">
        <v>6142</v>
      </c>
      <c r="AX48" s="205">
        <v>7</v>
      </c>
      <c r="AY48" s="205">
        <v>0</v>
      </c>
      <c r="AZ48" s="205">
        <v>0.2</v>
      </c>
      <c r="BA48" s="205">
        <v>0.08</v>
      </c>
      <c r="BB48" s="214" t="str">
        <f t="shared" si="0"/>
        <v/>
      </c>
      <c r="BG48" s="214" t="s">
        <v>6142</v>
      </c>
      <c r="BH48" s="205">
        <v>7</v>
      </c>
      <c r="BI48" s="205">
        <v>0</v>
      </c>
      <c r="BJ48" s="205">
        <v>0.2</v>
      </c>
      <c r="BK48" s="205">
        <v>0.28000000000000003</v>
      </c>
      <c r="BL48" s="214" t="str">
        <f t="shared" si="1"/>
        <v/>
      </c>
    </row>
    <row r="49" spans="23:64" x14ac:dyDescent="0.25">
      <c r="W49" s="214" t="s">
        <v>27</v>
      </c>
      <c r="X49" s="214" t="s">
        <v>286</v>
      </c>
      <c r="Y49" s="220">
        <v>2</v>
      </c>
      <c r="AH49" s="210" t="s">
        <v>5669</v>
      </c>
      <c r="AI49" s="211" t="s">
        <v>5670</v>
      </c>
      <c r="AJ49" s="211" t="s">
        <v>5671</v>
      </c>
      <c r="AW49" s="214" t="s">
        <v>6142</v>
      </c>
      <c r="AX49" s="205">
        <v>8</v>
      </c>
      <c r="AY49" s="205">
        <v>0</v>
      </c>
      <c r="AZ49" s="205">
        <v>0.2</v>
      </c>
      <c r="BA49" s="205">
        <v>0.08</v>
      </c>
      <c r="BB49" s="214" t="str">
        <f t="shared" si="0"/>
        <v/>
      </c>
      <c r="BG49" s="214" t="s">
        <v>6142</v>
      </c>
      <c r="BH49" s="205">
        <v>8</v>
      </c>
      <c r="BI49" s="205">
        <v>0</v>
      </c>
      <c r="BJ49" s="205">
        <v>0.2</v>
      </c>
      <c r="BK49" s="205">
        <v>0.28000000000000003</v>
      </c>
      <c r="BL49" s="214" t="str">
        <f t="shared" si="1"/>
        <v/>
      </c>
    </row>
    <row r="50" spans="23:64" x14ac:dyDescent="0.25">
      <c r="W50" s="214" t="s">
        <v>242</v>
      </c>
      <c r="X50" s="214" t="s">
        <v>287</v>
      </c>
      <c r="Y50" s="220">
        <v>8</v>
      </c>
      <c r="AH50" s="210" t="s">
        <v>5672</v>
      </c>
      <c r="AI50" s="211" t="s">
        <v>5673</v>
      </c>
      <c r="AJ50" s="211" t="s">
        <v>5674</v>
      </c>
      <c r="AW50" s="214" t="s">
        <v>6142</v>
      </c>
      <c r="AX50" s="205">
        <v>1</v>
      </c>
      <c r="AY50" s="205">
        <v>0.2</v>
      </c>
      <c r="AZ50" s="205">
        <v>0.3</v>
      </c>
      <c r="BA50" s="205">
        <v>0.2</v>
      </c>
      <c r="BB50" s="214" t="str">
        <f t="shared" si="0"/>
        <v/>
      </c>
      <c r="BG50" s="214" t="s">
        <v>6142</v>
      </c>
      <c r="BH50" s="205">
        <v>1</v>
      </c>
      <c r="BI50" s="205">
        <v>0.2</v>
      </c>
      <c r="BJ50" s="205">
        <v>0.3</v>
      </c>
      <c r="BK50" s="205">
        <v>0.34</v>
      </c>
      <c r="BL50" s="214" t="str">
        <f t="shared" si="1"/>
        <v/>
      </c>
    </row>
    <row r="51" spans="23:64" x14ac:dyDescent="0.25">
      <c r="W51" s="214" t="s">
        <v>252</v>
      </c>
      <c r="X51" s="214" t="s">
        <v>288</v>
      </c>
      <c r="Y51" s="220">
        <v>3</v>
      </c>
      <c r="AH51" s="210" t="s">
        <v>5675</v>
      </c>
      <c r="AI51" s="211" t="s">
        <v>5676</v>
      </c>
      <c r="AJ51" s="211" t="s">
        <v>5677</v>
      </c>
      <c r="AW51" s="214" t="s">
        <v>6142</v>
      </c>
      <c r="AX51" s="205">
        <v>2</v>
      </c>
      <c r="AY51" s="205">
        <v>0.2</v>
      </c>
      <c r="AZ51" s="205">
        <v>0.3</v>
      </c>
      <c r="BA51" s="205">
        <v>0.17</v>
      </c>
      <c r="BB51" s="214" t="str">
        <f t="shared" si="0"/>
        <v/>
      </c>
      <c r="BG51" s="214" t="s">
        <v>6142</v>
      </c>
      <c r="BH51" s="205">
        <v>2</v>
      </c>
      <c r="BI51" s="205">
        <v>0.2</v>
      </c>
      <c r="BJ51" s="205">
        <v>0.3</v>
      </c>
      <c r="BK51" s="205">
        <v>0.33</v>
      </c>
      <c r="BL51" s="214" t="str">
        <f t="shared" si="1"/>
        <v/>
      </c>
    </row>
    <row r="52" spans="23:64" x14ac:dyDescent="0.25">
      <c r="W52" s="214" t="s">
        <v>232</v>
      </c>
      <c r="X52" s="214" t="s">
        <v>289</v>
      </c>
      <c r="Y52" s="220">
        <v>2</v>
      </c>
      <c r="AH52" s="210" t="s">
        <v>5678</v>
      </c>
      <c r="AI52" s="211" t="s">
        <v>5679</v>
      </c>
      <c r="AJ52" s="211" t="s">
        <v>5680</v>
      </c>
      <c r="AW52" s="214" t="s">
        <v>6142</v>
      </c>
      <c r="AX52" s="205">
        <v>3</v>
      </c>
      <c r="AY52" s="205">
        <v>0.2</v>
      </c>
      <c r="AZ52" s="205">
        <v>0.3</v>
      </c>
      <c r="BA52" s="205">
        <v>0.15</v>
      </c>
      <c r="BB52" s="214" t="str">
        <f t="shared" si="0"/>
        <v/>
      </c>
      <c r="BG52" s="214" t="s">
        <v>6142</v>
      </c>
      <c r="BH52" s="205">
        <v>3</v>
      </c>
      <c r="BI52" s="205">
        <v>0.2</v>
      </c>
      <c r="BJ52" s="205">
        <v>0.3</v>
      </c>
      <c r="BK52" s="205">
        <v>0.32</v>
      </c>
      <c r="BL52" s="214" t="str">
        <f t="shared" si="1"/>
        <v/>
      </c>
    </row>
    <row r="53" spans="23:64" x14ac:dyDescent="0.25">
      <c r="W53" s="214" t="s">
        <v>239</v>
      </c>
      <c r="X53" s="214" t="s">
        <v>290</v>
      </c>
      <c r="Y53" s="220">
        <v>2</v>
      </c>
      <c r="AH53" s="210" t="s">
        <v>5681</v>
      </c>
      <c r="AI53" s="211" t="s">
        <v>5673</v>
      </c>
      <c r="AJ53" s="211" t="s">
        <v>5682</v>
      </c>
      <c r="AW53" s="214" t="s">
        <v>6142</v>
      </c>
      <c r="AX53" s="205">
        <v>4</v>
      </c>
      <c r="AY53" s="205">
        <v>0.2</v>
      </c>
      <c r="AZ53" s="205">
        <v>0.3</v>
      </c>
      <c r="BA53" s="205">
        <v>0.12</v>
      </c>
      <c r="BB53" s="214" t="str">
        <f t="shared" si="0"/>
        <v/>
      </c>
      <c r="BG53" s="214" t="s">
        <v>6142</v>
      </c>
      <c r="BH53" s="205">
        <v>4</v>
      </c>
      <c r="BI53" s="205">
        <v>0.2</v>
      </c>
      <c r="BJ53" s="205">
        <v>0.3</v>
      </c>
      <c r="BK53" s="205">
        <v>0.31</v>
      </c>
      <c r="BL53" s="214" t="str">
        <f t="shared" si="1"/>
        <v/>
      </c>
    </row>
    <row r="54" spans="23:64" x14ac:dyDescent="0.25">
      <c r="W54" s="214" t="s">
        <v>239</v>
      </c>
      <c r="X54" s="214" t="s">
        <v>291</v>
      </c>
      <c r="Y54" s="220">
        <v>2</v>
      </c>
      <c r="AH54" s="210" t="s">
        <v>5683</v>
      </c>
      <c r="AI54" s="211" t="s">
        <v>5684</v>
      </c>
      <c r="AJ54" s="211" t="s">
        <v>5685</v>
      </c>
      <c r="AW54" s="214" t="s">
        <v>6142</v>
      </c>
      <c r="AX54" s="205">
        <v>5</v>
      </c>
      <c r="AY54" s="205">
        <v>0.2</v>
      </c>
      <c r="AZ54" s="205">
        <v>0.3</v>
      </c>
      <c r="BA54" s="205">
        <v>0.15</v>
      </c>
      <c r="BB54" s="214" t="str">
        <f t="shared" si="0"/>
        <v/>
      </c>
      <c r="BG54" s="214" t="s">
        <v>6142</v>
      </c>
      <c r="BH54" s="205">
        <v>5</v>
      </c>
      <c r="BI54" s="205">
        <v>0.2</v>
      </c>
      <c r="BJ54" s="205">
        <v>0.3</v>
      </c>
      <c r="BK54" s="205">
        <v>0.33</v>
      </c>
      <c r="BL54" s="214" t="str">
        <f t="shared" si="1"/>
        <v/>
      </c>
    </row>
    <row r="55" spans="23:64" x14ac:dyDescent="0.25">
      <c r="W55" s="214" t="s">
        <v>258</v>
      </c>
      <c r="X55" s="214" t="s">
        <v>292</v>
      </c>
      <c r="Y55" s="220">
        <v>3</v>
      </c>
      <c r="AH55" s="210" t="s">
        <v>5686</v>
      </c>
      <c r="AI55" s="211" t="s">
        <v>5687</v>
      </c>
      <c r="AJ55" s="211" t="s">
        <v>5688</v>
      </c>
      <c r="AW55" s="214" t="s">
        <v>6142</v>
      </c>
      <c r="AX55" s="205">
        <v>6</v>
      </c>
      <c r="AY55" s="205">
        <v>0.2</v>
      </c>
      <c r="AZ55" s="205">
        <v>0.3</v>
      </c>
      <c r="BA55" s="205">
        <v>0.13</v>
      </c>
      <c r="BB55" s="214" t="str">
        <f t="shared" si="0"/>
        <v/>
      </c>
      <c r="BG55" s="214" t="s">
        <v>6142</v>
      </c>
      <c r="BH55" s="205">
        <v>6</v>
      </c>
      <c r="BI55" s="205">
        <v>0.2</v>
      </c>
      <c r="BJ55" s="205">
        <v>0.3</v>
      </c>
      <c r="BK55" s="205">
        <v>0.32</v>
      </c>
      <c r="BL55" s="214" t="str">
        <f t="shared" si="1"/>
        <v/>
      </c>
    </row>
    <row r="56" spans="23:64" x14ac:dyDescent="0.25">
      <c r="W56" s="214" t="s">
        <v>239</v>
      </c>
      <c r="X56" s="214" t="s">
        <v>293</v>
      </c>
      <c r="Y56" s="220">
        <v>2</v>
      </c>
      <c r="AH56" s="210" t="s">
        <v>5689</v>
      </c>
      <c r="AI56" s="211" t="s">
        <v>5690</v>
      </c>
      <c r="AJ56" s="211" t="s">
        <v>5691</v>
      </c>
      <c r="AW56" s="214" t="s">
        <v>6142</v>
      </c>
      <c r="AX56" s="205">
        <v>7</v>
      </c>
      <c r="AY56" s="205">
        <v>0.2</v>
      </c>
      <c r="AZ56" s="205">
        <v>0.3</v>
      </c>
      <c r="BA56" s="205">
        <v>0.08</v>
      </c>
      <c r="BB56" s="214" t="str">
        <f t="shared" si="0"/>
        <v/>
      </c>
      <c r="BG56" s="214" t="s">
        <v>6142</v>
      </c>
      <c r="BH56" s="205">
        <v>7</v>
      </c>
      <c r="BI56" s="205">
        <v>0.2</v>
      </c>
      <c r="BJ56" s="205">
        <v>0.3</v>
      </c>
      <c r="BK56" s="205">
        <v>0.3</v>
      </c>
      <c r="BL56" s="214" t="str">
        <f t="shared" si="1"/>
        <v/>
      </c>
    </row>
    <row r="57" spans="23:64" x14ac:dyDescent="0.25">
      <c r="W57" s="214" t="s">
        <v>242</v>
      </c>
      <c r="X57" s="214" t="s">
        <v>294</v>
      </c>
      <c r="Y57" s="220">
        <v>8</v>
      </c>
      <c r="AH57" s="210" t="s">
        <v>5692</v>
      </c>
      <c r="AI57" s="211" t="s">
        <v>5693</v>
      </c>
      <c r="AJ57" s="211" t="s">
        <v>5694</v>
      </c>
      <c r="AW57" s="214" t="s">
        <v>6142</v>
      </c>
      <c r="AX57" s="205">
        <v>8</v>
      </c>
      <c r="AY57" s="205">
        <v>0.2</v>
      </c>
      <c r="AZ57" s="205">
        <v>0.3</v>
      </c>
      <c r="BA57" s="205">
        <v>0.09</v>
      </c>
      <c r="BB57" s="214" t="str">
        <f t="shared" si="0"/>
        <v/>
      </c>
      <c r="BG57" s="214" t="s">
        <v>6142</v>
      </c>
      <c r="BH57" s="205">
        <v>8</v>
      </c>
      <c r="BI57" s="205">
        <v>0.2</v>
      </c>
      <c r="BJ57" s="205">
        <v>0.3</v>
      </c>
      <c r="BK57" s="205">
        <v>0.3</v>
      </c>
      <c r="BL57" s="214" t="str">
        <f t="shared" si="1"/>
        <v/>
      </c>
    </row>
    <row r="58" spans="23:64" x14ac:dyDescent="0.25">
      <c r="W58" s="214" t="s">
        <v>27</v>
      </c>
      <c r="X58" s="214" t="s">
        <v>295</v>
      </c>
      <c r="Y58" s="220">
        <v>2</v>
      </c>
      <c r="AH58" s="210" t="s">
        <v>5695</v>
      </c>
      <c r="AI58" s="211" t="s">
        <v>5696</v>
      </c>
      <c r="AJ58" s="211" t="s">
        <v>5697</v>
      </c>
      <c r="AW58" s="214" t="s">
        <v>6142</v>
      </c>
      <c r="AX58" s="205">
        <v>1</v>
      </c>
      <c r="AY58" s="205">
        <v>0.3</v>
      </c>
      <c r="AZ58" s="205">
        <v>0.4</v>
      </c>
      <c r="BA58" s="205">
        <v>0.24</v>
      </c>
      <c r="BB58" s="214" t="str">
        <f t="shared" si="0"/>
        <v/>
      </c>
      <c r="BG58" s="214" t="s">
        <v>6142</v>
      </c>
      <c r="BH58" s="205">
        <v>1</v>
      </c>
      <c r="BI58" s="205">
        <v>0.3</v>
      </c>
      <c r="BJ58" s="205">
        <v>0.4</v>
      </c>
      <c r="BK58" s="205">
        <v>0.31</v>
      </c>
      <c r="BL58" s="214" t="str">
        <f t="shared" si="1"/>
        <v/>
      </c>
    </row>
    <row r="59" spans="23:64" x14ac:dyDescent="0.25">
      <c r="W59" s="214" t="s">
        <v>27</v>
      </c>
      <c r="X59" s="214" t="s">
        <v>296</v>
      </c>
      <c r="Y59" s="220">
        <v>2</v>
      </c>
      <c r="AH59" s="210" t="s">
        <v>5698</v>
      </c>
      <c r="AI59" s="211" t="s">
        <v>5699</v>
      </c>
      <c r="AJ59" s="211" t="s">
        <v>5700</v>
      </c>
      <c r="AW59" s="214" t="s">
        <v>6142</v>
      </c>
      <c r="AX59" s="205">
        <v>2</v>
      </c>
      <c r="AY59" s="205">
        <v>0.3</v>
      </c>
      <c r="AZ59" s="205">
        <v>0.4</v>
      </c>
      <c r="BA59" s="205">
        <v>0.21</v>
      </c>
      <c r="BB59" s="214" t="str">
        <f t="shared" si="0"/>
        <v/>
      </c>
      <c r="BG59" s="214" t="s">
        <v>6142</v>
      </c>
      <c r="BH59" s="205">
        <v>2</v>
      </c>
      <c r="BI59" s="205">
        <v>0.3</v>
      </c>
      <c r="BJ59" s="205">
        <v>0.4</v>
      </c>
      <c r="BK59" s="205">
        <v>0.3</v>
      </c>
      <c r="BL59" s="214" t="str">
        <f t="shared" si="1"/>
        <v/>
      </c>
    </row>
    <row r="60" spans="23:64" x14ac:dyDescent="0.25">
      <c r="W60" s="214" t="s">
        <v>27</v>
      </c>
      <c r="X60" s="214" t="s">
        <v>297</v>
      </c>
      <c r="Y60" s="220">
        <v>5</v>
      </c>
      <c r="AH60" s="210" t="s">
        <v>5701</v>
      </c>
      <c r="AI60" s="211" t="s">
        <v>5632</v>
      </c>
      <c r="AJ60" s="211" t="s">
        <v>5702</v>
      </c>
      <c r="AW60" s="214" t="s">
        <v>6142</v>
      </c>
      <c r="AX60" s="205">
        <v>3</v>
      </c>
      <c r="AY60" s="205">
        <v>0.3</v>
      </c>
      <c r="AZ60" s="205">
        <v>0.4</v>
      </c>
      <c r="BA60" s="205">
        <v>0.17</v>
      </c>
      <c r="BB60" s="214" t="str">
        <f t="shared" si="0"/>
        <v/>
      </c>
      <c r="BG60" s="214" t="s">
        <v>6142</v>
      </c>
      <c r="BH60" s="205">
        <v>3</v>
      </c>
      <c r="BI60" s="205">
        <v>0.3</v>
      </c>
      <c r="BJ60" s="205">
        <v>0.4</v>
      </c>
      <c r="BK60" s="205">
        <v>0.3</v>
      </c>
      <c r="BL60" s="214" t="str">
        <f t="shared" si="1"/>
        <v/>
      </c>
    </row>
    <row r="61" spans="23:64" x14ac:dyDescent="0.25">
      <c r="W61" s="214" t="s">
        <v>27</v>
      </c>
      <c r="X61" s="214" t="s">
        <v>298</v>
      </c>
      <c r="Y61" s="220">
        <v>2</v>
      </c>
      <c r="AH61" s="210" t="s">
        <v>5703</v>
      </c>
      <c r="AI61" s="211" t="s">
        <v>5704</v>
      </c>
      <c r="AJ61" s="211" t="s">
        <v>5705</v>
      </c>
      <c r="AW61" s="214" t="s">
        <v>6142</v>
      </c>
      <c r="AX61" s="205">
        <v>4</v>
      </c>
      <c r="AY61" s="205">
        <v>0.3</v>
      </c>
      <c r="AZ61" s="205">
        <v>0.4</v>
      </c>
      <c r="BA61" s="205">
        <v>0.13</v>
      </c>
      <c r="BB61" s="214" t="str">
        <f t="shared" si="0"/>
        <v/>
      </c>
      <c r="BG61" s="214" t="s">
        <v>6142</v>
      </c>
      <c r="BH61" s="205">
        <v>4</v>
      </c>
      <c r="BI61" s="205">
        <v>0.3</v>
      </c>
      <c r="BJ61" s="205">
        <v>0.4</v>
      </c>
      <c r="BK61" s="205">
        <v>0.28999999999999998</v>
      </c>
      <c r="BL61" s="214" t="str">
        <f t="shared" si="1"/>
        <v/>
      </c>
    </row>
    <row r="62" spans="23:64" ht="15.75" x14ac:dyDescent="0.25">
      <c r="W62" s="214" t="s">
        <v>239</v>
      </c>
      <c r="X62" s="214" t="s">
        <v>299</v>
      </c>
      <c r="Y62" s="220">
        <v>1</v>
      </c>
      <c r="AH62" s="207" t="s">
        <v>5706</v>
      </c>
      <c r="AI62" s="209"/>
      <c r="AJ62" s="209"/>
      <c r="AW62" s="214" t="s">
        <v>6142</v>
      </c>
      <c r="AX62" s="205">
        <v>5</v>
      </c>
      <c r="AY62" s="205">
        <v>0.3</v>
      </c>
      <c r="AZ62" s="205">
        <v>0.4</v>
      </c>
      <c r="BA62" s="205">
        <v>0.17</v>
      </c>
      <c r="BB62" s="214" t="str">
        <f t="shared" si="0"/>
        <v/>
      </c>
      <c r="BG62" s="214" t="s">
        <v>6142</v>
      </c>
      <c r="BH62" s="205">
        <v>5</v>
      </c>
      <c r="BI62" s="205">
        <v>0.3</v>
      </c>
      <c r="BJ62" s="205">
        <v>0.4</v>
      </c>
      <c r="BK62" s="205">
        <v>0.31</v>
      </c>
      <c r="BL62" s="214" t="str">
        <f t="shared" si="1"/>
        <v/>
      </c>
    </row>
    <row r="63" spans="23:64" x14ac:dyDescent="0.25">
      <c r="W63" s="214" t="s">
        <v>232</v>
      </c>
      <c r="X63" s="214" t="s">
        <v>300</v>
      </c>
      <c r="Y63" s="220">
        <v>2</v>
      </c>
      <c r="AH63" s="210" t="s">
        <v>5707</v>
      </c>
      <c r="AI63" s="211" t="s">
        <v>5708</v>
      </c>
      <c r="AJ63" s="211" t="s">
        <v>5649</v>
      </c>
      <c r="AW63" s="214" t="s">
        <v>6142</v>
      </c>
      <c r="AX63" s="205">
        <v>6</v>
      </c>
      <c r="AY63" s="205">
        <v>0.3</v>
      </c>
      <c r="AZ63" s="205">
        <v>0.4</v>
      </c>
      <c r="BA63" s="205">
        <v>0.14000000000000001</v>
      </c>
      <c r="BB63" s="214" t="str">
        <f t="shared" si="0"/>
        <v/>
      </c>
      <c r="BG63" s="214" t="s">
        <v>6142</v>
      </c>
      <c r="BH63" s="205">
        <v>6</v>
      </c>
      <c r="BI63" s="205">
        <v>0.3</v>
      </c>
      <c r="BJ63" s="205">
        <v>0.4</v>
      </c>
      <c r="BK63" s="205">
        <v>0.3</v>
      </c>
      <c r="BL63" s="214" t="str">
        <f t="shared" si="1"/>
        <v/>
      </c>
    </row>
    <row r="64" spans="23:64" x14ac:dyDescent="0.25">
      <c r="W64" s="214" t="s">
        <v>239</v>
      </c>
      <c r="X64" s="214" t="s">
        <v>301</v>
      </c>
      <c r="Y64" s="220">
        <v>3</v>
      </c>
      <c r="AH64" s="210" t="s">
        <v>5709</v>
      </c>
      <c r="AI64" s="211" t="s">
        <v>5708</v>
      </c>
      <c r="AJ64" s="211" t="s">
        <v>5649</v>
      </c>
      <c r="AW64" s="214" t="s">
        <v>6142</v>
      </c>
      <c r="AX64" s="205">
        <v>7</v>
      </c>
      <c r="AY64" s="205">
        <v>0.3</v>
      </c>
      <c r="AZ64" s="205">
        <v>0.4</v>
      </c>
      <c r="BA64" s="205">
        <v>0.09</v>
      </c>
      <c r="BB64" s="214" t="str">
        <f t="shared" si="0"/>
        <v/>
      </c>
      <c r="BG64" s="214" t="s">
        <v>6142</v>
      </c>
      <c r="BH64" s="205">
        <v>7</v>
      </c>
      <c r="BI64" s="205">
        <v>0.3</v>
      </c>
      <c r="BJ64" s="205">
        <v>0.4</v>
      </c>
      <c r="BK64" s="205">
        <v>0.28000000000000003</v>
      </c>
      <c r="BL64" s="214" t="str">
        <f t="shared" si="1"/>
        <v/>
      </c>
    </row>
    <row r="65" spans="23:64" x14ac:dyDescent="0.25">
      <c r="W65" s="214" t="s">
        <v>258</v>
      </c>
      <c r="X65" s="214" t="s">
        <v>302</v>
      </c>
      <c r="Y65" s="220">
        <v>3</v>
      </c>
      <c r="AH65" s="210" t="s">
        <v>5710</v>
      </c>
      <c r="AI65" s="211" t="s">
        <v>5711</v>
      </c>
      <c r="AJ65" s="211" t="s">
        <v>5712</v>
      </c>
      <c r="AW65" s="214" t="s">
        <v>6142</v>
      </c>
      <c r="AX65" s="205">
        <v>8</v>
      </c>
      <c r="AY65" s="205">
        <v>0.3</v>
      </c>
      <c r="AZ65" s="205">
        <v>0.4</v>
      </c>
      <c r="BA65" s="205">
        <v>0.1</v>
      </c>
      <c r="BB65" s="214" t="str">
        <f t="shared" si="0"/>
        <v/>
      </c>
      <c r="BG65" s="214" t="s">
        <v>6142</v>
      </c>
      <c r="BH65" s="205">
        <v>8</v>
      </c>
      <c r="BI65" s="205">
        <v>0.3</v>
      </c>
      <c r="BJ65" s="205">
        <v>0.4</v>
      </c>
      <c r="BK65" s="205">
        <v>0.28000000000000003</v>
      </c>
      <c r="BL65" s="214" t="str">
        <f t="shared" si="1"/>
        <v/>
      </c>
    </row>
    <row r="66" spans="23:64" ht="15.75" x14ac:dyDescent="0.25">
      <c r="W66" s="214" t="s">
        <v>27</v>
      </c>
      <c r="X66" s="214" t="s">
        <v>303</v>
      </c>
      <c r="Y66" s="220">
        <v>3</v>
      </c>
      <c r="AH66" s="207" t="s">
        <v>5713</v>
      </c>
      <c r="AI66" s="209"/>
      <c r="AJ66" s="209"/>
      <c r="AW66" s="214" t="s">
        <v>6142</v>
      </c>
      <c r="AX66" s="205">
        <v>1</v>
      </c>
      <c r="AY66" s="205">
        <v>0.4</v>
      </c>
      <c r="AZ66" s="205">
        <v>0.5</v>
      </c>
      <c r="BA66" s="205">
        <v>0.3</v>
      </c>
      <c r="BB66" s="214" t="str">
        <f t="shared" ref="BB66:BB129" si="2">IF(AX66=$BE$1,IF(AW66=$BD$1,IF(AND($BC$1&gt;AY66,$BC$1&lt;AZ66),BA66,""),""),"")</f>
        <v/>
      </c>
      <c r="BG66" s="214" t="s">
        <v>6142</v>
      </c>
      <c r="BH66" s="205">
        <v>1</v>
      </c>
      <c r="BI66" s="205">
        <v>0.4</v>
      </c>
      <c r="BJ66" s="205">
        <v>0.5</v>
      </c>
      <c r="BK66" s="205">
        <v>0.3</v>
      </c>
      <c r="BL66" s="214" t="str">
        <f t="shared" ref="BL66:BL129" si="3">IF(BH66=$BE$1,IF(BG66=$BD$1,IF(AND($BC$1&gt;BI66,$BC$1&lt;BJ66),BK66,""),""),"")</f>
        <v/>
      </c>
    </row>
    <row r="67" spans="23:64" x14ac:dyDescent="0.25">
      <c r="W67" s="214" t="s">
        <v>27</v>
      </c>
      <c r="X67" s="214" t="s">
        <v>283</v>
      </c>
      <c r="Y67" s="220">
        <v>2</v>
      </c>
      <c r="AH67" s="210" t="s">
        <v>5714</v>
      </c>
      <c r="AI67" s="211" t="s">
        <v>5610</v>
      </c>
      <c r="AJ67" s="211" t="s">
        <v>5575</v>
      </c>
      <c r="AW67" s="214" t="s">
        <v>6142</v>
      </c>
      <c r="AX67" s="205">
        <v>2</v>
      </c>
      <c r="AY67" s="205">
        <v>0.4</v>
      </c>
      <c r="AZ67" s="205">
        <v>0.5</v>
      </c>
      <c r="BA67" s="205">
        <v>0.27</v>
      </c>
      <c r="BB67" s="214" t="str">
        <f t="shared" si="2"/>
        <v/>
      </c>
      <c r="BG67" s="214" t="s">
        <v>6142</v>
      </c>
      <c r="BH67" s="205">
        <v>2</v>
      </c>
      <c r="BI67" s="205">
        <v>0.4</v>
      </c>
      <c r="BJ67" s="205">
        <v>0.5</v>
      </c>
      <c r="BK67" s="205">
        <v>0.28000000000000003</v>
      </c>
      <c r="BL67" s="214" t="str">
        <f t="shared" si="3"/>
        <v/>
      </c>
    </row>
    <row r="68" spans="23:64" x14ac:dyDescent="0.25">
      <c r="W68" s="214" t="s">
        <v>252</v>
      </c>
      <c r="X68" s="214" t="s">
        <v>304</v>
      </c>
      <c r="Y68" s="220">
        <v>3</v>
      </c>
      <c r="AH68" s="210" t="s">
        <v>5715</v>
      </c>
      <c r="AI68" s="211" t="s">
        <v>5716</v>
      </c>
      <c r="AJ68" s="211" t="s">
        <v>5717</v>
      </c>
      <c r="AW68" s="214" t="s">
        <v>6142</v>
      </c>
      <c r="AX68" s="205">
        <v>3</v>
      </c>
      <c r="AY68" s="205">
        <v>0.4</v>
      </c>
      <c r="AZ68" s="205">
        <v>0.5</v>
      </c>
      <c r="BA68" s="205">
        <v>0.19</v>
      </c>
      <c r="BB68" s="214" t="str">
        <f t="shared" si="2"/>
        <v/>
      </c>
      <c r="BG68" s="214" t="s">
        <v>6142</v>
      </c>
      <c r="BH68" s="205">
        <v>3</v>
      </c>
      <c r="BI68" s="205">
        <v>0.4</v>
      </c>
      <c r="BJ68" s="205">
        <v>0.5</v>
      </c>
      <c r="BK68" s="205">
        <v>0.28000000000000003</v>
      </c>
      <c r="BL68" s="214" t="str">
        <f t="shared" si="3"/>
        <v/>
      </c>
    </row>
    <row r="69" spans="23:64" x14ac:dyDescent="0.25">
      <c r="W69" s="214" t="s">
        <v>239</v>
      </c>
      <c r="X69" s="214" t="s">
        <v>305</v>
      </c>
      <c r="Y69" s="220">
        <v>1</v>
      </c>
      <c r="AH69" s="207" t="s">
        <v>5718</v>
      </c>
      <c r="AI69" s="211" t="s">
        <v>5613</v>
      </c>
      <c r="AJ69" s="211" t="s">
        <v>5719</v>
      </c>
      <c r="AW69" s="214" t="s">
        <v>6142</v>
      </c>
      <c r="AX69" s="205">
        <v>4</v>
      </c>
      <c r="AY69" s="205">
        <v>0.4</v>
      </c>
      <c r="AZ69" s="205">
        <v>0.5</v>
      </c>
      <c r="BA69" s="205">
        <v>0.14000000000000001</v>
      </c>
      <c r="BB69" s="214" t="str">
        <f t="shared" si="2"/>
        <v/>
      </c>
      <c r="BG69" s="214" t="s">
        <v>6142</v>
      </c>
      <c r="BH69" s="205">
        <v>4</v>
      </c>
      <c r="BI69" s="205">
        <v>0.4</v>
      </c>
      <c r="BJ69" s="205">
        <v>0.5</v>
      </c>
      <c r="BK69" s="205">
        <v>0.27</v>
      </c>
      <c r="BL69" s="214" t="str">
        <f t="shared" si="3"/>
        <v/>
      </c>
    </row>
    <row r="70" spans="23:64" ht="15.75" x14ac:dyDescent="0.25">
      <c r="W70" s="214" t="s">
        <v>239</v>
      </c>
      <c r="X70" s="214" t="s">
        <v>306</v>
      </c>
      <c r="Y70" s="220">
        <v>2</v>
      </c>
      <c r="AH70" s="207" t="s">
        <v>5720</v>
      </c>
      <c r="AI70" s="209"/>
      <c r="AJ70" s="209"/>
      <c r="AW70" s="214" t="s">
        <v>6142</v>
      </c>
      <c r="AX70" s="205">
        <v>5</v>
      </c>
      <c r="AY70" s="205">
        <v>0.4</v>
      </c>
      <c r="AZ70" s="205">
        <v>0.5</v>
      </c>
      <c r="BA70" s="205">
        <v>0.19</v>
      </c>
      <c r="BB70" s="214" t="str">
        <f t="shared" si="2"/>
        <v/>
      </c>
      <c r="BG70" s="214" t="s">
        <v>6142</v>
      </c>
      <c r="BH70" s="205">
        <v>5</v>
      </c>
      <c r="BI70" s="205">
        <v>0.4</v>
      </c>
      <c r="BJ70" s="205">
        <v>0.5</v>
      </c>
      <c r="BK70" s="205">
        <v>0.28999999999999998</v>
      </c>
      <c r="BL70" s="214" t="str">
        <f t="shared" si="3"/>
        <v/>
      </c>
    </row>
    <row r="71" spans="23:64" x14ac:dyDescent="0.25">
      <c r="W71" s="214" t="s">
        <v>239</v>
      </c>
      <c r="X71" s="214" t="s">
        <v>307</v>
      </c>
      <c r="Y71" s="220">
        <v>2</v>
      </c>
      <c r="AH71" s="210" t="s">
        <v>5721</v>
      </c>
      <c r="AI71" s="211" t="s">
        <v>5601</v>
      </c>
      <c r="AJ71" s="211" t="s">
        <v>5722</v>
      </c>
      <c r="AW71" s="214" t="s">
        <v>6142</v>
      </c>
      <c r="AX71" s="205">
        <v>6</v>
      </c>
      <c r="AY71" s="205">
        <v>0.4</v>
      </c>
      <c r="AZ71" s="205">
        <v>0.5</v>
      </c>
      <c r="BA71" s="205">
        <v>0.14000000000000001</v>
      </c>
      <c r="BB71" s="214" t="str">
        <f t="shared" si="2"/>
        <v/>
      </c>
      <c r="BG71" s="214" t="s">
        <v>6142</v>
      </c>
      <c r="BH71" s="205">
        <v>6</v>
      </c>
      <c r="BI71" s="205">
        <v>0.4</v>
      </c>
      <c r="BJ71" s="205">
        <v>0.5</v>
      </c>
      <c r="BK71" s="205">
        <v>0.28000000000000003</v>
      </c>
      <c r="BL71" s="214" t="str">
        <f t="shared" si="3"/>
        <v/>
      </c>
    </row>
    <row r="72" spans="23:64" x14ac:dyDescent="0.25">
      <c r="W72" s="214" t="s">
        <v>27</v>
      </c>
      <c r="X72" s="214" t="s">
        <v>308</v>
      </c>
      <c r="Y72" s="220">
        <v>3</v>
      </c>
      <c r="AH72" s="210" t="s">
        <v>5723</v>
      </c>
      <c r="AI72" s="211" t="s">
        <v>5589</v>
      </c>
      <c r="AJ72" s="211" t="s">
        <v>5724</v>
      </c>
      <c r="AW72" s="214" t="s">
        <v>6142</v>
      </c>
      <c r="AX72" s="205">
        <v>7</v>
      </c>
      <c r="AY72" s="205">
        <v>0.4</v>
      </c>
      <c r="AZ72" s="205">
        <v>0.5</v>
      </c>
      <c r="BA72" s="205">
        <v>0.08</v>
      </c>
      <c r="BB72" s="214" t="str">
        <f t="shared" si="2"/>
        <v/>
      </c>
      <c r="BG72" s="214" t="s">
        <v>6142</v>
      </c>
      <c r="BH72" s="205">
        <v>7</v>
      </c>
      <c r="BI72" s="205">
        <v>0.4</v>
      </c>
      <c r="BJ72" s="205">
        <v>0.5</v>
      </c>
      <c r="BK72" s="205">
        <v>0.26</v>
      </c>
      <c r="BL72" s="214" t="str">
        <f t="shared" si="3"/>
        <v/>
      </c>
    </row>
    <row r="73" spans="23:64" x14ac:dyDescent="0.25">
      <c r="W73" s="214" t="s">
        <v>239</v>
      </c>
      <c r="X73" s="214" t="s">
        <v>309</v>
      </c>
      <c r="Y73" s="220">
        <v>2</v>
      </c>
      <c r="AH73" s="207" t="s">
        <v>5725</v>
      </c>
      <c r="AI73" s="211" t="s">
        <v>5726</v>
      </c>
      <c r="AJ73" s="211" t="s">
        <v>5614</v>
      </c>
      <c r="AW73" s="214" t="s">
        <v>6142</v>
      </c>
      <c r="AX73" s="205">
        <v>8</v>
      </c>
      <c r="AY73" s="205">
        <v>0.4</v>
      </c>
      <c r="AZ73" s="205">
        <v>0.5</v>
      </c>
      <c r="BA73" s="205">
        <v>0.1</v>
      </c>
      <c r="BB73" s="214" t="str">
        <f t="shared" si="2"/>
        <v/>
      </c>
      <c r="BG73" s="214" t="s">
        <v>6142</v>
      </c>
      <c r="BH73" s="205">
        <v>8</v>
      </c>
      <c r="BI73" s="205">
        <v>0.4</v>
      </c>
      <c r="BJ73" s="205">
        <v>0.5</v>
      </c>
      <c r="BK73" s="205">
        <v>0.27</v>
      </c>
      <c r="BL73" s="214" t="str">
        <f t="shared" si="3"/>
        <v/>
      </c>
    </row>
    <row r="74" spans="23:64" x14ac:dyDescent="0.25">
      <c r="W74" s="214" t="s">
        <v>274</v>
      </c>
      <c r="X74" s="214" t="s">
        <v>310</v>
      </c>
      <c r="Y74" s="220">
        <v>2</v>
      </c>
      <c r="AH74" s="207" t="s">
        <v>5727</v>
      </c>
      <c r="AI74" s="211" t="s">
        <v>5592</v>
      </c>
      <c r="AJ74" s="211" t="s">
        <v>5728</v>
      </c>
      <c r="AW74" s="214" t="s">
        <v>6142</v>
      </c>
      <c r="AX74" s="205">
        <v>1</v>
      </c>
      <c r="AY74" s="205">
        <v>0.5</v>
      </c>
      <c r="AZ74" s="205">
        <v>100</v>
      </c>
      <c r="BA74" s="205">
        <v>0.34</v>
      </c>
      <c r="BB74" s="214" t="str">
        <f t="shared" si="2"/>
        <v/>
      </c>
      <c r="BG74" s="214" t="s">
        <v>6142</v>
      </c>
      <c r="BH74" s="205">
        <v>1</v>
      </c>
      <c r="BI74" s="205">
        <v>0.5</v>
      </c>
      <c r="BJ74" s="205">
        <v>100</v>
      </c>
      <c r="BK74" s="205">
        <v>0.3</v>
      </c>
      <c r="BL74" s="214" t="str">
        <f t="shared" si="3"/>
        <v/>
      </c>
    </row>
    <row r="75" spans="23:64" x14ac:dyDescent="0.25">
      <c r="W75" s="214" t="s">
        <v>27</v>
      </c>
      <c r="X75" s="214" t="s">
        <v>311</v>
      </c>
      <c r="Y75" s="220">
        <v>3</v>
      </c>
      <c r="AH75" s="207" t="s">
        <v>5729</v>
      </c>
      <c r="AI75" s="211" t="s">
        <v>5730</v>
      </c>
      <c r="AJ75" s="211" t="s">
        <v>5647</v>
      </c>
      <c r="AW75" s="214" t="s">
        <v>6142</v>
      </c>
      <c r="AX75" s="205">
        <v>2</v>
      </c>
      <c r="AY75" s="205">
        <v>0.5</v>
      </c>
      <c r="AZ75" s="205">
        <v>100</v>
      </c>
      <c r="BA75" s="205">
        <v>0.32</v>
      </c>
      <c r="BB75" s="214" t="str">
        <f t="shared" si="2"/>
        <v/>
      </c>
      <c r="BG75" s="214" t="s">
        <v>6142</v>
      </c>
      <c r="BH75" s="205">
        <v>2</v>
      </c>
      <c r="BI75" s="205">
        <v>0.5</v>
      </c>
      <c r="BJ75" s="205">
        <v>100</v>
      </c>
      <c r="BK75" s="205">
        <v>0.28000000000000003</v>
      </c>
      <c r="BL75" s="214" t="str">
        <f t="shared" si="3"/>
        <v/>
      </c>
    </row>
    <row r="76" spans="23:64" x14ac:dyDescent="0.25">
      <c r="W76" s="214" t="s">
        <v>239</v>
      </c>
      <c r="X76" s="214" t="s">
        <v>312</v>
      </c>
      <c r="Y76" s="220">
        <v>1</v>
      </c>
      <c r="AH76" s="207" t="s">
        <v>5731</v>
      </c>
      <c r="AI76" s="211" t="s">
        <v>5732</v>
      </c>
      <c r="AJ76" s="211" t="s">
        <v>5691</v>
      </c>
      <c r="AW76" s="214" t="s">
        <v>6142</v>
      </c>
      <c r="AX76" s="205">
        <v>3</v>
      </c>
      <c r="AY76" s="205">
        <v>0.5</v>
      </c>
      <c r="AZ76" s="205">
        <v>100</v>
      </c>
      <c r="BA76" s="205">
        <v>0.2</v>
      </c>
      <c r="BB76" s="214" t="str">
        <f t="shared" si="2"/>
        <v/>
      </c>
      <c r="BG76" s="214" t="s">
        <v>6142</v>
      </c>
      <c r="BH76" s="205">
        <v>3</v>
      </c>
      <c r="BI76" s="205">
        <v>0.5</v>
      </c>
      <c r="BJ76" s="205">
        <v>100</v>
      </c>
      <c r="BK76" s="205">
        <v>0.28000000000000003</v>
      </c>
      <c r="BL76" s="214" t="str">
        <f t="shared" si="3"/>
        <v/>
      </c>
    </row>
    <row r="77" spans="23:64" x14ac:dyDescent="0.25">
      <c r="W77" s="214" t="s">
        <v>239</v>
      </c>
      <c r="X77" s="214" t="s">
        <v>313</v>
      </c>
      <c r="Y77" s="220">
        <v>1</v>
      </c>
      <c r="AH77" s="210" t="s">
        <v>5845</v>
      </c>
      <c r="AI77" s="211" t="s">
        <v>5733</v>
      </c>
      <c r="AJ77" s="211" t="s">
        <v>5671</v>
      </c>
      <c r="AW77" s="214" t="s">
        <v>6142</v>
      </c>
      <c r="AX77" s="205">
        <v>4</v>
      </c>
      <c r="AY77" s="205">
        <v>0.5</v>
      </c>
      <c r="AZ77" s="205">
        <v>100</v>
      </c>
      <c r="BA77" s="205">
        <v>0.15</v>
      </c>
      <c r="BB77" s="214" t="str">
        <f t="shared" si="2"/>
        <v/>
      </c>
      <c r="BG77" s="214" t="s">
        <v>6142</v>
      </c>
      <c r="BH77" s="205">
        <v>4</v>
      </c>
      <c r="BI77" s="205">
        <v>0.5</v>
      </c>
      <c r="BJ77" s="205">
        <v>100</v>
      </c>
      <c r="BK77" s="205">
        <v>0.27</v>
      </c>
      <c r="BL77" s="214" t="str">
        <f t="shared" si="3"/>
        <v/>
      </c>
    </row>
    <row r="78" spans="23:64" x14ac:dyDescent="0.25">
      <c r="W78" s="214" t="s">
        <v>27</v>
      </c>
      <c r="X78" s="214" t="s">
        <v>314</v>
      </c>
      <c r="Y78" s="220">
        <v>3</v>
      </c>
      <c r="AH78" s="210" t="s">
        <v>5846</v>
      </c>
      <c r="AI78" s="211" t="s">
        <v>5732</v>
      </c>
      <c r="AJ78" s="211" t="s">
        <v>5734</v>
      </c>
      <c r="AW78" s="214" t="s">
        <v>6142</v>
      </c>
      <c r="AX78" s="205">
        <v>5</v>
      </c>
      <c r="AY78" s="205">
        <v>0.5</v>
      </c>
      <c r="AZ78" s="205">
        <v>100</v>
      </c>
      <c r="BA78" s="205">
        <v>0.21</v>
      </c>
      <c r="BB78" s="214" t="str">
        <f t="shared" si="2"/>
        <v/>
      </c>
      <c r="BG78" s="214" t="s">
        <v>6142</v>
      </c>
      <c r="BH78" s="205">
        <v>5</v>
      </c>
      <c r="BI78" s="205">
        <v>0.5</v>
      </c>
      <c r="BJ78" s="205">
        <v>100</v>
      </c>
      <c r="BK78" s="205">
        <v>0.28999999999999998</v>
      </c>
      <c r="BL78" s="214" t="str">
        <f t="shared" si="3"/>
        <v/>
      </c>
    </row>
    <row r="79" spans="23:64" x14ac:dyDescent="0.25">
      <c r="W79" s="214" t="s">
        <v>258</v>
      </c>
      <c r="X79" s="214" t="s">
        <v>315</v>
      </c>
      <c r="Y79" s="220">
        <v>3</v>
      </c>
      <c r="AH79" s="210" t="s">
        <v>5847</v>
      </c>
      <c r="AI79" s="211" t="s">
        <v>5598</v>
      </c>
      <c r="AJ79" s="211" t="s">
        <v>5591</v>
      </c>
      <c r="AW79" s="214" t="s">
        <v>6142</v>
      </c>
      <c r="AX79" s="205">
        <v>6</v>
      </c>
      <c r="AY79" s="205">
        <v>0.5</v>
      </c>
      <c r="AZ79" s="205">
        <v>100</v>
      </c>
      <c r="BA79" s="205">
        <v>0.14000000000000001</v>
      </c>
      <c r="BB79" s="214" t="str">
        <f t="shared" si="2"/>
        <v/>
      </c>
      <c r="BG79" s="214" t="s">
        <v>6142</v>
      </c>
      <c r="BH79" s="205">
        <v>6</v>
      </c>
      <c r="BI79" s="205">
        <v>0.5</v>
      </c>
      <c r="BJ79" s="205">
        <v>100</v>
      </c>
      <c r="BK79" s="205">
        <v>0.28000000000000003</v>
      </c>
      <c r="BL79" s="214" t="str">
        <f t="shared" si="3"/>
        <v/>
      </c>
    </row>
    <row r="80" spans="23:64" x14ac:dyDescent="0.25">
      <c r="W80" s="214" t="s">
        <v>274</v>
      </c>
      <c r="X80" s="214" t="s">
        <v>316</v>
      </c>
      <c r="Y80" s="220">
        <v>2</v>
      </c>
      <c r="AH80" s="210" t="s">
        <v>5848</v>
      </c>
      <c r="AI80" s="211" t="s">
        <v>5735</v>
      </c>
      <c r="AJ80" s="211" t="s">
        <v>5736</v>
      </c>
      <c r="AW80" s="214" t="s">
        <v>6142</v>
      </c>
      <c r="AX80" s="205">
        <v>7</v>
      </c>
      <c r="AY80" s="205">
        <v>0.5</v>
      </c>
      <c r="AZ80" s="205">
        <v>100</v>
      </c>
      <c r="BA80" s="205">
        <v>0.08</v>
      </c>
      <c r="BB80" s="214" t="str">
        <f t="shared" si="2"/>
        <v/>
      </c>
      <c r="BG80" s="214" t="s">
        <v>6142</v>
      </c>
      <c r="BH80" s="205">
        <v>7</v>
      </c>
      <c r="BI80" s="205">
        <v>0.5</v>
      </c>
      <c r="BJ80" s="205">
        <v>100</v>
      </c>
      <c r="BK80" s="205">
        <v>0.26</v>
      </c>
      <c r="BL80" s="214" t="str">
        <f t="shared" si="3"/>
        <v/>
      </c>
    </row>
    <row r="81" spans="23:64" x14ac:dyDescent="0.25">
      <c r="W81" s="214" t="s">
        <v>274</v>
      </c>
      <c r="X81" s="214" t="s">
        <v>317</v>
      </c>
      <c r="Y81" s="220">
        <v>3</v>
      </c>
      <c r="AH81" s="207" t="s">
        <v>5737</v>
      </c>
      <c r="AI81" s="211" t="s">
        <v>5670</v>
      </c>
      <c r="AJ81" s="211" t="s">
        <v>5575</v>
      </c>
      <c r="AW81" s="214" t="s">
        <v>6142</v>
      </c>
      <c r="AX81" s="205">
        <v>8</v>
      </c>
      <c r="AY81" s="205">
        <v>0.5</v>
      </c>
      <c r="AZ81" s="205">
        <v>100</v>
      </c>
      <c r="BA81" s="205">
        <v>0.1</v>
      </c>
      <c r="BB81" s="214" t="str">
        <f t="shared" si="2"/>
        <v/>
      </c>
      <c r="BG81" s="214" t="s">
        <v>6142</v>
      </c>
      <c r="BH81" s="205">
        <v>8</v>
      </c>
      <c r="BI81" s="205">
        <v>0.5</v>
      </c>
      <c r="BJ81" s="205">
        <v>100</v>
      </c>
      <c r="BK81" s="205">
        <v>0.27</v>
      </c>
      <c r="BL81" s="214" t="str">
        <f t="shared" si="3"/>
        <v/>
      </c>
    </row>
    <row r="82" spans="23:64" x14ac:dyDescent="0.25">
      <c r="W82" s="214" t="s">
        <v>239</v>
      </c>
      <c r="X82" s="214" t="s">
        <v>318</v>
      </c>
      <c r="Y82" s="220">
        <v>2</v>
      </c>
      <c r="AH82" s="207" t="s">
        <v>5738</v>
      </c>
      <c r="AI82" s="211" t="s">
        <v>5739</v>
      </c>
      <c r="AJ82" s="211" t="s">
        <v>5614</v>
      </c>
      <c r="AW82" s="214" t="s">
        <v>52</v>
      </c>
      <c r="AX82" s="205">
        <v>1</v>
      </c>
      <c r="AY82" s="205">
        <v>0</v>
      </c>
      <c r="AZ82" s="205">
        <v>0.2</v>
      </c>
      <c r="BA82" s="205">
        <v>0.19</v>
      </c>
      <c r="BB82" s="214" t="str">
        <f t="shared" si="2"/>
        <v/>
      </c>
      <c r="BG82" s="214" t="s">
        <v>52</v>
      </c>
      <c r="BH82" s="205">
        <v>1</v>
      </c>
      <c r="BI82" s="205">
        <v>0</v>
      </c>
      <c r="BJ82" s="205">
        <v>0.2</v>
      </c>
      <c r="BK82" s="205">
        <v>0.33</v>
      </c>
      <c r="BL82" s="214" t="str">
        <f t="shared" si="3"/>
        <v/>
      </c>
    </row>
    <row r="83" spans="23:64" x14ac:dyDescent="0.25">
      <c r="W83" s="214" t="s">
        <v>27</v>
      </c>
      <c r="X83" s="214" t="s">
        <v>319</v>
      </c>
      <c r="Y83" s="220">
        <v>2</v>
      </c>
      <c r="AH83" s="207" t="s">
        <v>5740</v>
      </c>
      <c r="AI83" s="211" t="s">
        <v>5589</v>
      </c>
      <c r="AJ83" s="211" t="s">
        <v>5637</v>
      </c>
      <c r="AW83" s="214" t="s">
        <v>52</v>
      </c>
      <c r="AX83" s="205">
        <v>2</v>
      </c>
      <c r="AY83" s="205">
        <v>0</v>
      </c>
      <c r="AZ83" s="205">
        <v>0.2</v>
      </c>
      <c r="BA83" s="205">
        <v>0.16</v>
      </c>
      <c r="BB83" s="214" t="str">
        <f t="shared" si="2"/>
        <v/>
      </c>
      <c r="BG83" s="214" t="s">
        <v>52</v>
      </c>
      <c r="BH83" s="205">
        <v>2</v>
      </c>
      <c r="BI83" s="205">
        <v>0</v>
      </c>
      <c r="BJ83" s="205">
        <v>0.2</v>
      </c>
      <c r="BK83" s="205">
        <v>0.32</v>
      </c>
      <c r="BL83" s="214" t="str">
        <f t="shared" si="3"/>
        <v/>
      </c>
    </row>
    <row r="84" spans="23:64" x14ac:dyDescent="0.25">
      <c r="W84" s="214" t="s">
        <v>274</v>
      </c>
      <c r="X84" s="214" t="s">
        <v>320</v>
      </c>
      <c r="Y84" s="220">
        <v>3</v>
      </c>
      <c r="AH84" s="207" t="s">
        <v>5741</v>
      </c>
      <c r="AI84" s="211" t="s">
        <v>5742</v>
      </c>
      <c r="AJ84" s="211" t="s">
        <v>5743</v>
      </c>
      <c r="AW84" s="214" t="s">
        <v>52</v>
      </c>
      <c r="AX84" s="205">
        <v>3</v>
      </c>
      <c r="AY84" s="205">
        <v>0</v>
      </c>
      <c r="AZ84" s="205">
        <v>0.2</v>
      </c>
      <c r="BA84" s="205">
        <v>0.14000000000000001</v>
      </c>
      <c r="BB84" s="214" t="str">
        <f t="shared" si="2"/>
        <v/>
      </c>
      <c r="BG84" s="214" t="s">
        <v>52</v>
      </c>
      <c r="BH84" s="205">
        <v>3</v>
      </c>
      <c r="BI84" s="205">
        <v>0</v>
      </c>
      <c r="BJ84" s="205">
        <v>0.2</v>
      </c>
      <c r="BK84" s="205">
        <v>0.31</v>
      </c>
      <c r="BL84" s="214" t="str">
        <f t="shared" si="3"/>
        <v/>
      </c>
    </row>
    <row r="85" spans="23:64" ht="15.75" x14ac:dyDescent="0.25">
      <c r="W85" s="214" t="s">
        <v>27</v>
      </c>
      <c r="X85" s="214" t="s">
        <v>321</v>
      </c>
      <c r="Y85" s="220">
        <v>2</v>
      </c>
      <c r="AH85" s="207" t="s">
        <v>5566</v>
      </c>
      <c r="AI85" s="209"/>
      <c r="AJ85" s="209"/>
      <c r="AW85" s="214" t="s">
        <v>52</v>
      </c>
      <c r="AX85" s="205">
        <v>4</v>
      </c>
      <c r="AY85" s="205">
        <v>0</v>
      </c>
      <c r="AZ85" s="205">
        <v>0.2</v>
      </c>
      <c r="BA85" s="205">
        <v>0.11</v>
      </c>
      <c r="BB85" s="214" t="str">
        <f t="shared" si="2"/>
        <v/>
      </c>
      <c r="BG85" s="214" t="s">
        <v>52</v>
      </c>
      <c r="BH85" s="205">
        <v>4</v>
      </c>
      <c r="BI85" s="205">
        <v>0</v>
      </c>
      <c r="BJ85" s="205">
        <v>0.2</v>
      </c>
      <c r="BK85" s="205">
        <v>0.3</v>
      </c>
      <c r="BL85" s="214" t="str">
        <f t="shared" si="3"/>
        <v/>
      </c>
    </row>
    <row r="86" spans="23:64" x14ac:dyDescent="0.25">
      <c r="W86" s="214" t="s">
        <v>232</v>
      </c>
      <c r="X86" s="214" t="s">
        <v>322</v>
      </c>
      <c r="Y86" s="220">
        <v>2</v>
      </c>
      <c r="AH86" s="210" t="s">
        <v>5744</v>
      </c>
      <c r="AI86" s="211" t="s">
        <v>5663</v>
      </c>
      <c r="AJ86" s="211" t="s">
        <v>5745</v>
      </c>
      <c r="AW86" s="214" t="s">
        <v>52</v>
      </c>
      <c r="AX86" s="205">
        <v>5</v>
      </c>
      <c r="AY86" s="205">
        <v>0</v>
      </c>
      <c r="AZ86" s="205">
        <v>0.2</v>
      </c>
      <c r="BA86" s="205">
        <v>0.14000000000000001</v>
      </c>
      <c r="BB86" s="214" t="str">
        <f t="shared" si="2"/>
        <v/>
      </c>
      <c r="BG86" s="214" t="s">
        <v>52</v>
      </c>
      <c r="BH86" s="205">
        <v>5</v>
      </c>
      <c r="BI86" s="205">
        <v>0</v>
      </c>
      <c r="BJ86" s="205">
        <v>0.2</v>
      </c>
      <c r="BK86" s="205">
        <v>0.31</v>
      </c>
      <c r="BL86" s="214" t="str">
        <f t="shared" si="3"/>
        <v/>
      </c>
    </row>
    <row r="87" spans="23:64" x14ac:dyDescent="0.25">
      <c r="W87" s="214" t="s">
        <v>27</v>
      </c>
      <c r="X87" s="214" t="s">
        <v>323</v>
      </c>
      <c r="Y87" s="220">
        <v>3</v>
      </c>
      <c r="AH87" s="210" t="s">
        <v>5746</v>
      </c>
      <c r="AI87" s="211" t="s">
        <v>5747</v>
      </c>
      <c r="AJ87" s="211" t="s">
        <v>5748</v>
      </c>
      <c r="AW87" s="214" t="s">
        <v>52</v>
      </c>
      <c r="AX87" s="205">
        <v>6</v>
      </c>
      <c r="AY87" s="205">
        <v>0</v>
      </c>
      <c r="AZ87" s="205">
        <v>0.2</v>
      </c>
      <c r="BA87" s="205">
        <v>0.12</v>
      </c>
      <c r="BB87" s="214" t="str">
        <f t="shared" si="2"/>
        <v/>
      </c>
      <c r="BG87" s="214" t="s">
        <v>52</v>
      </c>
      <c r="BH87" s="205">
        <v>6</v>
      </c>
      <c r="BI87" s="205">
        <v>0</v>
      </c>
      <c r="BJ87" s="205">
        <v>0.2</v>
      </c>
      <c r="BK87" s="205">
        <v>0.31</v>
      </c>
      <c r="BL87" s="214" t="str">
        <f t="shared" si="3"/>
        <v/>
      </c>
    </row>
    <row r="88" spans="23:64" x14ac:dyDescent="0.25">
      <c r="W88" s="214" t="s">
        <v>274</v>
      </c>
      <c r="X88" s="214" t="s">
        <v>324</v>
      </c>
      <c r="Y88" s="220">
        <v>3</v>
      </c>
      <c r="AH88" s="210" t="s">
        <v>5749</v>
      </c>
      <c r="AI88" s="211" t="s">
        <v>5632</v>
      </c>
      <c r="AJ88" s="211" t="s">
        <v>5750</v>
      </c>
      <c r="AW88" s="214" t="s">
        <v>52</v>
      </c>
      <c r="AX88" s="205">
        <v>7</v>
      </c>
      <c r="AY88" s="205">
        <v>0</v>
      </c>
      <c r="AZ88" s="205">
        <v>0.2</v>
      </c>
      <c r="BA88" s="205">
        <v>0.08</v>
      </c>
      <c r="BB88" s="214" t="str">
        <f t="shared" si="2"/>
        <v/>
      </c>
      <c r="BG88" s="214" t="s">
        <v>52</v>
      </c>
      <c r="BH88" s="205">
        <v>7</v>
      </c>
      <c r="BI88" s="205">
        <v>0</v>
      </c>
      <c r="BJ88" s="205">
        <v>0.2</v>
      </c>
      <c r="BK88" s="205">
        <v>0.28000000000000003</v>
      </c>
      <c r="BL88" s="214" t="str">
        <f t="shared" si="3"/>
        <v/>
      </c>
    </row>
    <row r="89" spans="23:64" x14ac:dyDescent="0.25">
      <c r="W89" s="214" t="s">
        <v>274</v>
      </c>
      <c r="X89" s="214" t="s">
        <v>325</v>
      </c>
      <c r="Y89" s="220">
        <v>3</v>
      </c>
      <c r="AH89" s="210" t="s">
        <v>5751</v>
      </c>
      <c r="AI89" s="211" t="s">
        <v>5598</v>
      </c>
      <c r="AJ89" s="211" t="s">
        <v>5752</v>
      </c>
      <c r="AW89" s="214" t="s">
        <v>52</v>
      </c>
      <c r="AX89" s="205">
        <v>8</v>
      </c>
      <c r="AY89" s="205">
        <v>0</v>
      </c>
      <c r="AZ89" s="205">
        <v>0.2</v>
      </c>
      <c r="BA89" s="205">
        <v>0.08</v>
      </c>
      <c r="BB89" s="214" t="str">
        <f t="shared" si="2"/>
        <v/>
      </c>
      <c r="BG89" s="214" t="s">
        <v>52</v>
      </c>
      <c r="BH89" s="205">
        <v>8</v>
      </c>
      <c r="BI89" s="205">
        <v>0</v>
      </c>
      <c r="BJ89" s="205">
        <v>0.2</v>
      </c>
      <c r="BK89" s="205">
        <v>0.28000000000000003</v>
      </c>
      <c r="BL89" s="214" t="str">
        <f t="shared" si="3"/>
        <v/>
      </c>
    </row>
    <row r="90" spans="23:64" ht="15.75" x14ac:dyDescent="0.25">
      <c r="W90" s="214" t="s">
        <v>274</v>
      </c>
      <c r="X90" s="214" t="s">
        <v>326</v>
      </c>
      <c r="Y90" s="220">
        <v>3</v>
      </c>
      <c r="AH90" s="207" t="s">
        <v>5849</v>
      </c>
      <c r="AI90" s="209"/>
      <c r="AJ90" s="209"/>
      <c r="AW90" s="214" t="s">
        <v>52</v>
      </c>
      <c r="AX90" s="205">
        <v>1</v>
      </c>
      <c r="AY90" s="205">
        <v>0.2</v>
      </c>
      <c r="AZ90" s="205">
        <v>0.3</v>
      </c>
      <c r="BA90" s="205">
        <v>0.2</v>
      </c>
      <c r="BB90" s="214" t="str">
        <f t="shared" si="2"/>
        <v/>
      </c>
      <c r="BG90" s="214" t="s">
        <v>52</v>
      </c>
      <c r="BH90" s="205">
        <v>1</v>
      </c>
      <c r="BI90" s="205">
        <v>0.2</v>
      </c>
      <c r="BJ90" s="205">
        <v>0.3</v>
      </c>
      <c r="BK90" s="205">
        <v>0.34</v>
      </c>
      <c r="BL90" s="214" t="str">
        <f t="shared" si="3"/>
        <v/>
      </c>
    </row>
    <row r="91" spans="23:64" x14ac:dyDescent="0.25">
      <c r="W91" s="214" t="s">
        <v>252</v>
      </c>
      <c r="X91" s="214" t="s">
        <v>327</v>
      </c>
      <c r="Y91" s="220">
        <v>3</v>
      </c>
      <c r="AH91" s="210" t="s">
        <v>5753</v>
      </c>
      <c r="AI91" s="211" t="s">
        <v>5754</v>
      </c>
      <c r="AJ91" s="211" t="s">
        <v>5755</v>
      </c>
      <c r="AW91" s="214" t="s">
        <v>52</v>
      </c>
      <c r="AX91" s="205">
        <v>2</v>
      </c>
      <c r="AY91" s="205">
        <v>0.2</v>
      </c>
      <c r="AZ91" s="205">
        <v>0.3</v>
      </c>
      <c r="BA91" s="205">
        <v>0.17</v>
      </c>
      <c r="BB91" s="214" t="str">
        <f t="shared" si="2"/>
        <v/>
      </c>
      <c r="BG91" s="214" t="s">
        <v>52</v>
      </c>
      <c r="BH91" s="205">
        <v>2</v>
      </c>
      <c r="BI91" s="205">
        <v>0.2</v>
      </c>
      <c r="BJ91" s="205">
        <v>0.3</v>
      </c>
      <c r="BK91" s="205">
        <v>0.33</v>
      </c>
      <c r="BL91" s="214" t="str">
        <f t="shared" si="3"/>
        <v/>
      </c>
    </row>
    <row r="92" spans="23:64" x14ac:dyDescent="0.25">
      <c r="W92" s="214" t="s">
        <v>232</v>
      </c>
      <c r="X92" s="214" t="s">
        <v>328</v>
      </c>
      <c r="Y92" s="220">
        <v>1</v>
      </c>
      <c r="AH92" s="210" t="s">
        <v>5756</v>
      </c>
      <c r="AI92" s="211" t="s">
        <v>5757</v>
      </c>
      <c r="AJ92" s="211" t="s">
        <v>5758</v>
      </c>
      <c r="AW92" s="214" t="s">
        <v>52</v>
      </c>
      <c r="AX92" s="205">
        <v>3</v>
      </c>
      <c r="AY92" s="205">
        <v>0.2</v>
      </c>
      <c r="AZ92" s="205">
        <v>0.3</v>
      </c>
      <c r="BA92" s="205">
        <v>0.15</v>
      </c>
      <c r="BB92" s="214" t="str">
        <f t="shared" si="2"/>
        <v/>
      </c>
      <c r="BG92" s="214" t="s">
        <v>52</v>
      </c>
      <c r="BH92" s="205">
        <v>3</v>
      </c>
      <c r="BI92" s="205">
        <v>0.2</v>
      </c>
      <c r="BJ92" s="205">
        <v>0.3</v>
      </c>
      <c r="BK92" s="205">
        <v>0.32</v>
      </c>
      <c r="BL92" s="214" t="str">
        <f t="shared" si="3"/>
        <v/>
      </c>
    </row>
    <row r="93" spans="23:64" x14ac:dyDescent="0.25">
      <c r="W93" s="214" t="s">
        <v>239</v>
      </c>
      <c r="X93" s="214" t="s">
        <v>329</v>
      </c>
      <c r="Y93" s="220">
        <v>1</v>
      </c>
      <c r="AH93" s="210" t="s">
        <v>5759</v>
      </c>
      <c r="AI93" s="211" t="s">
        <v>5670</v>
      </c>
      <c r="AJ93" s="211" t="s">
        <v>5760</v>
      </c>
      <c r="AW93" s="214" t="s">
        <v>52</v>
      </c>
      <c r="AX93" s="205">
        <v>4</v>
      </c>
      <c r="AY93" s="205">
        <v>0.2</v>
      </c>
      <c r="AZ93" s="205">
        <v>0.3</v>
      </c>
      <c r="BA93" s="205">
        <v>0.12</v>
      </c>
      <c r="BB93" s="214" t="str">
        <f t="shared" si="2"/>
        <v/>
      </c>
      <c r="BG93" s="214" t="s">
        <v>52</v>
      </c>
      <c r="BH93" s="205">
        <v>4</v>
      </c>
      <c r="BI93" s="205">
        <v>0.2</v>
      </c>
      <c r="BJ93" s="205">
        <v>0.3</v>
      </c>
      <c r="BK93" s="205">
        <v>0.31</v>
      </c>
      <c r="BL93" s="214" t="str">
        <f t="shared" si="3"/>
        <v/>
      </c>
    </row>
    <row r="94" spans="23:64" x14ac:dyDescent="0.25">
      <c r="W94" s="214" t="s">
        <v>274</v>
      </c>
      <c r="X94" s="214" t="s">
        <v>330</v>
      </c>
      <c r="Y94" s="220">
        <v>3</v>
      </c>
      <c r="AH94" s="207" t="s">
        <v>5761</v>
      </c>
      <c r="AI94" s="211" t="s">
        <v>5595</v>
      </c>
      <c r="AJ94" s="211" t="s">
        <v>5762</v>
      </c>
      <c r="AW94" s="214" t="s">
        <v>52</v>
      </c>
      <c r="AX94" s="205">
        <v>5</v>
      </c>
      <c r="AY94" s="205">
        <v>0.2</v>
      </c>
      <c r="AZ94" s="205">
        <v>0.3</v>
      </c>
      <c r="BA94" s="205">
        <v>0.15</v>
      </c>
      <c r="BB94" s="214" t="str">
        <f t="shared" si="2"/>
        <v/>
      </c>
      <c r="BG94" s="214" t="s">
        <v>52</v>
      </c>
      <c r="BH94" s="205">
        <v>5</v>
      </c>
      <c r="BI94" s="205">
        <v>0.2</v>
      </c>
      <c r="BJ94" s="205">
        <v>0.3</v>
      </c>
      <c r="BK94" s="205">
        <v>0.33</v>
      </c>
      <c r="BL94" s="214" t="str">
        <f t="shared" si="3"/>
        <v/>
      </c>
    </row>
    <row r="95" spans="23:64" x14ac:dyDescent="0.25">
      <c r="W95" s="214" t="s">
        <v>239</v>
      </c>
      <c r="X95" s="214" t="s">
        <v>331</v>
      </c>
      <c r="Y95" s="220">
        <v>2</v>
      </c>
      <c r="AH95" s="210" t="s">
        <v>5763</v>
      </c>
      <c r="AI95" s="211" t="s">
        <v>5735</v>
      </c>
      <c r="AJ95" s="211" t="s">
        <v>5764</v>
      </c>
      <c r="AW95" s="214" t="s">
        <v>52</v>
      </c>
      <c r="AX95" s="205">
        <v>6</v>
      </c>
      <c r="AY95" s="205">
        <v>0.2</v>
      </c>
      <c r="AZ95" s="205">
        <v>0.3</v>
      </c>
      <c r="BA95" s="205">
        <v>0.13</v>
      </c>
      <c r="BB95" s="214" t="str">
        <f t="shared" si="2"/>
        <v/>
      </c>
      <c r="BG95" s="214" t="s">
        <v>52</v>
      </c>
      <c r="BH95" s="205">
        <v>6</v>
      </c>
      <c r="BI95" s="205">
        <v>0.2</v>
      </c>
      <c r="BJ95" s="205">
        <v>0.3</v>
      </c>
      <c r="BK95" s="205">
        <v>0.32</v>
      </c>
      <c r="BL95" s="214" t="str">
        <f t="shared" si="3"/>
        <v/>
      </c>
    </row>
    <row r="96" spans="23:64" x14ac:dyDescent="0.25">
      <c r="W96" s="214" t="s">
        <v>239</v>
      </c>
      <c r="X96" s="214" t="s">
        <v>332</v>
      </c>
      <c r="Y96" s="220">
        <v>3</v>
      </c>
      <c r="AW96" s="214" t="s">
        <v>52</v>
      </c>
      <c r="AX96" s="205">
        <v>7</v>
      </c>
      <c r="AY96" s="205">
        <v>0.2</v>
      </c>
      <c r="AZ96" s="205">
        <v>0.3</v>
      </c>
      <c r="BA96" s="205">
        <v>0.08</v>
      </c>
      <c r="BB96" s="214" t="str">
        <f t="shared" si="2"/>
        <v/>
      </c>
      <c r="BG96" s="214" t="s">
        <v>52</v>
      </c>
      <c r="BH96" s="205">
        <v>7</v>
      </c>
      <c r="BI96" s="205">
        <v>0.2</v>
      </c>
      <c r="BJ96" s="205">
        <v>0.3</v>
      </c>
      <c r="BK96" s="205">
        <v>0.3</v>
      </c>
      <c r="BL96" s="214" t="str">
        <f t="shared" si="3"/>
        <v/>
      </c>
    </row>
    <row r="97" spans="23:64" x14ac:dyDescent="0.25">
      <c r="W97" s="214" t="s">
        <v>27</v>
      </c>
      <c r="X97" s="214" t="s">
        <v>333</v>
      </c>
      <c r="Y97" s="220">
        <v>2</v>
      </c>
      <c r="AW97" s="214" t="s">
        <v>52</v>
      </c>
      <c r="AX97" s="205">
        <v>8</v>
      </c>
      <c r="AY97" s="205">
        <v>0.2</v>
      </c>
      <c r="AZ97" s="205">
        <v>0.3</v>
      </c>
      <c r="BA97" s="205">
        <v>0.09</v>
      </c>
      <c r="BB97" s="214" t="str">
        <f t="shared" si="2"/>
        <v/>
      </c>
      <c r="BG97" s="214" t="s">
        <v>52</v>
      </c>
      <c r="BH97" s="205">
        <v>8</v>
      </c>
      <c r="BI97" s="205">
        <v>0.2</v>
      </c>
      <c r="BJ97" s="205">
        <v>0.3</v>
      </c>
      <c r="BK97" s="205">
        <v>0.3</v>
      </c>
      <c r="BL97" s="214" t="str">
        <f t="shared" si="3"/>
        <v/>
      </c>
    </row>
    <row r="98" spans="23:64" x14ac:dyDescent="0.25">
      <c r="W98" s="214" t="s">
        <v>274</v>
      </c>
      <c r="X98" s="214" t="s">
        <v>334</v>
      </c>
      <c r="Y98" s="220">
        <v>3</v>
      </c>
      <c r="AW98" s="214" t="s">
        <v>52</v>
      </c>
      <c r="AX98" s="205">
        <v>1</v>
      </c>
      <c r="AY98" s="205">
        <v>0.3</v>
      </c>
      <c r="AZ98" s="205">
        <v>0.4</v>
      </c>
      <c r="BA98" s="205">
        <v>0.24</v>
      </c>
      <c r="BB98" s="214" t="str">
        <f t="shared" si="2"/>
        <v/>
      </c>
      <c r="BG98" s="214" t="s">
        <v>52</v>
      </c>
      <c r="BH98" s="205">
        <v>1</v>
      </c>
      <c r="BI98" s="205">
        <v>0.3</v>
      </c>
      <c r="BJ98" s="205">
        <v>0.4</v>
      </c>
      <c r="BK98" s="205">
        <v>0.31</v>
      </c>
      <c r="BL98" s="214" t="str">
        <f t="shared" si="3"/>
        <v/>
      </c>
    </row>
    <row r="99" spans="23:64" x14ac:dyDescent="0.25">
      <c r="W99" s="214" t="s">
        <v>274</v>
      </c>
      <c r="X99" s="214" t="s">
        <v>335</v>
      </c>
      <c r="Y99" s="220">
        <v>3</v>
      </c>
      <c r="AW99" s="214" t="s">
        <v>52</v>
      </c>
      <c r="AX99" s="205">
        <v>2</v>
      </c>
      <c r="AY99" s="205">
        <v>0.3</v>
      </c>
      <c r="AZ99" s="205">
        <v>0.4</v>
      </c>
      <c r="BA99" s="205">
        <v>0.21</v>
      </c>
      <c r="BB99" s="214" t="str">
        <f t="shared" si="2"/>
        <v/>
      </c>
      <c r="BG99" s="214" t="s">
        <v>52</v>
      </c>
      <c r="BH99" s="205">
        <v>2</v>
      </c>
      <c r="BI99" s="205">
        <v>0.3</v>
      </c>
      <c r="BJ99" s="205">
        <v>0.4</v>
      </c>
      <c r="BK99" s="205">
        <v>0.3</v>
      </c>
      <c r="BL99" s="214" t="str">
        <f t="shared" si="3"/>
        <v/>
      </c>
    </row>
    <row r="100" spans="23:64" x14ac:dyDescent="0.25">
      <c r="W100" s="214" t="s">
        <v>239</v>
      </c>
      <c r="X100" s="214" t="s">
        <v>336</v>
      </c>
      <c r="Y100" s="220">
        <v>2</v>
      </c>
      <c r="AW100" s="214" t="s">
        <v>52</v>
      </c>
      <c r="AX100" s="205">
        <v>3</v>
      </c>
      <c r="AY100" s="205">
        <v>0.3</v>
      </c>
      <c r="AZ100" s="205">
        <v>0.4</v>
      </c>
      <c r="BA100" s="205">
        <v>0.17</v>
      </c>
      <c r="BB100" s="214" t="str">
        <f t="shared" si="2"/>
        <v/>
      </c>
      <c r="BG100" s="214" t="s">
        <v>52</v>
      </c>
      <c r="BH100" s="205">
        <v>3</v>
      </c>
      <c r="BI100" s="205">
        <v>0.3</v>
      </c>
      <c r="BJ100" s="205">
        <v>0.4</v>
      </c>
      <c r="BK100" s="205">
        <v>0.3</v>
      </c>
      <c r="BL100" s="214" t="str">
        <f t="shared" si="3"/>
        <v/>
      </c>
    </row>
    <row r="101" spans="23:64" x14ac:dyDescent="0.25">
      <c r="W101" s="214" t="s">
        <v>239</v>
      </c>
      <c r="X101" s="214" t="s">
        <v>337</v>
      </c>
      <c r="Y101" s="220">
        <v>1</v>
      </c>
      <c r="AW101" s="214" t="s">
        <v>52</v>
      </c>
      <c r="AX101" s="205">
        <v>4</v>
      </c>
      <c r="AY101" s="205">
        <v>0.3</v>
      </c>
      <c r="AZ101" s="205">
        <v>0.4</v>
      </c>
      <c r="BA101" s="205">
        <v>0.13</v>
      </c>
      <c r="BB101" s="214" t="str">
        <f t="shared" si="2"/>
        <v/>
      </c>
      <c r="BG101" s="214" t="s">
        <v>52</v>
      </c>
      <c r="BH101" s="205">
        <v>4</v>
      </c>
      <c r="BI101" s="205">
        <v>0.3</v>
      </c>
      <c r="BJ101" s="205">
        <v>0.4</v>
      </c>
      <c r="BK101" s="205">
        <v>0.28999999999999998</v>
      </c>
      <c r="BL101" s="214" t="str">
        <f t="shared" si="3"/>
        <v/>
      </c>
    </row>
    <row r="102" spans="23:64" x14ac:dyDescent="0.25">
      <c r="W102" s="214" t="s">
        <v>27</v>
      </c>
      <c r="X102" s="214" t="s">
        <v>338</v>
      </c>
      <c r="Y102" s="220">
        <v>2</v>
      </c>
      <c r="AW102" s="214" t="s">
        <v>52</v>
      </c>
      <c r="AX102" s="205">
        <v>5</v>
      </c>
      <c r="AY102" s="205">
        <v>0.3</v>
      </c>
      <c r="AZ102" s="205">
        <v>0.4</v>
      </c>
      <c r="BA102" s="205">
        <v>0.17</v>
      </c>
      <c r="BB102" s="214" t="str">
        <f t="shared" si="2"/>
        <v/>
      </c>
      <c r="BG102" s="214" t="s">
        <v>52</v>
      </c>
      <c r="BH102" s="205">
        <v>5</v>
      </c>
      <c r="BI102" s="205">
        <v>0.3</v>
      </c>
      <c r="BJ102" s="205">
        <v>0.4</v>
      </c>
      <c r="BK102" s="205">
        <v>0.31</v>
      </c>
      <c r="BL102" s="214" t="str">
        <f t="shared" si="3"/>
        <v/>
      </c>
    </row>
    <row r="103" spans="23:64" x14ac:dyDescent="0.25">
      <c r="W103" s="214" t="s">
        <v>239</v>
      </c>
      <c r="X103" s="214" t="s">
        <v>339</v>
      </c>
      <c r="Y103" s="220">
        <v>1</v>
      </c>
      <c r="AW103" s="214" t="s">
        <v>52</v>
      </c>
      <c r="AX103" s="205">
        <v>6</v>
      </c>
      <c r="AY103" s="205">
        <v>0.3</v>
      </c>
      <c r="AZ103" s="205">
        <v>0.4</v>
      </c>
      <c r="BA103" s="205">
        <v>0.14000000000000001</v>
      </c>
      <c r="BB103" s="214" t="str">
        <f t="shared" si="2"/>
        <v/>
      </c>
      <c r="BG103" s="214" t="s">
        <v>52</v>
      </c>
      <c r="BH103" s="205">
        <v>6</v>
      </c>
      <c r="BI103" s="205">
        <v>0.3</v>
      </c>
      <c r="BJ103" s="205">
        <v>0.4</v>
      </c>
      <c r="BK103" s="205">
        <v>0.3</v>
      </c>
      <c r="BL103" s="214" t="str">
        <f t="shared" si="3"/>
        <v/>
      </c>
    </row>
    <row r="104" spans="23:64" x14ac:dyDescent="0.25">
      <c r="W104" s="214" t="s">
        <v>27</v>
      </c>
      <c r="X104" s="214" t="s">
        <v>26</v>
      </c>
      <c r="Y104" s="220">
        <v>3</v>
      </c>
      <c r="AW104" s="214" t="s">
        <v>52</v>
      </c>
      <c r="AX104" s="205">
        <v>7</v>
      </c>
      <c r="AY104" s="205">
        <v>0.3</v>
      </c>
      <c r="AZ104" s="205">
        <v>0.4</v>
      </c>
      <c r="BA104" s="205">
        <v>0.09</v>
      </c>
      <c r="BB104" s="214" t="str">
        <f t="shared" si="2"/>
        <v/>
      </c>
      <c r="BG104" s="214" t="s">
        <v>52</v>
      </c>
      <c r="BH104" s="205">
        <v>7</v>
      </c>
      <c r="BI104" s="205">
        <v>0.3</v>
      </c>
      <c r="BJ104" s="205">
        <v>0.4</v>
      </c>
      <c r="BK104" s="205">
        <v>0.28000000000000003</v>
      </c>
      <c r="BL104" s="214" t="str">
        <f t="shared" si="3"/>
        <v/>
      </c>
    </row>
    <row r="105" spans="23:64" x14ac:dyDescent="0.25">
      <c r="W105" s="214" t="s">
        <v>274</v>
      </c>
      <c r="X105" s="214" t="s">
        <v>340</v>
      </c>
      <c r="Y105" s="220">
        <v>3</v>
      </c>
      <c r="AW105" s="214" t="s">
        <v>52</v>
      </c>
      <c r="AX105" s="205">
        <v>8</v>
      </c>
      <c r="AY105" s="205">
        <v>0.3</v>
      </c>
      <c r="AZ105" s="205">
        <v>0.4</v>
      </c>
      <c r="BA105" s="205">
        <v>0.1</v>
      </c>
      <c r="BB105" s="214" t="str">
        <f t="shared" si="2"/>
        <v/>
      </c>
      <c r="BG105" s="214" t="s">
        <v>52</v>
      </c>
      <c r="BH105" s="205">
        <v>8</v>
      </c>
      <c r="BI105" s="205">
        <v>0.3</v>
      </c>
      <c r="BJ105" s="205">
        <v>0.4</v>
      </c>
      <c r="BK105" s="205">
        <v>0.28000000000000003</v>
      </c>
      <c r="BL105" s="214" t="str">
        <f t="shared" si="3"/>
        <v/>
      </c>
    </row>
    <row r="106" spans="23:64" x14ac:dyDescent="0.25">
      <c r="W106" s="214" t="s">
        <v>27</v>
      </c>
      <c r="X106" s="214" t="s">
        <v>341</v>
      </c>
      <c r="Y106" s="220">
        <v>1</v>
      </c>
      <c r="AW106" s="214" t="s">
        <v>52</v>
      </c>
      <c r="AX106" s="205">
        <v>1</v>
      </c>
      <c r="AY106" s="205">
        <v>0.4</v>
      </c>
      <c r="AZ106" s="205">
        <v>0.5</v>
      </c>
      <c r="BA106" s="205">
        <v>0.3</v>
      </c>
      <c r="BB106" s="214" t="str">
        <f t="shared" si="2"/>
        <v/>
      </c>
      <c r="BG106" s="214" t="s">
        <v>52</v>
      </c>
      <c r="BH106" s="205">
        <v>1</v>
      </c>
      <c r="BI106" s="205">
        <v>0.4</v>
      </c>
      <c r="BJ106" s="205">
        <v>0.5</v>
      </c>
      <c r="BK106" s="205">
        <v>0.3</v>
      </c>
      <c r="BL106" s="214" t="str">
        <f t="shared" si="3"/>
        <v/>
      </c>
    </row>
    <row r="107" spans="23:64" x14ac:dyDescent="0.25">
      <c r="W107" s="214" t="s">
        <v>239</v>
      </c>
      <c r="X107" s="214" t="s">
        <v>342</v>
      </c>
      <c r="Y107" s="220">
        <v>3</v>
      </c>
      <c r="AW107" s="214" t="s">
        <v>52</v>
      </c>
      <c r="AX107" s="205">
        <v>2</v>
      </c>
      <c r="AY107" s="205">
        <v>0.4</v>
      </c>
      <c r="AZ107" s="205">
        <v>0.5</v>
      </c>
      <c r="BA107" s="205">
        <v>0.27</v>
      </c>
      <c r="BB107" s="214" t="str">
        <f t="shared" si="2"/>
        <v/>
      </c>
      <c r="BG107" s="214" t="s">
        <v>52</v>
      </c>
      <c r="BH107" s="205">
        <v>2</v>
      </c>
      <c r="BI107" s="205">
        <v>0.4</v>
      </c>
      <c r="BJ107" s="205">
        <v>0.5</v>
      </c>
      <c r="BK107" s="205">
        <v>0.28000000000000003</v>
      </c>
      <c r="BL107" s="214" t="str">
        <f t="shared" si="3"/>
        <v/>
      </c>
    </row>
    <row r="108" spans="23:64" x14ac:dyDescent="0.25">
      <c r="W108" s="214" t="s">
        <v>239</v>
      </c>
      <c r="X108" s="214" t="s">
        <v>343</v>
      </c>
      <c r="Y108" s="220">
        <v>2</v>
      </c>
      <c r="AW108" s="214" t="s">
        <v>52</v>
      </c>
      <c r="AX108" s="205">
        <v>3</v>
      </c>
      <c r="AY108" s="205">
        <v>0.4</v>
      </c>
      <c r="AZ108" s="205">
        <v>0.5</v>
      </c>
      <c r="BA108" s="205">
        <v>0.19</v>
      </c>
      <c r="BB108" s="214" t="str">
        <f t="shared" si="2"/>
        <v/>
      </c>
      <c r="BG108" s="214" t="s">
        <v>52</v>
      </c>
      <c r="BH108" s="205">
        <v>3</v>
      </c>
      <c r="BI108" s="205">
        <v>0.4</v>
      </c>
      <c r="BJ108" s="205">
        <v>0.5</v>
      </c>
      <c r="BK108" s="205">
        <v>0.28000000000000003</v>
      </c>
      <c r="BL108" s="214" t="str">
        <f t="shared" si="3"/>
        <v/>
      </c>
    </row>
    <row r="109" spans="23:64" x14ac:dyDescent="0.25">
      <c r="W109" s="214" t="s">
        <v>239</v>
      </c>
      <c r="X109" s="214" t="s">
        <v>344</v>
      </c>
      <c r="Y109" s="220">
        <v>2</v>
      </c>
      <c r="AW109" s="214" t="s">
        <v>52</v>
      </c>
      <c r="AX109" s="205">
        <v>4</v>
      </c>
      <c r="AY109" s="205">
        <v>0.4</v>
      </c>
      <c r="AZ109" s="205">
        <v>0.5</v>
      </c>
      <c r="BA109" s="205">
        <v>0.14000000000000001</v>
      </c>
      <c r="BB109" s="214" t="str">
        <f t="shared" si="2"/>
        <v/>
      </c>
      <c r="BG109" s="214" t="s">
        <v>52</v>
      </c>
      <c r="BH109" s="205">
        <v>4</v>
      </c>
      <c r="BI109" s="205">
        <v>0.4</v>
      </c>
      <c r="BJ109" s="205">
        <v>0.5</v>
      </c>
      <c r="BK109" s="205">
        <v>0.27</v>
      </c>
      <c r="BL109" s="214" t="str">
        <f t="shared" si="3"/>
        <v/>
      </c>
    </row>
    <row r="110" spans="23:64" x14ac:dyDescent="0.25">
      <c r="W110" s="214" t="s">
        <v>27</v>
      </c>
      <c r="X110" s="214" t="s">
        <v>345</v>
      </c>
      <c r="Y110" s="220">
        <v>2</v>
      </c>
      <c r="AW110" s="214" t="s">
        <v>52</v>
      </c>
      <c r="AX110" s="205">
        <v>5</v>
      </c>
      <c r="AY110" s="205">
        <v>0.4</v>
      </c>
      <c r="AZ110" s="205">
        <v>0.5</v>
      </c>
      <c r="BA110" s="205">
        <v>0.19</v>
      </c>
      <c r="BB110" s="214" t="str">
        <f t="shared" si="2"/>
        <v/>
      </c>
      <c r="BG110" s="214" t="s">
        <v>52</v>
      </c>
      <c r="BH110" s="205">
        <v>5</v>
      </c>
      <c r="BI110" s="205">
        <v>0.4</v>
      </c>
      <c r="BJ110" s="205">
        <v>0.5</v>
      </c>
      <c r="BK110" s="205">
        <v>0.28999999999999998</v>
      </c>
      <c r="BL110" s="214" t="str">
        <f t="shared" si="3"/>
        <v/>
      </c>
    </row>
    <row r="111" spans="23:64" x14ac:dyDescent="0.25">
      <c r="W111" s="214" t="s">
        <v>252</v>
      </c>
      <c r="X111" s="214" t="s">
        <v>346</v>
      </c>
      <c r="Y111" s="220">
        <v>3</v>
      </c>
      <c r="AW111" s="214" t="s">
        <v>52</v>
      </c>
      <c r="AX111" s="205">
        <v>6</v>
      </c>
      <c r="AY111" s="205">
        <v>0.4</v>
      </c>
      <c r="AZ111" s="205">
        <v>0.5</v>
      </c>
      <c r="BA111" s="205">
        <v>0.14000000000000001</v>
      </c>
      <c r="BB111" s="214" t="str">
        <f t="shared" si="2"/>
        <v/>
      </c>
      <c r="BG111" s="214" t="s">
        <v>52</v>
      </c>
      <c r="BH111" s="205">
        <v>6</v>
      </c>
      <c r="BI111" s="205">
        <v>0.4</v>
      </c>
      <c r="BJ111" s="205">
        <v>0.5</v>
      </c>
      <c r="BK111" s="205">
        <v>0.28000000000000003</v>
      </c>
      <c r="BL111" s="214" t="str">
        <f t="shared" si="3"/>
        <v/>
      </c>
    </row>
    <row r="112" spans="23:64" x14ac:dyDescent="0.25">
      <c r="W112" s="214" t="s">
        <v>239</v>
      </c>
      <c r="X112" s="214" t="s">
        <v>347</v>
      </c>
      <c r="Y112" s="220">
        <v>2</v>
      </c>
      <c r="AW112" s="214" t="s">
        <v>52</v>
      </c>
      <c r="AX112" s="205">
        <v>7</v>
      </c>
      <c r="AY112" s="205">
        <v>0.4</v>
      </c>
      <c r="AZ112" s="205">
        <v>0.5</v>
      </c>
      <c r="BA112" s="205">
        <v>0.08</v>
      </c>
      <c r="BB112" s="214" t="str">
        <f t="shared" si="2"/>
        <v/>
      </c>
      <c r="BG112" s="214" t="s">
        <v>52</v>
      </c>
      <c r="BH112" s="205">
        <v>7</v>
      </c>
      <c r="BI112" s="205">
        <v>0.4</v>
      </c>
      <c r="BJ112" s="205">
        <v>0.5</v>
      </c>
      <c r="BK112" s="205">
        <v>0.26</v>
      </c>
      <c r="BL112" s="214" t="str">
        <f t="shared" si="3"/>
        <v/>
      </c>
    </row>
    <row r="113" spans="23:64" x14ac:dyDescent="0.25">
      <c r="W113" s="214" t="s">
        <v>274</v>
      </c>
      <c r="X113" s="214" t="s">
        <v>348</v>
      </c>
      <c r="Y113" s="220">
        <v>3</v>
      </c>
      <c r="AW113" s="214" t="s">
        <v>52</v>
      </c>
      <c r="AX113" s="205">
        <v>8</v>
      </c>
      <c r="AY113" s="205">
        <v>0.4</v>
      </c>
      <c r="AZ113" s="205">
        <v>0.5</v>
      </c>
      <c r="BA113" s="205">
        <v>0.1</v>
      </c>
      <c r="BB113" s="214" t="str">
        <f t="shared" si="2"/>
        <v/>
      </c>
      <c r="BG113" s="214" t="s">
        <v>52</v>
      </c>
      <c r="BH113" s="205">
        <v>8</v>
      </c>
      <c r="BI113" s="205">
        <v>0.4</v>
      </c>
      <c r="BJ113" s="205">
        <v>0.5</v>
      </c>
      <c r="BK113" s="205">
        <v>0.27</v>
      </c>
      <c r="BL113" s="214" t="str">
        <f t="shared" si="3"/>
        <v/>
      </c>
    </row>
    <row r="114" spans="23:64" x14ac:dyDescent="0.25">
      <c r="W114" s="214" t="s">
        <v>258</v>
      </c>
      <c r="X114" s="214" t="s">
        <v>349</v>
      </c>
      <c r="Y114" s="220">
        <v>3</v>
      </c>
      <c r="AW114" s="214" t="s">
        <v>52</v>
      </c>
      <c r="AX114" s="205">
        <v>1</v>
      </c>
      <c r="AY114" s="205">
        <v>0.5</v>
      </c>
      <c r="AZ114" s="205">
        <v>100</v>
      </c>
      <c r="BA114" s="205">
        <v>0.34</v>
      </c>
      <c r="BB114" s="214" t="str">
        <f t="shared" si="2"/>
        <v/>
      </c>
      <c r="BG114" s="214" t="s">
        <v>52</v>
      </c>
      <c r="BH114" s="205">
        <v>1</v>
      </c>
      <c r="BI114" s="205">
        <v>0.5</v>
      </c>
      <c r="BJ114" s="205">
        <v>100</v>
      </c>
      <c r="BK114" s="205">
        <v>0.3</v>
      </c>
      <c r="BL114" s="214" t="str">
        <f t="shared" si="3"/>
        <v/>
      </c>
    </row>
    <row r="115" spans="23:64" x14ac:dyDescent="0.25">
      <c r="W115" s="214" t="s">
        <v>274</v>
      </c>
      <c r="X115" s="214" t="s">
        <v>350</v>
      </c>
      <c r="Y115" s="220">
        <v>4</v>
      </c>
      <c r="AW115" s="214" t="s">
        <v>52</v>
      </c>
      <c r="AX115" s="205">
        <v>2</v>
      </c>
      <c r="AY115" s="205">
        <v>0.5</v>
      </c>
      <c r="AZ115" s="205">
        <v>100</v>
      </c>
      <c r="BA115" s="205">
        <v>0.32</v>
      </c>
      <c r="BB115" s="214" t="str">
        <f t="shared" si="2"/>
        <v/>
      </c>
      <c r="BG115" s="214" t="s">
        <v>52</v>
      </c>
      <c r="BH115" s="205">
        <v>2</v>
      </c>
      <c r="BI115" s="205">
        <v>0.5</v>
      </c>
      <c r="BJ115" s="205">
        <v>100</v>
      </c>
      <c r="BK115" s="205">
        <v>0.28000000000000003</v>
      </c>
      <c r="BL115" s="214" t="str">
        <f t="shared" si="3"/>
        <v/>
      </c>
    </row>
    <row r="116" spans="23:64" x14ac:dyDescent="0.25">
      <c r="W116" s="214" t="s">
        <v>274</v>
      </c>
      <c r="X116" s="214" t="s">
        <v>351</v>
      </c>
      <c r="Y116" s="220">
        <v>3</v>
      </c>
      <c r="AW116" s="214" t="s">
        <v>52</v>
      </c>
      <c r="AX116" s="205">
        <v>3</v>
      </c>
      <c r="AY116" s="205">
        <v>0.5</v>
      </c>
      <c r="AZ116" s="205">
        <v>100</v>
      </c>
      <c r="BA116" s="205">
        <v>0.2</v>
      </c>
      <c r="BB116" s="214" t="str">
        <f t="shared" si="2"/>
        <v/>
      </c>
      <c r="BG116" s="214" t="s">
        <v>52</v>
      </c>
      <c r="BH116" s="205">
        <v>3</v>
      </c>
      <c r="BI116" s="205">
        <v>0.5</v>
      </c>
      <c r="BJ116" s="205">
        <v>100</v>
      </c>
      <c r="BK116" s="205">
        <v>0.28000000000000003</v>
      </c>
      <c r="BL116" s="214" t="str">
        <f t="shared" si="3"/>
        <v/>
      </c>
    </row>
    <row r="117" spans="23:64" x14ac:dyDescent="0.25">
      <c r="W117" s="214" t="s">
        <v>274</v>
      </c>
      <c r="X117" s="214" t="s">
        <v>352</v>
      </c>
      <c r="Y117" s="220">
        <v>3</v>
      </c>
      <c r="AW117" s="214" t="s">
        <v>52</v>
      </c>
      <c r="AX117" s="205">
        <v>4</v>
      </c>
      <c r="AY117" s="205">
        <v>0.5</v>
      </c>
      <c r="AZ117" s="205">
        <v>100</v>
      </c>
      <c r="BA117" s="205">
        <v>0.15</v>
      </c>
      <c r="BB117" s="214" t="str">
        <f t="shared" si="2"/>
        <v/>
      </c>
      <c r="BG117" s="214" t="s">
        <v>52</v>
      </c>
      <c r="BH117" s="205">
        <v>4</v>
      </c>
      <c r="BI117" s="205">
        <v>0.5</v>
      </c>
      <c r="BJ117" s="205">
        <v>100</v>
      </c>
      <c r="BK117" s="205">
        <v>0.27</v>
      </c>
      <c r="BL117" s="214" t="str">
        <f t="shared" si="3"/>
        <v/>
      </c>
    </row>
    <row r="118" spans="23:64" x14ac:dyDescent="0.25">
      <c r="W118" s="214" t="s">
        <v>27</v>
      </c>
      <c r="X118" s="214" t="s">
        <v>353</v>
      </c>
      <c r="Y118" s="220">
        <v>2</v>
      </c>
      <c r="AW118" s="214" t="s">
        <v>52</v>
      </c>
      <c r="AX118" s="205">
        <v>5</v>
      </c>
      <c r="AY118" s="205">
        <v>0.5</v>
      </c>
      <c r="AZ118" s="205">
        <v>100</v>
      </c>
      <c r="BA118" s="205">
        <v>0.21</v>
      </c>
      <c r="BB118" s="214" t="str">
        <f t="shared" si="2"/>
        <v/>
      </c>
      <c r="BG118" s="214" t="s">
        <v>52</v>
      </c>
      <c r="BH118" s="205">
        <v>5</v>
      </c>
      <c r="BI118" s="205">
        <v>0.5</v>
      </c>
      <c r="BJ118" s="205">
        <v>100</v>
      </c>
      <c r="BK118" s="205">
        <v>0.28999999999999998</v>
      </c>
      <c r="BL118" s="214" t="str">
        <f t="shared" si="3"/>
        <v/>
      </c>
    </row>
    <row r="119" spans="23:64" x14ac:dyDescent="0.25">
      <c r="W119" s="214" t="s">
        <v>274</v>
      </c>
      <c r="X119" s="214" t="s">
        <v>354</v>
      </c>
      <c r="Y119" s="220">
        <v>3</v>
      </c>
      <c r="AW119" s="214" t="s">
        <v>52</v>
      </c>
      <c r="AX119" s="205">
        <v>6</v>
      </c>
      <c r="AY119" s="205">
        <v>0.5</v>
      </c>
      <c r="AZ119" s="205">
        <v>100</v>
      </c>
      <c r="BA119" s="205">
        <v>0.14000000000000001</v>
      </c>
      <c r="BB119" s="214" t="str">
        <f t="shared" si="2"/>
        <v/>
      </c>
      <c r="BG119" s="214" t="s">
        <v>52</v>
      </c>
      <c r="BH119" s="205">
        <v>6</v>
      </c>
      <c r="BI119" s="205">
        <v>0.5</v>
      </c>
      <c r="BJ119" s="205">
        <v>100</v>
      </c>
      <c r="BK119" s="205">
        <v>0.28000000000000003</v>
      </c>
      <c r="BL119" s="214" t="str">
        <f t="shared" si="3"/>
        <v/>
      </c>
    </row>
    <row r="120" spans="23:64" x14ac:dyDescent="0.25">
      <c r="W120" s="214" t="s">
        <v>274</v>
      </c>
      <c r="X120" s="214" t="s">
        <v>355</v>
      </c>
      <c r="Y120" s="220">
        <v>3</v>
      </c>
      <c r="AW120" s="214" t="s">
        <v>52</v>
      </c>
      <c r="AX120" s="205">
        <v>7</v>
      </c>
      <c r="AY120" s="205">
        <v>0.5</v>
      </c>
      <c r="AZ120" s="205">
        <v>100</v>
      </c>
      <c r="BA120" s="205">
        <v>0.08</v>
      </c>
      <c r="BB120" s="214" t="str">
        <f t="shared" si="2"/>
        <v/>
      </c>
      <c r="BG120" s="214" t="s">
        <v>52</v>
      </c>
      <c r="BH120" s="205">
        <v>7</v>
      </c>
      <c r="BI120" s="205">
        <v>0.5</v>
      </c>
      <c r="BJ120" s="205">
        <v>100</v>
      </c>
      <c r="BK120" s="205">
        <v>0.26</v>
      </c>
      <c r="BL120" s="214" t="str">
        <f t="shared" si="3"/>
        <v/>
      </c>
    </row>
    <row r="121" spans="23:64" x14ac:dyDescent="0.25">
      <c r="W121" s="214" t="s">
        <v>274</v>
      </c>
      <c r="X121" s="214" t="s">
        <v>356</v>
      </c>
      <c r="Y121" s="220">
        <v>3</v>
      </c>
      <c r="AW121" s="214" t="s">
        <v>52</v>
      </c>
      <c r="AX121" s="205">
        <v>8</v>
      </c>
      <c r="AY121" s="205">
        <v>0.5</v>
      </c>
      <c r="AZ121" s="205">
        <v>100</v>
      </c>
      <c r="BA121" s="205">
        <v>0.1</v>
      </c>
      <c r="BB121" s="214" t="str">
        <f t="shared" si="2"/>
        <v/>
      </c>
      <c r="BG121" s="214" t="s">
        <v>52</v>
      </c>
      <c r="BH121" s="205">
        <v>8</v>
      </c>
      <c r="BI121" s="205">
        <v>0.5</v>
      </c>
      <c r="BJ121" s="205">
        <v>100</v>
      </c>
      <c r="BK121" s="205">
        <v>0.27</v>
      </c>
      <c r="BL121" s="214" t="str">
        <f t="shared" si="3"/>
        <v/>
      </c>
    </row>
    <row r="122" spans="23:64" x14ac:dyDescent="0.25">
      <c r="W122" s="214" t="s">
        <v>239</v>
      </c>
      <c r="X122" s="214" t="s">
        <v>357</v>
      </c>
      <c r="Y122" s="220">
        <v>2</v>
      </c>
      <c r="AW122" s="214" t="s">
        <v>53</v>
      </c>
      <c r="AX122" s="205">
        <v>1</v>
      </c>
      <c r="AY122" s="205">
        <v>0</v>
      </c>
      <c r="AZ122" s="205">
        <v>0.2</v>
      </c>
      <c r="BA122" s="205">
        <v>0.19</v>
      </c>
      <c r="BB122" s="214" t="str">
        <f t="shared" si="2"/>
        <v/>
      </c>
      <c r="BG122" s="214" t="s">
        <v>53</v>
      </c>
      <c r="BH122" s="205">
        <v>1</v>
      </c>
      <c r="BI122" s="205">
        <v>0</v>
      </c>
      <c r="BJ122" s="205">
        <v>0.2</v>
      </c>
      <c r="BK122" s="205">
        <v>0.33</v>
      </c>
      <c r="BL122" s="214" t="str">
        <f t="shared" si="3"/>
        <v/>
      </c>
    </row>
    <row r="123" spans="23:64" x14ac:dyDescent="0.25">
      <c r="W123" s="214" t="s">
        <v>27</v>
      </c>
      <c r="X123" s="214" t="s">
        <v>358</v>
      </c>
      <c r="Y123" s="220">
        <v>2</v>
      </c>
      <c r="AW123" s="214" t="s">
        <v>53</v>
      </c>
      <c r="AX123" s="205">
        <v>2</v>
      </c>
      <c r="AY123" s="205">
        <v>0</v>
      </c>
      <c r="AZ123" s="205">
        <v>0.2</v>
      </c>
      <c r="BA123" s="205">
        <v>0.16</v>
      </c>
      <c r="BB123" s="214" t="str">
        <f t="shared" si="2"/>
        <v/>
      </c>
      <c r="BG123" s="214" t="s">
        <v>53</v>
      </c>
      <c r="BH123" s="205">
        <v>2</v>
      </c>
      <c r="BI123" s="205">
        <v>0</v>
      </c>
      <c r="BJ123" s="205">
        <v>0.2</v>
      </c>
      <c r="BK123" s="205">
        <v>0.32</v>
      </c>
      <c r="BL123" s="214" t="str">
        <f t="shared" si="3"/>
        <v/>
      </c>
    </row>
    <row r="124" spans="23:64" x14ac:dyDescent="0.25">
      <c r="W124" s="214" t="s">
        <v>274</v>
      </c>
      <c r="X124" s="214" t="s">
        <v>359</v>
      </c>
      <c r="Y124" s="220">
        <v>3</v>
      </c>
      <c r="AW124" s="214" t="s">
        <v>53</v>
      </c>
      <c r="AX124" s="205">
        <v>3</v>
      </c>
      <c r="AY124" s="205">
        <v>0</v>
      </c>
      <c r="AZ124" s="205">
        <v>0.2</v>
      </c>
      <c r="BA124" s="205">
        <v>0.14000000000000001</v>
      </c>
      <c r="BB124" s="214" t="str">
        <f t="shared" si="2"/>
        <v/>
      </c>
      <c r="BG124" s="214" t="s">
        <v>53</v>
      </c>
      <c r="BH124" s="205">
        <v>3</v>
      </c>
      <c r="BI124" s="205">
        <v>0</v>
      </c>
      <c r="BJ124" s="205">
        <v>0.2</v>
      </c>
      <c r="BK124" s="205">
        <v>0.31</v>
      </c>
      <c r="BL124" s="214" t="str">
        <f t="shared" si="3"/>
        <v/>
      </c>
    </row>
    <row r="125" spans="23:64" x14ac:dyDescent="0.25">
      <c r="W125" s="214" t="s">
        <v>252</v>
      </c>
      <c r="X125" s="214" t="s">
        <v>360</v>
      </c>
      <c r="Y125" s="220">
        <v>3</v>
      </c>
      <c r="AW125" s="214" t="s">
        <v>53</v>
      </c>
      <c r="AX125" s="205">
        <v>4</v>
      </c>
      <c r="AY125" s="205">
        <v>0</v>
      </c>
      <c r="AZ125" s="205">
        <v>0.2</v>
      </c>
      <c r="BA125" s="205">
        <v>0.11</v>
      </c>
      <c r="BB125" s="214" t="str">
        <f t="shared" si="2"/>
        <v/>
      </c>
      <c r="BG125" s="214" t="s">
        <v>53</v>
      </c>
      <c r="BH125" s="205">
        <v>4</v>
      </c>
      <c r="BI125" s="205">
        <v>0</v>
      </c>
      <c r="BJ125" s="205">
        <v>0.2</v>
      </c>
      <c r="BK125" s="205">
        <v>0.3</v>
      </c>
      <c r="BL125" s="214" t="str">
        <f t="shared" si="3"/>
        <v/>
      </c>
    </row>
    <row r="126" spans="23:64" x14ac:dyDescent="0.25">
      <c r="W126" s="214" t="s">
        <v>239</v>
      </c>
      <c r="X126" s="214" t="s">
        <v>361</v>
      </c>
      <c r="Y126" s="220">
        <v>1</v>
      </c>
      <c r="AW126" s="214" t="s">
        <v>53</v>
      </c>
      <c r="AX126" s="205">
        <v>5</v>
      </c>
      <c r="AY126" s="205">
        <v>0</v>
      </c>
      <c r="AZ126" s="205">
        <v>0.2</v>
      </c>
      <c r="BA126" s="205">
        <v>0.14000000000000001</v>
      </c>
      <c r="BB126" s="214" t="str">
        <f t="shared" si="2"/>
        <v/>
      </c>
      <c r="BG126" s="214" t="s">
        <v>53</v>
      </c>
      <c r="BH126" s="205">
        <v>5</v>
      </c>
      <c r="BI126" s="205">
        <v>0</v>
      </c>
      <c r="BJ126" s="205">
        <v>0.2</v>
      </c>
      <c r="BK126" s="205">
        <v>0.31</v>
      </c>
      <c r="BL126" s="214" t="str">
        <f t="shared" si="3"/>
        <v/>
      </c>
    </row>
    <row r="127" spans="23:64" x14ac:dyDescent="0.25">
      <c r="W127" s="214" t="s">
        <v>27</v>
      </c>
      <c r="X127" s="214" t="s">
        <v>362</v>
      </c>
      <c r="Y127" s="220">
        <v>3</v>
      </c>
      <c r="AW127" s="214" t="s">
        <v>53</v>
      </c>
      <c r="AX127" s="205">
        <v>6</v>
      </c>
      <c r="AY127" s="205">
        <v>0</v>
      </c>
      <c r="AZ127" s="205">
        <v>0.2</v>
      </c>
      <c r="BA127" s="205">
        <v>0.12</v>
      </c>
      <c r="BB127" s="214" t="str">
        <f t="shared" si="2"/>
        <v/>
      </c>
      <c r="BG127" s="214" t="s">
        <v>53</v>
      </c>
      <c r="BH127" s="205">
        <v>6</v>
      </c>
      <c r="BI127" s="205">
        <v>0</v>
      </c>
      <c r="BJ127" s="205">
        <v>0.2</v>
      </c>
      <c r="BK127" s="205">
        <v>0.31</v>
      </c>
      <c r="BL127" s="214" t="str">
        <f t="shared" si="3"/>
        <v/>
      </c>
    </row>
    <row r="128" spans="23:64" x14ac:dyDescent="0.25">
      <c r="W128" s="214" t="s">
        <v>274</v>
      </c>
      <c r="X128" s="214" t="s">
        <v>363</v>
      </c>
      <c r="Y128" s="220">
        <v>2</v>
      </c>
      <c r="AW128" s="214" t="s">
        <v>53</v>
      </c>
      <c r="AX128" s="205">
        <v>7</v>
      </c>
      <c r="AY128" s="205">
        <v>0</v>
      </c>
      <c r="AZ128" s="205">
        <v>0.2</v>
      </c>
      <c r="BA128" s="205">
        <v>0.08</v>
      </c>
      <c r="BB128" s="214" t="str">
        <f t="shared" si="2"/>
        <v/>
      </c>
      <c r="BG128" s="214" t="s">
        <v>53</v>
      </c>
      <c r="BH128" s="205">
        <v>7</v>
      </c>
      <c r="BI128" s="205">
        <v>0</v>
      </c>
      <c r="BJ128" s="205">
        <v>0.2</v>
      </c>
      <c r="BK128" s="205">
        <v>0.28000000000000003</v>
      </c>
      <c r="BL128" s="214" t="str">
        <f t="shared" si="3"/>
        <v/>
      </c>
    </row>
    <row r="129" spans="23:64" x14ac:dyDescent="0.25">
      <c r="W129" s="214" t="s">
        <v>274</v>
      </c>
      <c r="X129" s="214" t="s">
        <v>364</v>
      </c>
      <c r="Y129" s="220">
        <v>2</v>
      </c>
      <c r="AW129" s="214" t="s">
        <v>53</v>
      </c>
      <c r="AX129" s="205">
        <v>8</v>
      </c>
      <c r="AY129" s="205">
        <v>0</v>
      </c>
      <c r="AZ129" s="205">
        <v>0.2</v>
      </c>
      <c r="BA129" s="205">
        <v>0.08</v>
      </c>
      <c r="BB129" s="214" t="str">
        <f t="shared" si="2"/>
        <v/>
      </c>
      <c r="BG129" s="214" t="s">
        <v>53</v>
      </c>
      <c r="BH129" s="205">
        <v>8</v>
      </c>
      <c r="BI129" s="205">
        <v>0</v>
      </c>
      <c r="BJ129" s="205">
        <v>0.2</v>
      </c>
      <c r="BK129" s="205">
        <v>0.28000000000000003</v>
      </c>
      <c r="BL129" s="214" t="str">
        <f t="shared" si="3"/>
        <v/>
      </c>
    </row>
    <row r="130" spans="23:64" x14ac:dyDescent="0.25">
      <c r="W130" s="214" t="s">
        <v>274</v>
      </c>
      <c r="X130" s="214" t="s">
        <v>365</v>
      </c>
      <c r="Y130" s="220">
        <v>3</v>
      </c>
      <c r="AW130" s="214" t="s">
        <v>53</v>
      </c>
      <c r="AX130" s="205">
        <v>1</v>
      </c>
      <c r="AY130" s="205">
        <v>0.2</v>
      </c>
      <c r="AZ130" s="205">
        <v>0.3</v>
      </c>
      <c r="BA130" s="205">
        <v>0.2</v>
      </c>
      <c r="BB130" s="214" t="str">
        <f t="shared" ref="BB130:BB193" si="4">IF(AX130=$BE$1,IF(AW130=$BD$1,IF(AND($BC$1&gt;AY130,$BC$1&lt;AZ130),BA130,""),""),"")</f>
        <v/>
      </c>
      <c r="BG130" s="214" t="s">
        <v>53</v>
      </c>
      <c r="BH130" s="205">
        <v>1</v>
      </c>
      <c r="BI130" s="205">
        <v>0.2</v>
      </c>
      <c r="BJ130" s="205">
        <v>0.3</v>
      </c>
      <c r="BK130" s="205">
        <v>0.34</v>
      </c>
      <c r="BL130" s="214" t="str">
        <f t="shared" ref="BL130:BL193" si="5">IF(BH130=$BE$1,IF(BG130=$BD$1,IF(AND($BC$1&gt;BI130,$BC$1&lt;BJ130),BK130,""),""),"")</f>
        <v/>
      </c>
    </row>
    <row r="131" spans="23:64" x14ac:dyDescent="0.25">
      <c r="W131" s="214" t="s">
        <v>252</v>
      </c>
      <c r="X131" s="214" t="s">
        <v>366</v>
      </c>
      <c r="Y131" s="220">
        <v>2</v>
      </c>
      <c r="AW131" s="214" t="s">
        <v>53</v>
      </c>
      <c r="AX131" s="205">
        <v>2</v>
      </c>
      <c r="AY131" s="205">
        <v>0.2</v>
      </c>
      <c r="AZ131" s="205">
        <v>0.3</v>
      </c>
      <c r="BA131" s="205">
        <v>0.17</v>
      </c>
      <c r="BB131" s="214" t="str">
        <f t="shared" si="4"/>
        <v/>
      </c>
      <c r="BG131" s="214" t="s">
        <v>53</v>
      </c>
      <c r="BH131" s="205">
        <v>2</v>
      </c>
      <c r="BI131" s="205">
        <v>0.2</v>
      </c>
      <c r="BJ131" s="205">
        <v>0.3</v>
      </c>
      <c r="BK131" s="205">
        <v>0.33</v>
      </c>
      <c r="BL131" s="214" t="str">
        <f t="shared" si="5"/>
        <v/>
      </c>
    </row>
    <row r="132" spans="23:64" x14ac:dyDescent="0.25">
      <c r="W132" s="214" t="s">
        <v>274</v>
      </c>
      <c r="X132" s="214" t="s">
        <v>367</v>
      </c>
      <c r="Y132" s="220">
        <v>2</v>
      </c>
      <c r="AW132" s="214" t="s">
        <v>53</v>
      </c>
      <c r="AX132" s="205">
        <v>3</v>
      </c>
      <c r="AY132" s="205">
        <v>0.2</v>
      </c>
      <c r="AZ132" s="205">
        <v>0.3</v>
      </c>
      <c r="BA132" s="205">
        <v>0.15</v>
      </c>
      <c r="BB132" s="214" t="str">
        <f t="shared" si="4"/>
        <v/>
      </c>
      <c r="BG132" s="214" t="s">
        <v>53</v>
      </c>
      <c r="BH132" s="205">
        <v>3</v>
      </c>
      <c r="BI132" s="205">
        <v>0.2</v>
      </c>
      <c r="BJ132" s="205">
        <v>0.3</v>
      </c>
      <c r="BK132" s="205">
        <v>0.32</v>
      </c>
      <c r="BL132" s="214" t="str">
        <f t="shared" si="5"/>
        <v/>
      </c>
    </row>
    <row r="133" spans="23:64" x14ac:dyDescent="0.25">
      <c r="W133" s="214" t="s">
        <v>258</v>
      </c>
      <c r="X133" s="214" t="s">
        <v>368</v>
      </c>
      <c r="Y133" s="220">
        <v>3</v>
      </c>
      <c r="AW133" s="214" t="s">
        <v>53</v>
      </c>
      <c r="AX133" s="205">
        <v>4</v>
      </c>
      <c r="AY133" s="205">
        <v>0.2</v>
      </c>
      <c r="AZ133" s="205">
        <v>0.3</v>
      </c>
      <c r="BA133" s="205">
        <v>0.12</v>
      </c>
      <c r="BB133" s="214" t="str">
        <f t="shared" si="4"/>
        <v/>
      </c>
      <c r="BG133" s="214" t="s">
        <v>53</v>
      </c>
      <c r="BH133" s="205">
        <v>4</v>
      </c>
      <c r="BI133" s="205">
        <v>0.2</v>
      </c>
      <c r="BJ133" s="205">
        <v>0.3</v>
      </c>
      <c r="BK133" s="205">
        <v>0.31</v>
      </c>
      <c r="BL133" s="214" t="str">
        <f t="shared" si="5"/>
        <v/>
      </c>
    </row>
    <row r="134" spans="23:64" x14ac:dyDescent="0.25">
      <c r="W134" s="214" t="s">
        <v>27</v>
      </c>
      <c r="X134" s="214" t="s">
        <v>369</v>
      </c>
      <c r="Y134" s="220">
        <v>3</v>
      </c>
      <c r="AW134" s="214" t="s">
        <v>53</v>
      </c>
      <c r="AX134" s="205">
        <v>5</v>
      </c>
      <c r="AY134" s="205">
        <v>0.2</v>
      </c>
      <c r="AZ134" s="205">
        <v>0.3</v>
      </c>
      <c r="BA134" s="205">
        <v>0.15</v>
      </c>
      <c r="BB134" s="214" t="str">
        <f t="shared" si="4"/>
        <v/>
      </c>
      <c r="BG134" s="214" t="s">
        <v>53</v>
      </c>
      <c r="BH134" s="205">
        <v>5</v>
      </c>
      <c r="BI134" s="205">
        <v>0.2</v>
      </c>
      <c r="BJ134" s="205">
        <v>0.3</v>
      </c>
      <c r="BK134" s="205">
        <v>0.33</v>
      </c>
      <c r="BL134" s="214" t="str">
        <f t="shared" si="5"/>
        <v/>
      </c>
    </row>
    <row r="135" spans="23:64" x14ac:dyDescent="0.25">
      <c r="W135" s="214" t="s">
        <v>239</v>
      </c>
      <c r="X135" s="214" t="s">
        <v>370</v>
      </c>
      <c r="Y135" s="220">
        <v>1</v>
      </c>
      <c r="AW135" s="214" t="s">
        <v>53</v>
      </c>
      <c r="AX135" s="205">
        <v>6</v>
      </c>
      <c r="AY135" s="205">
        <v>0.2</v>
      </c>
      <c r="AZ135" s="205">
        <v>0.3</v>
      </c>
      <c r="BA135" s="205">
        <v>0.13</v>
      </c>
      <c r="BB135" s="214" t="str">
        <f t="shared" si="4"/>
        <v/>
      </c>
      <c r="BG135" s="214" t="s">
        <v>53</v>
      </c>
      <c r="BH135" s="205">
        <v>6</v>
      </c>
      <c r="BI135" s="205">
        <v>0.2</v>
      </c>
      <c r="BJ135" s="205">
        <v>0.3</v>
      </c>
      <c r="BK135" s="205">
        <v>0.32</v>
      </c>
      <c r="BL135" s="214" t="str">
        <f t="shared" si="5"/>
        <v/>
      </c>
    </row>
    <row r="136" spans="23:64" x14ac:dyDescent="0.25">
      <c r="W136" s="214" t="s">
        <v>274</v>
      </c>
      <c r="X136" s="214" t="s">
        <v>371</v>
      </c>
      <c r="Y136" s="220">
        <v>3</v>
      </c>
      <c r="AW136" s="214" t="s">
        <v>53</v>
      </c>
      <c r="AX136" s="205">
        <v>7</v>
      </c>
      <c r="AY136" s="205">
        <v>0.2</v>
      </c>
      <c r="AZ136" s="205">
        <v>0.3</v>
      </c>
      <c r="BA136" s="205">
        <v>0.08</v>
      </c>
      <c r="BB136" s="214" t="str">
        <f t="shared" si="4"/>
        <v/>
      </c>
      <c r="BG136" s="214" t="s">
        <v>53</v>
      </c>
      <c r="BH136" s="205">
        <v>7</v>
      </c>
      <c r="BI136" s="205">
        <v>0.2</v>
      </c>
      <c r="BJ136" s="205">
        <v>0.3</v>
      </c>
      <c r="BK136" s="205">
        <v>0.3</v>
      </c>
      <c r="BL136" s="214" t="str">
        <f t="shared" si="5"/>
        <v/>
      </c>
    </row>
    <row r="137" spans="23:64" x14ac:dyDescent="0.25">
      <c r="W137" s="214" t="s">
        <v>274</v>
      </c>
      <c r="X137" s="214" t="s">
        <v>372</v>
      </c>
      <c r="Y137" s="220">
        <v>3</v>
      </c>
      <c r="AW137" s="214" t="s">
        <v>53</v>
      </c>
      <c r="AX137" s="205">
        <v>8</v>
      </c>
      <c r="AY137" s="205">
        <v>0.2</v>
      </c>
      <c r="AZ137" s="205">
        <v>0.3</v>
      </c>
      <c r="BA137" s="205">
        <v>0.09</v>
      </c>
      <c r="BB137" s="214" t="str">
        <f t="shared" si="4"/>
        <v/>
      </c>
      <c r="BG137" s="214" t="s">
        <v>53</v>
      </c>
      <c r="BH137" s="205">
        <v>8</v>
      </c>
      <c r="BI137" s="205">
        <v>0.2</v>
      </c>
      <c r="BJ137" s="205">
        <v>0.3</v>
      </c>
      <c r="BK137" s="205">
        <v>0.3</v>
      </c>
      <c r="BL137" s="214" t="str">
        <f t="shared" si="5"/>
        <v/>
      </c>
    </row>
    <row r="138" spans="23:64" x14ac:dyDescent="0.25">
      <c r="W138" s="214" t="s">
        <v>252</v>
      </c>
      <c r="X138" s="214" t="s">
        <v>373</v>
      </c>
      <c r="Y138" s="220">
        <v>3</v>
      </c>
      <c r="AW138" s="214" t="s">
        <v>53</v>
      </c>
      <c r="AX138" s="205">
        <v>1</v>
      </c>
      <c r="AY138" s="205">
        <v>0.3</v>
      </c>
      <c r="AZ138" s="205">
        <v>0.4</v>
      </c>
      <c r="BA138" s="205">
        <v>0.24</v>
      </c>
      <c r="BB138" s="214" t="str">
        <f t="shared" si="4"/>
        <v/>
      </c>
      <c r="BG138" s="214" t="s">
        <v>53</v>
      </c>
      <c r="BH138" s="205">
        <v>1</v>
      </c>
      <c r="BI138" s="205">
        <v>0.3</v>
      </c>
      <c r="BJ138" s="205">
        <v>0.4</v>
      </c>
      <c r="BK138" s="205">
        <v>0.31</v>
      </c>
      <c r="BL138" s="214" t="str">
        <f t="shared" si="5"/>
        <v/>
      </c>
    </row>
    <row r="139" spans="23:64" x14ac:dyDescent="0.25">
      <c r="W139" s="214" t="s">
        <v>274</v>
      </c>
      <c r="X139" s="214" t="s">
        <v>374</v>
      </c>
      <c r="Y139" s="220">
        <v>3</v>
      </c>
      <c r="AW139" s="214" t="s">
        <v>53</v>
      </c>
      <c r="AX139" s="205">
        <v>2</v>
      </c>
      <c r="AY139" s="205">
        <v>0.3</v>
      </c>
      <c r="AZ139" s="205">
        <v>0.4</v>
      </c>
      <c r="BA139" s="205">
        <v>0.21</v>
      </c>
      <c r="BB139" s="214" t="str">
        <f t="shared" si="4"/>
        <v/>
      </c>
      <c r="BG139" s="214" t="s">
        <v>53</v>
      </c>
      <c r="BH139" s="205">
        <v>2</v>
      </c>
      <c r="BI139" s="205">
        <v>0.3</v>
      </c>
      <c r="BJ139" s="205">
        <v>0.4</v>
      </c>
      <c r="BK139" s="205">
        <v>0.3</v>
      </c>
      <c r="BL139" s="214" t="str">
        <f t="shared" si="5"/>
        <v/>
      </c>
    </row>
    <row r="140" spans="23:64" x14ac:dyDescent="0.25">
      <c r="W140" s="214" t="s">
        <v>274</v>
      </c>
      <c r="X140" s="214" t="s">
        <v>375</v>
      </c>
      <c r="Y140" s="220">
        <v>2</v>
      </c>
      <c r="AW140" s="214" t="s">
        <v>53</v>
      </c>
      <c r="AX140" s="205">
        <v>3</v>
      </c>
      <c r="AY140" s="205">
        <v>0.3</v>
      </c>
      <c r="AZ140" s="205">
        <v>0.4</v>
      </c>
      <c r="BA140" s="205">
        <v>0.17</v>
      </c>
      <c r="BB140" s="214" t="str">
        <f t="shared" si="4"/>
        <v/>
      </c>
      <c r="BG140" s="214" t="s">
        <v>53</v>
      </c>
      <c r="BH140" s="205">
        <v>3</v>
      </c>
      <c r="BI140" s="205">
        <v>0.3</v>
      </c>
      <c r="BJ140" s="205">
        <v>0.4</v>
      </c>
      <c r="BK140" s="205">
        <v>0.3</v>
      </c>
      <c r="BL140" s="214" t="str">
        <f t="shared" si="5"/>
        <v/>
      </c>
    </row>
    <row r="141" spans="23:64" x14ac:dyDescent="0.25">
      <c r="W141" s="214" t="s">
        <v>274</v>
      </c>
      <c r="X141" s="214" t="s">
        <v>376</v>
      </c>
      <c r="Y141" s="220">
        <v>3</v>
      </c>
      <c r="AW141" s="214" t="s">
        <v>53</v>
      </c>
      <c r="AX141" s="205">
        <v>4</v>
      </c>
      <c r="AY141" s="205">
        <v>0.3</v>
      </c>
      <c r="AZ141" s="205">
        <v>0.4</v>
      </c>
      <c r="BA141" s="205">
        <v>0.13</v>
      </c>
      <c r="BB141" s="214" t="str">
        <f t="shared" si="4"/>
        <v/>
      </c>
      <c r="BG141" s="214" t="s">
        <v>53</v>
      </c>
      <c r="BH141" s="205">
        <v>4</v>
      </c>
      <c r="BI141" s="205">
        <v>0.3</v>
      </c>
      <c r="BJ141" s="205">
        <v>0.4</v>
      </c>
      <c r="BK141" s="205">
        <v>0.28999999999999998</v>
      </c>
      <c r="BL141" s="214" t="str">
        <f t="shared" si="5"/>
        <v/>
      </c>
    </row>
    <row r="142" spans="23:64" x14ac:dyDescent="0.25">
      <c r="W142" s="214" t="s">
        <v>274</v>
      </c>
      <c r="X142" s="214" t="s">
        <v>377</v>
      </c>
      <c r="Y142" s="220">
        <v>3</v>
      </c>
      <c r="AW142" s="214" t="s">
        <v>53</v>
      </c>
      <c r="AX142" s="205">
        <v>5</v>
      </c>
      <c r="AY142" s="205">
        <v>0.3</v>
      </c>
      <c r="AZ142" s="205">
        <v>0.4</v>
      </c>
      <c r="BA142" s="205">
        <v>0.17</v>
      </c>
      <c r="BB142" s="214" t="str">
        <f t="shared" si="4"/>
        <v/>
      </c>
      <c r="BG142" s="214" t="s">
        <v>53</v>
      </c>
      <c r="BH142" s="205">
        <v>5</v>
      </c>
      <c r="BI142" s="205">
        <v>0.3</v>
      </c>
      <c r="BJ142" s="205">
        <v>0.4</v>
      </c>
      <c r="BK142" s="205">
        <v>0.31</v>
      </c>
      <c r="BL142" s="214" t="str">
        <f t="shared" si="5"/>
        <v/>
      </c>
    </row>
    <row r="143" spans="23:64" x14ac:dyDescent="0.25">
      <c r="W143" s="214" t="s">
        <v>274</v>
      </c>
      <c r="X143" s="214" t="s">
        <v>378</v>
      </c>
      <c r="Y143" s="220">
        <v>3</v>
      </c>
      <c r="AW143" s="214" t="s">
        <v>53</v>
      </c>
      <c r="AX143" s="205">
        <v>6</v>
      </c>
      <c r="AY143" s="205">
        <v>0.3</v>
      </c>
      <c r="AZ143" s="205">
        <v>0.4</v>
      </c>
      <c r="BA143" s="205">
        <v>0.14000000000000001</v>
      </c>
      <c r="BB143" s="214" t="str">
        <f t="shared" si="4"/>
        <v/>
      </c>
      <c r="BG143" s="214" t="s">
        <v>53</v>
      </c>
      <c r="BH143" s="205">
        <v>6</v>
      </c>
      <c r="BI143" s="205">
        <v>0.3</v>
      </c>
      <c r="BJ143" s="205">
        <v>0.4</v>
      </c>
      <c r="BK143" s="205">
        <v>0.3</v>
      </c>
      <c r="BL143" s="214" t="str">
        <f t="shared" si="5"/>
        <v/>
      </c>
    </row>
    <row r="144" spans="23:64" x14ac:dyDescent="0.25">
      <c r="W144" s="214" t="s">
        <v>274</v>
      </c>
      <c r="X144" s="214" t="s">
        <v>379</v>
      </c>
      <c r="Y144" s="220">
        <v>3</v>
      </c>
      <c r="AW144" s="214" t="s">
        <v>53</v>
      </c>
      <c r="AX144" s="205">
        <v>7</v>
      </c>
      <c r="AY144" s="205">
        <v>0.3</v>
      </c>
      <c r="AZ144" s="205">
        <v>0.4</v>
      </c>
      <c r="BA144" s="205">
        <v>0.09</v>
      </c>
      <c r="BB144" s="214" t="str">
        <f t="shared" si="4"/>
        <v/>
      </c>
      <c r="BG144" s="214" t="s">
        <v>53</v>
      </c>
      <c r="BH144" s="205">
        <v>7</v>
      </c>
      <c r="BI144" s="205">
        <v>0.3</v>
      </c>
      <c r="BJ144" s="205">
        <v>0.4</v>
      </c>
      <c r="BK144" s="205">
        <v>0.28000000000000003</v>
      </c>
      <c r="BL144" s="214" t="str">
        <f t="shared" si="5"/>
        <v/>
      </c>
    </row>
    <row r="145" spans="23:64" x14ac:dyDescent="0.25">
      <c r="W145" s="214" t="s">
        <v>258</v>
      </c>
      <c r="X145" s="214" t="s">
        <v>380</v>
      </c>
      <c r="Y145" s="220">
        <v>3</v>
      </c>
      <c r="AW145" s="214" t="s">
        <v>53</v>
      </c>
      <c r="AX145" s="205">
        <v>8</v>
      </c>
      <c r="AY145" s="205">
        <v>0.3</v>
      </c>
      <c r="AZ145" s="205">
        <v>0.4</v>
      </c>
      <c r="BA145" s="205">
        <v>0.1</v>
      </c>
      <c r="BB145" s="214" t="str">
        <f t="shared" si="4"/>
        <v/>
      </c>
      <c r="BG145" s="214" t="s">
        <v>53</v>
      </c>
      <c r="BH145" s="205">
        <v>8</v>
      </c>
      <c r="BI145" s="205">
        <v>0.3</v>
      </c>
      <c r="BJ145" s="205">
        <v>0.4</v>
      </c>
      <c r="BK145" s="205">
        <v>0.28000000000000003</v>
      </c>
      <c r="BL145" s="214" t="str">
        <f t="shared" si="5"/>
        <v/>
      </c>
    </row>
    <row r="146" spans="23:64" x14ac:dyDescent="0.25">
      <c r="W146" s="214" t="s">
        <v>239</v>
      </c>
      <c r="X146" s="214" t="s">
        <v>381</v>
      </c>
      <c r="Y146" s="220">
        <v>2</v>
      </c>
      <c r="AW146" s="214" t="s">
        <v>53</v>
      </c>
      <c r="AX146" s="205">
        <v>1</v>
      </c>
      <c r="AY146" s="205">
        <v>0.4</v>
      </c>
      <c r="AZ146" s="205">
        <v>0.5</v>
      </c>
      <c r="BA146" s="205">
        <v>0.3</v>
      </c>
      <c r="BB146" s="214" t="str">
        <f t="shared" si="4"/>
        <v/>
      </c>
      <c r="BG146" s="214" t="s">
        <v>53</v>
      </c>
      <c r="BH146" s="205">
        <v>1</v>
      </c>
      <c r="BI146" s="205">
        <v>0.4</v>
      </c>
      <c r="BJ146" s="205">
        <v>0.5</v>
      </c>
      <c r="BK146" s="205">
        <v>0.3</v>
      </c>
      <c r="BL146" s="214" t="str">
        <f t="shared" si="5"/>
        <v/>
      </c>
    </row>
    <row r="147" spans="23:64" x14ac:dyDescent="0.25">
      <c r="W147" s="214" t="s">
        <v>239</v>
      </c>
      <c r="X147" s="214" t="s">
        <v>382</v>
      </c>
      <c r="Y147" s="220">
        <v>2</v>
      </c>
      <c r="AW147" s="214" t="s">
        <v>53</v>
      </c>
      <c r="AX147" s="205">
        <v>2</v>
      </c>
      <c r="AY147" s="205">
        <v>0.4</v>
      </c>
      <c r="AZ147" s="205">
        <v>0.5</v>
      </c>
      <c r="BA147" s="205">
        <v>0.27</v>
      </c>
      <c r="BB147" s="214" t="str">
        <f t="shared" si="4"/>
        <v/>
      </c>
      <c r="BG147" s="214" t="s">
        <v>53</v>
      </c>
      <c r="BH147" s="205">
        <v>2</v>
      </c>
      <c r="BI147" s="205">
        <v>0.4</v>
      </c>
      <c r="BJ147" s="205">
        <v>0.5</v>
      </c>
      <c r="BK147" s="205">
        <v>0.28000000000000003</v>
      </c>
      <c r="BL147" s="214" t="str">
        <f t="shared" si="5"/>
        <v/>
      </c>
    </row>
    <row r="148" spans="23:64" x14ac:dyDescent="0.25">
      <c r="W148" s="214" t="s">
        <v>274</v>
      </c>
      <c r="X148" s="214" t="s">
        <v>383</v>
      </c>
      <c r="Y148" s="220">
        <v>3</v>
      </c>
      <c r="AW148" s="214" t="s">
        <v>53</v>
      </c>
      <c r="AX148" s="205">
        <v>3</v>
      </c>
      <c r="AY148" s="205">
        <v>0.4</v>
      </c>
      <c r="AZ148" s="205">
        <v>0.5</v>
      </c>
      <c r="BA148" s="205">
        <v>0.19</v>
      </c>
      <c r="BB148" s="214" t="str">
        <f t="shared" si="4"/>
        <v/>
      </c>
      <c r="BG148" s="214" t="s">
        <v>53</v>
      </c>
      <c r="BH148" s="205">
        <v>3</v>
      </c>
      <c r="BI148" s="205">
        <v>0.4</v>
      </c>
      <c r="BJ148" s="205">
        <v>0.5</v>
      </c>
      <c r="BK148" s="205">
        <v>0.28000000000000003</v>
      </c>
      <c r="BL148" s="214" t="str">
        <f t="shared" si="5"/>
        <v/>
      </c>
    </row>
    <row r="149" spans="23:64" x14ac:dyDescent="0.25">
      <c r="W149" s="214" t="s">
        <v>239</v>
      </c>
      <c r="X149" s="214" t="s">
        <v>384</v>
      </c>
      <c r="Y149" s="220">
        <v>2</v>
      </c>
      <c r="AW149" s="214" t="s">
        <v>53</v>
      </c>
      <c r="AX149" s="205">
        <v>4</v>
      </c>
      <c r="AY149" s="205">
        <v>0.4</v>
      </c>
      <c r="AZ149" s="205">
        <v>0.5</v>
      </c>
      <c r="BA149" s="205">
        <v>0.14000000000000001</v>
      </c>
      <c r="BB149" s="214" t="str">
        <f t="shared" si="4"/>
        <v/>
      </c>
      <c r="BG149" s="214" t="s">
        <v>53</v>
      </c>
      <c r="BH149" s="205">
        <v>4</v>
      </c>
      <c r="BI149" s="205">
        <v>0.4</v>
      </c>
      <c r="BJ149" s="205">
        <v>0.5</v>
      </c>
      <c r="BK149" s="205">
        <v>0.27</v>
      </c>
      <c r="BL149" s="214" t="str">
        <f t="shared" si="5"/>
        <v/>
      </c>
    </row>
    <row r="150" spans="23:64" x14ac:dyDescent="0.25">
      <c r="W150" s="214" t="s">
        <v>239</v>
      </c>
      <c r="X150" s="214" t="s">
        <v>385</v>
      </c>
      <c r="Y150" s="220">
        <v>2</v>
      </c>
      <c r="AW150" s="214" t="s">
        <v>53</v>
      </c>
      <c r="AX150" s="205">
        <v>5</v>
      </c>
      <c r="AY150" s="205">
        <v>0.4</v>
      </c>
      <c r="AZ150" s="205">
        <v>0.5</v>
      </c>
      <c r="BA150" s="205">
        <v>0.19</v>
      </c>
      <c r="BB150" s="214" t="str">
        <f t="shared" si="4"/>
        <v/>
      </c>
      <c r="BG150" s="214" t="s">
        <v>53</v>
      </c>
      <c r="BH150" s="205">
        <v>5</v>
      </c>
      <c r="BI150" s="205">
        <v>0.4</v>
      </c>
      <c r="BJ150" s="205">
        <v>0.5</v>
      </c>
      <c r="BK150" s="205">
        <v>0.28999999999999998</v>
      </c>
      <c r="BL150" s="214" t="str">
        <f t="shared" si="5"/>
        <v/>
      </c>
    </row>
    <row r="151" spans="23:64" x14ac:dyDescent="0.25">
      <c r="W151" s="214" t="s">
        <v>274</v>
      </c>
      <c r="X151" s="214" t="s">
        <v>386</v>
      </c>
      <c r="Y151" s="220">
        <v>3</v>
      </c>
      <c r="AW151" s="214" t="s">
        <v>53</v>
      </c>
      <c r="AX151" s="205">
        <v>6</v>
      </c>
      <c r="AY151" s="205">
        <v>0.4</v>
      </c>
      <c r="AZ151" s="205">
        <v>0.5</v>
      </c>
      <c r="BA151" s="205">
        <v>0.14000000000000001</v>
      </c>
      <c r="BB151" s="214" t="str">
        <f t="shared" si="4"/>
        <v/>
      </c>
      <c r="BG151" s="214" t="s">
        <v>53</v>
      </c>
      <c r="BH151" s="205">
        <v>6</v>
      </c>
      <c r="BI151" s="205">
        <v>0.4</v>
      </c>
      <c r="BJ151" s="205">
        <v>0.5</v>
      </c>
      <c r="BK151" s="205">
        <v>0.28000000000000003</v>
      </c>
      <c r="BL151" s="214" t="str">
        <f t="shared" si="5"/>
        <v/>
      </c>
    </row>
    <row r="152" spans="23:64" x14ac:dyDescent="0.25">
      <c r="W152" s="214" t="s">
        <v>274</v>
      </c>
      <c r="X152" s="214" t="s">
        <v>387</v>
      </c>
      <c r="Y152" s="220">
        <v>3</v>
      </c>
      <c r="AW152" s="214" t="s">
        <v>53</v>
      </c>
      <c r="AX152" s="205">
        <v>7</v>
      </c>
      <c r="AY152" s="205">
        <v>0.4</v>
      </c>
      <c r="AZ152" s="205">
        <v>0.5</v>
      </c>
      <c r="BA152" s="205">
        <v>0.08</v>
      </c>
      <c r="BB152" s="214" t="str">
        <f t="shared" si="4"/>
        <v/>
      </c>
      <c r="BG152" s="214" t="s">
        <v>53</v>
      </c>
      <c r="BH152" s="205">
        <v>7</v>
      </c>
      <c r="BI152" s="205">
        <v>0.4</v>
      </c>
      <c r="BJ152" s="205">
        <v>0.5</v>
      </c>
      <c r="BK152" s="205">
        <v>0.26</v>
      </c>
      <c r="BL152" s="214" t="str">
        <f t="shared" si="5"/>
        <v/>
      </c>
    </row>
    <row r="153" spans="23:64" x14ac:dyDescent="0.25">
      <c r="W153" s="214" t="s">
        <v>239</v>
      </c>
      <c r="X153" s="214" t="s">
        <v>388</v>
      </c>
      <c r="Y153" s="220">
        <v>2</v>
      </c>
      <c r="AW153" s="214" t="s">
        <v>53</v>
      </c>
      <c r="AX153" s="205">
        <v>8</v>
      </c>
      <c r="AY153" s="205">
        <v>0.4</v>
      </c>
      <c r="AZ153" s="205">
        <v>0.5</v>
      </c>
      <c r="BA153" s="205">
        <v>0.1</v>
      </c>
      <c r="BB153" s="214" t="str">
        <f t="shared" si="4"/>
        <v/>
      </c>
      <c r="BG153" s="214" t="s">
        <v>53</v>
      </c>
      <c r="BH153" s="205">
        <v>8</v>
      </c>
      <c r="BI153" s="205">
        <v>0.4</v>
      </c>
      <c r="BJ153" s="205">
        <v>0.5</v>
      </c>
      <c r="BK153" s="205">
        <v>0.27</v>
      </c>
      <c r="BL153" s="214" t="str">
        <f t="shared" si="5"/>
        <v/>
      </c>
    </row>
    <row r="154" spans="23:64" x14ac:dyDescent="0.25">
      <c r="W154" s="214" t="s">
        <v>274</v>
      </c>
      <c r="X154" s="214" t="s">
        <v>389</v>
      </c>
      <c r="Y154" s="220">
        <v>3</v>
      </c>
      <c r="AW154" s="214" t="s">
        <v>53</v>
      </c>
      <c r="AX154" s="205">
        <v>1</v>
      </c>
      <c r="AY154" s="205">
        <v>0.5</v>
      </c>
      <c r="AZ154" s="205">
        <v>100</v>
      </c>
      <c r="BA154" s="205">
        <v>0.34</v>
      </c>
      <c r="BB154" s="214" t="str">
        <f t="shared" si="4"/>
        <v/>
      </c>
      <c r="BG154" s="214" t="s">
        <v>53</v>
      </c>
      <c r="BH154" s="205">
        <v>1</v>
      </c>
      <c r="BI154" s="205">
        <v>0.5</v>
      </c>
      <c r="BJ154" s="205">
        <v>100</v>
      </c>
      <c r="BK154" s="205">
        <v>0.3</v>
      </c>
      <c r="BL154" s="214" t="str">
        <f t="shared" si="5"/>
        <v/>
      </c>
    </row>
    <row r="155" spans="23:64" x14ac:dyDescent="0.25">
      <c r="W155" s="214" t="s">
        <v>274</v>
      </c>
      <c r="X155" s="214" t="s">
        <v>390</v>
      </c>
      <c r="Y155" s="220">
        <v>2</v>
      </c>
      <c r="AW155" s="214" t="s">
        <v>53</v>
      </c>
      <c r="AX155" s="205">
        <v>2</v>
      </c>
      <c r="AY155" s="205">
        <v>0.5</v>
      </c>
      <c r="AZ155" s="205">
        <v>100</v>
      </c>
      <c r="BA155" s="205">
        <v>0.32</v>
      </c>
      <c r="BB155" s="214" t="str">
        <f t="shared" si="4"/>
        <v/>
      </c>
      <c r="BG155" s="214" t="s">
        <v>53</v>
      </c>
      <c r="BH155" s="205">
        <v>2</v>
      </c>
      <c r="BI155" s="205">
        <v>0.5</v>
      </c>
      <c r="BJ155" s="205">
        <v>100</v>
      </c>
      <c r="BK155" s="205">
        <v>0.28000000000000003</v>
      </c>
      <c r="BL155" s="214" t="str">
        <f t="shared" si="5"/>
        <v/>
      </c>
    </row>
    <row r="156" spans="23:64" x14ac:dyDescent="0.25">
      <c r="W156" s="214" t="s">
        <v>274</v>
      </c>
      <c r="X156" s="214" t="s">
        <v>391</v>
      </c>
      <c r="Y156" s="220">
        <v>3</v>
      </c>
      <c r="AW156" s="214" t="s">
        <v>53</v>
      </c>
      <c r="AX156" s="205">
        <v>3</v>
      </c>
      <c r="AY156" s="205">
        <v>0.5</v>
      </c>
      <c r="AZ156" s="205">
        <v>100</v>
      </c>
      <c r="BA156" s="205">
        <v>0.2</v>
      </c>
      <c r="BB156" s="214" t="str">
        <f t="shared" si="4"/>
        <v/>
      </c>
      <c r="BG156" s="214" t="s">
        <v>53</v>
      </c>
      <c r="BH156" s="205">
        <v>3</v>
      </c>
      <c r="BI156" s="205">
        <v>0.5</v>
      </c>
      <c r="BJ156" s="205">
        <v>100</v>
      </c>
      <c r="BK156" s="205">
        <v>0.28000000000000003</v>
      </c>
      <c r="BL156" s="214" t="str">
        <f t="shared" si="5"/>
        <v/>
      </c>
    </row>
    <row r="157" spans="23:64" x14ac:dyDescent="0.25">
      <c r="W157" s="214" t="s">
        <v>274</v>
      </c>
      <c r="X157" s="214" t="s">
        <v>392</v>
      </c>
      <c r="Y157" s="220">
        <v>3</v>
      </c>
      <c r="AW157" s="214" t="s">
        <v>53</v>
      </c>
      <c r="AX157" s="205">
        <v>4</v>
      </c>
      <c r="AY157" s="205">
        <v>0.5</v>
      </c>
      <c r="AZ157" s="205">
        <v>100</v>
      </c>
      <c r="BA157" s="205">
        <v>0.15</v>
      </c>
      <c r="BB157" s="214" t="str">
        <f t="shared" si="4"/>
        <v/>
      </c>
      <c r="BG157" s="214" t="s">
        <v>53</v>
      </c>
      <c r="BH157" s="205">
        <v>4</v>
      </c>
      <c r="BI157" s="205">
        <v>0.5</v>
      </c>
      <c r="BJ157" s="205">
        <v>100</v>
      </c>
      <c r="BK157" s="205">
        <v>0.27</v>
      </c>
      <c r="BL157" s="214" t="str">
        <f t="shared" si="5"/>
        <v/>
      </c>
    </row>
    <row r="158" spans="23:64" x14ac:dyDescent="0.25">
      <c r="W158" s="214" t="s">
        <v>274</v>
      </c>
      <c r="X158" s="214" t="s">
        <v>393</v>
      </c>
      <c r="Y158" s="220">
        <v>3</v>
      </c>
      <c r="AW158" s="214" t="s">
        <v>53</v>
      </c>
      <c r="AX158" s="205">
        <v>5</v>
      </c>
      <c r="AY158" s="205">
        <v>0.5</v>
      </c>
      <c r="AZ158" s="205">
        <v>100</v>
      </c>
      <c r="BA158" s="205">
        <v>0.21</v>
      </c>
      <c r="BB158" s="214" t="str">
        <f t="shared" si="4"/>
        <v/>
      </c>
      <c r="BG158" s="214" t="s">
        <v>53</v>
      </c>
      <c r="BH158" s="205">
        <v>5</v>
      </c>
      <c r="BI158" s="205">
        <v>0.5</v>
      </c>
      <c r="BJ158" s="205">
        <v>100</v>
      </c>
      <c r="BK158" s="205">
        <v>0.28999999999999998</v>
      </c>
      <c r="BL158" s="214" t="str">
        <f t="shared" si="5"/>
        <v/>
      </c>
    </row>
    <row r="159" spans="23:64" x14ac:dyDescent="0.25">
      <c r="W159" s="214" t="s">
        <v>274</v>
      </c>
      <c r="X159" s="214" t="s">
        <v>394</v>
      </c>
      <c r="Y159" s="220">
        <v>3</v>
      </c>
      <c r="AW159" s="214" t="s">
        <v>53</v>
      </c>
      <c r="AX159" s="205">
        <v>6</v>
      </c>
      <c r="AY159" s="205">
        <v>0.5</v>
      </c>
      <c r="AZ159" s="205">
        <v>100</v>
      </c>
      <c r="BA159" s="205">
        <v>0.14000000000000001</v>
      </c>
      <c r="BB159" s="214" t="str">
        <f t="shared" si="4"/>
        <v/>
      </c>
      <c r="BG159" s="214" t="s">
        <v>53</v>
      </c>
      <c r="BH159" s="205">
        <v>6</v>
      </c>
      <c r="BI159" s="205">
        <v>0.5</v>
      </c>
      <c r="BJ159" s="205">
        <v>100</v>
      </c>
      <c r="BK159" s="205">
        <v>0.28000000000000003</v>
      </c>
      <c r="BL159" s="214" t="str">
        <f t="shared" si="5"/>
        <v/>
      </c>
    </row>
    <row r="160" spans="23:64" x14ac:dyDescent="0.25">
      <c r="W160" s="214" t="s">
        <v>274</v>
      </c>
      <c r="X160" s="214" t="s">
        <v>395</v>
      </c>
      <c r="Y160" s="220">
        <v>2</v>
      </c>
      <c r="AW160" s="214" t="s">
        <v>53</v>
      </c>
      <c r="AX160" s="205">
        <v>7</v>
      </c>
      <c r="AY160" s="205">
        <v>0.5</v>
      </c>
      <c r="AZ160" s="205">
        <v>100</v>
      </c>
      <c r="BA160" s="205">
        <v>0.08</v>
      </c>
      <c r="BB160" s="214" t="str">
        <f t="shared" si="4"/>
        <v/>
      </c>
      <c r="BG160" s="214" t="s">
        <v>53</v>
      </c>
      <c r="BH160" s="205">
        <v>7</v>
      </c>
      <c r="BI160" s="205">
        <v>0.5</v>
      </c>
      <c r="BJ160" s="205">
        <v>100</v>
      </c>
      <c r="BK160" s="205">
        <v>0.26</v>
      </c>
      <c r="BL160" s="214" t="str">
        <f t="shared" si="5"/>
        <v/>
      </c>
    </row>
    <row r="161" spans="23:64" x14ac:dyDescent="0.25">
      <c r="W161" s="214" t="s">
        <v>239</v>
      </c>
      <c r="X161" s="214" t="s">
        <v>396</v>
      </c>
      <c r="Y161" s="220">
        <v>2</v>
      </c>
      <c r="AW161" s="214" t="s">
        <v>53</v>
      </c>
      <c r="AX161" s="205">
        <v>8</v>
      </c>
      <c r="AY161" s="205">
        <v>0.5</v>
      </c>
      <c r="AZ161" s="205">
        <v>100</v>
      </c>
      <c r="BA161" s="205">
        <v>0.1</v>
      </c>
      <c r="BB161" s="214" t="str">
        <f t="shared" si="4"/>
        <v/>
      </c>
      <c r="BG161" s="214" t="s">
        <v>53</v>
      </c>
      <c r="BH161" s="205">
        <v>8</v>
      </c>
      <c r="BI161" s="205">
        <v>0.5</v>
      </c>
      <c r="BJ161" s="205">
        <v>100</v>
      </c>
      <c r="BK161" s="205">
        <v>0.27</v>
      </c>
      <c r="BL161" s="214" t="str">
        <f t="shared" si="5"/>
        <v/>
      </c>
    </row>
    <row r="162" spans="23:64" x14ac:dyDescent="0.25">
      <c r="W162" s="214" t="s">
        <v>274</v>
      </c>
      <c r="X162" s="214" t="s">
        <v>397</v>
      </c>
      <c r="Y162" s="220">
        <v>2</v>
      </c>
      <c r="AW162" s="214" t="s">
        <v>54</v>
      </c>
      <c r="AX162" s="205">
        <v>1</v>
      </c>
      <c r="AY162" s="205">
        <v>0</v>
      </c>
      <c r="AZ162" s="205">
        <v>0.2</v>
      </c>
      <c r="BA162" s="205">
        <v>0.43</v>
      </c>
      <c r="BB162" s="214" t="str">
        <f t="shared" si="4"/>
        <v/>
      </c>
      <c r="BG162" s="214" t="s">
        <v>5851</v>
      </c>
      <c r="BH162" s="205">
        <v>1</v>
      </c>
      <c r="BI162" s="205">
        <v>0</v>
      </c>
      <c r="BJ162" s="205">
        <v>0.2</v>
      </c>
      <c r="BK162" s="205">
        <v>0.37</v>
      </c>
      <c r="BL162" s="214" t="str">
        <f t="shared" si="5"/>
        <v/>
      </c>
    </row>
    <row r="163" spans="23:64" x14ac:dyDescent="0.25">
      <c r="W163" s="214" t="s">
        <v>398</v>
      </c>
      <c r="X163" s="214" t="s">
        <v>399</v>
      </c>
      <c r="Y163" s="220">
        <v>5</v>
      </c>
      <c r="AW163" s="214" t="s">
        <v>54</v>
      </c>
      <c r="AX163" s="205">
        <v>2</v>
      </c>
      <c r="AY163" s="205">
        <v>0</v>
      </c>
      <c r="AZ163" s="205">
        <v>0.2</v>
      </c>
      <c r="BA163" s="205">
        <v>0.38</v>
      </c>
      <c r="BB163" s="214" t="str">
        <f t="shared" si="4"/>
        <v/>
      </c>
      <c r="BG163" s="214" t="s">
        <v>5851</v>
      </c>
      <c r="BH163" s="205">
        <v>2</v>
      </c>
      <c r="BI163" s="205">
        <v>0</v>
      </c>
      <c r="BJ163" s="205">
        <v>0.2</v>
      </c>
      <c r="BK163" s="205">
        <v>0.36</v>
      </c>
      <c r="BL163" s="214" t="str">
        <f t="shared" si="5"/>
        <v/>
      </c>
    </row>
    <row r="164" spans="23:64" x14ac:dyDescent="0.25">
      <c r="W164" s="214" t="s">
        <v>398</v>
      </c>
      <c r="X164" s="214" t="s">
        <v>400</v>
      </c>
      <c r="Y164" s="220">
        <v>5</v>
      </c>
      <c r="AW164" s="214" t="s">
        <v>54</v>
      </c>
      <c r="AX164" s="205">
        <v>3</v>
      </c>
      <c r="AY164" s="205">
        <v>0</v>
      </c>
      <c r="AZ164" s="205">
        <v>0.2</v>
      </c>
      <c r="BA164" s="205">
        <v>0.34</v>
      </c>
      <c r="BB164" s="214" t="str">
        <f t="shared" si="4"/>
        <v/>
      </c>
      <c r="BG164" s="214" t="s">
        <v>5851</v>
      </c>
      <c r="BH164" s="205">
        <v>3</v>
      </c>
      <c r="BI164" s="205">
        <v>0</v>
      </c>
      <c r="BJ164" s="205">
        <v>0.2</v>
      </c>
      <c r="BK164" s="205">
        <v>0.36</v>
      </c>
      <c r="BL164" s="214" t="str">
        <f t="shared" si="5"/>
        <v/>
      </c>
    </row>
    <row r="165" spans="23:64" x14ac:dyDescent="0.25">
      <c r="W165" s="214" t="s">
        <v>244</v>
      </c>
      <c r="X165" s="214" t="s">
        <v>401</v>
      </c>
      <c r="Y165" s="220">
        <v>5</v>
      </c>
      <c r="AW165" s="214" t="s">
        <v>54</v>
      </c>
      <c r="AX165" s="205">
        <v>4</v>
      </c>
      <c r="AY165" s="205">
        <v>0</v>
      </c>
      <c r="AZ165" s="205">
        <v>0.2</v>
      </c>
      <c r="BA165" s="205">
        <v>0.28000000000000003</v>
      </c>
      <c r="BB165" s="214" t="str">
        <f t="shared" si="4"/>
        <v/>
      </c>
      <c r="BG165" s="214" t="s">
        <v>5851</v>
      </c>
      <c r="BH165" s="205">
        <v>4</v>
      </c>
      <c r="BI165" s="205">
        <v>0</v>
      </c>
      <c r="BJ165" s="205">
        <v>0.2</v>
      </c>
      <c r="BK165" s="205">
        <v>0.35</v>
      </c>
      <c r="BL165" s="214" t="str">
        <f t="shared" si="5"/>
        <v/>
      </c>
    </row>
    <row r="166" spans="23:64" x14ac:dyDescent="0.25">
      <c r="W166" s="214" t="s">
        <v>274</v>
      </c>
      <c r="X166" s="214" t="s">
        <v>402</v>
      </c>
      <c r="Y166" s="220">
        <v>3</v>
      </c>
      <c r="AW166" s="214" t="s">
        <v>54</v>
      </c>
      <c r="AX166" s="205">
        <v>5</v>
      </c>
      <c r="AY166" s="205">
        <v>0</v>
      </c>
      <c r="AZ166" s="205">
        <v>0.2</v>
      </c>
      <c r="BA166" s="205">
        <v>0.33</v>
      </c>
      <c r="BB166" s="214" t="str">
        <f t="shared" si="4"/>
        <v/>
      </c>
      <c r="BG166" s="214" t="s">
        <v>5851</v>
      </c>
      <c r="BH166" s="205">
        <v>5</v>
      </c>
      <c r="BI166" s="205">
        <v>0</v>
      </c>
      <c r="BJ166" s="205">
        <v>0.2</v>
      </c>
      <c r="BK166" s="205">
        <v>0.36</v>
      </c>
      <c r="BL166" s="214" t="str">
        <f t="shared" si="5"/>
        <v/>
      </c>
    </row>
    <row r="167" spans="23:64" x14ac:dyDescent="0.25">
      <c r="W167" s="214" t="s">
        <v>274</v>
      </c>
      <c r="X167" s="214" t="s">
        <v>403</v>
      </c>
      <c r="Y167" s="220">
        <v>2</v>
      </c>
      <c r="AW167" s="214" t="s">
        <v>54</v>
      </c>
      <c r="AX167" s="205">
        <v>6</v>
      </c>
      <c r="AY167" s="205">
        <v>0</v>
      </c>
      <c r="AZ167" s="205">
        <v>0.2</v>
      </c>
      <c r="BA167" s="205">
        <v>0.28999999999999998</v>
      </c>
      <c r="BB167" s="214" t="str">
        <f t="shared" si="4"/>
        <v/>
      </c>
      <c r="BG167" s="214" t="s">
        <v>5851</v>
      </c>
      <c r="BH167" s="205">
        <v>6</v>
      </c>
      <c r="BI167" s="205">
        <v>0</v>
      </c>
      <c r="BJ167" s="205">
        <v>0.2</v>
      </c>
      <c r="BK167" s="205">
        <v>0.36</v>
      </c>
      <c r="BL167" s="214" t="str">
        <f t="shared" si="5"/>
        <v/>
      </c>
    </row>
    <row r="168" spans="23:64" x14ac:dyDescent="0.25">
      <c r="W168" s="214" t="s">
        <v>274</v>
      </c>
      <c r="X168" s="214" t="s">
        <v>404</v>
      </c>
      <c r="Y168" s="220">
        <v>2</v>
      </c>
      <c r="AW168" s="214" t="s">
        <v>54</v>
      </c>
      <c r="AX168" s="205">
        <v>7</v>
      </c>
      <c r="AY168" s="205">
        <v>0</v>
      </c>
      <c r="AZ168" s="205">
        <v>0.2</v>
      </c>
      <c r="BA168" s="205">
        <v>0.19</v>
      </c>
      <c r="BB168" s="214" t="str">
        <f t="shared" si="4"/>
        <v/>
      </c>
      <c r="BG168" s="214" t="s">
        <v>5851</v>
      </c>
      <c r="BH168" s="205">
        <v>7</v>
      </c>
      <c r="BI168" s="205">
        <v>0</v>
      </c>
      <c r="BJ168" s="205">
        <v>0.2</v>
      </c>
      <c r="BK168" s="205">
        <v>0.34</v>
      </c>
      <c r="BL168" s="214" t="str">
        <f t="shared" si="5"/>
        <v/>
      </c>
    </row>
    <row r="169" spans="23:64" x14ac:dyDescent="0.25">
      <c r="W169" s="214" t="s">
        <v>274</v>
      </c>
      <c r="X169" s="214" t="s">
        <v>405</v>
      </c>
      <c r="Y169" s="220">
        <v>4</v>
      </c>
      <c r="AW169" s="214" t="s">
        <v>54</v>
      </c>
      <c r="AX169" s="205">
        <v>8</v>
      </c>
      <c r="AY169" s="205">
        <v>0</v>
      </c>
      <c r="AZ169" s="205">
        <v>0.2</v>
      </c>
      <c r="BA169" s="205">
        <v>0.23</v>
      </c>
      <c r="BB169" s="214" t="str">
        <f t="shared" si="4"/>
        <v/>
      </c>
      <c r="BG169" s="214" t="s">
        <v>5851</v>
      </c>
      <c r="BH169" s="205">
        <v>8</v>
      </c>
      <c r="BI169" s="205">
        <v>0</v>
      </c>
      <c r="BJ169" s="205">
        <v>0.2</v>
      </c>
      <c r="BK169" s="205">
        <v>0.35</v>
      </c>
      <c r="BL169" s="214" t="str">
        <f t="shared" si="5"/>
        <v/>
      </c>
    </row>
    <row r="170" spans="23:64" x14ac:dyDescent="0.25">
      <c r="W170" s="214" t="s">
        <v>274</v>
      </c>
      <c r="X170" s="214" t="s">
        <v>406</v>
      </c>
      <c r="Y170" s="220">
        <v>3</v>
      </c>
      <c r="AW170" s="214" t="s">
        <v>54</v>
      </c>
      <c r="AX170" s="205">
        <v>1</v>
      </c>
      <c r="AY170" s="205">
        <v>0.2</v>
      </c>
      <c r="AZ170" s="205">
        <v>0.3</v>
      </c>
      <c r="BA170" s="205">
        <v>0.44</v>
      </c>
      <c r="BB170" s="214" t="str">
        <f t="shared" si="4"/>
        <v/>
      </c>
      <c r="BG170" s="214" t="s">
        <v>5851</v>
      </c>
      <c r="BH170" s="205">
        <v>1</v>
      </c>
      <c r="BI170" s="205">
        <v>0.2</v>
      </c>
      <c r="BJ170" s="205">
        <v>0.3</v>
      </c>
      <c r="BK170" s="205">
        <v>0.35</v>
      </c>
      <c r="BL170" s="214" t="str">
        <f t="shared" si="5"/>
        <v/>
      </c>
    </row>
    <row r="171" spans="23:64" x14ac:dyDescent="0.25">
      <c r="W171" s="214" t="s">
        <v>274</v>
      </c>
      <c r="X171" s="214" t="s">
        <v>407</v>
      </c>
      <c r="Y171" s="220">
        <v>4</v>
      </c>
      <c r="AW171" s="214" t="s">
        <v>54</v>
      </c>
      <c r="AX171" s="205">
        <v>2</v>
      </c>
      <c r="AY171" s="205">
        <v>0.2</v>
      </c>
      <c r="AZ171" s="205">
        <v>0.3</v>
      </c>
      <c r="BA171" s="205">
        <v>0.39</v>
      </c>
      <c r="BB171" s="214" t="str">
        <f t="shared" si="4"/>
        <v/>
      </c>
      <c r="BG171" s="214" t="s">
        <v>5851</v>
      </c>
      <c r="BH171" s="205">
        <v>2</v>
      </c>
      <c r="BI171" s="205">
        <v>0.2</v>
      </c>
      <c r="BJ171" s="205">
        <v>0.3</v>
      </c>
      <c r="BK171" s="205">
        <v>0.34</v>
      </c>
      <c r="BL171" s="214" t="str">
        <f t="shared" si="5"/>
        <v/>
      </c>
    </row>
    <row r="172" spans="23:64" x14ac:dyDescent="0.25">
      <c r="W172" s="214" t="s">
        <v>274</v>
      </c>
      <c r="X172" s="214" t="s">
        <v>408</v>
      </c>
      <c r="Y172" s="220">
        <v>4</v>
      </c>
      <c r="AW172" s="214" t="s">
        <v>54</v>
      </c>
      <c r="AX172" s="205">
        <v>3</v>
      </c>
      <c r="AY172" s="205">
        <v>0.2</v>
      </c>
      <c r="AZ172" s="205">
        <v>0.3</v>
      </c>
      <c r="BA172" s="205">
        <v>0.34</v>
      </c>
      <c r="BB172" s="214" t="str">
        <f t="shared" si="4"/>
        <v/>
      </c>
      <c r="BG172" s="214" t="s">
        <v>5851</v>
      </c>
      <c r="BH172" s="205">
        <v>3</v>
      </c>
      <c r="BI172" s="205">
        <v>0.2</v>
      </c>
      <c r="BJ172" s="205">
        <v>0.3</v>
      </c>
      <c r="BK172" s="205">
        <v>0.34</v>
      </c>
      <c r="BL172" s="214" t="str">
        <f t="shared" si="5"/>
        <v/>
      </c>
    </row>
    <row r="173" spans="23:64" x14ac:dyDescent="0.25">
      <c r="W173" s="214" t="s">
        <v>274</v>
      </c>
      <c r="X173" s="214" t="s">
        <v>409</v>
      </c>
      <c r="Y173" s="220">
        <v>3</v>
      </c>
      <c r="AW173" s="214" t="s">
        <v>54</v>
      </c>
      <c r="AX173" s="205">
        <v>4</v>
      </c>
      <c r="AY173" s="205">
        <v>0.2</v>
      </c>
      <c r="AZ173" s="205">
        <v>0.3</v>
      </c>
      <c r="BA173" s="205">
        <v>0.28999999999999998</v>
      </c>
      <c r="BB173" s="214" t="str">
        <f t="shared" si="4"/>
        <v/>
      </c>
      <c r="BG173" s="214" t="s">
        <v>5851</v>
      </c>
      <c r="BH173" s="205">
        <v>4</v>
      </c>
      <c r="BI173" s="205">
        <v>0.2</v>
      </c>
      <c r="BJ173" s="205">
        <v>0.3</v>
      </c>
      <c r="BK173" s="205">
        <v>0.34</v>
      </c>
      <c r="BL173" s="214" t="str">
        <f t="shared" si="5"/>
        <v/>
      </c>
    </row>
    <row r="174" spans="23:64" x14ac:dyDescent="0.25">
      <c r="W174" s="214" t="s">
        <v>274</v>
      </c>
      <c r="X174" s="214" t="s">
        <v>410</v>
      </c>
      <c r="Y174" s="220">
        <v>3</v>
      </c>
      <c r="AW174" s="214" t="s">
        <v>54</v>
      </c>
      <c r="AX174" s="205">
        <v>5</v>
      </c>
      <c r="AY174" s="205">
        <v>0.2</v>
      </c>
      <c r="AZ174" s="205">
        <v>0.3</v>
      </c>
      <c r="BA174" s="205">
        <v>0.34</v>
      </c>
      <c r="BB174" s="214" t="str">
        <f t="shared" si="4"/>
        <v/>
      </c>
      <c r="BG174" s="214" t="s">
        <v>5851</v>
      </c>
      <c r="BH174" s="205">
        <v>5</v>
      </c>
      <c r="BI174" s="205">
        <v>0.2</v>
      </c>
      <c r="BJ174" s="205">
        <v>0.3</v>
      </c>
      <c r="BK174" s="205">
        <v>0.34</v>
      </c>
      <c r="BL174" s="214" t="str">
        <f t="shared" si="5"/>
        <v/>
      </c>
    </row>
    <row r="175" spans="23:64" x14ac:dyDescent="0.25">
      <c r="W175" s="214" t="s">
        <v>274</v>
      </c>
      <c r="X175" s="214" t="s">
        <v>411</v>
      </c>
      <c r="Y175" s="220">
        <v>3</v>
      </c>
      <c r="AW175" s="214" t="s">
        <v>54</v>
      </c>
      <c r="AX175" s="205">
        <v>6</v>
      </c>
      <c r="AY175" s="205">
        <v>0.2</v>
      </c>
      <c r="AZ175" s="205">
        <v>0.3</v>
      </c>
      <c r="BA175" s="205">
        <v>0.28999999999999998</v>
      </c>
      <c r="BB175" s="214" t="str">
        <f t="shared" si="4"/>
        <v/>
      </c>
      <c r="BG175" s="214" t="s">
        <v>5851</v>
      </c>
      <c r="BH175" s="205">
        <v>6</v>
      </c>
      <c r="BI175" s="205">
        <v>0.2</v>
      </c>
      <c r="BJ175" s="205">
        <v>0.3</v>
      </c>
      <c r="BK175" s="205">
        <v>0.34</v>
      </c>
      <c r="BL175" s="214" t="str">
        <f t="shared" si="5"/>
        <v/>
      </c>
    </row>
    <row r="176" spans="23:64" x14ac:dyDescent="0.25">
      <c r="W176" s="214" t="s">
        <v>274</v>
      </c>
      <c r="X176" s="214" t="s">
        <v>412</v>
      </c>
      <c r="Y176" s="220">
        <v>3</v>
      </c>
      <c r="AW176" s="214" t="s">
        <v>54</v>
      </c>
      <c r="AX176" s="205">
        <v>7</v>
      </c>
      <c r="AY176" s="205">
        <v>0.2</v>
      </c>
      <c r="AZ176" s="205">
        <v>0.3</v>
      </c>
      <c r="BA176" s="205">
        <v>0.2</v>
      </c>
      <c r="BB176" s="214" t="str">
        <f t="shared" si="4"/>
        <v/>
      </c>
      <c r="BG176" s="214" t="s">
        <v>5851</v>
      </c>
      <c r="BH176" s="205">
        <v>7</v>
      </c>
      <c r="BI176" s="205">
        <v>0.2</v>
      </c>
      <c r="BJ176" s="205">
        <v>0.3</v>
      </c>
      <c r="BK176" s="205">
        <v>0.33</v>
      </c>
      <c r="BL176" s="214" t="str">
        <f t="shared" si="5"/>
        <v/>
      </c>
    </row>
    <row r="177" spans="23:64" x14ac:dyDescent="0.25">
      <c r="W177" s="214" t="s">
        <v>274</v>
      </c>
      <c r="X177" s="214" t="s">
        <v>413</v>
      </c>
      <c r="Y177" s="220">
        <v>3</v>
      </c>
      <c r="AW177" s="214" t="s">
        <v>54</v>
      </c>
      <c r="AX177" s="205">
        <v>8</v>
      </c>
      <c r="AY177" s="205">
        <v>0.2</v>
      </c>
      <c r="AZ177" s="205">
        <v>0.3</v>
      </c>
      <c r="BA177" s="205">
        <v>0.23</v>
      </c>
      <c r="BB177" s="214" t="str">
        <f t="shared" si="4"/>
        <v/>
      </c>
      <c r="BG177" s="214" t="s">
        <v>5851</v>
      </c>
      <c r="BH177" s="205">
        <v>8</v>
      </c>
      <c r="BI177" s="205">
        <v>0.2</v>
      </c>
      <c r="BJ177" s="205">
        <v>0.3</v>
      </c>
      <c r="BK177" s="205">
        <v>0.33</v>
      </c>
      <c r="BL177" s="214" t="str">
        <f t="shared" si="5"/>
        <v/>
      </c>
    </row>
    <row r="178" spans="23:64" x14ac:dyDescent="0.25">
      <c r="W178" s="214" t="s">
        <v>274</v>
      </c>
      <c r="X178" s="214" t="s">
        <v>414</v>
      </c>
      <c r="Y178" s="220">
        <v>4</v>
      </c>
      <c r="AW178" s="214" t="s">
        <v>54</v>
      </c>
      <c r="AX178" s="205">
        <v>1</v>
      </c>
      <c r="AY178" s="205">
        <v>0.3</v>
      </c>
      <c r="AZ178" s="205">
        <v>0.4</v>
      </c>
      <c r="BA178" s="205">
        <v>0.45</v>
      </c>
      <c r="BB178" s="214" t="str">
        <f t="shared" si="4"/>
        <v/>
      </c>
      <c r="BG178" s="214" t="s">
        <v>5851</v>
      </c>
      <c r="BH178" s="205">
        <v>1</v>
      </c>
      <c r="BI178" s="205">
        <v>0.3</v>
      </c>
      <c r="BJ178" s="205">
        <v>0.4</v>
      </c>
      <c r="BK178" s="205">
        <v>0.34</v>
      </c>
      <c r="BL178" s="214" t="str">
        <f t="shared" si="5"/>
        <v/>
      </c>
    </row>
    <row r="179" spans="23:64" x14ac:dyDescent="0.25">
      <c r="W179" s="214" t="s">
        <v>274</v>
      </c>
      <c r="X179" s="214" t="s">
        <v>415</v>
      </c>
      <c r="Y179" s="220">
        <v>3</v>
      </c>
      <c r="AW179" s="214" t="s">
        <v>54</v>
      </c>
      <c r="AX179" s="205">
        <v>2</v>
      </c>
      <c r="AY179" s="205">
        <v>0.3</v>
      </c>
      <c r="AZ179" s="205">
        <v>0.4</v>
      </c>
      <c r="BA179" s="205">
        <v>0.41</v>
      </c>
      <c r="BB179" s="214" t="str">
        <f t="shared" si="4"/>
        <v/>
      </c>
      <c r="BG179" s="214" t="s">
        <v>5851</v>
      </c>
      <c r="BH179" s="205">
        <v>2</v>
      </c>
      <c r="BI179" s="205">
        <v>0.3</v>
      </c>
      <c r="BJ179" s="205">
        <v>0.4</v>
      </c>
      <c r="BK179" s="205">
        <v>0.34</v>
      </c>
      <c r="BL179" s="214" t="str">
        <f t="shared" si="5"/>
        <v/>
      </c>
    </row>
    <row r="180" spans="23:64" x14ac:dyDescent="0.25">
      <c r="W180" s="214" t="s">
        <v>274</v>
      </c>
      <c r="X180" s="214" t="s">
        <v>416</v>
      </c>
      <c r="Y180" s="220">
        <v>3</v>
      </c>
      <c r="AW180" s="214" t="s">
        <v>54</v>
      </c>
      <c r="AX180" s="205">
        <v>3</v>
      </c>
      <c r="AY180" s="205">
        <v>0.3</v>
      </c>
      <c r="AZ180" s="205">
        <v>0.4</v>
      </c>
      <c r="BA180" s="205">
        <v>0.36</v>
      </c>
      <c r="BB180" s="214" t="str">
        <f t="shared" si="4"/>
        <v/>
      </c>
      <c r="BG180" s="214" t="s">
        <v>5851</v>
      </c>
      <c r="BH180" s="205">
        <v>3</v>
      </c>
      <c r="BI180" s="205">
        <v>0.3</v>
      </c>
      <c r="BJ180" s="205">
        <v>0.4</v>
      </c>
      <c r="BK180" s="205">
        <v>0.34</v>
      </c>
      <c r="BL180" s="214" t="str">
        <f t="shared" si="5"/>
        <v/>
      </c>
    </row>
    <row r="181" spans="23:64" x14ac:dyDescent="0.25">
      <c r="W181" s="214" t="s">
        <v>274</v>
      </c>
      <c r="X181" s="214" t="s">
        <v>417</v>
      </c>
      <c r="Y181" s="220">
        <v>3</v>
      </c>
      <c r="AW181" s="214" t="s">
        <v>54</v>
      </c>
      <c r="AX181" s="205">
        <v>4</v>
      </c>
      <c r="AY181" s="205">
        <v>0.3</v>
      </c>
      <c r="AZ181" s="205">
        <v>0.4</v>
      </c>
      <c r="BA181" s="205">
        <v>0.3</v>
      </c>
      <c r="BB181" s="214" t="str">
        <f t="shared" si="4"/>
        <v/>
      </c>
      <c r="BG181" s="214" t="s">
        <v>5851</v>
      </c>
      <c r="BH181" s="205">
        <v>4</v>
      </c>
      <c r="BI181" s="205">
        <v>0.3</v>
      </c>
      <c r="BJ181" s="205">
        <v>0.4</v>
      </c>
      <c r="BK181" s="205">
        <v>0.33</v>
      </c>
      <c r="BL181" s="214" t="str">
        <f t="shared" si="5"/>
        <v/>
      </c>
    </row>
    <row r="182" spans="23:64" x14ac:dyDescent="0.25">
      <c r="W182" s="214" t="s">
        <v>274</v>
      </c>
      <c r="X182" s="214" t="s">
        <v>418</v>
      </c>
      <c r="Y182" s="220">
        <v>3</v>
      </c>
      <c r="AW182" s="214" t="s">
        <v>54</v>
      </c>
      <c r="AX182" s="205">
        <v>5</v>
      </c>
      <c r="AY182" s="205">
        <v>0.3</v>
      </c>
      <c r="AZ182" s="205">
        <v>0.4</v>
      </c>
      <c r="BA182" s="205">
        <v>0.35</v>
      </c>
      <c r="BB182" s="214" t="str">
        <f t="shared" si="4"/>
        <v/>
      </c>
      <c r="BG182" s="214" t="s">
        <v>5851</v>
      </c>
      <c r="BH182" s="205">
        <v>5</v>
      </c>
      <c r="BI182" s="205">
        <v>0.3</v>
      </c>
      <c r="BJ182" s="205">
        <v>0.4</v>
      </c>
      <c r="BK182" s="205">
        <v>0.34</v>
      </c>
      <c r="BL182" s="214" t="str">
        <f t="shared" si="5"/>
        <v/>
      </c>
    </row>
    <row r="183" spans="23:64" x14ac:dyDescent="0.25">
      <c r="W183" s="214" t="s">
        <v>274</v>
      </c>
      <c r="X183" s="214" t="s">
        <v>419</v>
      </c>
      <c r="Y183" s="220">
        <v>2</v>
      </c>
      <c r="AW183" s="214" t="s">
        <v>54</v>
      </c>
      <c r="AX183" s="205">
        <v>6</v>
      </c>
      <c r="AY183" s="205">
        <v>0.3</v>
      </c>
      <c r="AZ183" s="205">
        <v>0.4</v>
      </c>
      <c r="BA183" s="205">
        <v>0.31</v>
      </c>
      <c r="BB183" s="214" t="str">
        <f t="shared" si="4"/>
        <v/>
      </c>
      <c r="BG183" s="214" t="s">
        <v>5851</v>
      </c>
      <c r="BH183" s="205">
        <v>6</v>
      </c>
      <c r="BI183" s="205">
        <v>0.3</v>
      </c>
      <c r="BJ183" s="205">
        <v>0.4</v>
      </c>
      <c r="BK183" s="205">
        <v>0.34</v>
      </c>
      <c r="BL183" s="214" t="str">
        <f t="shared" si="5"/>
        <v/>
      </c>
    </row>
    <row r="184" spans="23:64" x14ac:dyDescent="0.25">
      <c r="W184" s="214" t="s">
        <v>274</v>
      </c>
      <c r="X184" s="214" t="s">
        <v>420</v>
      </c>
      <c r="Y184" s="220">
        <v>3</v>
      </c>
      <c r="AW184" s="214" t="s">
        <v>54</v>
      </c>
      <c r="AX184" s="205">
        <v>7</v>
      </c>
      <c r="AY184" s="205">
        <v>0.3</v>
      </c>
      <c r="AZ184" s="205">
        <v>0.4</v>
      </c>
      <c r="BA184" s="205">
        <v>0.21</v>
      </c>
      <c r="BB184" s="214" t="str">
        <f t="shared" si="4"/>
        <v/>
      </c>
      <c r="BG184" s="214" t="s">
        <v>5851</v>
      </c>
      <c r="BH184" s="205">
        <v>7</v>
      </c>
      <c r="BI184" s="205">
        <v>0.3</v>
      </c>
      <c r="BJ184" s="205">
        <v>0.4</v>
      </c>
      <c r="BK184" s="205">
        <v>0.33</v>
      </c>
      <c r="BL184" s="214" t="str">
        <f t="shared" si="5"/>
        <v/>
      </c>
    </row>
    <row r="185" spans="23:64" x14ac:dyDescent="0.25">
      <c r="W185" s="214" t="s">
        <v>274</v>
      </c>
      <c r="X185" s="214" t="s">
        <v>421</v>
      </c>
      <c r="Y185" s="220">
        <v>3</v>
      </c>
      <c r="AW185" s="214" t="s">
        <v>54</v>
      </c>
      <c r="AX185" s="205">
        <v>8</v>
      </c>
      <c r="AY185" s="205">
        <v>0.3</v>
      </c>
      <c r="AZ185" s="205">
        <v>0.4</v>
      </c>
      <c r="BA185" s="205">
        <v>0.24</v>
      </c>
      <c r="BB185" s="214" t="str">
        <f t="shared" si="4"/>
        <v/>
      </c>
      <c r="BG185" s="214" t="s">
        <v>5851</v>
      </c>
      <c r="BH185" s="205">
        <v>8</v>
      </c>
      <c r="BI185" s="205">
        <v>0.3</v>
      </c>
      <c r="BJ185" s="205">
        <v>0.4</v>
      </c>
      <c r="BK185" s="205">
        <v>0.33</v>
      </c>
      <c r="BL185" s="214" t="str">
        <f t="shared" si="5"/>
        <v/>
      </c>
    </row>
    <row r="186" spans="23:64" x14ac:dyDescent="0.25">
      <c r="W186" s="214" t="s">
        <v>274</v>
      </c>
      <c r="X186" s="214" t="s">
        <v>422</v>
      </c>
      <c r="Y186" s="220">
        <v>4</v>
      </c>
      <c r="AW186" s="214" t="s">
        <v>54</v>
      </c>
      <c r="AX186" s="205">
        <v>1</v>
      </c>
      <c r="AY186" s="205">
        <v>0.4</v>
      </c>
      <c r="AZ186" s="205">
        <v>100</v>
      </c>
      <c r="BA186" s="205">
        <v>0.47</v>
      </c>
      <c r="BB186" s="214" t="str">
        <f t="shared" si="4"/>
        <v/>
      </c>
      <c r="BG186" s="214" t="s">
        <v>5851</v>
      </c>
      <c r="BH186" s="205">
        <v>1</v>
      </c>
      <c r="BI186" s="205">
        <v>0.4</v>
      </c>
      <c r="BJ186" s="205">
        <v>100</v>
      </c>
      <c r="BK186" s="205">
        <v>0.34</v>
      </c>
      <c r="BL186" s="214" t="str">
        <f t="shared" si="5"/>
        <v/>
      </c>
    </row>
    <row r="187" spans="23:64" x14ac:dyDescent="0.25">
      <c r="W187" s="214" t="s">
        <v>274</v>
      </c>
      <c r="X187" s="214" t="s">
        <v>423</v>
      </c>
      <c r="Y187" s="220">
        <v>2</v>
      </c>
      <c r="AW187" s="214" t="s">
        <v>54</v>
      </c>
      <c r="AX187" s="205">
        <v>2</v>
      </c>
      <c r="AY187" s="205">
        <v>0.4</v>
      </c>
      <c r="AZ187" s="205">
        <v>100</v>
      </c>
      <c r="BA187" s="205">
        <v>0.42</v>
      </c>
      <c r="BB187" s="214" t="str">
        <f t="shared" si="4"/>
        <v/>
      </c>
      <c r="BG187" s="214" t="s">
        <v>5851</v>
      </c>
      <c r="BH187" s="205">
        <v>2</v>
      </c>
      <c r="BI187" s="205">
        <v>0.4</v>
      </c>
      <c r="BJ187" s="205">
        <v>100</v>
      </c>
      <c r="BK187" s="205">
        <v>0.33</v>
      </c>
      <c r="BL187" s="214" t="str">
        <f t="shared" si="5"/>
        <v/>
      </c>
    </row>
    <row r="188" spans="23:64" x14ac:dyDescent="0.25">
      <c r="W188" s="214" t="s">
        <v>274</v>
      </c>
      <c r="X188" s="214" t="s">
        <v>424</v>
      </c>
      <c r="Y188" s="220">
        <v>3</v>
      </c>
      <c r="AW188" s="214" t="s">
        <v>54</v>
      </c>
      <c r="AX188" s="205">
        <v>3</v>
      </c>
      <c r="AY188" s="205">
        <v>0.4</v>
      </c>
      <c r="AZ188" s="205">
        <v>100</v>
      </c>
      <c r="BA188" s="205">
        <v>0.37</v>
      </c>
      <c r="BB188" s="214" t="str">
        <f t="shared" si="4"/>
        <v/>
      </c>
      <c r="BG188" s="214" t="s">
        <v>5851</v>
      </c>
      <c r="BH188" s="205">
        <v>3</v>
      </c>
      <c r="BI188" s="205">
        <v>0.4</v>
      </c>
      <c r="BJ188" s="205">
        <v>100</v>
      </c>
      <c r="BK188" s="205">
        <v>0.33</v>
      </c>
      <c r="BL188" s="214" t="str">
        <f t="shared" si="5"/>
        <v/>
      </c>
    </row>
    <row r="189" spans="23:64" x14ac:dyDescent="0.25">
      <c r="W189" s="214" t="s">
        <v>274</v>
      </c>
      <c r="X189" s="214" t="s">
        <v>425</v>
      </c>
      <c r="Y189" s="220">
        <v>3</v>
      </c>
      <c r="AW189" s="214" t="s">
        <v>54</v>
      </c>
      <c r="AX189" s="205">
        <v>4</v>
      </c>
      <c r="AY189" s="205">
        <v>0.4</v>
      </c>
      <c r="AZ189" s="205">
        <v>100</v>
      </c>
      <c r="BA189" s="205">
        <v>0.31</v>
      </c>
      <c r="BB189" s="214" t="str">
        <f t="shared" si="4"/>
        <v/>
      </c>
      <c r="BG189" s="214" t="s">
        <v>5851</v>
      </c>
      <c r="BH189" s="205">
        <v>4</v>
      </c>
      <c r="BI189" s="205">
        <v>0.4</v>
      </c>
      <c r="BJ189" s="205">
        <v>100</v>
      </c>
      <c r="BK189" s="205">
        <v>0.33</v>
      </c>
      <c r="BL189" s="214" t="str">
        <f t="shared" si="5"/>
        <v/>
      </c>
    </row>
    <row r="190" spans="23:64" x14ac:dyDescent="0.25">
      <c r="W190" s="214" t="s">
        <v>274</v>
      </c>
      <c r="X190" s="214" t="s">
        <v>426</v>
      </c>
      <c r="Y190" s="220">
        <v>2</v>
      </c>
      <c r="AW190" s="214" t="s">
        <v>54</v>
      </c>
      <c r="AX190" s="205">
        <v>5</v>
      </c>
      <c r="AY190" s="205">
        <v>0.4</v>
      </c>
      <c r="AZ190" s="205">
        <v>100</v>
      </c>
      <c r="BA190" s="205">
        <v>0.36</v>
      </c>
      <c r="BB190" s="214" t="str">
        <f t="shared" si="4"/>
        <v/>
      </c>
      <c r="BG190" s="214" t="s">
        <v>5851</v>
      </c>
      <c r="BH190" s="205">
        <v>5</v>
      </c>
      <c r="BI190" s="205">
        <v>0.4</v>
      </c>
      <c r="BJ190" s="205">
        <v>100</v>
      </c>
      <c r="BK190" s="205">
        <v>0.34</v>
      </c>
      <c r="BL190" s="214" t="str">
        <f t="shared" si="5"/>
        <v/>
      </c>
    </row>
    <row r="191" spans="23:64" x14ac:dyDescent="0.25">
      <c r="W191" s="214" t="s">
        <v>274</v>
      </c>
      <c r="X191" s="214" t="s">
        <v>427</v>
      </c>
      <c r="Y191" s="220">
        <v>3</v>
      </c>
      <c r="AW191" s="214" t="s">
        <v>54</v>
      </c>
      <c r="AX191" s="205">
        <v>6</v>
      </c>
      <c r="AY191" s="205">
        <v>0.4</v>
      </c>
      <c r="AZ191" s="205">
        <v>100</v>
      </c>
      <c r="BA191" s="205">
        <v>0.33</v>
      </c>
      <c r="BB191" s="214" t="str">
        <f t="shared" si="4"/>
        <v/>
      </c>
      <c r="BG191" s="214" t="s">
        <v>5851</v>
      </c>
      <c r="BH191" s="205">
        <v>6</v>
      </c>
      <c r="BI191" s="205">
        <v>0.4</v>
      </c>
      <c r="BJ191" s="205">
        <v>100</v>
      </c>
      <c r="BK191" s="205">
        <v>0.34</v>
      </c>
      <c r="BL191" s="214" t="str">
        <f t="shared" si="5"/>
        <v/>
      </c>
    </row>
    <row r="192" spans="23:64" x14ac:dyDescent="0.25">
      <c r="W192" s="214" t="s">
        <v>274</v>
      </c>
      <c r="X192" s="214" t="s">
        <v>428</v>
      </c>
      <c r="Y192" s="220">
        <v>2</v>
      </c>
      <c r="AW192" s="214" t="s">
        <v>54</v>
      </c>
      <c r="AX192" s="205">
        <v>7</v>
      </c>
      <c r="AY192" s="205">
        <v>0.4</v>
      </c>
      <c r="AZ192" s="205">
        <v>100</v>
      </c>
      <c r="BA192" s="205">
        <v>0.22</v>
      </c>
      <c r="BB192" s="214" t="str">
        <f t="shared" si="4"/>
        <v/>
      </c>
      <c r="BG192" s="214" t="s">
        <v>5851</v>
      </c>
      <c r="BH192" s="205">
        <v>7</v>
      </c>
      <c r="BI192" s="205">
        <v>0.4</v>
      </c>
      <c r="BJ192" s="205">
        <v>100</v>
      </c>
      <c r="BK192" s="205">
        <v>0.33</v>
      </c>
      <c r="BL192" s="214" t="str">
        <f t="shared" si="5"/>
        <v/>
      </c>
    </row>
    <row r="193" spans="23:64" x14ac:dyDescent="0.25">
      <c r="W193" s="214" t="s">
        <v>274</v>
      </c>
      <c r="X193" s="214" t="s">
        <v>429</v>
      </c>
      <c r="Y193" s="220">
        <v>2</v>
      </c>
      <c r="AW193" s="214" t="s">
        <v>54</v>
      </c>
      <c r="AX193" s="205">
        <v>8</v>
      </c>
      <c r="AY193" s="205">
        <v>0.4</v>
      </c>
      <c r="AZ193" s="205">
        <v>100</v>
      </c>
      <c r="BA193" s="205">
        <v>0.25</v>
      </c>
      <c r="BB193" s="214" t="str">
        <f t="shared" si="4"/>
        <v/>
      </c>
      <c r="BG193" s="214" t="s">
        <v>5851</v>
      </c>
      <c r="BH193" s="205">
        <v>8</v>
      </c>
      <c r="BI193" s="205">
        <v>0.4</v>
      </c>
      <c r="BJ193" s="205">
        <v>100</v>
      </c>
      <c r="BK193" s="205">
        <v>0.33</v>
      </c>
      <c r="BL193" s="214" t="str">
        <f t="shared" si="5"/>
        <v/>
      </c>
    </row>
    <row r="194" spans="23:64" x14ac:dyDescent="0.25">
      <c r="W194" s="214" t="s">
        <v>274</v>
      </c>
      <c r="X194" s="214" t="s">
        <v>430</v>
      </c>
      <c r="Y194" s="220">
        <v>3</v>
      </c>
      <c r="AW194" s="214" t="s">
        <v>55</v>
      </c>
      <c r="AX194" s="205">
        <v>1</v>
      </c>
      <c r="AY194" s="205">
        <v>0</v>
      </c>
      <c r="AZ194" s="205">
        <v>0.2</v>
      </c>
      <c r="BA194" s="205">
        <v>0.23</v>
      </c>
      <c r="BB194" s="214" t="str">
        <f t="shared" ref="BB194:BB257" si="6">IF(AX194=$BE$1,IF(AW194=$BD$1,IF(AND($BC$1&gt;AY194,$BC$1&lt;AZ194),BA194,""),""),"")</f>
        <v/>
      </c>
      <c r="BG194" s="214" t="s">
        <v>55</v>
      </c>
      <c r="BH194" s="205">
        <v>1</v>
      </c>
      <c r="BI194" s="205">
        <v>0</v>
      </c>
      <c r="BJ194" s="205">
        <v>0.2</v>
      </c>
      <c r="BK194" s="205">
        <v>0.18</v>
      </c>
      <c r="BL194" s="214" t="str">
        <f t="shared" ref="BL194:BL257" si="7">IF(BH194=$BE$1,IF(BG194=$BD$1,IF(AND($BC$1&gt;BI194,$BC$1&lt;BJ194),BK194,""),""),"")</f>
        <v/>
      </c>
    </row>
    <row r="195" spans="23:64" x14ac:dyDescent="0.25">
      <c r="W195" s="214" t="s">
        <v>274</v>
      </c>
      <c r="X195" s="214" t="s">
        <v>431</v>
      </c>
      <c r="Y195" s="220">
        <v>3</v>
      </c>
      <c r="AW195" s="214" t="s">
        <v>55</v>
      </c>
      <c r="AX195" s="205">
        <v>2</v>
      </c>
      <c r="AY195" s="205">
        <v>0</v>
      </c>
      <c r="AZ195" s="205">
        <v>0.2</v>
      </c>
      <c r="BA195" s="205">
        <v>0.23</v>
      </c>
      <c r="BB195" s="214" t="str">
        <f t="shared" si="6"/>
        <v/>
      </c>
      <c r="BG195" s="214" t="s">
        <v>55</v>
      </c>
      <c r="BH195" s="205">
        <v>2</v>
      </c>
      <c r="BI195" s="205">
        <v>0</v>
      </c>
      <c r="BJ195" s="205">
        <v>0.2</v>
      </c>
      <c r="BK195" s="205">
        <v>0.18</v>
      </c>
      <c r="BL195" s="214" t="str">
        <f t="shared" si="7"/>
        <v/>
      </c>
    </row>
    <row r="196" spans="23:64" x14ac:dyDescent="0.25">
      <c r="W196" s="214" t="s">
        <v>274</v>
      </c>
      <c r="X196" s="214" t="s">
        <v>432</v>
      </c>
      <c r="Y196" s="220">
        <v>3</v>
      </c>
      <c r="AW196" s="214" t="s">
        <v>55</v>
      </c>
      <c r="AX196" s="205">
        <v>3</v>
      </c>
      <c r="AY196" s="205">
        <v>0</v>
      </c>
      <c r="AZ196" s="205">
        <v>0.2</v>
      </c>
      <c r="BA196" s="205">
        <v>0.22</v>
      </c>
      <c r="BB196" s="214" t="str">
        <f t="shared" si="6"/>
        <v/>
      </c>
      <c r="BG196" s="214" t="s">
        <v>55</v>
      </c>
      <c r="BH196" s="205">
        <v>3</v>
      </c>
      <c r="BI196" s="205">
        <v>0</v>
      </c>
      <c r="BJ196" s="205">
        <v>0.2</v>
      </c>
      <c r="BK196" s="205">
        <v>0.18</v>
      </c>
      <c r="BL196" s="214" t="str">
        <f t="shared" si="7"/>
        <v/>
      </c>
    </row>
    <row r="197" spans="23:64" x14ac:dyDescent="0.25">
      <c r="W197" s="214" t="s">
        <v>274</v>
      </c>
      <c r="X197" s="214" t="s">
        <v>433</v>
      </c>
      <c r="Y197" s="220">
        <v>3</v>
      </c>
      <c r="AW197" s="214" t="s">
        <v>55</v>
      </c>
      <c r="AX197" s="205">
        <v>4</v>
      </c>
      <c r="AY197" s="205">
        <v>0</v>
      </c>
      <c r="AZ197" s="205">
        <v>0.2</v>
      </c>
      <c r="BA197" s="205">
        <v>0.19</v>
      </c>
      <c r="BB197" s="214" t="str">
        <f t="shared" si="6"/>
        <v/>
      </c>
      <c r="BG197" s="214" t="s">
        <v>55</v>
      </c>
      <c r="BH197" s="205">
        <v>4</v>
      </c>
      <c r="BI197" s="205">
        <v>0</v>
      </c>
      <c r="BJ197" s="205">
        <v>0.2</v>
      </c>
      <c r="BK197" s="205">
        <v>0.18</v>
      </c>
      <c r="BL197" s="214" t="str">
        <f t="shared" si="7"/>
        <v/>
      </c>
    </row>
    <row r="198" spans="23:64" x14ac:dyDescent="0.25">
      <c r="W198" s="214" t="s">
        <v>274</v>
      </c>
      <c r="X198" s="214" t="s">
        <v>434</v>
      </c>
      <c r="Y198" s="220">
        <v>3</v>
      </c>
      <c r="AW198" s="214" t="s">
        <v>55</v>
      </c>
      <c r="AX198" s="205">
        <v>5</v>
      </c>
      <c r="AY198" s="205">
        <v>0</v>
      </c>
      <c r="AZ198" s="205">
        <v>0.2</v>
      </c>
      <c r="BA198" s="205">
        <v>0.22</v>
      </c>
      <c r="BB198" s="214" t="str">
        <f t="shared" si="6"/>
        <v/>
      </c>
      <c r="BG198" s="214" t="s">
        <v>55</v>
      </c>
      <c r="BH198" s="205">
        <v>5</v>
      </c>
      <c r="BI198" s="205">
        <v>0</v>
      </c>
      <c r="BJ198" s="205">
        <v>0.2</v>
      </c>
      <c r="BK198" s="205">
        <v>0.18</v>
      </c>
      <c r="BL198" s="214" t="str">
        <f t="shared" si="7"/>
        <v/>
      </c>
    </row>
    <row r="199" spans="23:64" x14ac:dyDescent="0.25">
      <c r="W199" s="214" t="s">
        <v>274</v>
      </c>
      <c r="X199" s="214" t="s">
        <v>435</v>
      </c>
      <c r="Y199" s="220">
        <v>2</v>
      </c>
      <c r="AW199" s="214" t="s">
        <v>55</v>
      </c>
      <c r="AX199" s="205">
        <v>6</v>
      </c>
      <c r="AY199" s="205">
        <v>0</v>
      </c>
      <c r="AZ199" s="205">
        <v>0.2</v>
      </c>
      <c r="BA199" s="205">
        <v>0.2</v>
      </c>
      <c r="BB199" s="214" t="str">
        <f t="shared" si="6"/>
        <v/>
      </c>
      <c r="BG199" s="214" t="s">
        <v>55</v>
      </c>
      <c r="BH199" s="205">
        <v>6</v>
      </c>
      <c r="BI199" s="205">
        <v>0</v>
      </c>
      <c r="BJ199" s="205">
        <v>0.2</v>
      </c>
      <c r="BK199" s="205">
        <v>0.18</v>
      </c>
      <c r="BL199" s="214" t="str">
        <f t="shared" si="7"/>
        <v/>
      </c>
    </row>
    <row r="200" spans="23:64" x14ac:dyDescent="0.25">
      <c r="W200" s="214" t="s">
        <v>274</v>
      </c>
      <c r="X200" s="214" t="s">
        <v>436</v>
      </c>
      <c r="Y200" s="220">
        <v>2</v>
      </c>
      <c r="AW200" s="214" t="s">
        <v>55</v>
      </c>
      <c r="AX200" s="205">
        <v>7</v>
      </c>
      <c r="AY200" s="205">
        <v>0</v>
      </c>
      <c r="AZ200" s="205">
        <v>0.2</v>
      </c>
      <c r="BA200" s="205">
        <v>0.15</v>
      </c>
      <c r="BB200" s="214" t="str">
        <f t="shared" si="6"/>
        <v/>
      </c>
      <c r="BG200" s="214" t="s">
        <v>55</v>
      </c>
      <c r="BH200" s="205">
        <v>7</v>
      </c>
      <c r="BI200" s="205">
        <v>0</v>
      </c>
      <c r="BJ200" s="205">
        <v>0.2</v>
      </c>
      <c r="BK200" s="205">
        <v>0.18</v>
      </c>
      <c r="BL200" s="214" t="str">
        <f t="shared" si="7"/>
        <v/>
      </c>
    </row>
    <row r="201" spans="23:64" x14ac:dyDescent="0.25">
      <c r="W201" s="214" t="s">
        <v>274</v>
      </c>
      <c r="X201" s="214" t="s">
        <v>437</v>
      </c>
      <c r="Y201" s="220">
        <v>4</v>
      </c>
      <c r="AW201" s="214" t="s">
        <v>55</v>
      </c>
      <c r="AX201" s="205">
        <v>8</v>
      </c>
      <c r="AY201" s="205">
        <v>0</v>
      </c>
      <c r="AZ201" s="205">
        <v>0.2</v>
      </c>
      <c r="BA201" s="205">
        <v>0.17</v>
      </c>
      <c r="BB201" s="214" t="str">
        <f t="shared" si="6"/>
        <v/>
      </c>
      <c r="BG201" s="214" t="s">
        <v>55</v>
      </c>
      <c r="BH201" s="205">
        <v>8</v>
      </c>
      <c r="BI201" s="205">
        <v>0</v>
      </c>
      <c r="BJ201" s="205">
        <v>0.2</v>
      </c>
      <c r="BK201" s="205">
        <v>0.18</v>
      </c>
      <c r="BL201" s="214" t="str">
        <f t="shared" si="7"/>
        <v/>
      </c>
    </row>
    <row r="202" spans="23:64" x14ac:dyDescent="0.25">
      <c r="W202" s="214" t="s">
        <v>274</v>
      </c>
      <c r="X202" s="214" t="s">
        <v>438</v>
      </c>
      <c r="Y202" s="220">
        <v>2</v>
      </c>
      <c r="AW202" s="214" t="s">
        <v>55</v>
      </c>
      <c r="AX202" s="205">
        <v>1</v>
      </c>
      <c r="AY202" s="205">
        <v>0.2</v>
      </c>
      <c r="AZ202" s="205">
        <v>0.3</v>
      </c>
      <c r="BA202" s="205">
        <v>0.21</v>
      </c>
      <c r="BB202" s="214" t="str">
        <f t="shared" si="6"/>
        <v/>
      </c>
      <c r="BG202" s="214" t="s">
        <v>55</v>
      </c>
      <c r="BH202" s="205">
        <v>1</v>
      </c>
      <c r="BI202" s="205">
        <v>0.2</v>
      </c>
      <c r="BJ202" s="205">
        <v>0.3</v>
      </c>
      <c r="BK202" s="205">
        <v>0.16</v>
      </c>
      <c r="BL202" s="214" t="str">
        <f t="shared" si="7"/>
        <v/>
      </c>
    </row>
    <row r="203" spans="23:64" x14ac:dyDescent="0.25">
      <c r="W203" s="214" t="s">
        <v>274</v>
      </c>
      <c r="X203" s="214" t="s">
        <v>439</v>
      </c>
      <c r="Y203" s="220">
        <v>3</v>
      </c>
      <c r="AW203" s="214" t="s">
        <v>55</v>
      </c>
      <c r="AX203" s="205">
        <v>2</v>
      </c>
      <c r="AY203" s="205">
        <v>0.2</v>
      </c>
      <c r="AZ203" s="205">
        <v>0.3</v>
      </c>
      <c r="BA203" s="205">
        <v>0.18</v>
      </c>
      <c r="BB203" s="214" t="str">
        <f t="shared" si="6"/>
        <v/>
      </c>
      <c r="BG203" s="214" t="s">
        <v>55</v>
      </c>
      <c r="BH203" s="205">
        <v>2</v>
      </c>
      <c r="BI203" s="205">
        <v>0.2</v>
      </c>
      <c r="BJ203" s="205">
        <v>0.3</v>
      </c>
      <c r="BK203" s="205">
        <v>0.16</v>
      </c>
      <c r="BL203" s="214" t="str">
        <f t="shared" si="7"/>
        <v/>
      </c>
    </row>
    <row r="204" spans="23:64" x14ac:dyDescent="0.25">
      <c r="W204" s="214" t="s">
        <v>274</v>
      </c>
      <c r="X204" s="214" t="s">
        <v>440</v>
      </c>
      <c r="Y204" s="220">
        <v>2</v>
      </c>
      <c r="AW204" s="214" t="s">
        <v>55</v>
      </c>
      <c r="AX204" s="205">
        <v>3</v>
      </c>
      <c r="AY204" s="205">
        <v>0.2</v>
      </c>
      <c r="AZ204" s="205">
        <v>0.3</v>
      </c>
      <c r="BA204" s="205">
        <v>0.2</v>
      </c>
      <c r="BB204" s="214" t="str">
        <f t="shared" si="6"/>
        <v/>
      </c>
      <c r="BG204" s="214" t="s">
        <v>55</v>
      </c>
      <c r="BH204" s="205">
        <v>3</v>
      </c>
      <c r="BI204" s="205">
        <v>0.2</v>
      </c>
      <c r="BJ204" s="205">
        <v>0.3</v>
      </c>
      <c r="BK204" s="205">
        <v>0.17</v>
      </c>
      <c r="BL204" s="214" t="str">
        <f t="shared" si="7"/>
        <v/>
      </c>
    </row>
    <row r="205" spans="23:64" x14ac:dyDescent="0.25">
      <c r="W205" s="214" t="s">
        <v>274</v>
      </c>
      <c r="X205" s="214" t="s">
        <v>441</v>
      </c>
      <c r="Y205" s="220">
        <v>3</v>
      </c>
      <c r="AW205" s="214" t="s">
        <v>55</v>
      </c>
      <c r="AX205" s="205">
        <v>4</v>
      </c>
      <c r="AY205" s="205">
        <v>0.2</v>
      </c>
      <c r="AZ205" s="205">
        <v>0.3</v>
      </c>
      <c r="BA205" s="205">
        <v>0.17</v>
      </c>
      <c r="BB205" s="214" t="str">
        <f t="shared" si="6"/>
        <v/>
      </c>
      <c r="BG205" s="214" t="s">
        <v>55</v>
      </c>
      <c r="BH205" s="205">
        <v>4</v>
      </c>
      <c r="BI205" s="205">
        <v>0.2</v>
      </c>
      <c r="BJ205" s="205">
        <v>0.3</v>
      </c>
      <c r="BK205" s="205">
        <v>0.17</v>
      </c>
      <c r="BL205" s="214" t="str">
        <f t="shared" si="7"/>
        <v/>
      </c>
    </row>
    <row r="206" spans="23:64" x14ac:dyDescent="0.25">
      <c r="W206" s="214" t="s">
        <v>274</v>
      </c>
      <c r="X206" s="214" t="s">
        <v>442</v>
      </c>
      <c r="Y206" s="220">
        <v>3</v>
      </c>
      <c r="AW206" s="214" t="s">
        <v>55</v>
      </c>
      <c r="AX206" s="205">
        <v>5</v>
      </c>
      <c r="AY206" s="205">
        <v>0.2</v>
      </c>
      <c r="AZ206" s="205">
        <v>0.3</v>
      </c>
      <c r="BA206" s="205">
        <v>0.2</v>
      </c>
      <c r="BB206" s="214" t="str">
        <f t="shared" si="6"/>
        <v/>
      </c>
      <c r="BG206" s="214" t="s">
        <v>55</v>
      </c>
      <c r="BH206" s="205">
        <v>5</v>
      </c>
      <c r="BI206" s="205">
        <v>0.2</v>
      </c>
      <c r="BJ206" s="205">
        <v>0.3</v>
      </c>
      <c r="BK206" s="205">
        <v>0.17</v>
      </c>
      <c r="BL206" s="214" t="str">
        <f t="shared" si="7"/>
        <v/>
      </c>
    </row>
    <row r="207" spans="23:64" x14ac:dyDescent="0.25">
      <c r="W207" s="214" t="s">
        <v>274</v>
      </c>
      <c r="X207" s="214" t="s">
        <v>443</v>
      </c>
      <c r="Y207" s="220">
        <v>3</v>
      </c>
      <c r="AW207" s="214" t="s">
        <v>55</v>
      </c>
      <c r="AX207" s="205">
        <v>6</v>
      </c>
      <c r="AY207" s="205">
        <v>0.2</v>
      </c>
      <c r="AZ207" s="205">
        <v>0.3</v>
      </c>
      <c r="BA207" s="205">
        <v>0.18</v>
      </c>
      <c r="BB207" s="214" t="str">
        <f t="shared" si="6"/>
        <v/>
      </c>
      <c r="BG207" s="214" t="s">
        <v>55</v>
      </c>
      <c r="BH207" s="205">
        <v>6</v>
      </c>
      <c r="BI207" s="205">
        <v>0.2</v>
      </c>
      <c r="BJ207" s="205">
        <v>0.3</v>
      </c>
      <c r="BK207" s="205">
        <v>0.18</v>
      </c>
      <c r="BL207" s="214" t="str">
        <f t="shared" si="7"/>
        <v/>
      </c>
    </row>
    <row r="208" spans="23:64" x14ac:dyDescent="0.25">
      <c r="W208" s="214" t="s">
        <v>274</v>
      </c>
      <c r="X208" s="214" t="s">
        <v>444</v>
      </c>
      <c r="Y208" s="220">
        <v>2</v>
      </c>
      <c r="AW208" s="214" t="s">
        <v>55</v>
      </c>
      <c r="AX208" s="205">
        <v>7</v>
      </c>
      <c r="AY208" s="205">
        <v>0.2</v>
      </c>
      <c r="AZ208" s="205">
        <v>0.3</v>
      </c>
      <c r="BA208" s="205">
        <v>0.13</v>
      </c>
      <c r="BB208" s="214" t="str">
        <f t="shared" si="6"/>
        <v/>
      </c>
      <c r="BG208" s="214" t="s">
        <v>55</v>
      </c>
      <c r="BH208" s="205">
        <v>7</v>
      </c>
      <c r="BI208" s="205">
        <v>0.2</v>
      </c>
      <c r="BJ208" s="205">
        <v>0.3</v>
      </c>
      <c r="BK208" s="205">
        <v>0.19</v>
      </c>
      <c r="BL208" s="214" t="str">
        <f t="shared" si="7"/>
        <v/>
      </c>
    </row>
    <row r="209" spans="23:64" x14ac:dyDescent="0.25">
      <c r="W209" s="214" t="s">
        <v>274</v>
      </c>
      <c r="X209" s="214" t="s">
        <v>445</v>
      </c>
      <c r="Y209" s="220">
        <v>2</v>
      </c>
      <c r="AW209" s="214" t="s">
        <v>55</v>
      </c>
      <c r="AX209" s="205">
        <v>8</v>
      </c>
      <c r="AY209" s="205">
        <v>0.2</v>
      </c>
      <c r="AZ209" s="205">
        <v>0.3</v>
      </c>
      <c r="BA209" s="205">
        <v>0.14000000000000001</v>
      </c>
      <c r="BB209" s="214" t="str">
        <f t="shared" si="6"/>
        <v/>
      </c>
      <c r="BG209" s="214" t="s">
        <v>55</v>
      </c>
      <c r="BH209" s="205">
        <v>8</v>
      </c>
      <c r="BI209" s="205">
        <v>0.2</v>
      </c>
      <c r="BJ209" s="205">
        <v>0.3</v>
      </c>
      <c r="BK209" s="205">
        <v>0.18</v>
      </c>
      <c r="BL209" s="214" t="str">
        <f t="shared" si="7"/>
        <v/>
      </c>
    </row>
    <row r="210" spans="23:64" x14ac:dyDescent="0.25">
      <c r="W210" s="214" t="s">
        <v>274</v>
      </c>
      <c r="X210" s="214" t="s">
        <v>446</v>
      </c>
      <c r="Y210" s="220">
        <v>3</v>
      </c>
      <c r="AW210" s="214" t="s">
        <v>55</v>
      </c>
      <c r="AX210" s="205">
        <v>1</v>
      </c>
      <c r="AY210" s="205">
        <v>0.3</v>
      </c>
      <c r="AZ210" s="205">
        <v>0.4</v>
      </c>
      <c r="BA210" s="205">
        <v>0.2</v>
      </c>
      <c r="BB210" s="214" t="str">
        <f t="shared" si="6"/>
        <v/>
      </c>
      <c r="BG210" s="214" t="s">
        <v>55</v>
      </c>
      <c r="BH210" s="205">
        <v>1</v>
      </c>
      <c r="BI210" s="205">
        <v>0.3</v>
      </c>
      <c r="BJ210" s="205">
        <v>0.4</v>
      </c>
      <c r="BK210" s="205">
        <v>0.16</v>
      </c>
      <c r="BL210" s="214" t="str">
        <f t="shared" si="7"/>
        <v/>
      </c>
    </row>
    <row r="211" spans="23:64" x14ac:dyDescent="0.25">
      <c r="W211" s="214" t="s">
        <v>274</v>
      </c>
      <c r="X211" s="214" t="s">
        <v>447</v>
      </c>
      <c r="Y211" s="220">
        <v>2</v>
      </c>
      <c r="AW211" s="214" t="s">
        <v>55</v>
      </c>
      <c r="AX211" s="205">
        <v>2</v>
      </c>
      <c r="AY211" s="205">
        <v>0.3</v>
      </c>
      <c r="AZ211" s="205">
        <v>0.4</v>
      </c>
      <c r="BA211" s="205">
        <v>0.15</v>
      </c>
      <c r="BB211" s="214" t="str">
        <f t="shared" si="6"/>
        <v/>
      </c>
      <c r="BG211" s="214" t="s">
        <v>55</v>
      </c>
      <c r="BH211" s="205">
        <v>2</v>
      </c>
      <c r="BI211" s="205">
        <v>0.3</v>
      </c>
      <c r="BJ211" s="205">
        <v>0.4</v>
      </c>
      <c r="BK211" s="205">
        <v>0.15</v>
      </c>
      <c r="BL211" s="214" t="str">
        <f t="shared" si="7"/>
        <v/>
      </c>
    </row>
    <row r="212" spans="23:64" x14ac:dyDescent="0.25">
      <c r="W212" s="214" t="s">
        <v>274</v>
      </c>
      <c r="X212" s="214" t="s">
        <v>448</v>
      </c>
      <c r="Y212" s="220">
        <v>2</v>
      </c>
      <c r="AW212" s="214" t="s">
        <v>55</v>
      </c>
      <c r="AX212" s="205">
        <v>3</v>
      </c>
      <c r="AY212" s="205">
        <v>0.3</v>
      </c>
      <c r="AZ212" s="205">
        <v>0.4</v>
      </c>
      <c r="BA212" s="205">
        <v>0.18</v>
      </c>
      <c r="BB212" s="214" t="str">
        <f t="shared" si="6"/>
        <v/>
      </c>
      <c r="BG212" s="214" t="s">
        <v>55</v>
      </c>
      <c r="BH212" s="205">
        <v>3</v>
      </c>
      <c r="BI212" s="205">
        <v>0.3</v>
      </c>
      <c r="BJ212" s="205">
        <v>0.4</v>
      </c>
      <c r="BK212" s="205">
        <v>0.16</v>
      </c>
      <c r="BL212" s="214" t="str">
        <f t="shared" si="7"/>
        <v/>
      </c>
    </row>
    <row r="213" spans="23:64" x14ac:dyDescent="0.25">
      <c r="W213" s="214" t="s">
        <v>274</v>
      </c>
      <c r="X213" s="214" t="s">
        <v>449</v>
      </c>
      <c r="Y213" s="220">
        <v>2</v>
      </c>
      <c r="AW213" s="214" t="s">
        <v>55</v>
      </c>
      <c r="AX213" s="205">
        <v>4</v>
      </c>
      <c r="AY213" s="205">
        <v>0.3</v>
      </c>
      <c r="AZ213" s="205">
        <v>0.4</v>
      </c>
      <c r="BA213" s="205">
        <v>0.15</v>
      </c>
      <c r="BB213" s="214" t="str">
        <f t="shared" si="6"/>
        <v/>
      </c>
      <c r="BG213" s="214" t="s">
        <v>55</v>
      </c>
      <c r="BH213" s="205">
        <v>4</v>
      </c>
      <c r="BI213" s="205">
        <v>0.3</v>
      </c>
      <c r="BJ213" s="205">
        <v>0.4</v>
      </c>
      <c r="BK213" s="205">
        <v>0.17</v>
      </c>
      <c r="BL213" s="214" t="str">
        <f t="shared" si="7"/>
        <v/>
      </c>
    </row>
    <row r="214" spans="23:64" x14ac:dyDescent="0.25">
      <c r="W214" s="214" t="s">
        <v>274</v>
      </c>
      <c r="X214" s="214" t="s">
        <v>450</v>
      </c>
      <c r="Y214" s="220">
        <v>3</v>
      </c>
      <c r="AW214" s="214" t="s">
        <v>55</v>
      </c>
      <c r="AX214" s="205">
        <v>5</v>
      </c>
      <c r="AY214" s="205">
        <v>0.3</v>
      </c>
      <c r="AZ214" s="205">
        <v>0.4</v>
      </c>
      <c r="BA214" s="205">
        <v>0.18</v>
      </c>
      <c r="BB214" s="214" t="str">
        <f t="shared" si="6"/>
        <v/>
      </c>
      <c r="BG214" s="214" t="s">
        <v>55</v>
      </c>
      <c r="BH214" s="205">
        <v>5</v>
      </c>
      <c r="BI214" s="205">
        <v>0.3</v>
      </c>
      <c r="BJ214" s="205">
        <v>0.4</v>
      </c>
      <c r="BK214" s="205">
        <v>0.17</v>
      </c>
      <c r="BL214" s="214" t="str">
        <f t="shared" si="7"/>
        <v/>
      </c>
    </row>
    <row r="215" spans="23:64" x14ac:dyDescent="0.25">
      <c r="W215" s="214" t="s">
        <v>274</v>
      </c>
      <c r="X215" s="214" t="s">
        <v>451</v>
      </c>
      <c r="Y215" s="220">
        <v>3</v>
      </c>
      <c r="AW215" s="214" t="s">
        <v>55</v>
      </c>
      <c r="AX215" s="205">
        <v>6</v>
      </c>
      <c r="AY215" s="205">
        <v>0.3</v>
      </c>
      <c r="AZ215" s="205">
        <v>0.4</v>
      </c>
      <c r="BA215" s="205">
        <v>0.16</v>
      </c>
      <c r="BB215" s="214" t="str">
        <f t="shared" si="6"/>
        <v/>
      </c>
      <c r="BG215" s="214" t="s">
        <v>55</v>
      </c>
      <c r="BH215" s="205">
        <v>6</v>
      </c>
      <c r="BI215" s="205">
        <v>0.3</v>
      </c>
      <c r="BJ215" s="205">
        <v>0.4</v>
      </c>
      <c r="BK215" s="205">
        <v>0.18</v>
      </c>
      <c r="BL215" s="214" t="str">
        <f t="shared" si="7"/>
        <v/>
      </c>
    </row>
    <row r="216" spans="23:64" x14ac:dyDescent="0.25">
      <c r="W216" s="214" t="s">
        <v>274</v>
      </c>
      <c r="X216" s="214" t="s">
        <v>452</v>
      </c>
      <c r="Y216" s="220">
        <v>2</v>
      </c>
      <c r="AW216" s="214" t="s">
        <v>55</v>
      </c>
      <c r="AX216" s="205">
        <v>7</v>
      </c>
      <c r="AY216" s="205">
        <v>0.3</v>
      </c>
      <c r="AZ216" s="205">
        <v>0.4</v>
      </c>
      <c r="BA216" s="205">
        <v>0.11</v>
      </c>
      <c r="BB216" s="214" t="str">
        <f t="shared" si="6"/>
        <v/>
      </c>
      <c r="BG216" s="214" t="s">
        <v>55</v>
      </c>
      <c r="BH216" s="205">
        <v>7</v>
      </c>
      <c r="BI216" s="205">
        <v>0.3</v>
      </c>
      <c r="BJ216" s="205">
        <v>0.4</v>
      </c>
      <c r="BK216" s="205">
        <v>0.19</v>
      </c>
      <c r="BL216" s="214" t="str">
        <f t="shared" si="7"/>
        <v/>
      </c>
    </row>
    <row r="217" spans="23:64" x14ac:dyDescent="0.25">
      <c r="W217" s="214" t="s">
        <v>274</v>
      </c>
      <c r="X217" s="214" t="s">
        <v>453</v>
      </c>
      <c r="Y217" s="220">
        <v>2</v>
      </c>
      <c r="AW217" s="214" t="s">
        <v>55</v>
      </c>
      <c r="AX217" s="205">
        <v>8</v>
      </c>
      <c r="AY217" s="205">
        <v>0.3</v>
      </c>
      <c r="AZ217" s="205">
        <v>0.4</v>
      </c>
      <c r="BA217" s="205">
        <v>0.12</v>
      </c>
      <c r="BB217" s="214" t="str">
        <f t="shared" si="6"/>
        <v/>
      </c>
      <c r="BG217" s="214" t="s">
        <v>55</v>
      </c>
      <c r="BH217" s="205">
        <v>8</v>
      </c>
      <c r="BI217" s="205">
        <v>0.3</v>
      </c>
      <c r="BJ217" s="205">
        <v>0.4</v>
      </c>
      <c r="BK217" s="205">
        <v>0.18</v>
      </c>
      <c r="BL217" s="214" t="str">
        <f t="shared" si="7"/>
        <v/>
      </c>
    </row>
    <row r="218" spans="23:64" x14ac:dyDescent="0.25">
      <c r="W218" s="214" t="s">
        <v>274</v>
      </c>
      <c r="X218" s="214" t="s">
        <v>454</v>
      </c>
      <c r="Y218" s="220">
        <v>3</v>
      </c>
      <c r="AW218" s="214" t="s">
        <v>55</v>
      </c>
      <c r="AX218" s="205">
        <v>1</v>
      </c>
      <c r="AY218" s="205">
        <v>0.4</v>
      </c>
      <c r="AZ218" s="205">
        <v>100</v>
      </c>
      <c r="BA218" s="205">
        <v>0.18</v>
      </c>
      <c r="BB218" s="214" t="str">
        <f t="shared" si="6"/>
        <v/>
      </c>
      <c r="BG218" s="214" t="s">
        <v>55</v>
      </c>
      <c r="BH218" s="205">
        <v>1</v>
      </c>
      <c r="BI218" s="205">
        <v>0.4</v>
      </c>
      <c r="BJ218" s="205">
        <v>100</v>
      </c>
      <c r="BK218" s="205">
        <v>0.16</v>
      </c>
      <c r="BL218" s="214" t="str">
        <f t="shared" si="7"/>
        <v/>
      </c>
    </row>
    <row r="219" spans="23:64" x14ac:dyDescent="0.25">
      <c r="W219" s="214" t="s">
        <v>274</v>
      </c>
      <c r="X219" s="214" t="s">
        <v>455</v>
      </c>
      <c r="Y219" s="220">
        <v>3</v>
      </c>
      <c r="AW219" s="214" t="s">
        <v>55</v>
      </c>
      <c r="AX219" s="205">
        <v>2</v>
      </c>
      <c r="AY219" s="205">
        <v>0.4</v>
      </c>
      <c r="AZ219" s="205">
        <v>100</v>
      </c>
      <c r="BA219" s="205">
        <v>0.14000000000000001</v>
      </c>
      <c r="BB219" s="214" t="str">
        <f t="shared" si="6"/>
        <v/>
      </c>
      <c r="BG219" s="214" t="s">
        <v>55</v>
      </c>
      <c r="BH219" s="205">
        <v>2</v>
      </c>
      <c r="BI219" s="205">
        <v>0.4</v>
      </c>
      <c r="BJ219" s="205">
        <v>100</v>
      </c>
      <c r="BK219" s="205">
        <v>0.15</v>
      </c>
      <c r="BL219" s="214" t="str">
        <f t="shared" si="7"/>
        <v/>
      </c>
    </row>
    <row r="220" spans="23:64" x14ac:dyDescent="0.25">
      <c r="W220" s="214" t="s">
        <v>274</v>
      </c>
      <c r="X220" s="214" t="s">
        <v>456</v>
      </c>
      <c r="Y220" s="220">
        <v>2</v>
      </c>
      <c r="AW220" s="214" t="s">
        <v>55</v>
      </c>
      <c r="AX220" s="205">
        <v>3</v>
      </c>
      <c r="AY220" s="205">
        <v>0.4</v>
      </c>
      <c r="AZ220" s="205">
        <v>100</v>
      </c>
      <c r="BA220" s="205">
        <v>0.17</v>
      </c>
      <c r="BB220" s="214" t="str">
        <f t="shared" si="6"/>
        <v/>
      </c>
      <c r="BG220" s="214" t="s">
        <v>55</v>
      </c>
      <c r="BH220" s="205">
        <v>3</v>
      </c>
      <c r="BI220" s="205">
        <v>0.4</v>
      </c>
      <c r="BJ220" s="205">
        <v>100</v>
      </c>
      <c r="BK220" s="205">
        <v>0.16</v>
      </c>
      <c r="BL220" s="214" t="str">
        <f t="shared" si="7"/>
        <v/>
      </c>
    </row>
    <row r="221" spans="23:64" x14ac:dyDescent="0.25">
      <c r="W221" s="214" t="s">
        <v>274</v>
      </c>
      <c r="X221" s="214" t="s">
        <v>457</v>
      </c>
      <c r="Y221" s="220">
        <v>2</v>
      </c>
      <c r="AW221" s="214" t="s">
        <v>55</v>
      </c>
      <c r="AX221" s="205">
        <v>4</v>
      </c>
      <c r="AY221" s="205">
        <v>0.4</v>
      </c>
      <c r="AZ221" s="205">
        <v>100</v>
      </c>
      <c r="BA221" s="205">
        <v>0.14000000000000001</v>
      </c>
      <c r="BB221" s="214" t="str">
        <f t="shared" si="6"/>
        <v/>
      </c>
      <c r="BG221" s="214" t="s">
        <v>55</v>
      </c>
      <c r="BH221" s="205">
        <v>4</v>
      </c>
      <c r="BI221" s="205">
        <v>0.4</v>
      </c>
      <c r="BJ221" s="205">
        <v>100</v>
      </c>
      <c r="BK221" s="205">
        <v>0.17</v>
      </c>
      <c r="BL221" s="214" t="str">
        <f t="shared" si="7"/>
        <v/>
      </c>
    </row>
    <row r="222" spans="23:64" x14ac:dyDescent="0.25">
      <c r="W222" s="214" t="s">
        <v>274</v>
      </c>
      <c r="X222" s="214" t="s">
        <v>458</v>
      </c>
      <c r="Y222" s="220">
        <v>2</v>
      </c>
      <c r="AW222" s="214" t="s">
        <v>55</v>
      </c>
      <c r="AX222" s="205">
        <v>5</v>
      </c>
      <c r="AY222" s="205">
        <v>0.4</v>
      </c>
      <c r="AZ222" s="205">
        <v>100</v>
      </c>
      <c r="BA222" s="205">
        <v>0.17</v>
      </c>
      <c r="BB222" s="214" t="str">
        <f t="shared" si="6"/>
        <v/>
      </c>
      <c r="BG222" s="214" t="s">
        <v>55</v>
      </c>
      <c r="BH222" s="205">
        <v>5</v>
      </c>
      <c r="BI222" s="205">
        <v>0.4</v>
      </c>
      <c r="BJ222" s="205">
        <v>100</v>
      </c>
      <c r="BK222" s="205">
        <v>0.17</v>
      </c>
      <c r="BL222" s="214" t="str">
        <f t="shared" si="7"/>
        <v/>
      </c>
    </row>
    <row r="223" spans="23:64" x14ac:dyDescent="0.25">
      <c r="W223" s="214" t="s">
        <v>274</v>
      </c>
      <c r="X223" s="214" t="s">
        <v>459</v>
      </c>
      <c r="Y223" s="220">
        <v>3</v>
      </c>
      <c r="AW223" s="214" t="s">
        <v>55</v>
      </c>
      <c r="AX223" s="205">
        <v>6</v>
      </c>
      <c r="AY223" s="205">
        <v>0.4</v>
      </c>
      <c r="AZ223" s="205">
        <v>100</v>
      </c>
      <c r="BA223" s="205">
        <v>0.14000000000000001</v>
      </c>
      <c r="BB223" s="214" t="str">
        <f t="shared" si="6"/>
        <v/>
      </c>
      <c r="BG223" s="214" t="s">
        <v>55</v>
      </c>
      <c r="BH223" s="205">
        <v>6</v>
      </c>
      <c r="BI223" s="205">
        <v>0.4</v>
      </c>
      <c r="BJ223" s="205">
        <v>100</v>
      </c>
      <c r="BK223" s="205">
        <v>0.18</v>
      </c>
      <c r="BL223" s="214" t="str">
        <f t="shared" si="7"/>
        <v/>
      </c>
    </row>
    <row r="224" spans="23:64" x14ac:dyDescent="0.25">
      <c r="W224" s="214" t="s">
        <v>274</v>
      </c>
      <c r="X224" s="214" t="s">
        <v>460</v>
      </c>
      <c r="Y224" s="220">
        <v>2</v>
      </c>
      <c r="AW224" s="214" t="s">
        <v>55</v>
      </c>
      <c r="AX224" s="205">
        <v>7</v>
      </c>
      <c r="AY224" s="205">
        <v>0.4</v>
      </c>
      <c r="AZ224" s="205">
        <v>100</v>
      </c>
      <c r="BA224" s="205">
        <v>0.1</v>
      </c>
      <c r="BB224" s="214" t="str">
        <f t="shared" si="6"/>
        <v/>
      </c>
      <c r="BG224" s="214" t="s">
        <v>55</v>
      </c>
      <c r="BH224" s="205">
        <v>7</v>
      </c>
      <c r="BI224" s="205">
        <v>0.4</v>
      </c>
      <c r="BJ224" s="205">
        <v>100</v>
      </c>
      <c r="BK224" s="205">
        <v>0.19</v>
      </c>
      <c r="BL224" s="214" t="str">
        <f t="shared" si="7"/>
        <v/>
      </c>
    </row>
    <row r="225" spans="23:64" x14ac:dyDescent="0.25">
      <c r="W225" s="214" t="s">
        <v>274</v>
      </c>
      <c r="X225" s="214" t="s">
        <v>461</v>
      </c>
      <c r="Y225" s="220">
        <v>3</v>
      </c>
      <c r="AW225" s="214" t="s">
        <v>55</v>
      </c>
      <c r="AX225" s="205">
        <v>8</v>
      </c>
      <c r="AY225" s="205">
        <v>0.4</v>
      </c>
      <c r="AZ225" s="205">
        <v>100</v>
      </c>
      <c r="BA225" s="205">
        <v>0.11</v>
      </c>
      <c r="BB225" s="214" t="str">
        <f t="shared" si="6"/>
        <v/>
      </c>
      <c r="BG225" s="214" t="s">
        <v>55</v>
      </c>
      <c r="BH225" s="205">
        <v>8</v>
      </c>
      <c r="BI225" s="205">
        <v>0.4</v>
      </c>
      <c r="BJ225" s="205">
        <v>100</v>
      </c>
      <c r="BK225" s="205">
        <v>0.19</v>
      </c>
      <c r="BL225" s="214" t="str">
        <f t="shared" si="7"/>
        <v/>
      </c>
    </row>
    <row r="226" spans="23:64" x14ac:dyDescent="0.25">
      <c r="W226" s="214" t="s">
        <v>274</v>
      </c>
      <c r="X226" s="214" t="s">
        <v>462</v>
      </c>
      <c r="Y226" s="220">
        <v>1</v>
      </c>
      <c r="AW226" s="214" t="s">
        <v>5829</v>
      </c>
      <c r="AX226" s="205">
        <v>1</v>
      </c>
      <c r="AY226" s="205">
        <v>0</v>
      </c>
      <c r="AZ226" s="205">
        <v>0.2</v>
      </c>
      <c r="BA226" s="205">
        <v>0.26</v>
      </c>
      <c r="BB226" s="214" t="str">
        <f t="shared" si="6"/>
        <v/>
      </c>
      <c r="BG226" s="214" t="s">
        <v>5830</v>
      </c>
      <c r="BH226" s="205">
        <v>1</v>
      </c>
      <c r="BI226" s="205">
        <v>0</v>
      </c>
      <c r="BJ226" s="205">
        <v>0.2</v>
      </c>
      <c r="BK226" s="205">
        <v>0.3</v>
      </c>
      <c r="BL226" s="214" t="str">
        <f t="shared" si="7"/>
        <v/>
      </c>
    </row>
    <row r="227" spans="23:64" x14ac:dyDescent="0.25">
      <c r="W227" s="214" t="s">
        <v>274</v>
      </c>
      <c r="X227" s="214" t="s">
        <v>5877</v>
      </c>
      <c r="Y227" s="220">
        <v>3</v>
      </c>
      <c r="AW227" s="214" t="s">
        <v>5829</v>
      </c>
      <c r="AX227" s="205">
        <v>2</v>
      </c>
      <c r="AY227" s="205">
        <v>0</v>
      </c>
      <c r="AZ227" s="205">
        <v>0.2</v>
      </c>
      <c r="BA227" s="205">
        <v>0.2</v>
      </c>
      <c r="BB227" s="214" t="str">
        <f t="shared" si="6"/>
        <v/>
      </c>
      <c r="BG227" s="214" t="s">
        <v>5830</v>
      </c>
      <c r="BH227" s="205">
        <v>2</v>
      </c>
      <c r="BI227" s="205">
        <v>0</v>
      </c>
      <c r="BJ227" s="205">
        <v>0.2</v>
      </c>
      <c r="BK227" s="205">
        <v>0.28999999999999998</v>
      </c>
      <c r="BL227" s="214" t="str">
        <f t="shared" si="7"/>
        <v/>
      </c>
    </row>
    <row r="228" spans="23:64" x14ac:dyDescent="0.25">
      <c r="W228" s="214" t="s">
        <v>274</v>
      </c>
      <c r="X228" s="214" t="s">
        <v>463</v>
      </c>
      <c r="Y228" s="220">
        <v>3</v>
      </c>
      <c r="AW228" s="214" t="s">
        <v>5829</v>
      </c>
      <c r="AX228" s="205">
        <v>3</v>
      </c>
      <c r="AY228" s="205">
        <v>0</v>
      </c>
      <c r="AZ228" s="205">
        <v>0.2</v>
      </c>
      <c r="BA228" s="205">
        <v>0.21</v>
      </c>
      <c r="BB228" s="214" t="str">
        <f t="shared" si="6"/>
        <v/>
      </c>
      <c r="BG228" s="214" t="s">
        <v>5830</v>
      </c>
      <c r="BH228" s="205">
        <v>3</v>
      </c>
      <c r="BI228" s="205">
        <v>0</v>
      </c>
      <c r="BJ228" s="205">
        <v>0.2</v>
      </c>
      <c r="BK228" s="205">
        <v>0.3</v>
      </c>
      <c r="BL228" s="214" t="str">
        <f t="shared" si="7"/>
        <v/>
      </c>
    </row>
    <row r="229" spans="23:64" x14ac:dyDescent="0.25">
      <c r="W229" s="214" t="s">
        <v>274</v>
      </c>
      <c r="X229" s="214" t="s">
        <v>464</v>
      </c>
      <c r="Y229" s="220">
        <v>3</v>
      </c>
      <c r="AW229" s="214" t="s">
        <v>5829</v>
      </c>
      <c r="AX229" s="205">
        <v>4</v>
      </c>
      <c r="AY229" s="205">
        <v>0</v>
      </c>
      <c r="AZ229" s="205">
        <v>0.2</v>
      </c>
      <c r="BA229" s="205">
        <v>0.17</v>
      </c>
      <c r="BB229" s="214" t="str">
        <f t="shared" si="6"/>
        <v/>
      </c>
      <c r="BG229" s="214" t="s">
        <v>5830</v>
      </c>
      <c r="BH229" s="205">
        <v>4</v>
      </c>
      <c r="BI229" s="205">
        <v>0</v>
      </c>
      <c r="BJ229" s="205">
        <v>0.2</v>
      </c>
      <c r="BK229" s="205">
        <v>0.28999999999999998</v>
      </c>
      <c r="BL229" s="214" t="str">
        <f t="shared" si="7"/>
        <v/>
      </c>
    </row>
    <row r="230" spans="23:64" x14ac:dyDescent="0.25">
      <c r="W230" s="214" t="s">
        <v>274</v>
      </c>
      <c r="X230" s="214" t="s">
        <v>465</v>
      </c>
      <c r="Y230" s="220">
        <v>2</v>
      </c>
      <c r="AW230" s="214" t="s">
        <v>5829</v>
      </c>
      <c r="AX230" s="205">
        <v>5</v>
      </c>
      <c r="AY230" s="205">
        <v>0</v>
      </c>
      <c r="AZ230" s="205">
        <v>0.2</v>
      </c>
      <c r="BA230" s="205">
        <v>0.21</v>
      </c>
      <c r="BB230" s="214" t="str">
        <f t="shared" si="6"/>
        <v/>
      </c>
      <c r="BG230" s="214" t="s">
        <v>5830</v>
      </c>
      <c r="BH230" s="205">
        <v>5</v>
      </c>
      <c r="BI230" s="205">
        <v>0</v>
      </c>
      <c r="BJ230" s="205">
        <v>0.2</v>
      </c>
      <c r="BK230" s="205">
        <v>0.3</v>
      </c>
      <c r="BL230" s="214" t="str">
        <f t="shared" si="7"/>
        <v/>
      </c>
    </row>
    <row r="231" spans="23:64" x14ac:dyDescent="0.25">
      <c r="W231" s="214" t="s">
        <v>274</v>
      </c>
      <c r="X231" s="214" t="s">
        <v>466</v>
      </c>
      <c r="Y231" s="220">
        <v>2</v>
      </c>
      <c r="AW231" s="214" t="s">
        <v>5829</v>
      </c>
      <c r="AX231" s="205">
        <v>6</v>
      </c>
      <c r="AY231" s="205">
        <v>0</v>
      </c>
      <c r="AZ231" s="205">
        <v>0.2</v>
      </c>
      <c r="BA231" s="205">
        <v>0.18</v>
      </c>
      <c r="BB231" s="214" t="str">
        <f t="shared" si="6"/>
        <v/>
      </c>
      <c r="BG231" s="214" t="s">
        <v>5830</v>
      </c>
      <c r="BH231" s="205">
        <v>6</v>
      </c>
      <c r="BI231" s="205">
        <v>0</v>
      </c>
      <c r="BJ231" s="205">
        <v>0.2</v>
      </c>
      <c r="BK231" s="205">
        <v>0.3</v>
      </c>
      <c r="BL231" s="214" t="str">
        <f t="shared" si="7"/>
        <v/>
      </c>
    </row>
    <row r="232" spans="23:64" x14ac:dyDescent="0.25">
      <c r="W232" s="214" t="s">
        <v>274</v>
      </c>
      <c r="X232" s="214" t="s">
        <v>467</v>
      </c>
      <c r="Y232" s="220">
        <v>2</v>
      </c>
      <c r="AW232" s="214" t="s">
        <v>5829</v>
      </c>
      <c r="AX232" s="205">
        <v>7</v>
      </c>
      <c r="AY232" s="205">
        <v>0</v>
      </c>
      <c r="AZ232" s="205">
        <v>0.2</v>
      </c>
      <c r="BA232" s="205">
        <v>0.12</v>
      </c>
      <c r="BB232" s="214" t="str">
        <f t="shared" si="6"/>
        <v/>
      </c>
      <c r="BG232" s="214" t="s">
        <v>5830</v>
      </c>
      <c r="BH232" s="205">
        <v>7</v>
      </c>
      <c r="BI232" s="205">
        <v>0</v>
      </c>
      <c r="BJ232" s="205">
        <v>0.2</v>
      </c>
      <c r="BK232" s="205">
        <v>0.28999999999999998</v>
      </c>
      <c r="BL232" s="214" t="str">
        <f t="shared" si="7"/>
        <v/>
      </c>
    </row>
    <row r="233" spans="23:64" x14ac:dyDescent="0.25">
      <c r="W233" s="214" t="s">
        <v>274</v>
      </c>
      <c r="X233" s="214" t="s">
        <v>468</v>
      </c>
      <c r="Y233" s="220">
        <v>3</v>
      </c>
      <c r="AW233" s="214" t="s">
        <v>5829</v>
      </c>
      <c r="AX233" s="205">
        <v>8</v>
      </c>
      <c r="AY233" s="205">
        <v>0</v>
      </c>
      <c r="AZ233" s="205">
        <v>0.2</v>
      </c>
      <c r="BA233" s="205">
        <v>0.14000000000000001</v>
      </c>
      <c r="BB233" s="214" t="str">
        <f t="shared" si="6"/>
        <v/>
      </c>
      <c r="BG233" s="214" t="s">
        <v>5830</v>
      </c>
      <c r="BH233" s="205">
        <v>8</v>
      </c>
      <c r="BI233" s="205">
        <v>0</v>
      </c>
      <c r="BJ233" s="205">
        <v>0.2</v>
      </c>
      <c r="BK233" s="205">
        <v>0.28999999999999998</v>
      </c>
      <c r="BL233" s="214" t="str">
        <f t="shared" si="7"/>
        <v/>
      </c>
    </row>
    <row r="234" spans="23:64" x14ac:dyDescent="0.25">
      <c r="W234" s="214" t="s">
        <v>274</v>
      </c>
      <c r="X234" s="214" t="s">
        <v>469</v>
      </c>
      <c r="Y234" s="220">
        <v>3</v>
      </c>
      <c r="AW234" s="214" t="s">
        <v>5829</v>
      </c>
      <c r="AX234" s="205">
        <v>1</v>
      </c>
      <c r="AY234" s="205">
        <v>0.2</v>
      </c>
      <c r="AZ234" s="205">
        <v>0.3</v>
      </c>
      <c r="BA234" s="205">
        <v>0.26</v>
      </c>
      <c r="BB234" s="214" t="str">
        <f t="shared" si="6"/>
        <v/>
      </c>
      <c r="BG234" s="214" t="s">
        <v>5830</v>
      </c>
      <c r="BH234" s="205">
        <v>1</v>
      </c>
      <c r="BI234" s="205">
        <v>0.2</v>
      </c>
      <c r="BJ234" s="205">
        <v>0.3</v>
      </c>
      <c r="BK234" s="205">
        <v>0.3</v>
      </c>
      <c r="BL234" s="214" t="str">
        <f t="shared" si="7"/>
        <v/>
      </c>
    </row>
    <row r="235" spans="23:64" x14ac:dyDescent="0.25">
      <c r="W235" s="214" t="s">
        <v>274</v>
      </c>
      <c r="X235" s="214" t="s">
        <v>470</v>
      </c>
      <c r="Y235" s="220">
        <v>2</v>
      </c>
      <c r="AW235" s="214" t="s">
        <v>5829</v>
      </c>
      <c r="AX235" s="205">
        <v>2</v>
      </c>
      <c r="AY235" s="205">
        <v>0.2</v>
      </c>
      <c r="AZ235" s="205">
        <v>0.3</v>
      </c>
      <c r="BA235" s="205">
        <v>0.21</v>
      </c>
      <c r="BB235" s="214" t="str">
        <f t="shared" si="6"/>
        <v/>
      </c>
      <c r="BG235" s="214" t="s">
        <v>5830</v>
      </c>
      <c r="BH235" s="205">
        <v>2</v>
      </c>
      <c r="BI235" s="205">
        <v>0.2</v>
      </c>
      <c r="BJ235" s="205">
        <v>0.3</v>
      </c>
      <c r="BK235" s="205">
        <v>0.28999999999999998</v>
      </c>
      <c r="BL235" s="214" t="str">
        <f t="shared" si="7"/>
        <v/>
      </c>
    </row>
    <row r="236" spans="23:64" x14ac:dyDescent="0.25">
      <c r="W236" s="214" t="s">
        <v>274</v>
      </c>
      <c r="X236" s="214" t="s">
        <v>471</v>
      </c>
      <c r="Y236" s="220">
        <v>2</v>
      </c>
      <c r="AW236" s="214" t="s">
        <v>5829</v>
      </c>
      <c r="AX236" s="205">
        <v>3</v>
      </c>
      <c r="AY236" s="205">
        <v>0.2</v>
      </c>
      <c r="AZ236" s="205">
        <v>0.3</v>
      </c>
      <c r="BA236" s="205">
        <v>0.21</v>
      </c>
      <c r="BB236" s="214" t="str">
        <f t="shared" si="6"/>
        <v/>
      </c>
      <c r="BG236" s="214" t="s">
        <v>5830</v>
      </c>
      <c r="BH236" s="205">
        <v>3</v>
      </c>
      <c r="BI236" s="205">
        <v>0.2</v>
      </c>
      <c r="BJ236" s="205">
        <v>0.3</v>
      </c>
      <c r="BK236" s="205">
        <v>0.3</v>
      </c>
      <c r="BL236" s="214" t="str">
        <f t="shared" si="7"/>
        <v/>
      </c>
    </row>
    <row r="237" spans="23:64" x14ac:dyDescent="0.25">
      <c r="W237" s="214" t="s">
        <v>274</v>
      </c>
      <c r="X237" s="214" t="s">
        <v>472</v>
      </c>
      <c r="Y237" s="220">
        <v>3</v>
      </c>
      <c r="AW237" s="214" t="s">
        <v>5829</v>
      </c>
      <c r="AX237" s="205">
        <v>4</v>
      </c>
      <c r="AY237" s="205">
        <v>0.2</v>
      </c>
      <c r="AZ237" s="205">
        <v>0.3</v>
      </c>
      <c r="BA237" s="205">
        <v>0.17</v>
      </c>
      <c r="BB237" s="214" t="str">
        <f t="shared" si="6"/>
        <v/>
      </c>
      <c r="BG237" s="214" t="s">
        <v>5830</v>
      </c>
      <c r="BH237" s="205">
        <v>4</v>
      </c>
      <c r="BI237" s="205">
        <v>0.2</v>
      </c>
      <c r="BJ237" s="205">
        <v>0.3</v>
      </c>
      <c r="BK237" s="205">
        <v>0.28999999999999998</v>
      </c>
      <c r="BL237" s="214" t="str">
        <f t="shared" si="7"/>
        <v/>
      </c>
    </row>
    <row r="238" spans="23:64" x14ac:dyDescent="0.25">
      <c r="W238" s="214" t="s">
        <v>274</v>
      </c>
      <c r="X238" s="214" t="s">
        <v>473</v>
      </c>
      <c r="Y238" s="220">
        <v>3</v>
      </c>
      <c r="AW238" s="214" t="s">
        <v>5829</v>
      </c>
      <c r="AX238" s="205">
        <v>5</v>
      </c>
      <c r="AY238" s="205">
        <v>0.2</v>
      </c>
      <c r="AZ238" s="205">
        <v>0.3</v>
      </c>
      <c r="BA238" s="205">
        <v>0.21</v>
      </c>
      <c r="BB238" s="214" t="str">
        <f t="shared" si="6"/>
        <v/>
      </c>
      <c r="BG238" s="214" t="s">
        <v>5830</v>
      </c>
      <c r="BH238" s="205">
        <v>5</v>
      </c>
      <c r="BI238" s="205">
        <v>0.2</v>
      </c>
      <c r="BJ238" s="205">
        <v>0.3</v>
      </c>
      <c r="BK238" s="205">
        <v>0.3</v>
      </c>
      <c r="BL238" s="214" t="str">
        <f t="shared" si="7"/>
        <v/>
      </c>
    </row>
    <row r="239" spans="23:64" x14ac:dyDescent="0.25">
      <c r="W239" s="214" t="s">
        <v>274</v>
      </c>
      <c r="X239" s="214" t="s">
        <v>474</v>
      </c>
      <c r="Y239" s="220">
        <v>3</v>
      </c>
      <c r="AW239" s="214" t="s">
        <v>5829</v>
      </c>
      <c r="AX239" s="205">
        <v>6</v>
      </c>
      <c r="AY239" s="205">
        <v>0.2</v>
      </c>
      <c r="AZ239" s="205">
        <v>0.3</v>
      </c>
      <c r="BA239" s="205">
        <v>0.18</v>
      </c>
      <c r="BB239" s="214" t="str">
        <f t="shared" si="6"/>
        <v/>
      </c>
      <c r="BG239" s="214" t="s">
        <v>5830</v>
      </c>
      <c r="BH239" s="205">
        <v>6</v>
      </c>
      <c r="BI239" s="205">
        <v>0.2</v>
      </c>
      <c r="BJ239" s="205">
        <v>0.3</v>
      </c>
      <c r="BK239" s="205">
        <v>0.3</v>
      </c>
      <c r="BL239" s="214" t="str">
        <f t="shared" si="7"/>
        <v/>
      </c>
    </row>
    <row r="240" spans="23:64" x14ac:dyDescent="0.25">
      <c r="W240" s="214" t="s">
        <v>274</v>
      </c>
      <c r="X240" s="214" t="s">
        <v>475</v>
      </c>
      <c r="Y240" s="220">
        <v>3</v>
      </c>
      <c r="AW240" s="214" t="s">
        <v>5829</v>
      </c>
      <c r="AX240" s="205">
        <v>7</v>
      </c>
      <c r="AY240" s="205">
        <v>0.2</v>
      </c>
      <c r="AZ240" s="205">
        <v>0.3</v>
      </c>
      <c r="BA240" s="205">
        <v>0.12</v>
      </c>
      <c r="BB240" s="214" t="str">
        <f t="shared" si="6"/>
        <v/>
      </c>
      <c r="BG240" s="214" t="s">
        <v>5830</v>
      </c>
      <c r="BH240" s="205">
        <v>7</v>
      </c>
      <c r="BI240" s="205">
        <v>0.2</v>
      </c>
      <c r="BJ240" s="205">
        <v>0.3</v>
      </c>
      <c r="BK240" s="205">
        <v>0.28999999999999998</v>
      </c>
      <c r="BL240" s="214" t="str">
        <f t="shared" si="7"/>
        <v/>
      </c>
    </row>
    <row r="241" spans="23:64" x14ac:dyDescent="0.25">
      <c r="W241" s="214" t="s">
        <v>274</v>
      </c>
      <c r="X241" s="214" t="s">
        <v>476</v>
      </c>
      <c r="Y241" s="220">
        <v>2</v>
      </c>
      <c r="AW241" s="214" t="s">
        <v>5829</v>
      </c>
      <c r="AX241" s="205">
        <v>8</v>
      </c>
      <c r="AY241" s="205">
        <v>0.2</v>
      </c>
      <c r="AZ241" s="205">
        <v>0.3</v>
      </c>
      <c r="BA241" s="205">
        <v>0.14000000000000001</v>
      </c>
      <c r="BB241" s="214" t="str">
        <f t="shared" si="6"/>
        <v/>
      </c>
      <c r="BG241" s="214" t="s">
        <v>5830</v>
      </c>
      <c r="BH241" s="205">
        <v>8</v>
      </c>
      <c r="BI241" s="205">
        <v>0.2</v>
      </c>
      <c r="BJ241" s="205">
        <v>0.3</v>
      </c>
      <c r="BK241" s="205">
        <v>0.28999999999999998</v>
      </c>
      <c r="BL241" s="214" t="str">
        <f t="shared" si="7"/>
        <v/>
      </c>
    </row>
    <row r="242" spans="23:64" x14ac:dyDescent="0.25">
      <c r="W242" s="214" t="s">
        <v>274</v>
      </c>
      <c r="X242" s="214" t="s">
        <v>477</v>
      </c>
      <c r="Y242" s="220">
        <v>3</v>
      </c>
      <c r="AW242" s="214" t="s">
        <v>5829</v>
      </c>
      <c r="AX242" s="205">
        <v>1</v>
      </c>
      <c r="AY242" s="205">
        <v>0.3</v>
      </c>
      <c r="AZ242" s="205">
        <v>0.4</v>
      </c>
      <c r="BA242" s="205">
        <v>0.27</v>
      </c>
      <c r="BB242" s="214" t="str">
        <f t="shared" si="6"/>
        <v/>
      </c>
      <c r="BG242" s="214" t="s">
        <v>5830</v>
      </c>
      <c r="BH242" s="205">
        <v>1</v>
      </c>
      <c r="BI242" s="205">
        <v>0.3</v>
      </c>
      <c r="BJ242" s="205">
        <v>0.4</v>
      </c>
      <c r="BK242" s="205">
        <v>0.31</v>
      </c>
      <c r="BL242" s="214" t="str">
        <f t="shared" si="7"/>
        <v/>
      </c>
    </row>
    <row r="243" spans="23:64" x14ac:dyDescent="0.25">
      <c r="W243" s="214" t="s">
        <v>274</v>
      </c>
      <c r="X243" s="214" t="s">
        <v>478</v>
      </c>
      <c r="Y243" s="220">
        <v>3</v>
      </c>
      <c r="AW243" s="214" t="s">
        <v>5829</v>
      </c>
      <c r="AX243" s="205">
        <v>2</v>
      </c>
      <c r="AY243" s="205">
        <v>0.3</v>
      </c>
      <c r="AZ243" s="205">
        <v>0.4</v>
      </c>
      <c r="BA243" s="205">
        <v>0.22</v>
      </c>
      <c r="BB243" s="214" t="str">
        <f t="shared" si="6"/>
        <v/>
      </c>
      <c r="BG243" s="214" t="s">
        <v>5830</v>
      </c>
      <c r="BH243" s="205">
        <v>2</v>
      </c>
      <c r="BI243" s="205">
        <v>0.3</v>
      </c>
      <c r="BJ243" s="205">
        <v>0.4</v>
      </c>
      <c r="BK243" s="205">
        <v>0.3</v>
      </c>
      <c r="BL243" s="214" t="str">
        <f t="shared" si="7"/>
        <v/>
      </c>
    </row>
    <row r="244" spans="23:64" x14ac:dyDescent="0.25">
      <c r="W244" s="214" t="s">
        <v>274</v>
      </c>
      <c r="X244" s="214" t="s">
        <v>479</v>
      </c>
      <c r="Y244" s="220">
        <v>3</v>
      </c>
      <c r="AW244" s="214" t="s">
        <v>5829</v>
      </c>
      <c r="AX244" s="205">
        <v>3</v>
      </c>
      <c r="AY244" s="205">
        <v>0.3</v>
      </c>
      <c r="AZ244" s="205">
        <v>0.4</v>
      </c>
      <c r="BA244" s="205">
        <v>0.22</v>
      </c>
      <c r="BB244" s="214" t="str">
        <f t="shared" si="6"/>
        <v/>
      </c>
      <c r="BG244" s="214" t="s">
        <v>5830</v>
      </c>
      <c r="BH244" s="205">
        <v>3</v>
      </c>
      <c r="BI244" s="205">
        <v>0.3</v>
      </c>
      <c r="BJ244" s="205">
        <v>0.4</v>
      </c>
      <c r="BK244" s="205">
        <v>0.31</v>
      </c>
      <c r="BL244" s="214" t="str">
        <f t="shared" si="7"/>
        <v/>
      </c>
    </row>
    <row r="245" spans="23:64" x14ac:dyDescent="0.25">
      <c r="W245" s="214" t="s">
        <v>274</v>
      </c>
      <c r="X245" s="214" t="s">
        <v>480</v>
      </c>
      <c r="Y245" s="220">
        <v>3</v>
      </c>
      <c r="AW245" s="214" t="s">
        <v>5829</v>
      </c>
      <c r="AX245" s="205">
        <v>4</v>
      </c>
      <c r="AY245" s="205">
        <v>0.3</v>
      </c>
      <c r="AZ245" s="205">
        <v>0.4</v>
      </c>
      <c r="BA245" s="205">
        <v>0.18</v>
      </c>
      <c r="BB245" s="214" t="str">
        <f t="shared" si="6"/>
        <v/>
      </c>
      <c r="BG245" s="214" t="s">
        <v>5830</v>
      </c>
      <c r="BH245" s="205">
        <v>4</v>
      </c>
      <c r="BI245" s="205">
        <v>0.3</v>
      </c>
      <c r="BJ245" s="205">
        <v>0.4</v>
      </c>
      <c r="BK245" s="205">
        <v>0.3</v>
      </c>
      <c r="BL245" s="214" t="str">
        <f t="shared" si="7"/>
        <v/>
      </c>
    </row>
    <row r="246" spans="23:64" x14ac:dyDescent="0.25">
      <c r="W246" s="214" t="s">
        <v>274</v>
      </c>
      <c r="X246" s="214" t="s">
        <v>481</v>
      </c>
      <c r="Y246" s="220">
        <v>2</v>
      </c>
      <c r="AW246" s="214" t="s">
        <v>5829</v>
      </c>
      <c r="AX246" s="205">
        <v>5</v>
      </c>
      <c r="AY246" s="205">
        <v>0.3</v>
      </c>
      <c r="AZ246" s="205">
        <v>0.4</v>
      </c>
      <c r="BA246" s="205">
        <v>0.22</v>
      </c>
      <c r="BB246" s="214" t="str">
        <f t="shared" si="6"/>
        <v/>
      </c>
      <c r="BG246" s="214" t="s">
        <v>5830</v>
      </c>
      <c r="BH246" s="205">
        <v>5</v>
      </c>
      <c r="BI246" s="205">
        <v>0.3</v>
      </c>
      <c r="BJ246" s="205">
        <v>0.4</v>
      </c>
      <c r="BK246" s="205">
        <v>0.31</v>
      </c>
      <c r="BL246" s="214" t="str">
        <f t="shared" si="7"/>
        <v/>
      </c>
    </row>
    <row r="247" spans="23:64" x14ac:dyDescent="0.25">
      <c r="W247" s="214" t="s">
        <v>274</v>
      </c>
      <c r="X247" s="214" t="s">
        <v>482</v>
      </c>
      <c r="Y247" s="220">
        <v>3</v>
      </c>
      <c r="AW247" s="214" t="s">
        <v>5829</v>
      </c>
      <c r="AX247" s="205">
        <v>6</v>
      </c>
      <c r="AY247" s="205">
        <v>0.3</v>
      </c>
      <c r="AZ247" s="205">
        <v>0.4</v>
      </c>
      <c r="BA247" s="205">
        <v>0.18</v>
      </c>
      <c r="BB247" s="214" t="str">
        <f t="shared" si="6"/>
        <v/>
      </c>
      <c r="BG247" s="214" t="s">
        <v>5830</v>
      </c>
      <c r="BH247" s="205">
        <v>6</v>
      </c>
      <c r="BI247" s="205">
        <v>0.3</v>
      </c>
      <c r="BJ247" s="205">
        <v>0.4</v>
      </c>
      <c r="BK247" s="205">
        <v>0.31</v>
      </c>
      <c r="BL247" s="214" t="str">
        <f t="shared" si="7"/>
        <v/>
      </c>
    </row>
    <row r="248" spans="23:64" x14ac:dyDescent="0.25">
      <c r="W248" s="214" t="s">
        <v>274</v>
      </c>
      <c r="X248" s="214" t="s">
        <v>483</v>
      </c>
      <c r="Y248" s="220">
        <v>3</v>
      </c>
      <c r="AW248" s="214" t="s">
        <v>5829</v>
      </c>
      <c r="AX248" s="205">
        <v>7</v>
      </c>
      <c r="AY248" s="205">
        <v>0.3</v>
      </c>
      <c r="AZ248" s="205">
        <v>0.4</v>
      </c>
      <c r="BA248" s="205">
        <v>0.12</v>
      </c>
      <c r="BB248" s="214" t="str">
        <f t="shared" si="6"/>
        <v/>
      </c>
      <c r="BG248" s="214" t="s">
        <v>5830</v>
      </c>
      <c r="BH248" s="205">
        <v>7</v>
      </c>
      <c r="BI248" s="205">
        <v>0.3</v>
      </c>
      <c r="BJ248" s="205">
        <v>0.4</v>
      </c>
      <c r="BK248" s="205">
        <v>0.3</v>
      </c>
      <c r="BL248" s="214" t="str">
        <f t="shared" si="7"/>
        <v/>
      </c>
    </row>
    <row r="249" spans="23:64" x14ac:dyDescent="0.25">
      <c r="W249" s="214" t="s">
        <v>274</v>
      </c>
      <c r="X249" s="214" t="s">
        <v>484</v>
      </c>
      <c r="Y249" s="220">
        <v>4</v>
      </c>
      <c r="AW249" s="214" t="s">
        <v>5829</v>
      </c>
      <c r="AX249" s="205">
        <v>8</v>
      </c>
      <c r="AY249" s="205">
        <v>0.3</v>
      </c>
      <c r="AZ249" s="205">
        <v>0.4</v>
      </c>
      <c r="BA249" s="205">
        <v>0.14000000000000001</v>
      </c>
      <c r="BB249" s="214" t="str">
        <f t="shared" si="6"/>
        <v/>
      </c>
      <c r="BG249" s="214" t="s">
        <v>5830</v>
      </c>
      <c r="BH249" s="205">
        <v>8</v>
      </c>
      <c r="BI249" s="205">
        <v>0.3</v>
      </c>
      <c r="BJ249" s="205">
        <v>0.4</v>
      </c>
      <c r="BK249" s="205">
        <v>0.3</v>
      </c>
      <c r="BL249" s="214" t="str">
        <f t="shared" si="7"/>
        <v/>
      </c>
    </row>
    <row r="250" spans="23:64" x14ac:dyDescent="0.25">
      <c r="W250" s="214" t="s">
        <v>274</v>
      </c>
      <c r="X250" s="214" t="s">
        <v>485</v>
      </c>
      <c r="Y250" s="220">
        <v>3</v>
      </c>
      <c r="AW250" s="214" t="s">
        <v>5829</v>
      </c>
      <c r="AX250" s="205">
        <v>1</v>
      </c>
      <c r="AY250" s="205">
        <v>0.4</v>
      </c>
      <c r="AZ250" s="205">
        <v>0.5</v>
      </c>
      <c r="BA250" s="205">
        <v>0.28000000000000003</v>
      </c>
      <c r="BB250" s="214" t="str">
        <f t="shared" si="6"/>
        <v/>
      </c>
      <c r="BG250" s="214" t="s">
        <v>5830</v>
      </c>
      <c r="BH250" s="205">
        <v>1</v>
      </c>
      <c r="BI250" s="205">
        <v>0.4</v>
      </c>
      <c r="BJ250" s="205">
        <v>0.5</v>
      </c>
      <c r="BK250" s="205">
        <v>0.32</v>
      </c>
      <c r="BL250" s="214" t="str">
        <f t="shared" si="7"/>
        <v/>
      </c>
    </row>
    <row r="251" spans="23:64" x14ac:dyDescent="0.25">
      <c r="W251" s="214" t="s">
        <v>274</v>
      </c>
      <c r="X251" s="214" t="s">
        <v>486</v>
      </c>
      <c r="Y251" s="220">
        <v>3</v>
      </c>
      <c r="AW251" s="214" t="s">
        <v>5829</v>
      </c>
      <c r="AX251" s="205">
        <v>2</v>
      </c>
      <c r="AY251" s="205">
        <v>0.4</v>
      </c>
      <c r="AZ251" s="205">
        <v>0.5</v>
      </c>
      <c r="BA251" s="205">
        <v>0.24</v>
      </c>
      <c r="BB251" s="214" t="str">
        <f t="shared" si="6"/>
        <v/>
      </c>
      <c r="BG251" s="214" t="s">
        <v>5830</v>
      </c>
      <c r="BH251" s="205">
        <v>2</v>
      </c>
      <c r="BI251" s="205">
        <v>0.4</v>
      </c>
      <c r="BJ251" s="205">
        <v>0.5</v>
      </c>
      <c r="BK251" s="205">
        <v>0.31</v>
      </c>
      <c r="BL251" s="214" t="str">
        <f t="shared" si="7"/>
        <v/>
      </c>
    </row>
    <row r="252" spans="23:64" x14ac:dyDescent="0.25">
      <c r="W252" s="214" t="s">
        <v>274</v>
      </c>
      <c r="X252" s="214" t="s">
        <v>487</v>
      </c>
      <c r="Y252" s="220">
        <v>2</v>
      </c>
      <c r="AW252" s="214" t="s">
        <v>5829</v>
      </c>
      <c r="AX252" s="205">
        <v>3</v>
      </c>
      <c r="AY252" s="205">
        <v>0.4</v>
      </c>
      <c r="AZ252" s="205">
        <v>0.5</v>
      </c>
      <c r="BA252" s="205">
        <v>0.2</v>
      </c>
      <c r="BB252" s="214" t="str">
        <f t="shared" si="6"/>
        <v/>
      </c>
      <c r="BG252" s="214" t="s">
        <v>5830</v>
      </c>
      <c r="BH252" s="205">
        <v>3</v>
      </c>
      <c r="BI252" s="205">
        <v>0.4</v>
      </c>
      <c r="BJ252" s="205">
        <v>0.5</v>
      </c>
      <c r="BK252" s="205">
        <v>0.32</v>
      </c>
      <c r="BL252" s="214" t="str">
        <f t="shared" si="7"/>
        <v/>
      </c>
    </row>
    <row r="253" spans="23:64" x14ac:dyDescent="0.25">
      <c r="W253" s="214" t="s">
        <v>274</v>
      </c>
      <c r="X253" s="214" t="s">
        <v>488</v>
      </c>
      <c r="Y253" s="220">
        <v>2</v>
      </c>
      <c r="AW253" s="214" t="s">
        <v>5829</v>
      </c>
      <c r="AX253" s="205">
        <v>4</v>
      </c>
      <c r="AY253" s="205">
        <v>0.4</v>
      </c>
      <c r="AZ253" s="205">
        <v>0.5</v>
      </c>
      <c r="BA253" s="205">
        <v>0.16</v>
      </c>
      <c r="BB253" s="214" t="str">
        <f t="shared" si="6"/>
        <v/>
      </c>
      <c r="BG253" s="214" t="s">
        <v>5830</v>
      </c>
      <c r="BH253" s="205">
        <v>4</v>
      </c>
      <c r="BI253" s="205">
        <v>0.4</v>
      </c>
      <c r="BJ253" s="205">
        <v>0.5</v>
      </c>
      <c r="BK253" s="205">
        <v>0.31</v>
      </c>
      <c r="BL253" s="214" t="str">
        <f t="shared" si="7"/>
        <v/>
      </c>
    </row>
    <row r="254" spans="23:64" x14ac:dyDescent="0.25">
      <c r="W254" s="214" t="s">
        <v>274</v>
      </c>
      <c r="X254" s="214" t="s">
        <v>489</v>
      </c>
      <c r="Y254" s="220">
        <v>3</v>
      </c>
      <c r="AW254" s="214" t="s">
        <v>5829</v>
      </c>
      <c r="AX254" s="205">
        <v>5</v>
      </c>
      <c r="AY254" s="205">
        <v>0.4</v>
      </c>
      <c r="AZ254" s="205">
        <v>0.5</v>
      </c>
      <c r="BA254" s="205">
        <v>0.21</v>
      </c>
      <c r="BB254" s="214" t="str">
        <f t="shared" si="6"/>
        <v/>
      </c>
      <c r="BG254" s="214" t="s">
        <v>5830</v>
      </c>
      <c r="BH254" s="205">
        <v>5</v>
      </c>
      <c r="BI254" s="205">
        <v>0.4</v>
      </c>
      <c r="BJ254" s="205">
        <v>0.5</v>
      </c>
      <c r="BK254" s="205">
        <v>0.32</v>
      </c>
      <c r="BL254" s="214" t="str">
        <f t="shared" si="7"/>
        <v/>
      </c>
    </row>
    <row r="255" spans="23:64" x14ac:dyDescent="0.25">
      <c r="W255" s="214" t="s">
        <v>274</v>
      </c>
      <c r="X255" s="214" t="s">
        <v>490</v>
      </c>
      <c r="Y255" s="220">
        <v>3</v>
      </c>
      <c r="AW255" s="214" t="s">
        <v>5829</v>
      </c>
      <c r="AX255" s="205">
        <v>6</v>
      </c>
      <c r="AY255" s="205">
        <v>0.4</v>
      </c>
      <c r="AZ255" s="205">
        <v>0.5</v>
      </c>
      <c r="BA255" s="205">
        <v>0.16</v>
      </c>
      <c r="BB255" s="214" t="str">
        <f t="shared" si="6"/>
        <v/>
      </c>
      <c r="BG255" s="214" t="s">
        <v>5830</v>
      </c>
      <c r="BH255" s="205">
        <v>6</v>
      </c>
      <c r="BI255" s="205">
        <v>0.4</v>
      </c>
      <c r="BJ255" s="205">
        <v>0.5</v>
      </c>
      <c r="BK255" s="205">
        <v>0.32</v>
      </c>
      <c r="BL255" s="214" t="str">
        <f t="shared" si="7"/>
        <v/>
      </c>
    </row>
    <row r="256" spans="23:64" x14ac:dyDescent="0.25">
      <c r="W256" s="214" t="s">
        <v>274</v>
      </c>
      <c r="X256" s="214" t="s">
        <v>491</v>
      </c>
      <c r="Y256" s="220">
        <v>2</v>
      </c>
      <c r="AW256" s="214" t="s">
        <v>5829</v>
      </c>
      <c r="AX256" s="205">
        <v>7</v>
      </c>
      <c r="AY256" s="205">
        <v>0.4</v>
      </c>
      <c r="AZ256" s="205">
        <v>0.5</v>
      </c>
      <c r="BA256" s="205">
        <v>0.1</v>
      </c>
      <c r="BB256" s="214" t="str">
        <f t="shared" si="6"/>
        <v/>
      </c>
      <c r="BG256" s="214" t="s">
        <v>5830</v>
      </c>
      <c r="BH256" s="205">
        <v>7</v>
      </c>
      <c r="BI256" s="205">
        <v>0.4</v>
      </c>
      <c r="BJ256" s="205">
        <v>0.5</v>
      </c>
      <c r="BK256" s="205">
        <v>0.3</v>
      </c>
      <c r="BL256" s="214" t="str">
        <f t="shared" si="7"/>
        <v/>
      </c>
    </row>
    <row r="257" spans="23:68" x14ac:dyDescent="0.25">
      <c r="W257" s="214" t="s">
        <v>274</v>
      </c>
      <c r="X257" s="214" t="s">
        <v>492</v>
      </c>
      <c r="Y257" s="220">
        <v>2</v>
      </c>
      <c r="AW257" s="214" t="s">
        <v>5829</v>
      </c>
      <c r="AX257" s="205">
        <v>8</v>
      </c>
      <c r="AY257" s="205">
        <v>0.4</v>
      </c>
      <c r="AZ257" s="205">
        <v>0.5</v>
      </c>
      <c r="BA257" s="205">
        <v>0.12</v>
      </c>
      <c r="BB257" s="214" t="str">
        <f t="shared" si="6"/>
        <v/>
      </c>
      <c r="BG257" s="214" t="s">
        <v>5830</v>
      </c>
      <c r="BH257" s="205">
        <v>8</v>
      </c>
      <c r="BI257" s="205">
        <v>0.4</v>
      </c>
      <c r="BJ257" s="205">
        <v>0.5</v>
      </c>
      <c r="BK257" s="205">
        <v>0.31</v>
      </c>
      <c r="BL257" s="214" t="str">
        <f t="shared" si="7"/>
        <v/>
      </c>
    </row>
    <row r="258" spans="23:68" x14ac:dyDescent="0.25">
      <c r="W258" s="214" t="s">
        <v>274</v>
      </c>
      <c r="X258" s="214" t="s">
        <v>493</v>
      </c>
      <c r="Y258" s="220">
        <v>3</v>
      </c>
      <c r="AW258" s="214" t="s">
        <v>5829</v>
      </c>
      <c r="AX258" s="205">
        <v>1</v>
      </c>
      <c r="AY258" s="205">
        <v>0.5</v>
      </c>
      <c r="AZ258" s="205">
        <v>100</v>
      </c>
      <c r="BA258" s="205">
        <v>0.28000000000000003</v>
      </c>
      <c r="BB258" s="214" t="str">
        <f t="shared" ref="BB258:BB321" si="8">IF(AX258=$BE$1,IF(AW258=$BD$1,IF(AND($BC$1&gt;AY258,$BC$1&lt;AZ258),BA258,""),""),"")</f>
        <v/>
      </c>
      <c r="BG258" s="214" t="s">
        <v>5830</v>
      </c>
      <c r="BH258" s="205">
        <v>1</v>
      </c>
      <c r="BI258" s="205">
        <v>0.5</v>
      </c>
      <c r="BJ258" s="205">
        <v>100</v>
      </c>
      <c r="BK258" s="205">
        <v>0.37</v>
      </c>
      <c r="BL258" s="214" t="str">
        <f t="shared" ref="BL258:BL321" si="9">IF(BH258=$BE$1,IF(BG258=$BD$1,IF(AND($BC$1&gt;BI258,$BC$1&lt;BJ258),BK258,""),""),"")</f>
        <v/>
      </c>
    </row>
    <row r="259" spans="23:68" x14ac:dyDescent="0.25">
      <c r="W259" s="214" t="s">
        <v>274</v>
      </c>
      <c r="X259" s="214" t="s">
        <v>494</v>
      </c>
      <c r="Y259" s="220">
        <v>3</v>
      </c>
      <c r="AW259" s="214" t="s">
        <v>5829</v>
      </c>
      <c r="AX259" s="205">
        <v>2</v>
      </c>
      <c r="AY259" s="205">
        <v>0.5</v>
      </c>
      <c r="AZ259" s="205">
        <v>100</v>
      </c>
      <c r="BA259" s="205">
        <v>0.25</v>
      </c>
      <c r="BB259" s="214" t="str">
        <f t="shared" si="8"/>
        <v/>
      </c>
      <c r="BG259" s="214" t="s">
        <v>5830</v>
      </c>
      <c r="BH259" s="205">
        <v>2</v>
      </c>
      <c r="BI259" s="205">
        <v>0.5</v>
      </c>
      <c r="BJ259" s="205">
        <v>100</v>
      </c>
      <c r="BK259" s="205">
        <v>0.35</v>
      </c>
      <c r="BL259" s="214" t="str">
        <f t="shared" si="9"/>
        <v/>
      </c>
    </row>
    <row r="260" spans="23:68" x14ac:dyDescent="0.25">
      <c r="W260" s="214" t="s">
        <v>274</v>
      </c>
      <c r="X260" s="214" t="s">
        <v>495</v>
      </c>
      <c r="Y260" s="220">
        <v>2</v>
      </c>
      <c r="AW260" s="214" t="s">
        <v>5829</v>
      </c>
      <c r="AX260" s="205">
        <v>3</v>
      </c>
      <c r="AY260" s="205">
        <v>0.5</v>
      </c>
      <c r="AZ260" s="205">
        <v>100</v>
      </c>
      <c r="BA260" s="205">
        <v>0.17</v>
      </c>
      <c r="BB260" s="214" t="str">
        <f t="shared" si="8"/>
        <v/>
      </c>
      <c r="BG260" s="214" t="s">
        <v>5830</v>
      </c>
      <c r="BH260" s="205">
        <v>3</v>
      </c>
      <c r="BI260" s="205">
        <v>0.5</v>
      </c>
      <c r="BJ260" s="205">
        <v>100</v>
      </c>
      <c r="BK260" s="205">
        <v>0.35</v>
      </c>
      <c r="BL260" s="214" t="str">
        <f t="shared" si="9"/>
        <v/>
      </c>
    </row>
    <row r="261" spans="23:68" x14ac:dyDescent="0.25">
      <c r="W261" s="214" t="s">
        <v>274</v>
      </c>
      <c r="X261" s="214" t="s">
        <v>496</v>
      </c>
      <c r="Y261" s="220">
        <v>3</v>
      </c>
      <c r="AW261" s="214" t="s">
        <v>5829</v>
      </c>
      <c r="AX261" s="205">
        <v>4</v>
      </c>
      <c r="AY261" s="205">
        <v>0.5</v>
      </c>
      <c r="AZ261" s="205">
        <v>100</v>
      </c>
      <c r="BA261" s="205">
        <v>0.13</v>
      </c>
      <c r="BB261" s="214" t="str">
        <f t="shared" si="8"/>
        <v/>
      </c>
      <c r="BG261" s="214" t="s">
        <v>5830</v>
      </c>
      <c r="BH261" s="205">
        <v>4</v>
      </c>
      <c r="BI261" s="205">
        <v>0.5</v>
      </c>
      <c r="BJ261" s="205">
        <v>100</v>
      </c>
      <c r="BK261" s="205">
        <v>0.33</v>
      </c>
      <c r="BL261" s="214" t="str">
        <f t="shared" si="9"/>
        <v/>
      </c>
    </row>
    <row r="262" spans="23:68" x14ac:dyDescent="0.25">
      <c r="W262" s="214" t="s">
        <v>274</v>
      </c>
      <c r="X262" s="214" t="s">
        <v>497</v>
      </c>
      <c r="Y262" s="220">
        <v>3</v>
      </c>
      <c r="AW262" s="214" t="s">
        <v>5829</v>
      </c>
      <c r="AX262" s="205">
        <v>5</v>
      </c>
      <c r="AY262" s="205">
        <v>0.5</v>
      </c>
      <c r="AZ262" s="205">
        <v>100</v>
      </c>
      <c r="BA262" s="205">
        <v>0.18</v>
      </c>
      <c r="BB262" s="214" t="str">
        <f t="shared" si="8"/>
        <v/>
      </c>
      <c r="BG262" s="214" t="s">
        <v>5830</v>
      </c>
      <c r="BH262" s="205">
        <v>5</v>
      </c>
      <c r="BI262" s="205">
        <v>0.5</v>
      </c>
      <c r="BJ262" s="205">
        <v>100</v>
      </c>
      <c r="BK262" s="205">
        <v>0.36</v>
      </c>
      <c r="BL262" s="214" t="str">
        <f t="shared" si="9"/>
        <v/>
      </c>
    </row>
    <row r="263" spans="23:68" x14ac:dyDescent="0.25">
      <c r="W263" s="214" t="s">
        <v>274</v>
      </c>
      <c r="X263" s="214" t="s">
        <v>498</v>
      </c>
      <c r="Y263" s="220">
        <v>3</v>
      </c>
      <c r="AW263" s="214" t="s">
        <v>5829</v>
      </c>
      <c r="AX263" s="205">
        <v>6</v>
      </c>
      <c r="AY263" s="205">
        <v>0.5</v>
      </c>
      <c r="AZ263" s="205">
        <v>100</v>
      </c>
      <c r="BA263" s="205">
        <v>0.11</v>
      </c>
      <c r="BB263" s="214" t="str">
        <f t="shared" si="8"/>
        <v/>
      </c>
      <c r="BG263" s="214" t="s">
        <v>5830</v>
      </c>
      <c r="BH263" s="205">
        <v>6</v>
      </c>
      <c r="BI263" s="205">
        <v>0.5</v>
      </c>
      <c r="BJ263" s="205">
        <v>100</v>
      </c>
      <c r="BK263" s="205">
        <v>0.34</v>
      </c>
      <c r="BL263" s="214" t="str">
        <f t="shared" si="9"/>
        <v/>
      </c>
    </row>
    <row r="264" spans="23:68" x14ac:dyDescent="0.25">
      <c r="W264" s="214" t="s">
        <v>274</v>
      </c>
      <c r="X264" s="214" t="s">
        <v>499</v>
      </c>
      <c r="Y264" s="220">
        <v>6</v>
      </c>
      <c r="AW264" s="214" t="s">
        <v>5829</v>
      </c>
      <c r="AX264" s="205">
        <v>7</v>
      </c>
      <c r="AY264" s="205">
        <v>0.5</v>
      </c>
      <c r="AZ264" s="205">
        <v>100</v>
      </c>
      <c r="BA264" s="205">
        <v>0.06</v>
      </c>
      <c r="BB264" s="214" t="str">
        <f t="shared" si="8"/>
        <v/>
      </c>
      <c r="BG264" s="214" t="s">
        <v>5830</v>
      </c>
      <c r="BH264" s="205">
        <v>7</v>
      </c>
      <c r="BI264" s="205">
        <v>0.5</v>
      </c>
      <c r="BJ264" s="205">
        <v>100</v>
      </c>
      <c r="BK264" s="205">
        <v>0.32</v>
      </c>
      <c r="BL264" s="214" t="str">
        <f t="shared" si="9"/>
        <v/>
      </c>
    </row>
    <row r="265" spans="23:68" x14ac:dyDescent="0.25">
      <c r="W265" s="214" t="s">
        <v>274</v>
      </c>
      <c r="X265" s="214" t="s">
        <v>5878</v>
      </c>
      <c r="Y265" s="220">
        <v>2</v>
      </c>
      <c r="AW265" s="214" t="s">
        <v>5829</v>
      </c>
      <c r="AX265" s="205">
        <v>8</v>
      </c>
      <c r="AY265" s="205">
        <v>0.5</v>
      </c>
      <c r="AZ265" s="205">
        <v>100</v>
      </c>
      <c r="BA265" s="205">
        <v>0.08</v>
      </c>
      <c r="BB265" s="214" t="str">
        <f t="shared" si="8"/>
        <v/>
      </c>
      <c r="BG265" s="214" t="s">
        <v>5830</v>
      </c>
      <c r="BH265" s="205">
        <v>8</v>
      </c>
      <c r="BI265" s="205">
        <v>0.5</v>
      </c>
      <c r="BJ265" s="205">
        <v>100</v>
      </c>
      <c r="BK265" s="205">
        <v>0.32</v>
      </c>
      <c r="BL265" s="214" t="str">
        <f t="shared" si="9"/>
        <v/>
      </c>
    </row>
    <row r="266" spans="23:68" ht="15.75" x14ac:dyDescent="0.25">
      <c r="W266" s="214" t="s">
        <v>274</v>
      </c>
      <c r="X266" s="214" t="s">
        <v>500</v>
      </c>
      <c r="Y266" s="220">
        <v>2</v>
      </c>
      <c r="AW266" s="214" t="s">
        <v>56</v>
      </c>
      <c r="AX266" s="205">
        <v>1</v>
      </c>
      <c r="AY266" s="205">
        <v>0</v>
      </c>
      <c r="AZ266" s="205">
        <v>0.2</v>
      </c>
      <c r="BA266" s="205">
        <v>0.28000000000000003</v>
      </c>
      <c r="BB266" s="214" t="str">
        <f t="shared" si="8"/>
        <v/>
      </c>
      <c r="BG266" s="214" t="s">
        <v>56</v>
      </c>
      <c r="BH266" s="205">
        <v>1</v>
      </c>
      <c r="BI266" s="205">
        <v>0</v>
      </c>
      <c r="BJ266" s="205">
        <v>0.2</v>
      </c>
      <c r="BK266" s="205">
        <v>0.28000000000000003</v>
      </c>
      <c r="BL266" s="214" t="str">
        <f t="shared" si="9"/>
        <v/>
      </c>
      <c r="BP266" s="204"/>
    </row>
    <row r="267" spans="23:68" ht="15.75" x14ac:dyDescent="0.25">
      <c r="W267" s="214" t="s">
        <v>274</v>
      </c>
      <c r="X267" s="214" t="s">
        <v>501</v>
      </c>
      <c r="Y267" s="220">
        <v>3</v>
      </c>
      <c r="AW267" s="214" t="s">
        <v>56</v>
      </c>
      <c r="AX267" s="205">
        <v>2</v>
      </c>
      <c r="AY267" s="205">
        <v>0</v>
      </c>
      <c r="AZ267" s="205">
        <v>0.2</v>
      </c>
      <c r="BA267" s="205">
        <v>0.23</v>
      </c>
      <c r="BB267" s="214" t="str">
        <f t="shared" si="8"/>
        <v/>
      </c>
      <c r="BG267" s="214" t="s">
        <v>56</v>
      </c>
      <c r="BH267" s="205">
        <v>2</v>
      </c>
      <c r="BI267" s="205">
        <v>0</v>
      </c>
      <c r="BJ267" s="205">
        <v>0.2</v>
      </c>
      <c r="BK267" s="205">
        <v>0.28000000000000003</v>
      </c>
      <c r="BL267" s="214" t="str">
        <f t="shared" si="9"/>
        <v/>
      </c>
      <c r="BP267" s="204"/>
    </row>
    <row r="268" spans="23:68" ht="15.75" x14ac:dyDescent="0.25">
      <c r="W268" s="214" t="s">
        <v>274</v>
      </c>
      <c r="X268" s="214" t="s">
        <v>502</v>
      </c>
      <c r="Y268" s="220">
        <v>3</v>
      </c>
      <c r="AW268" s="214" t="s">
        <v>56</v>
      </c>
      <c r="AX268" s="205">
        <v>3</v>
      </c>
      <c r="AY268" s="205">
        <v>0</v>
      </c>
      <c r="AZ268" s="205">
        <v>0.2</v>
      </c>
      <c r="BA268" s="205">
        <v>0.24</v>
      </c>
      <c r="BB268" s="214" t="str">
        <f t="shared" si="8"/>
        <v/>
      </c>
      <c r="BG268" s="214" t="s">
        <v>56</v>
      </c>
      <c r="BH268" s="205">
        <v>3</v>
      </c>
      <c r="BI268" s="205">
        <v>0</v>
      </c>
      <c r="BJ268" s="205">
        <v>0.2</v>
      </c>
      <c r="BK268" s="205">
        <v>0.28000000000000003</v>
      </c>
      <c r="BL268" s="214" t="str">
        <f t="shared" si="9"/>
        <v/>
      </c>
      <c r="BP268" s="204"/>
    </row>
    <row r="269" spans="23:68" ht="15.75" x14ac:dyDescent="0.25">
      <c r="W269" s="214" t="s">
        <v>274</v>
      </c>
      <c r="X269" s="214" t="s">
        <v>503</v>
      </c>
      <c r="Y269" s="220">
        <v>2</v>
      </c>
      <c r="AW269" s="214" t="s">
        <v>56</v>
      </c>
      <c r="AX269" s="205">
        <v>4</v>
      </c>
      <c r="AY269" s="205">
        <v>0</v>
      </c>
      <c r="AZ269" s="205">
        <v>0.2</v>
      </c>
      <c r="BA269" s="205">
        <v>0.2</v>
      </c>
      <c r="BB269" s="214" t="str">
        <f t="shared" si="8"/>
        <v/>
      </c>
      <c r="BG269" s="214" t="s">
        <v>56</v>
      </c>
      <c r="BH269" s="205">
        <v>4</v>
      </c>
      <c r="BI269" s="205">
        <v>0</v>
      </c>
      <c r="BJ269" s="205">
        <v>0.2</v>
      </c>
      <c r="BK269" s="205">
        <v>0.27</v>
      </c>
      <c r="BL269" s="214" t="str">
        <f t="shared" si="9"/>
        <v/>
      </c>
      <c r="BP269" s="204"/>
    </row>
    <row r="270" spans="23:68" ht="15.75" x14ac:dyDescent="0.25">
      <c r="W270" s="214" t="s">
        <v>274</v>
      </c>
      <c r="X270" s="214" t="s">
        <v>504</v>
      </c>
      <c r="Y270" s="220">
        <v>2</v>
      </c>
      <c r="AW270" s="214" t="s">
        <v>56</v>
      </c>
      <c r="AX270" s="205">
        <v>5</v>
      </c>
      <c r="AY270" s="205">
        <v>0</v>
      </c>
      <c r="AZ270" s="205">
        <v>0.2</v>
      </c>
      <c r="BA270" s="205">
        <v>0.24</v>
      </c>
      <c r="BB270" s="214" t="str">
        <f t="shared" si="8"/>
        <v/>
      </c>
      <c r="BG270" s="214" t="s">
        <v>56</v>
      </c>
      <c r="BH270" s="205">
        <v>5</v>
      </c>
      <c r="BI270" s="205">
        <v>0</v>
      </c>
      <c r="BJ270" s="205">
        <v>0.2</v>
      </c>
      <c r="BK270" s="205">
        <v>0.27</v>
      </c>
      <c r="BL270" s="214" t="str">
        <f t="shared" si="9"/>
        <v/>
      </c>
      <c r="BP270" s="204"/>
    </row>
    <row r="271" spans="23:68" ht="15.75" x14ac:dyDescent="0.25">
      <c r="W271" s="214" t="s">
        <v>274</v>
      </c>
      <c r="X271" s="214" t="s">
        <v>505</v>
      </c>
      <c r="Y271" s="220">
        <v>3</v>
      </c>
      <c r="AW271" s="214" t="s">
        <v>56</v>
      </c>
      <c r="AX271" s="205">
        <v>6</v>
      </c>
      <c r="AY271" s="205">
        <v>0</v>
      </c>
      <c r="AZ271" s="205">
        <v>0.2</v>
      </c>
      <c r="BA271" s="205">
        <v>0.21</v>
      </c>
      <c r="BB271" s="214" t="str">
        <f t="shared" si="8"/>
        <v/>
      </c>
      <c r="BG271" s="214" t="s">
        <v>56</v>
      </c>
      <c r="BH271" s="205">
        <v>6</v>
      </c>
      <c r="BI271" s="205">
        <v>0</v>
      </c>
      <c r="BJ271" s="205">
        <v>0.2</v>
      </c>
      <c r="BK271" s="205">
        <v>0.28000000000000003</v>
      </c>
      <c r="BL271" s="214" t="str">
        <f t="shared" si="9"/>
        <v/>
      </c>
      <c r="BP271" s="204"/>
    </row>
    <row r="272" spans="23:68" ht="15.75" x14ac:dyDescent="0.25">
      <c r="W272" s="214" t="s">
        <v>274</v>
      </c>
      <c r="X272" s="214" t="s">
        <v>506</v>
      </c>
      <c r="Y272" s="220">
        <v>3</v>
      </c>
      <c r="AW272" s="214" t="s">
        <v>56</v>
      </c>
      <c r="AX272" s="205">
        <v>7</v>
      </c>
      <c r="AY272" s="205">
        <v>0</v>
      </c>
      <c r="AZ272" s="205">
        <v>0.2</v>
      </c>
      <c r="BA272" s="205">
        <v>0.15</v>
      </c>
      <c r="BB272" s="214" t="str">
        <f t="shared" si="8"/>
        <v/>
      </c>
      <c r="BG272" s="214" t="s">
        <v>56</v>
      </c>
      <c r="BH272" s="205">
        <v>7</v>
      </c>
      <c r="BI272" s="205">
        <v>0</v>
      </c>
      <c r="BJ272" s="205">
        <v>0.2</v>
      </c>
      <c r="BK272" s="205">
        <v>0.27</v>
      </c>
      <c r="BL272" s="214" t="str">
        <f t="shared" si="9"/>
        <v/>
      </c>
      <c r="BP272" s="204"/>
    </row>
    <row r="273" spans="23:68" ht="15.75" x14ac:dyDescent="0.25">
      <c r="W273" s="214" t="s">
        <v>274</v>
      </c>
      <c r="X273" s="214" t="s">
        <v>507</v>
      </c>
      <c r="Y273" s="220">
        <v>3</v>
      </c>
      <c r="AW273" s="214" t="s">
        <v>56</v>
      </c>
      <c r="AX273" s="205">
        <v>8</v>
      </c>
      <c r="AY273" s="205">
        <v>0</v>
      </c>
      <c r="AZ273" s="205">
        <v>0.2</v>
      </c>
      <c r="BA273" s="205">
        <v>0.16</v>
      </c>
      <c r="BB273" s="214" t="str">
        <f t="shared" si="8"/>
        <v/>
      </c>
      <c r="BG273" s="214" t="s">
        <v>56</v>
      </c>
      <c r="BH273" s="205">
        <v>8</v>
      </c>
      <c r="BI273" s="205">
        <v>0</v>
      </c>
      <c r="BJ273" s="205">
        <v>0.2</v>
      </c>
      <c r="BK273" s="205">
        <v>0.27</v>
      </c>
      <c r="BL273" s="214" t="str">
        <f t="shared" si="9"/>
        <v/>
      </c>
      <c r="BP273" s="204"/>
    </row>
    <row r="274" spans="23:68" x14ac:dyDescent="0.25">
      <c r="W274" s="214" t="s">
        <v>274</v>
      </c>
      <c r="X274" s="214" t="s">
        <v>508</v>
      </c>
      <c r="Y274" s="220">
        <v>2</v>
      </c>
      <c r="AW274" s="214" t="s">
        <v>56</v>
      </c>
      <c r="AX274" s="205">
        <v>1</v>
      </c>
      <c r="AY274" s="205">
        <v>0.2</v>
      </c>
      <c r="AZ274" s="205">
        <v>0.3</v>
      </c>
      <c r="BA274" s="205">
        <v>0.28000000000000003</v>
      </c>
      <c r="BB274" s="214" t="str">
        <f t="shared" si="8"/>
        <v/>
      </c>
      <c r="BG274" s="214" t="s">
        <v>56</v>
      </c>
      <c r="BH274" s="205">
        <v>1</v>
      </c>
      <c r="BI274" s="205">
        <v>0.2</v>
      </c>
      <c r="BJ274" s="205">
        <v>0.3</v>
      </c>
      <c r="BK274" s="205">
        <v>0.28000000000000003</v>
      </c>
      <c r="BL274" s="214" t="str">
        <f t="shared" si="9"/>
        <v/>
      </c>
    </row>
    <row r="275" spans="23:68" x14ac:dyDescent="0.25">
      <c r="W275" s="214" t="s">
        <v>274</v>
      </c>
      <c r="X275" s="214" t="s">
        <v>509</v>
      </c>
      <c r="Y275" s="220">
        <v>3</v>
      </c>
      <c r="AW275" s="214" t="s">
        <v>56</v>
      </c>
      <c r="AX275" s="205">
        <v>2</v>
      </c>
      <c r="AY275" s="205">
        <v>0.2</v>
      </c>
      <c r="AZ275" s="205">
        <v>0.3</v>
      </c>
      <c r="BA275" s="205">
        <v>0.24</v>
      </c>
      <c r="BB275" s="214" t="str">
        <f t="shared" si="8"/>
        <v/>
      </c>
      <c r="BG275" s="214" t="s">
        <v>56</v>
      </c>
      <c r="BH275" s="205">
        <v>2</v>
      </c>
      <c r="BI275" s="205">
        <v>0.2</v>
      </c>
      <c r="BJ275" s="205">
        <v>0.3</v>
      </c>
      <c r="BK275" s="205">
        <v>0.27</v>
      </c>
      <c r="BL275" s="214" t="str">
        <f t="shared" si="9"/>
        <v/>
      </c>
    </row>
    <row r="276" spans="23:68" x14ac:dyDescent="0.25">
      <c r="W276" s="214" t="s">
        <v>274</v>
      </c>
      <c r="X276" s="214" t="s">
        <v>5879</v>
      </c>
      <c r="Y276" s="220">
        <v>3</v>
      </c>
      <c r="AW276" s="214" t="s">
        <v>56</v>
      </c>
      <c r="AX276" s="205">
        <v>3</v>
      </c>
      <c r="AY276" s="205">
        <v>0.2</v>
      </c>
      <c r="AZ276" s="205">
        <v>0.3</v>
      </c>
      <c r="BA276" s="205">
        <v>0.22</v>
      </c>
      <c r="BB276" s="214" t="str">
        <f t="shared" si="8"/>
        <v/>
      </c>
      <c r="BG276" s="214" t="s">
        <v>56</v>
      </c>
      <c r="BH276" s="205">
        <v>3</v>
      </c>
      <c r="BI276" s="205">
        <v>0.2</v>
      </c>
      <c r="BJ276" s="205">
        <v>0.3</v>
      </c>
      <c r="BK276" s="205">
        <v>0.28000000000000003</v>
      </c>
      <c r="BL276" s="214" t="str">
        <f t="shared" si="9"/>
        <v/>
      </c>
    </row>
    <row r="277" spans="23:68" x14ac:dyDescent="0.25">
      <c r="W277" s="214" t="s">
        <v>274</v>
      </c>
      <c r="X277" s="214" t="s">
        <v>510</v>
      </c>
      <c r="Y277" s="220">
        <v>3</v>
      </c>
      <c r="AW277" s="214" t="s">
        <v>56</v>
      </c>
      <c r="AX277" s="205">
        <v>4</v>
      </c>
      <c r="AY277" s="205">
        <v>0.2</v>
      </c>
      <c r="AZ277" s="205">
        <v>0.3</v>
      </c>
      <c r="BA277" s="205">
        <v>0.17</v>
      </c>
      <c r="BB277" s="214" t="str">
        <f t="shared" si="8"/>
        <v/>
      </c>
      <c r="BG277" s="214" t="s">
        <v>56</v>
      </c>
      <c r="BH277" s="205">
        <v>4</v>
      </c>
      <c r="BI277" s="205">
        <v>0.2</v>
      </c>
      <c r="BJ277" s="205">
        <v>0.3</v>
      </c>
      <c r="BK277" s="205">
        <v>0.27</v>
      </c>
      <c r="BL277" s="214" t="str">
        <f t="shared" si="9"/>
        <v/>
      </c>
    </row>
    <row r="278" spans="23:68" x14ac:dyDescent="0.25">
      <c r="W278" s="214" t="s">
        <v>274</v>
      </c>
      <c r="X278" s="214" t="s">
        <v>511</v>
      </c>
      <c r="Y278" s="220">
        <v>2</v>
      </c>
      <c r="AW278" s="214" t="s">
        <v>56</v>
      </c>
      <c r="AX278" s="205">
        <v>5</v>
      </c>
      <c r="AY278" s="205">
        <v>0.2</v>
      </c>
      <c r="AZ278" s="205">
        <v>0.3</v>
      </c>
      <c r="BA278" s="205">
        <v>0.22</v>
      </c>
      <c r="BB278" s="214" t="str">
        <f t="shared" si="8"/>
        <v/>
      </c>
      <c r="BG278" s="214" t="s">
        <v>56</v>
      </c>
      <c r="BH278" s="205">
        <v>5</v>
      </c>
      <c r="BI278" s="205">
        <v>0.2</v>
      </c>
      <c r="BJ278" s="205">
        <v>0.3</v>
      </c>
      <c r="BK278" s="205">
        <v>0.27</v>
      </c>
      <c r="BL278" s="214" t="str">
        <f t="shared" si="9"/>
        <v/>
      </c>
    </row>
    <row r="279" spans="23:68" x14ac:dyDescent="0.25">
      <c r="W279" s="214" t="s">
        <v>274</v>
      </c>
      <c r="X279" s="214" t="s">
        <v>512</v>
      </c>
      <c r="Y279" s="220">
        <v>3</v>
      </c>
      <c r="AW279" s="214" t="s">
        <v>56</v>
      </c>
      <c r="AX279" s="205">
        <v>6</v>
      </c>
      <c r="AY279" s="205">
        <v>0.2</v>
      </c>
      <c r="AZ279" s="205">
        <v>0.3</v>
      </c>
      <c r="BA279" s="205">
        <v>0.17</v>
      </c>
      <c r="BB279" s="214" t="str">
        <f t="shared" si="8"/>
        <v/>
      </c>
      <c r="BG279" s="214" t="s">
        <v>56</v>
      </c>
      <c r="BH279" s="205">
        <v>6</v>
      </c>
      <c r="BI279" s="205">
        <v>0.2</v>
      </c>
      <c r="BJ279" s="205">
        <v>0.3</v>
      </c>
      <c r="BK279" s="205">
        <v>0.27</v>
      </c>
      <c r="BL279" s="214" t="str">
        <f t="shared" si="9"/>
        <v/>
      </c>
    </row>
    <row r="280" spans="23:68" x14ac:dyDescent="0.25">
      <c r="W280" s="214" t="s">
        <v>274</v>
      </c>
      <c r="X280" s="214" t="s">
        <v>513</v>
      </c>
      <c r="Y280" s="220">
        <v>3</v>
      </c>
      <c r="AW280" s="214" t="s">
        <v>56</v>
      </c>
      <c r="AX280" s="205">
        <v>7</v>
      </c>
      <c r="AY280" s="205">
        <v>0.2</v>
      </c>
      <c r="AZ280" s="205">
        <v>0.3</v>
      </c>
      <c r="BA280" s="205">
        <v>0.11</v>
      </c>
      <c r="BB280" s="214" t="str">
        <f t="shared" si="8"/>
        <v/>
      </c>
      <c r="BG280" s="214" t="s">
        <v>56</v>
      </c>
      <c r="BH280" s="205">
        <v>7</v>
      </c>
      <c r="BI280" s="205">
        <v>0.2</v>
      </c>
      <c r="BJ280" s="205">
        <v>0.3</v>
      </c>
      <c r="BK280" s="205">
        <v>0.26</v>
      </c>
      <c r="BL280" s="214" t="str">
        <f t="shared" si="9"/>
        <v/>
      </c>
    </row>
    <row r="281" spans="23:68" x14ac:dyDescent="0.25">
      <c r="W281" s="214" t="s">
        <v>274</v>
      </c>
      <c r="X281" s="214" t="s">
        <v>514</v>
      </c>
      <c r="Y281" s="220">
        <v>3</v>
      </c>
      <c r="AW281" s="214" t="s">
        <v>56</v>
      </c>
      <c r="AX281" s="205">
        <v>8</v>
      </c>
      <c r="AY281" s="205">
        <v>0.2</v>
      </c>
      <c r="AZ281" s="205">
        <v>0.3</v>
      </c>
      <c r="BA281" s="205">
        <v>0.12</v>
      </c>
      <c r="BB281" s="214" t="str">
        <f t="shared" si="8"/>
        <v/>
      </c>
      <c r="BG281" s="214" t="s">
        <v>56</v>
      </c>
      <c r="BH281" s="205">
        <v>8</v>
      </c>
      <c r="BI281" s="205">
        <v>0.2</v>
      </c>
      <c r="BJ281" s="205">
        <v>0.3</v>
      </c>
      <c r="BK281" s="205">
        <v>0.27</v>
      </c>
      <c r="BL281" s="214" t="str">
        <f t="shared" si="9"/>
        <v/>
      </c>
    </row>
    <row r="282" spans="23:68" x14ac:dyDescent="0.25">
      <c r="W282" s="214" t="s">
        <v>274</v>
      </c>
      <c r="X282" s="214" t="s">
        <v>515</v>
      </c>
      <c r="Y282" s="220">
        <v>3</v>
      </c>
      <c r="AW282" s="214" t="s">
        <v>56</v>
      </c>
      <c r="AX282" s="205">
        <v>1</v>
      </c>
      <c r="AY282" s="205">
        <v>0.3</v>
      </c>
      <c r="AZ282" s="205">
        <v>0.4</v>
      </c>
      <c r="BA282" s="205">
        <v>0.31</v>
      </c>
      <c r="BB282" s="214" t="str">
        <f t="shared" si="8"/>
        <v/>
      </c>
      <c r="BG282" s="214" t="s">
        <v>56</v>
      </c>
      <c r="BH282" s="205">
        <v>1</v>
      </c>
      <c r="BI282" s="205">
        <v>0.3</v>
      </c>
      <c r="BJ282" s="205">
        <v>0.4</v>
      </c>
      <c r="BK282" s="205">
        <v>0.28000000000000003</v>
      </c>
      <c r="BL282" s="214" t="str">
        <f t="shared" si="9"/>
        <v/>
      </c>
    </row>
    <row r="283" spans="23:68" x14ac:dyDescent="0.25">
      <c r="W283" s="214" t="s">
        <v>274</v>
      </c>
      <c r="X283" s="214" t="s">
        <v>516</v>
      </c>
      <c r="Y283" s="220">
        <v>3</v>
      </c>
      <c r="AW283" s="214" t="s">
        <v>56</v>
      </c>
      <c r="AX283" s="205">
        <v>2</v>
      </c>
      <c r="AY283" s="205">
        <v>0.3</v>
      </c>
      <c r="AZ283" s="205">
        <v>0.4</v>
      </c>
      <c r="BA283" s="205">
        <v>0.27</v>
      </c>
      <c r="BB283" s="214" t="str">
        <f t="shared" si="8"/>
        <v/>
      </c>
      <c r="BG283" s="214" t="s">
        <v>56</v>
      </c>
      <c r="BH283" s="205">
        <v>2</v>
      </c>
      <c r="BI283" s="205">
        <v>0.3</v>
      </c>
      <c r="BJ283" s="205">
        <v>0.4</v>
      </c>
      <c r="BK283" s="205">
        <v>0.27</v>
      </c>
      <c r="BL283" s="214" t="str">
        <f t="shared" si="9"/>
        <v/>
      </c>
    </row>
    <row r="284" spans="23:68" x14ac:dyDescent="0.25">
      <c r="W284" s="214" t="s">
        <v>274</v>
      </c>
      <c r="X284" s="214" t="s">
        <v>517</v>
      </c>
      <c r="Y284" s="220">
        <v>2</v>
      </c>
      <c r="AW284" s="214" t="s">
        <v>56</v>
      </c>
      <c r="AX284" s="205">
        <v>3</v>
      </c>
      <c r="AY284" s="205">
        <v>0.3</v>
      </c>
      <c r="AZ284" s="205">
        <v>0.4</v>
      </c>
      <c r="BA284" s="205">
        <v>0.22</v>
      </c>
      <c r="BB284" s="214" t="str">
        <f t="shared" si="8"/>
        <v/>
      </c>
      <c r="BG284" s="214" t="s">
        <v>56</v>
      </c>
      <c r="BH284" s="205">
        <v>3</v>
      </c>
      <c r="BI284" s="205">
        <v>0.3</v>
      </c>
      <c r="BJ284" s="205">
        <v>0.4</v>
      </c>
      <c r="BK284" s="205">
        <v>0.27</v>
      </c>
      <c r="BL284" s="214" t="str">
        <f t="shared" si="9"/>
        <v/>
      </c>
    </row>
    <row r="285" spans="23:68" x14ac:dyDescent="0.25">
      <c r="W285" s="214" t="s">
        <v>274</v>
      </c>
      <c r="X285" s="214" t="s">
        <v>518</v>
      </c>
      <c r="Y285" s="220">
        <v>4</v>
      </c>
      <c r="AW285" s="214" t="s">
        <v>56</v>
      </c>
      <c r="AX285" s="205">
        <v>4</v>
      </c>
      <c r="AY285" s="205">
        <v>0.3</v>
      </c>
      <c r="AZ285" s="205">
        <v>0.4</v>
      </c>
      <c r="BA285" s="205">
        <v>0.16</v>
      </c>
      <c r="BB285" s="214" t="str">
        <f t="shared" si="8"/>
        <v/>
      </c>
      <c r="BG285" s="214" t="s">
        <v>56</v>
      </c>
      <c r="BH285" s="205">
        <v>4</v>
      </c>
      <c r="BI285" s="205">
        <v>0.3</v>
      </c>
      <c r="BJ285" s="205">
        <v>0.4</v>
      </c>
      <c r="BK285" s="205">
        <v>0.26</v>
      </c>
      <c r="BL285" s="214" t="str">
        <f t="shared" si="9"/>
        <v/>
      </c>
    </row>
    <row r="286" spans="23:68" x14ac:dyDescent="0.25">
      <c r="W286" s="214" t="s">
        <v>274</v>
      </c>
      <c r="X286" s="214" t="s">
        <v>519</v>
      </c>
      <c r="Y286" s="220">
        <v>3</v>
      </c>
      <c r="AW286" s="214" t="s">
        <v>56</v>
      </c>
      <c r="AX286" s="205">
        <v>5</v>
      </c>
      <c r="AY286" s="205">
        <v>0.3</v>
      </c>
      <c r="AZ286" s="205">
        <v>0.4</v>
      </c>
      <c r="BA286" s="205">
        <v>0.2</v>
      </c>
      <c r="BB286" s="214" t="str">
        <f t="shared" si="8"/>
        <v/>
      </c>
      <c r="BG286" s="214" t="s">
        <v>56</v>
      </c>
      <c r="BH286" s="205">
        <v>5</v>
      </c>
      <c r="BI286" s="205">
        <v>0.3</v>
      </c>
      <c r="BJ286" s="205">
        <v>0.4</v>
      </c>
      <c r="BK286" s="205">
        <v>0.27</v>
      </c>
      <c r="BL286" s="214" t="str">
        <f t="shared" si="9"/>
        <v/>
      </c>
    </row>
    <row r="287" spans="23:68" x14ac:dyDescent="0.25">
      <c r="W287" s="214" t="s">
        <v>274</v>
      </c>
      <c r="X287" s="214" t="s">
        <v>520</v>
      </c>
      <c r="Y287" s="220">
        <v>2</v>
      </c>
      <c r="AW287" s="214" t="s">
        <v>56</v>
      </c>
      <c r="AX287" s="205">
        <v>6</v>
      </c>
      <c r="AY287" s="205">
        <v>0.3</v>
      </c>
      <c r="AZ287" s="205">
        <v>0.4</v>
      </c>
      <c r="BA287" s="205">
        <v>0.14000000000000001</v>
      </c>
      <c r="BB287" s="214" t="str">
        <f t="shared" si="8"/>
        <v/>
      </c>
      <c r="BG287" s="214" t="s">
        <v>56</v>
      </c>
      <c r="BH287" s="205">
        <v>6</v>
      </c>
      <c r="BI287" s="205">
        <v>0.3</v>
      </c>
      <c r="BJ287" s="205">
        <v>0.4</v>
      </c>
      <c r="BK287" s="205">
        <v>0.27</v>
      </c>
      <c r="BL287" s="214" t="str">
        <f t="shared" si="9"/>
        <v/>
      </c>
    </row>
    <row r="288" spans="23:68" x14ac:dyDescent="0.25">
      <c r="W288" s="214" t="s">
        <v>274</v>
      </c>
      <c r="X288" s="214" t="s">
        <v>521</v>
      </c>
      <c r="Y288" s="220">
        <v>4</v>
      </c>
      <c r="AW288" s="214" t="s">
        <v>56</v>
      </c>
      <c r="AX288" s="205">
        <v>7</v>
      </c>
      <c r="AY288" s="205">
        <v>0.3</v>
      </c>
      <c r="AZ288" s="205">
        <v>0.4</v>
      </c>
      <c r="BA288" s="205">
        <v>0.08</v>
      </c>
      <c r="BB288" s="214" t="str">
        <f t="shared" si="8"/>
        <v/>
      </c>
      <c r="BG288" s="214" t="s">
        <v>56</v>
      </c>
      <c r="BH288" s="205">
        <v>7</v>
      </c>
      <c r="BI288" s="205">
        <v>0.3</v>
      </c>
      <c r="BJ288" s="205">
        <v>0.4</v>
      </c>
      <c r="BK288" s="205">
        <v>0.26</v>
      </c>
      <c r="BL288" s="214" t="str">
        <f t="shared" si="9"/>
        <v/>
      </c>
    </row>
    <row r="289" spans="23:64" x14ac:dyDescent="0.25">
      <c r="W289" s="214" t="s">
        <v>274</v>
      </c>
      <c r="X289" s="214" t="s">
        <v>522</v>
      </c>
      <c r="Y289" s="220">
        <v>3</v>
      </c>
      <c r="AW289" s="214" t="s">
        <v>56</v>
      </c>
      <c r="AX289" s="205">
        <v>8</v>
      </c>
      <c r="AY289" s="205">
        <v>0.3</v>
      </c>
      <c r="AZ289" s="205">
        <v>0.4</v>
      </c>
      <c r="BA289" s="205">
        <v>0.1</v>
      </c>
      <c r="BB289" s="214" t="str">
        <f t="shared" si="8"/>
        <v/>
      </c>
      <c r="BG289" s="214" t="s">
        <v>56</v>
      </c>
      <c r="BH289" s="205">
        <v>8</v>
      </c>
      <c r="BI289" s="205">
        <v>0.3</v>
      </c>
      <c r="BJ289" s="205">
        <v>0.4</v>
      </c>
      <c r="BK289" s="205">
        <v>0.26</v>
      </c>
      <c r="BL289" s="214" t="str">
        <f t="shared" si="9"/>
        <v/>
      </c>
    </row>
    <row r="290" spans="23:64" x14ac:dyDescent="0.25">
      <c r="W290" s="214" t="s">
        <v>274</v>
      </c>
      <c r="X290" s="214" t="s">
        <v>523</v>
      </c>
      <c r="Y290" s="220">
        <v>2</v>
      </c>
      <c r="AW290" s="214" t="s">
        <v>56</v>
      </c>
      <c r="AX290" s="205">
        <v>1</v>
      </c>
      <c r="AY290" s="205">
        <v>0.4</v>
      </c>
      <c r="AZ290" s="205">
        <v>100</v>
      </c>
      <c r="BA290" s="205">
        <v>0.34</v>
      </c>
      <c r="BB290" s="214" t="str">
        <f t="shared" si="8"/>
        <v/>
      </c>
      <c r="BG290" s="214" t="s">
        <v>56</v>
      </c>
      <c r="BH290" s="205">
        <v>1</v>
      </c>
      <c r="BI290" s="205">
        <v>0.4</v>
      </c>
      <c r="BJ290" s="205">
        <v>0.5</v>
      </c>
      <c r="BK290" s="205">
        <v>0.28000000000000003</v>
      </c>
      <c r="BL290" s="214" t="str">
        <f t="shared" si="9"/>
        <v/>
      </c>
    </row>
    <row r="291" spans="23:64" x14ac:dyDescent="0.25">
      <c r="W291" s="214" t="s">
        <v>274</v>
      </c>
      <c r="X291" s="214" t="s">
        <v>524</v>
      </c>
      <c r="Y291" s="220">
        <v>3</v>
      </c>
      <c r="AW291" s="214" t="s">
        <v>56</v>
      </c>
      <c r="AX291" s="205">
        <v>2</v>
      </c>
      <c r="AY291" s="205">
        <v>0.4</v>
      </c>
      <c r="AZ291" s="205">
        <v>100</v>
      </c>
      <c r="BA291" s="205">
        <v>0.3</v>
      </c>
      <c r="BB291" s="214" t="str">
        <f t="shared" si="8"/>
        <v/>
      </c>
      <c r="BG291" s="214" t="s">
        <v>56</v>
      </c>
      <c r="BH291" s="205">
        <v>2</v>
      </c>
      <c r="BI291" s="205">
        <v>0.4</v>
      </c>
      <c r="BJ291" s="205">
        <v>0.5</v>
      </c>
      <c r="BK291" s="205">
        <v>0.27</v>
      </c>
      <c r="BL291" s="214" t="str">
        <f t="shared" si="9"/>
        <v/>
      </c>
    </row>
    <row r="292" spans="23:64" x14ac:dyDescent="0.25">
      <c r="W292" s="214" t="s">
        <v>274</v>
      </c>
      <c r="X292" s="214" t="s">
        <v>525</v>
      </c>
      <c r="Y292" s="220">
        <v>3</v>
      </c>
      <c r="AW292" s="214" t="s">
        <v>56</v>
      </c>
      <c r="AX292" s="205">
        <v>3</v>
      </c>
      <c r="AY292" s="205">
        <v>0.4</v>
      </c>
      <c r="AZ292" s="205">
        <v>100</v>
      </c>
      <c r="BA292" s="205">
        <v>0.22</v>
      </c>
      <c r="BB292" s="214" t="str">
        <f t="shared" si="8"/>
        <v/>
      </c>
      <c r="BG292" s="214" t="s">
        <v>56</v>
      </c>
      <c r="BH292" s="205">
        <v>3</v>
      </c>
      <c r="BI292" s="205">
        <v>0.4</v>
      </c>
      <c r="BJ292" s="205">
        <v>0.5</v>
      </c>
      <c r="BK292" s="205">
        <v>0.27</v>
      </c>
      <c r="BL292" s="214" t="str">
        <f t="shared" si="9"/>
        <v/>
      </c>
    </row>
    <row r="293" spans="23:64" x14ac:dyDescent="0.25">
      <c r="W293" s="214" t="s">
        <v>274</v>
      </c>
      <c r="X293" s="214" t="s">
        <v>526</v>
      </c>
      <c r="Y293" s="220">
        <v>3</v>
      </c>
      <c r="AW293" s="214" t="s">
        <v>56</v>
      </c>
      <c r="AX293" s="205">
        <v>4</v>
      </c>
      <c r="AY293" s="205">
        <v>0.4</v>
      </c>
      <c r="AZ293" s="205">
        <v>100</v>
      </c>
      <c r="BA293" s="205">
        <v>0.16</v>
      </c>
      <c r="BB293" s="214" t="str">
        <f t="shared" si="8"/>
        <v/>
      </c>
      <c r="BG293" s="214" t="s">
        <v>56</v>
      </c>
      <c r="BH293" s="205">
        <v>4</v>
      </c>
      <c r="BI293" s="205">
        <v>0.4</v>
      </c>
      <c r="BJ293" s="205">
        <v>0.5</v>
      </c>
      <c r="BK293" s="205">
        <v>0.26</v>
      </c>
      <c r="BL293" s="214" t="str">
        <f t="shared" si="9"/>
        <v/>
      </c>
    </row>
    <row r="294" spans="23:64" x14ac:dyDescent="0.25">
      <c r="W294" s="214" t="s">
        <v>274</v>
      </c>
      <c r="X294" s="214" t="s">
        <v>527</v>
      </c>
      <c r="Y294" s="220">
        <v>3</v>
      </c>
      <c r="AW294" s="214" t="s">
        <v>56</v>
      </c>
      <c r="AX294" s="205">
        <v>5</v>
      </c>
      <c r="AY294" s="205">
        <v>0.4</v>
      </c>
      <c r="AZ294" s="205">
        <v>100</v>
      </c>
      <c r="BA294" s="205">
        <v>0.2</v>
      </c>
      <c r="BB294" s="214" t="str">
        <f t="shared" si="8"/>
        <v/>
      </c>
      <c r="BG294" s="214" t="s">
        <v>56</v>
      </c>
      <c r="BH294" s="205">
        <v>5</v>
      </c>
      <c r="BI294" s="205">
        <v>0.4</v>
      </c>
      <c r="BJ294" s="205">
        <v>0.5</v>
      </c>
      <c r="BK294" s="205">
        <v>0.27</v>
      </c>
      <c r="BL294" s="214" t="str">
        <f t="shared" si="9"/>
        <v/>
      </c>
    </row>
    <row r="295" spans="23:64" x14ac:dyDescent="0.25">
      <c r="W295" s="214" t="s">
        <v>274</v>
      </c>
      <c r="X295" s="214" t="s">
        <v>528</v>
      </c>
      <c r="Y295" s="220">
        <v>3</v>
      </c>
      <c r="AW295" s="214" t="s">
        <v>56</v>
      </c>
      <c r="AX295" s="205">
        <v>6</v>
      </c>
      <c r="AY295" s="205">
        <v>0.4</v>
      </c>
      <c r="AZ295" s="205">
        <v>100</v>
      </c>
      <c r="BA295" s="205">
        <v>0.14000000000000001</v>
      </c>
      <c r="BB295" s="214" t="str">
        <f t="shared" si="8"/>
        <v/>
      </c>
      <c r="BG295" s="214" t="s">
        <v>56</v>
      </c>
      <c r="BH295" s="205">
        <v>6</v>
      </c>
      <c r="BI295" s="205">
        <v>0.4</v>
      </c>
      <c r="BJ295" s="205">
        <v>0.5</v>
      </c>
      <c r="BK295" s="205">
        <v>0.27</v>
      </c>
      <c r="BL295" s="214" t="str">
        <f t="shared" si="9"/>
        <v/>
      </c>
    </row>
    <row r="296" spans="23:64" x14ac:dyDescent="0.25">
      <c r="W296" s="214" t="s">
        <v>274</v>
      </c>
      <c r="X296" s="214" t="s">
        <v>529</v>
      </c>
      <c r="Y296" s="220">
        <v>3</v>
      </c>
      <c r="AW296" s="214" t="s">
        <v>56</v>
      </c>
      <c r="AX296" s="205">
        <v>7</v>
      </c>
      <c r="AY296" s="205">
        <v>0.4</v>
      </c>
      <c r="AZ296" s="205">
        <v>100</v>
      </c>
      <c r="BA296" s="205">
        <v>0.08</v>
      </c>
      <c r="BB296" s="214" t="str">
        <f t="shared" si="8"/>
        <v/>
      </c>
      <c r="BG296" s="214" t="s">
        <v>56</v>
      </c>
      <c r="BH296" s="205">
        <v>7</v>
      </c>
      <c r="BI296" s="205">
        <v>0.4</v>
      </c>
      <c r="BJ296" s="205">
        <v>0.5</v>
      </c>
      <c r="BK296" s="205">
        <v>0.26</v>
      </c>
      <c r="BL296" s="214" t="str">
        <f t="shared" si="9"/>
        <v/>
      </c>
    </row>
    <row r="297" spans="23:64" x14ac:dyDescent="0.25">
      <c r="W297" s="214" t="s">
        <v>274</v>
      </c>
      <c r="X297" s="214" t="s">
        <v>530</v>
      </c>
      <c r="Y297" s="220">
        <v>3</v>
      </c>
      <c r="AW297" s="214" t="s">
        <v>56</v>
      </c>
      <c r="AX297" s="205">
        <v>8</v>
      </c>
      <c r="AY297" s="205">
        <v>0.4</v>
      </c>
      <c r="AZ297" s="205">
        <v>100</v>
      </c>
      <c r="BA297" s="205">
        <v>0.1</v>
      </c>
      <c r="BB297" s="214" t="str">
        <f t="shared" si="8"/>
        <v/>
      </c>
      <c r="BG297" s="214" t="s">
        <v>56</v>
      </c>
      <c r="BH297" s="205">
        <v>8</v>
      </c>
      <c r="BI297" s="205">
        <v>0.4</v>
      </c>
      <c r="BJ297" s="205">
        <v>0.5</v>
      </c>
      <c r="BK297" s="205">
        <v>0.26</v>
      </c>
      <c r="BL297" s="214" t="str">
        <f t="shared" si="9"/>
        <v/>
      </c>
    </row>
    <row r="298" spans="23:64" x14ac:dyDescent="0.25">
      <c r="W298" s="214" t="s">
        <v>274</v>
      </c>
      <c r="X298" s="214" t="s">
        <v>531</v>
      </c>
      <c r="Y298" s="220">
        <v>2</v>
      </c>
      <c r="AW298" s="214" t="s">
        <v>57</v>
      </c>
      <c r="AX298" s="205">
        <v>1</v>
      </c>
      <c r="AY298" s="205">
        <v>0</v>
      </c>
      <c r="AZ298" s="205">
        <v>0.2</v>
      </c>
      <c r="BA298" s="205">
        <v>0.34</v>
      </c>
      <c r="BB298" s="214" t="str">
        <f t="shared" si="8"/>
        <v/>
      </c>
      <c r="BG298" s="214" t="s">
        <v>56</v>
      </c>
      <c r="BH298" s="205">
        <v>1</v>
      </c>
      <c r="BI298" s="205">
        <v>0.5</v>
      </c>
      <c r="BJ298" s="205">
        <v>100</v>
      </c>
      <c r="BK298" s="205">
        <v>0.28999999999999998</v>
      </c>
      <c r="BL298" s="214" t="str">
        <f t="shared" si="9"/>
        <v/>
      </c>
    </row>
    <row r="299" spans="23:64" x14ac:dyDescent="0.25">
      <c r="W299" s="214" t="s">
        <v>274</v>
      </c>
      <c r="X299" s="214" t="s">
        <v>532</v>
      </c>
      <c r="Y299" s="220">
        <v>3</v>
      </c>
      <c r="AW299" s="214" t="s">
        <v>57</v>
      </c>
      <c r="AX299" s="205">
        <v>2</v>
      </c>
      <c r="AY299" s="205">
        <v>0</v>
      </c>
      <c r="AZ299" s="205">
        <v>0.2</v>
      </c>
      <c r="BA299" s="205">
        <v>0.3</v>
      </c>
      <c r="BB299" s="214" t="str">
        <f t="shared" si="8"/>
        <v/>
      </c>
      <c r="BG299" s="214" t="s">
        <v>56</v>
      </c>
      <c r="BH299" s="205">
        <v>2</v>
      </c>
      <c r="BI299" s="205">
        <v>0.5</v>
      </c>
      <c r="BJ299" s="205">
        <v>100</v>
      </c>
      <c r="BK299" s="205">
        <v>0.28000000000000003</v>
      </c>
      <c r="BL299" s="214" t="str">
        <f t="shared" si="9"/>
        <v/>
      </c>
    </row>
    <row r="300" spans="23:64" x14ac:dyDescent="0.25">
      <c r="W300" s="214" t="s">
        <v>274</v>
      </c>
      <c r="X300" s="214" t="s">
        <v>533</v>
      </c>
      <c r="Y300" s="220">
        <v>3</v>
      </c>
      <c r="AW300" s="214" t="s">
        <v>57</v>
      </c>
      <c r="AX300" s="205">
        <v>3</v>
      </c>
      <c r="AY300" s="205">
        <v>0</v>
      </c>
      <c r="AZ300" s="205">
        <v>0.2</v>
      </c>
      <c r="BA300" s="205">
        <v>0.28999999999999998</v>
      </c>
      <c r="BB300" s="214" t="str">
        <f t="shared" si="8"/>
        <v/>
      </c>
      <c r="BG300" s="214" t="s">
        <v>56</v>
      </c>
      <c r="BH300" s="205">
        <v>3</v>
      </c>
      <c r="BI300" s="205">
        <v>0.5</v>
      </c>
      <c r="BJ300" s="205">
        <v>100</v>
      </c>
      <c r="BK300" s="205">
        <v>0.28000000000000003</v>
      </c>
      <c r="BL300" s="214" t="str">
        <f t="shared" si="9"/>
        <v/>
      </c>
    </row>
    <row r="301" spans="23:64" x14ac:dyDescent="0.25">
      <c r="W301" s="214" t="s">
        <v>274</v>
      </c>
      <c r="X301" s="214" t="s">
        <v>534</v>
      </c>
      <c r="Y301" s="220">
        <v>3</v>
      </c>
      <c r="AW301" s="214" t="s">
        <v>57</v>
      </c>
      <c r="AX301" s="205">
        <v>4</v>
      </c>
      <c r="AY301" s="205">
        <v>0</v>
      </c>
      <c r="AZ301" s="205">
        <v>0.2</v>
      </c>
      <c r="BA301" s="205">
        <v>0.25</v>
      </c>
      <c r="BB301" s="214" t="str">
        <f t="shared" si="8"/>
        <v/>
      </c>
      <c r="BG301" s="214" t="s">
        <v>56</v>
      </c>
      <c r="BH301" s="205">
        <v>4</v>
      </c>
      <c r="BI301" s="205">
        <v>0.5</v>
      </c>
      <c r="BJ301" s="205">
        <v>100</v>
      </c>
      <c r="BK301" s="205">
        <v>0.28000000000000003</v>
      </c>
      <c r="BL301" s="214" t="str">
        <f t="shared" si="9"/>
        <v/>
      </c>
    </row>
    <row r="302" spans="23:64" x14ac:dyDescent="0.25">
      <c r="W302" s="214" t="s">
        <v>274</v>
      </c>
      <c r="X302" s="214" t="s">
        <v>535</v>
      </c>
      <c r="Y302" s="220">
        <v>2</v>
      </c>
      <c r="AW302" s="214" t="s">
        <v>57</v>
      </c>
      <c r="AX302" s="205">
        <v>5</v>
      </c>
      <c r="AY302" s="205">
        <v>0</v>
      </c>
      <c r="AZ302" s="205">
        <v>0.2</v>
      </c>
      <c r="BA302" s="205">
        <v>0.28999999999999998</v>
      </c>
      <c r="BB302" s="214" t="str">
        <f t="shared" si="8"/>
        <v/>
      </c>
      <c r="BG302" s="214" t="s">
        <v>56</v>
      </c>
      <c r="BH302" s="205">
        <v>5</v>
      </c>
      <c r="BI302" s="205">
        <v>0.5</v>
      </c>
      <c r="BJ302" s="205">
        <v>100</v>
      </c>
      <c r="BK302" s="205">
        <v>0.28000000000000003</v>
      </c>
      <c r="BL302" s="214" t="str">
        <f t="shared" si="9"/>
        <v/>
      </c>
    </row>
    <row r="303" spans="23:64" x14ac:dyDescent="0.25">
      <c r="W303" s="214" t="s">
        <v>274</v>
      </c>
      <c r="X303" s="214" t="s">
        <v>536</v>
      </c>
      <c r="Y303" s="220">
        <v>2</v>
      </c>
      <c r="AW303" s="214" t="s">
        <v>57</v>
      </c>
      <c r="AX303" s="205">
        <v>6</v>
      </c>
      <c r="AY303" s="205">
        <v>0</v>
      </c>
      <c r="AZ303" s="205">
        <v>0.2</v>
      </c>
      <c r="BA303" s="205">
        <v>0.26</v>
      </c>
      <c r="BB303" s="214" t="str">
        <f t="shared" si="8"/>
        <v/>
      </c>
      <c r="BG303" s="214" t="s">
        <v>56</v>
      </c>
      <c r="BH303" s="205">
        <v>6</v>
      </c>
      <c r="BI303" s="205">
        <v>0.5</v>
      </c>
      <c r="BJ303" s="205">
        <v>100</v>
      </c>
      <c r="BK303" s="205">
        <v>0.28000000000000003</v>
      </c>
      <c r="BL303" s="214" t="str">
        <f t="shared" si="9"/>
        <v/>
      </c>
    </row>
    <row r="304" spans="23:64" x14ac:dyDescent="0.25">
      <c r="W304" s="214" t="s">
        <v>274</v>
      </c>
      <c r="X304" s="214" t="s">
        <v>537</v>
      </c>
      <c r="Y304" s="220">
        <v>3</v>
      </c>
      <c r="AW304" s="214" t="s">
        <v>57</v>
      </c>
      <c r="AX304" s="205">
        <v>7</v>
      </c>
      <c r="AY304" s="205">
        <v>0</v>
      </c>
      <c r="AZ304" s="205">
        <v>0.2</v>
      </c>
      <c r="BA304" s="205">
        <v>0.19</v>
      </c>
      <c r="BB304" s="214" t="str">
        <f t="shared" si="8"/>
        <v/>
      </c>
      <c r="BG304" s="214" t="s">
        <v>56</v>
      </c>
      <c r="BH304" s="205">
        <v>7</v>
      </c>
      <c r="BI304" s="205">
        <v>0.5</v>
      </c>
      <c r="BJ304" s="205">
        <v>100</v>
      </c>
      <c r="BK304" s="205">
        <v>0.28000000000000003</v>
      </c>
      <c r="BL304" s="214" t="str">
        <f t="shared" si="9"/>
        <v/>
      </c>
    </row>
    <row r="305" spans="23:68" x14ac:dyDescent="0.25">
      <c r="W305" s="214" t="s">
        <v>239</v>
      </c>
      <c r="X305" s="214" t="s">
        <v>538</v>
      </c>
      <c r="Y305" s="220">
        <v>1</v>
      </c>
      <c r="AW305" s="214" t="s">
        <v>57</v>
      </c>
      <c r="AX305" s="205">
        <v>8</v>
      </c>
      <c r="AY305" s="205">
        <v>0</v>
      </c>
      <c r="AZ305" s="205">
        <v>0.2</v>
      </c>
      <c r="BA305" s="205">
        <v>0.2</v>
      </c>
      <c r="BB305" s="214" t="str">
        <f t="shared" si="8"/>
        <v/>
      </c>
      <c r="BG305" s="214" t="s">
        <v>56</v>
      </c>
      <c r="BH305" s="205">
        <v>8</v>
      </c>
      <c r="BI305" s="205">
        <v>0.5</v>
      </c>
      <c r="BJ305" s="205">
        <v>100</v>
      </c>
      <c r="BK305" s="205">
        <v>0.27</v>
      </c>
      <c r="BL305" s="214" t="str">
        <f t="shared" si="9"/>
        <v/>
      </c>
    </row>
    <row r="306" spans="23:68" ht="15.75" x14ac:dyDescent="0.25">
      <c r="W306" s="214" t="s">
        <v>239</v>
      </c>
      <c r="X306" s="214" t="s">
        <v>539</v>
      </c>
      <c r="Y306" s="220">
        <v>1</v>
      </c>
      <c r="AW306" s="214" t="s">
        <v>57</v>
      </c>
      <c r="AX306" s="205">
        <v>1</v>
      </c>
      <c r="AY306" s="205">
        <v>0.2</v>
      </c>
      <c r="AZ306" s="205">
        <v>0.3</v>
      </c>
      <c r="BA306" s="205">
        <v>0.34</v>
      </c>
      <c r="BB306" s="214" t="str">
        <f t="shared" si="8"/>
        <v/>
      </c>
      <c r="BG306" s="214" t="s">
        <v>57</v>
      </c>
      <c r="BH306" s="205">
        <v>1</v>
      </c>
      <c r="BI306" s="205">
        <v>0</v>
      </c>
      <c r="BJ306" s="205">
        <v>0.2</v>
      </c>
      <c r="BK306" s="205">
        <v>0.23</v>
      </c>
      <c r="BL306" s="214" t="str">
        <f t="shared" si="9"/>
        <v/>
      </c>
      <c r="BP306" s="204"/>
    </row>
    <row r="307" spans="23:68" ht="15.75" x14ac:dyDescent="0.25">
      <c r="W307" s="214" t="s">
        <v>239</v>
      </c>
      <c r="X307" s="214" t="s">
        <v>540</v>
      </c>
      <c r="Y307" s="220">
        <v>2</v>
      </c>
      <c r="AW307" s="214" t="s">
        <v>57</v>
      </c>
      <c r="AX307" s="205">
        <v>2</v>
      </c>
      <c r="AY307" s="205">
        <v>0.2</v>
      </c>
      <c r="AZ307" s="205">
        <v>0.3</v>
      </c>
      <c r="BA307" s="205">
        <v>0.3</v>
      </c>
      <c r="BB307" s="214" t="str">
        <f t="shared" si="8"/>
        <v/>
      </c>
      <c r="BG307" s="214" t="s">
        <v>57</v>
      </c>
      <c r="BH307" s="205">
        <v>2</v>
      </c>
      <c r="BI307" s="205">
        <v>0</v>
      </c>
      <c r="BJ307" s="205">
        <v>0.2</v>
      </c>
      <c r="BK307" s="205">
        <v>0.22</v>
      </c>
      <c r="BL307" s="214" t="str">
        <f t="shared" si="9"/>
        <v/>
      </c>
      <c r="BP307" s="204"/>
    </row>
    <row r="308" spans="23:68" ht="15.75" x14ac:dyDescent="0.25">
      <c r="W308" s="214" t="s">
        <v>239</v>
      </c>
      <c r="X308" s="214" t="s">
        <v>541</v>
      </c>
      <c r="Y308" s="220">
        <v>2</v>
      </c>
      <c r="AW308" s="214" t="s">
        <v>57</v>
      </c>
      <c r="AX308" s="205">
        <v>3</v>
      </c>
      <c r="AY308" s="205">
        <v>0.2</v>
      </c>
      <c r="AZ308" s="205">
        <v>0.3</v>
      </c>
      <c r="BA308" s="205">
        <v>0.28000000000000003</v>
      </c>
      <c r="BB308" s="214" t="str">
        <f t="shared" si="8"/>
        <v/>
      </c>
      <c r="BG308" s="214" t="s">
        <v>57</v>
      </c>
      <c r="BH308" s="205">
        <v>3</v>
      </c>
      <c r="BI308" s="205">
        <v>0</v>
      </c>
      <c r="BJ308" s="205">
        <v>0.2</v>
      </c>
      <c r="BK308" s="205">
        <v>0.23</v>
      </c>
      <c r="BL308" s="214" t="str">
        <f t="shared" si="9"/>
        <v/>
      </c>
      <c r="BP308" s="204"/>
    </row>
    <row r="309" spans="23:68" ht="15.75" x14ac:dyDescent="0.25">
      <c r="W309" s="214" t="s">
        <v>239</v>
      </c>
      <c r="X309" s="214" t="s">
        <v>542</v>
      </c>
      <c r="Y309" s="220">
        <v>2</v>
      </c>
      <c r="AW309" s="214" t="s">
        <v>57</v>
      </c>
      <c r="AX309" s="205">
        <v>4</v>
      </c>
      <c r="AY309" s="205">
        <v>0.2</v>
      </c>
      <c r="AZ309" s="205">
        <v>0.3</v>
      </c>
      <c r="BA309" s="205">
        <v>0.23</v>
      </c>
      <c r="BB309" s="214" t="str">
        <f t="shared" si="8"/>
        <v/>
      </c>
      <c r="BG309" s="214" t="s">
        <v>57</v>
      </c>
      <c r="BH309" s="205">
        <v>4</v>
      </c>
      <c r="BI309" s="205">
        <v>0</v>
      </c>
      <c r="BJ309" s="205">
        <v>0.2</v>
      </c>
      <c r="BK309" s="205">
        <v>0.23</v>
      </c>
      <c r="BL309" s="214" t="str">
        <f t="shared" si="9"/>
        <v/>
      </c>
      <c r="BP309" s="204"/>
    </row>
    <row r="310" spans="23:68" ht="15.75" x14ac:dyDescent="0.25">
      <c r="W310" s="214" t="s">
        <v>239</v>
      </c>
      <c r="X310" s="214" t="s">
        <v>543</v>
      </c>
      <c r="Y310" s="220">
        <v>2</v>
      </c>
      <c r="AW310" s="214" t="s">
        <v>57</v>
      </c>
      <c r="AX310" s="205">
        <v>5</v>
      </c>
      <c r="AY310" s="205">
        <v>0.2</v>
      </c>
      <c r="AZ310" s="205">
        <v>0.3</v>
      </c>
      <c r="BA310" s="205">
        <v>0.27</v>
      </c>
      <c r="BB310" s="214" t="str">
        <f t="shared" si="8"/>
        <v/>
      </c>
      <c r="BG310" s="214" t="s">
        <v>57</v>
      </c>
      <c r="BH310" s="205">
        <v>5</v>
      </c>
      <c r="BI310" s="205">
        <v>0</v>
      </c>
      <c r="BJ310" s="205">
        <v>0.2</v>
      </c>
      <c r="BK310" s="205">
        <v>0.23</v>
      </c>
      <c r="BL310" s="214" t="str">
        <f t="shared" si="9"/>
        <v/>
      </c>
      <c r="BP310" s="204"/>
    </row>
    <row r="311" spans="23:68" ht="15.75" x14ac:dyDescent="0.25">
      <c r="W311" s="214" t="s">
        <v>252</v>
      </c>
      <c r="X311" s="214" t="s">
        <v>544</v>
      </c>
      <c r="Y311" s="220">
        <v>2</v>
      </c>
      <c r="AW311" s="214" t="s">
        <v>57</v>
      </c>
      <c r="AX311" s="205">
        <v>6</v>
      </c>
      <c r="AY311" s="205">
        <v>0.2</v>
      </c>
      <c r="AZ311" s="205">
        <v>0.3</v>
      </c>
      <c r="BA311" s="205">
        <v>0.24</v>
      </c>
      <c r="BB311" s="214" t="str">
        <f t="shared" si="8"/>
        <v/>
      </c>
      <c r="BG311" s="214" t="s">
        <v>57</v>
      </c>
      <c r="BH311" s="205">
        <v>6</v>
      </c>
      <c r="BI311" s="205">
        <v>0</v>
      </c>
      <c r="BJ311" s="205">
        <v>0.2</v>
      </c>
      <c r="BK311" s="205">
        <v>0.24</v>
      </c>
      <c r="BL311" s="214" t="str">
        <f t="shared" si="9"/>
        <v/>
      </c>
      <c r="BP311" s="204"/>
    </row>
    <row r="312" spans="23:68" ht="15.75" x14ac:dyDescent="0.25">
      <c r="W312" s="214" t="s">
        <v>252</v>
      </c>
      <c r="X312" s="214" t="s">
        <v>545</v>
      </c>
      <c r="Y312" s="220">
        <v>3</v>
      </c>
      <c r="AW312" s="214" t="s">
        <v>57</v>
      </c>
      <c r="AX312" s="205">
        <v>7</v>
      </c>
      <c r="AY312" s="205">
        <v>0.2</v>
      </c>
      <c r="AZ312" s="205">
        <v>0.3</v>
      </c>
      <c r="BA312" s="205">
        <v>0.17</v>
      </c>
      <c r="BB312" s="214" t="str">
        <f t="shared" si="8"/>
        <v/>
      </c>
      <c r="BG312" s="214" t="s">
        <v>57</v>
      </c>
      <c r="BH312" s="205">
        <v>7</v>
      </c>
      <c r="BI312" s="205">
        <v>0</v>
      </c>
      <c r="BJ312" s="205">
        <v>0.2</v>
      </c>
      <c r="BK312" s="205">
        <v>0.23</v>
      </c>
      <c r="BL312" s="214" t="str">
        <f t="shared" si="9"/>
        <v/>
      </c>
      <c r="BP312" s="204"/>
    </row>
    <row r="313" spans="23:68" ht="15.75" x14ac:dyDescent="0.25">
      <c r="W313" s="214" t="s">
        <v>252</v>
      </c>
      <c r="X313" s="214" t="s">
        <v>546</v>
      </c>
      <c r="Y313" s="220">
        <v>3</v>
      </c>
      <c r="AW313" s="214" t="s">
        <v>57</v>
      </c>
      <c r="AX313" s="205">
        <v>8</v>
      </c>
      <c r="AY313" s="205">
        <v>0.2</v>
      </c>
      <c r="AZ313" s="205">
        <v>0.3</v>
      </c>
      <c r="BA313" s="205">
        <v>0.19</v>
      </c>
      <c r="BB313" s="214" t="str">
        <f t="shared" si="8"/>
        <v/>
      </c>
      <c r="BG313" s="214" t="s">
        <v>57</v>
      </c>
      <c r="BH313" s="205">
        <v>8</v>
      </c>
      <c r="BI313" s="205">
        <v>0</v>
      </c>
      <c r="BJ313" s="205">
        <v>0.2</v>
      </c>
      <c r="BK313" s="205">
        <v>0.23</v>
      </c>
      <c r="BL313" s="214" t="str">
        <f t="shared" si="9"/>
        <v/>
      </c>
      <c r="BP313" s="204"/>
    </row>
    <row r="314" spans="23:68" x14ac:dyDescent="0.25">
      <c r="W314" s="214" t="s">
        <v>252</v>
      </c>
      <c r="X314" s="214" t="s">
        <v>547</v>
      </c>
      <c r="Y314" s="220">
        <v>2</v>
      </c>
      <c r="AW314" s="214" t="s">
        <v>57</v>
      </c>
      <c r="AX314" s="205">
        <v>1</v>
      </c>
      <c r="AY314" s="205">
        <v>0.3</v>
      </c>
      <c r="AZ314" s="205">
        <v>0.4</v>
      </c>
      <c r="BA314" s="205">
        <v>0.34</v>
      </c>
      <c r="BB314" s="214" t="str">
        <f t="shared" si="8"/>
        <v/>
      </c>
      <c r="BG314" s="214" t="s">
        <v>57</v>
      </c>
      <c r="BH314" s="205">
        <v>1</v>
      </c>
      <c r="BI314" s="205">
        <v>0.2</v>
      </c>
      <c r="BJ314" s="205">
        <v>0.3</v>
      </c>
      <c r="BK314" s="205">
        <v>0.23</v>
      </c>
      <c r="BL314" s="214" t="str">
        <f t="shared" si="9"/>
        <v/>
      </c>
    </row>
    <row r="315" spans="23:68" x14ac:dyDescent="0.25">
      <c r="W315" s="214" t="s">
        <v>252</v>
      </c>
      <c r="X315" s="214" t="s">
        <v>548</v>
      </c>
      <c r="Y315" s="220">
        <v>3</v>
      </c>
      <c r="AW315" s="214" t="s">
        <v>57</v>
      </c>
      <c r="AX315" s="205">
        <v>2</v>
      </c>
      <c r="AY315" s="205">
        <v>0.3</v>
      </c>
      <c r="AZ315" s="205">
        <v>0.4</v>
      </c>
      <c r="BA315" s="205">
        <v>0.31</v>
      </c>
      <c r="BB315" s="214" t="str">
        <f t="shared" si="8"/>
        <v/>
      </c>
      <c r="BG315" s="214" t="s">
        <v>57</v>
      </c>
      <c r="BH315" s="205">
        <v>2</v>
      </c>
      <c r="BI315" s="205">
        <v>0.2</v>
      </c>
      <c r="BJ315" s="205">
        <v>0.3</v>
      </c>
      <c r="BK315" s="205">
        <v>0.22</v>
      </c>
      <c r="BL315" s="214" t="str">
        <f t="shared" si="9"/>
        <v/>
      </c>
    </row>
    <row r="316" spans="23:68" x14ac:dyDescent="0.25">
      <c r="W316" s="214" t="s">
        <v>252</v>
      </c>
      <c r="X316" s="214" t="s">
        <v>549</v>
      </c>
      <c r="Y316" s="220">
        <v>2</v>
      </c>
      <c r="AW316" s="214" t="s">
        <v>57</v>
      </c>
      <c r="AX316" s="205">
        <v>3</v>
      </c>
      <c r="AY316" s="205">
        <v>0.3</v>
      </c>
      <c r="AZ316" s="205">
        <v>0.4</v>
      </c>
      <c r="BA316" s="205">
        <v>0.27</v>
      </c>
      <c r="BB316" s="214" t="str">
        <f t="shared" si="8"/>
        <v/>
      </c>
      <c r="BG316" s="214" t="s">
        <v>57</v>
      </c>
      <c r="BH316" s="205">
        <v>3</v>
      </c>
      <c r="BI316" s="205">
        <v>0.2</v>
      </c>
      <c r="BJ316" s="205">
        <v>0.3</v>
      </c>
      <c r="BK316" s="205">
        <v>0.22</v>
      </c>
      <c r="BL316" s="214" t="str">
        <f t="shared" si="9"/>
        <v/>
      </c>
    </row>
    <row r="317" spans="23:68" x14ac:dyDescent="0.25">
      <c r="W317" s="214" t="s">
        <v>252</v>
      </c>
      <c r="X317" s="214" t="s">
        <v>550</v>
      </c>
      <c r="Y317" s="220">
        <v>3</v>
      </c>
      <c r="AW317" s="214" t="s">
        <v>57</v>
      </c>
      <c r="AX317" s="205">
        <v>4</v>
      </c>
      <c r="AY317" s="205">
        <v>0.3</v>
      </c>
      <c r="AZ317" s="205">
        <v>0.4</v>
      </c>
      <c r="BA317" s="205">
        <v>0.21</v>
      </c>
      <c r="BB317" s="214" t="str">
        <f t="shared" si="8"/>
        <v/>
      </c>
      <c r="BG317" s="214" t="s">
        <v>57</v>
      </c>
      <c r="BH317" s="205">
        <v>4</v>
      </c>
      <c r="BI317" s="205">
        <v>0.2</v>
      </c>
      <c r="BJ317" s="205">
        <v>0.3</v>
      </c>
      <c r="BK317" s="205">
        <v>0.23</v>
      </c>
      <c r="BL317" s="214" t="str">
        <f t="shared" si="9"/>
        <v/>
      </c>
    </row>
    <row r="318" spans="23:68" x14ac:dyDescent="0.25">
      <c r="W318" s="214" t="s">
        <v>27</v>
      </c>
      <c r="X318" s="214" t="s">
        <v>551</v>
      </c>
      <c r="Y318" s="220">
        <v>3</v>
      </c>
      <c r="AW318" s="214" t="s">
        <v>57</v>
      </c>
      <c r="AX318" s="205">
        <v>5</v>
      </c>
      <c r="AY318" s="205">
        <v>0.3</v>
      </c>
      <c r="AZ318" s="205">
        <v>0.4</v>
      </c>
      <c r="BA318" s="205">
        <v>0.25</v>
      </c>
      <c r="BB318" s="214" t="str">
        <f t="shared" si="8"/>
        <v/>
      </c>
      <c r="BG318" s="214" t="s">
        <v>57</v>
      </c>
      <c r="BH318" s="205">
        <v>5</v>
      </c>
      <c r="BI318" s="205">
        <v>0.2</v>
      </c>
      <c r="BJ318" s="205">
        <v>0.3</v>
      </c>
      <c r="BK318" s="205">
        <v>0.23</v>
      </c>
      <c r="BL318" s="214" t="str">
        <f t="shared" si="9"/>
        <v/>
      </c>
    </row>
    <row r="319" spans="23:68" x14ac:dyDescent="0.25">
      <c r="W319" s="214" t="s">
        <v>27</v>
      </c>
      <c r="X319" s="214" t="s">
        <v>552</v>
      </c>
      <c r="Y319" s="220">
        <v>5</v>
      </c>
      <c r="AW319" s="214" t="s">
        <v>57</v>
      </c>
      <c r="AX319" s="205">
        <v>6</v>
      </c>
      <c r="AY319" s="205">
        <v>0.3</v>
      </c>
      <c r="AZ319" s="205">
        <v>0.4</v>
      </c>
      <c r="BA319" s="205">
        <v>0.21</v>
      </c>
      <c r="BB319" s="214" t="str">
        <f t="shared" si="8"/>
        <v/>
      </c>
      <c r="BG319" s="214" t="s">
        <v>57</v>
      </c>
      <c r="BH319" s="205">
        <v>6</v>
      </c>
      <c r="BI319" s="205">
        <v>0.2</v>
      </c>
      <c r="BJ319" s="205">
        <v>0.3</v>
      </c>
      <c r="BK319" s="205">
        <v>0.23</v>
      </c>
      <c r="BL319" s="214" t="str">
        <f t="shared" si="9"/>
        <v/>
      </c>
    </row>
    <row r="320" spans="23:68" x14ac:dyDescent="0.25">
      <c r="W320" s="214" t="s">
        <v>27</v>
      </c>
      <c r="X320" s="214" t="s">
        <v>553</v>
      </c>
      <c r="Y320" s="220">
        <v>3</v>
      </c>
      <c r="AW320" s="214" t="s">
        <v>57</v>
      </c>
      <c r="AX320" s="205">
        <v>7</v>
      </c>
      <c r="AY320" s="205">
        <v>0.3</v>
      </c>
      <c r="AZ320" s="205">
        <v>0.4</v>
      </c>
      <c r="BA320" s="205">
        <v>0.14000000000000001</v>
      </c>
      <c r="BB320" s="214" t="str">
        <f t="shared" si="8"/>
        <v/>
      </c>
      <c r="BG320" s="214" t="s">
        <v>57</v>
      </c>
      <c r="BH320" s="205">
        <v>7</v>
      </c>
      <c r="BI320" s="205">
        <v>0.2</v>
      </c>
      <c r="BJ320" s="205">
        <v>0.3</v>
      </c>
      <c r="BK320" s="205">
        <v>0.23</v>
      </c>
      <c r="BL320" s="214" t="str">
        <f t="shared" si="9"/>
        <v/>
      </c>
    </row>
    <row r="321" spans="23:64" x14ac:dyDescent="0.25">
      <c r="W321" s="214" t="s">
        <v>258</v>
      </c>
      <c r="X321" s="214" t="s">
        <v>554</v>
      </c>
      <c r="Y321" s="220">
        <v>3</v>
      </c>
      <c r="AW321" s="214" t="s">
        <v>57</v>
      </c>
      <c r="AX321" s="205">
        <v>8</v>
      </c>
      <c r="AY321" s="205">
        <v>0.3</v>
      </c>
      <c r="AZ321" s="205">
        <v>0.4</v>
      </c>
      <c r="BA321" s="205">
        <v>0.16</v>
      </c>
      <c r="BB321" s="214" t="str">
        <f t="shared" si="8"/>
        <v/>
      </c>
      <c r="BG321" s="214" t="s">
        <v>57</v>
      </c>
      <c r="BH321" s="205">
        <v>8</v>
      </c>
      <c r="BI321" s="205">
        <v>0.2</v>
      </c>
      <c r="BJ321" s="205">
        <v>0.3</v>
      </c>
      <c r="BK321" s="205">
        <v>0.23</v>
      </c>
      <c r="BL321" s="214" t="str">
        <f t="shared" si="9"/>
        <v/>
      </c>
    </row>
    <row r="322" spans="23:64" x14ac:dyDescent="0.25">
      <c r="W322" s="214" t="s">
        <v>258</v>
      </c>
      <c r="X322" s="214" t="s">
        <v>555</v>
      </c>
      <c r="Y322" s="220">
        <v>3</v>
      </c>
      <c r="AW322" s="214" t="s">
        <v>57</v>
      </c>
      <c r="AX322" s="205">
        <v>1</v>
      </c>
      <c r="AY322" s="205">
        <v>0.4</v>
      </c>
      <c r="AZ322" s="205">
        <v>0.5</v>
      </c>
      <c r="BA322" s="205">
        <v>0.34</v>
      </c>
      <c r="BB322" s="214" t="str">
        <f t="shared" ref="BB322:BB369" si="10">IF(AX322=$BE$1,IF(AW322=$BD$1,IF(AND($BC$1&gt;AY322,$BC$1&lt;AZ322),BA322,""),""),"")</f>
        <v/>
      </c>
      <c r="BG322" s="214" t="s">
        <v>57</v>
      </c>
      <c r="BH322" s="205">
        <v>1</v>
      </c>
      <c r="BI322" s="205">
        <v>0.3</v>
      </c>
      <c r="BJ322" s="205">
        <v>0.4</v>
      </c>
      <c r="BK322" s="205">
        <v>0.22</v>
      </c>
      <c r="BL322" s="214" t="str">
        <f t="shared" ref="BL322:BL369" si="11">IF(BH322=$BE$1,IF(BG322=$BD$1,IF(AND($BC$1&gt;BI322,$BC$1&lt;BJ322),BK322,""),""),"")</f>
        <v/>
      </c>
    </row>
    <row r="323" spans="23:64" x14ac:dyDescent="0.25">
      <c r="W323" s="214" t="s">
        <v>258</v>
      </c>
      <c r="X323" s="214" t="s">
        <v>556</v>
      </c>
      <c r="Y323" s="220">
        <v>3</v>
      </c>
      <c r="AW323" s="214" t="s">
        <v>57</v>
      </c>
      <c r="AX323" s="205">
        <v>2</v>
      </c>
      <c r="AY323" s="205">
        <v>0.4</v>
      </c>
      <c r="AZ323" s="205">
        <v>0.5</v>
      </c>
      <c r="BA323" s="205">
        <v>0.33</v>
      </c>
      <c r="BB323" s="214" t="str">
        <f t="shared" si="10"/>
        <v/>
      </c>
      <c r="BG323" s="214" t="s">
        <v>57</v>
      </c>
      <c r="BH323" s="205">
        <v>2</v>
      </c>
      <c r="BI323" s="205">
        <v>0.3</v>
      </c>
      <c r="BJ323" s="205">
        <v>0.4</v>
      </c>
      <c r="BK323" s="205">
        <v>0.22</v>
      </c>
      <c r="BL323" s="214" t="str">
        <f t="shared" si="11"/>
        <v/>
      </c>
    </row>
    <row r="324" spans="23:64" x14ac:dyDescent="0.25">
      <c r="W324" s="214" t="s">
        <v>258</v>
      </c>
      <c r="X324" s="214" t="s">
        <v>557</v>
      </c>
      <c r="Y324" s="220">
        <v>1</v>
      </c>
      <c r="AW324" s="214" t="s">
        <v>57</v>
      </c>
      <c r="AX324" s="205">
        <v>3</v>
      </c>
      <c r="AY324" s="205">
        <v>0.4</v>
      </c>
      <c r="AZ324" s="205">
        <v>0.5</v>
      </c>
      <c r="BA324" s="205">
        <v>0.25</v>
      </c>
      <c r="BB324" s="214" t="str">
        <f t="shared" si="10"/>
        <v/>
      </c>
      <c r="BG324" s="214" t="s">
        <v>57</v>
      </c>
      <c r="BH324" s="205">
        <v>3</v>
      </c>
      <c r="BI324" s="205">
        <v>0.3</v>
      </c>
      <c r="BJ324" s="205">
        <v>0.4</v>
      </c>
      <c r="BK324" s="205">
        <v>0.22</v>
      </c>
      <c r="BL324" s="214" t="str">
        <f t="shared" si="11"/>
        <v/>
      </c>
    </row>
    <row r="325" spans="23:64" x14ac:dyDescent="0.25">
      <c r="W325" s="214" t="s">
        <v>258</v>
      </c>
      <c r="X325" s="214" t="s">
        <v>558</v>
      </c>
      <c r="Y325" s="220">
        <v>3</v>
      </c>
      <c r="AW325" s="214" t="s">
        <v>57</v>
      </c>
      <c r="AX325" s="205">
        <v>4</v>
      </c>
      <c r="AY325" s="205">
        <v>0.4</v>
      </c>
      <c r="AZ325" s="205">
        <v>0.5</v>
      </c>
      <c r="BA325" s="205">
        <v>0.19</v>
      </c>
      <c r="BB325" s="214" t="str">
        <f t="shared" si="10"/>
        <v/>
      </c>
      <c r="BG325" s="214" t="s">
        <v>57</v>
      </c>
      <c r="BH325" s="205">
        <v>4</v>
      </c>
      <c r="BI325" s="205">
        <v>0.3</v>
      </c>
      <c r="BJ325" s="205">
        <v>0.4</v>
      </c>
      <c r="BK325" s="205">
        <v>0.22</v>
      </c>
      <c r="BL325" s="214" t="str">
        <f t="shared" si="11"/>
        <v/>
      </c>
    </row>
    <row r="326" spans="23:64" x14ac:dyDescent="0.25">
      <c r="W326" s="214" t="s">
        <v>258</v>
      </c>
      <c r="X326" s="214" t="s">
        <v>559</v>
      </c>
      <c r="Y326" s="220">
        <v>3</v>
      </c>
      <c r="AW326" s="214" t="s">
        <v>57</v>
      </c>
      <c r="AX326" s="205">
        <v>5</v>
      </c>
      <c r="AY326" s="205">
        <v>0.4</v>
      </c>
      <c r="AZ326" s="205">
        <v>0.5</v>
      </c>
      <c r="BA326" s="205">
        <v>0.23</v>
      </c>
      <c r="BB326" s="214" t="str">
        <f t="shared" si="10"/>
        <v/>
      </c>
      <c r="BG326" s="214" t="s">
        <v>57</v>
      </c>
      <c r="BH326" s="205">
        <v>5</v>
      </c>
      <c r="BI326" s="205">
        <v>0.3</v>
      </c>
      <c r="BJ326" s="205">
        <v>0.4</v>
      </c>
      <c r="BK326" s="205">
        <v>0.22</v>
      </c>
      <c r="BL326" s="214" t="str">
        <f t="shared" si="11"/>
        <v/>
      </c>
    </row>
    <row r="327" spans="23:64" x14ac:dyDescent="0.25">
      <c r="W327" s="214" t="s">
        <v>258</v>
      </c>
      <c r="X327" s="214" t="s">
        <v>560</v>
      </c>
      <c r="Y327" s="220">
        <v>3</v>
      </c>
      <c r="AW327" s="214" t="s">
        <v>57</v>
      </c>
      <c r="AX327" s="205">
        <v>6</v>
      </c>
      <c r="AY327" s="205">
        <v>0.4</v>
      </c>
      <c r="AZ327" s="205">
        <v>0.5</v>
      </c>
      <c r="BA327" s="205">
        <v>0.17</v>
      </c>
      <c r="BB327" s="214" t="str">
        <f t="shared" si="10"/>
        <v/>
      </c>
      <c r="BG327" s="214" t="s">
        <v>57</v>
      </c>
      <c r="BH327" s="205">
        <v>6</v>
      </c>
      <c r="BI327" s="205">
        <v>0.3</v>
      </c>
      <c r="BJ327" s="205">
        <v>0.4</v>
      </c>
      <c r="BK327" s="205">
        <v>0.23</v>
      </c>
      <c r="BL327" s="214" t="str">
        <f t="shared" si="11"/>
        <v/>
      </c>
    </row>
    <row r="328" spans="23:64" x14ac:dyDescent="0.25">
      <c r="W328" s="214" t="s">
        <v>258</v>
      </c>
      <c r="X328" s="214" t="s">
        <v>561</v>
      </c>
      <c r="Y328" s="220">
        <v>2</v>
      </c>
      <c r="AW328" s="214" t="s">
        <v>57</v>
      </c>
      <c r="AX328" s="205">
        <v>7</v>
      </c>
      <c r="AY328" s="205">
        <v>0.4</v>
      </c>
      <c r="AZ328" s="205">
        <v>0.5</v>
      </c>
      <c r="BA328" s="205">
        <v>0.11</v>
      </c>
      <c r="BB328" s="214" t="str">
        <f t="shared" si="10"/>
        <v/>
      </c>
      <c r="BG328" s="214" t="s">
        <v>57</v>
      </c>
      <c r="BH328" s="205">
        <v>7</v>
      </c>
      <c r="BI328" s="205">
        <v>0.3</v>
      </c>
      <c r="BJ328" s="205">
        <v>0.4</v>
      </c>
      <c r="BK328" s="205">
        <v>0.22</v>
      </c>
      <c r="BL328" s="214" t="str">
        <f t="shared" si="11"/>
        <v/>
      </c>
    </row>
    <row r="329" spans="23:64" x14ac:dyDescent="0.25">
      <c r="W329" s="214" t="s">
        <v>258</v>
      </c>
      <c r="X329" s="214" t="s">
        <v>562</v>
      </c>
      <c r="Y329" s="220">
        <v>2</v>
      </c>
      <c r="AW329" s="214" t="s">
        <v>57</v>
      </c>
      <c r="AX329" s="205">
        <v>8</v>
      </c>
      <c r="AY329" s="205">
        <v>0.4</v>
      </c>
      <c r="AZ329" s="205">
        <v>0.5</v>
      </c>
      <c r="BA329" s="205">
        <v>0.13</v>
      </c>
      <c r="BB329" s="214" t="str">
        <f t="shared" si="10"/>
        <v/>
      </c>
      <c r="BG329" s="214" t="s">
        <v>57</v>
      </c>
      <c r="BH329" s="205">
        <v>8</v>
      </c>
      <c r="BI329" s="205">
        <v>0.3</v>
      </c>
      <c r="BJ329" s="205">
        <v>0.4</v>
      </c>
      <c r="BK329" s="205">
        <v>0.22</v>
      </c>
      <c r="BL329" s="214" t="str">
        <f t="shared" si="11"/>
        <v/>
      </c>
    </row>
    <row r="330" spans="23:64" x14ac:dyDescent="0.25">
      <c r="W330" s="214" t="s">
        <v>258</v>
      </c>
      <c r="X330" s="214" t="s">
        <v>563</v>
      </c>
      <c r="Y330" s="220">
        <v>3</v>
      </c>
      <c r="AW330" s="214" t="s">
        <v>57</v>
      </c>
      <c r="AX330" s="205">
        <v>1</v>
      </c>
      <c r="AY330" s="205">
        <v>0.5</v>
      </c>
      <c r="AZ330" s="205">
        <v>100</v>
      </c>
      <c r="BA330" s="205">
        <v>0.36</v>
      </c>
      <c r="BB330" s="214" t="str">
        <f t="shared" si="10"/>
        <v/>
      </c>
      <c r="BG330" s="214" t="s">
        <v>57</v>
      </c>
      <c r="BH330" s="205">
        <v>1</v>
      </c>
      <c r="BI330" s="205">
        <v>0.4</v>
      </c>
      <c r="BJ330" s="205">
        <v>0.5</v>
      </c>
      <c r="BK330" s="205">
        <v>0.22</v>
      </c>
      <c r="BL330" s="214" t="str">
        <f t="shared" si="11"/>
        <v/>
      </c>
    </row>
    <row r="331" spans="23:64" x14ac:dyDescent="0.25">
      <c r="W331" s="214" t="s">
        <v>258</v>
      </c>
      <c r="X331" s="214" t="s">
        <v>564</v>
      </c>
      <c r="Y331" s="220">
        <v>3</v>
      </c>
      <c r="AW331" s="214" t="s">
        <v>57</v>
      </c>
      <c r="AX331" s="205">
        <v>2</v>
      </c>
      <c r="AY331" s="205">
        <v>0.5</v>
      </c>
      <c r="AZ331" s="205">
        <v>100</v>
      </c>
      <c r="BA331" s="205">
        <v>0.34</v>
      </c>
      <c r="BB331" s="214" t="str">
        <f t="shared" si="10"/>
        <v/>
      </c>
      <c r="BG331" s="214" t="s">
        <v>57</v>
      </c>
      <c r="BH331" s="205">
        <v>2</v>
      </c>
      <c r="BI331" s="205">
        <v>0.4</v>
      </c>
      <c r="BJ331" s="205">
        <v>0.5</v>
      </c>
      <c r="BK331" s="205">
        <v>0.21</v>
      </c>
      <c r="BL331" s="214" t="str">
        <f t="shared" si="11"/>
        <v/>
      </c>
    </row>
    <row r="332" spans="23:64" x14ac:dyDescent="0.25">
      <c r="W332" s="214" t="s">
        <v>258</v>
      </c>
      <c r="X332" s="214" t="s">
        <v>565</v>
      </c>
      <c r="Y332" s="220">
        <v>4</v>
      </c>
      <c r="AW332" s="214" t="s">
        <v>57</v>
      </c>
      <c r="AX332" s="205">
        <v>3</v>
      </c>
      <c r="AY332" s="205">
        <v>0.5</v>
      </c>
      <c r="AZ332" s="205">
        <v>100</v>
      </c>
      <c r="BA332" s="205">
        <v>0.26</v>
      </c>
      <c r="BB332" s="214" t="str">
        <f t="shared" si="10"/>
        <v/>
      </c>
      <c r="BG332" s="214" t="s">
        <v>57</v>
      </c>
      <c r="BH332" s="205">
        <v>3</v>
      </c>
      <c r="BI332" s="205">
        <v>0.4</v>
      </c>
      <c r="BJ332" s="205">
        <v>0.5</v>
      </c>
      <c r="BK332" s="205">
        <v>0.22</v>
      </c>
      <c r="BL332" s="214" t="str">
        <f t="shared" si="11"/>
        <v/>
      </c>
    </row>
    <row r="333" spans="23:64" x14ac:dyDescent="0.25">
      <c r="W333" s="214" t="s">
        <v>258</v>
      </c>
      <c r="X333" s="214" t="s">
        <v>566</v>
      </c>
      <c r="Y333" s="220">
        <v>3</v>
      </c>
      <c r="AW333" s="214" t="s">
        <v>57</v>
      </c>
      <c r="AX333" s="205">
        <v>4</v>
      </c>
      <c r="AY333" s="205">
        <v>0.5</v>
      </c>
      <c r="AZ333" s="205">
        <v>100</v>
      </c>
      <c r="BA333" s="205">
        <v>0.19</v>
      </c>
      <c r="BB333" s="214" t="str">
        <f t="shared" si="10"/>
        <v/>
      </c>
      <c r="BG333" s="214" t="s">
        <v>57</v>
      </c>
      <c r="BH333" s="205">
        <v>4</v>
      </c>
      <c r="BI333" s="205">
        <v>0.4</v>
      </c>
      <c r="BJ333" s="205">
        <v>0.5</v>
      </c>
      <c r="BK333" s="205">
        <v>0.22</v>
      </c>
      <c r="BL333" s="214" t="str">
        <f t="shared" si="11"/>
        <v/>
      </c>
    </row>
    <row r="334" spans="23:64" x14ac:dyDescent="0.25">
      <c r="W334" s="214" t="s">
        <v>232</v>
      </c>
      <c r="X334" s="214" t="s">
        <v>567</v>
      </c>
      <c r="Y334" s="220">
        <v>2</v>
      </c>
      <c r="AW334" s="214" t="s">
        <v>57</v>
      </c>
      <c r="AX334" s="205">
        <v>5</v>
      </c>
      <c r="AY334" s="205">
        <v>0.5</v>
      </c>
      <c r="AZ334" s="205">
        <v>100</v>
      </c>
      <c r="BA334" s="205">
        <v>0.23</v>
      </c>
      <c r="BB334" s="214" t="str">
        <f t="shared" si="10"/>
        <v/>
      </c>
      <c r="BG334" s="214" t="s">
        <v>57</v>
      </c>
      <c r="BH334" s="205">
        <v>5</v>
      </c>
      <c r="BI334" s="205">
        <v>0.4</v>
      </c>
      <c r="BJ334" s="205">
        <v>0.5</v>
      </c>
      <c r="BK334" s="205">
        <v>0.22</v>
      </c>
      <c r="BL334" s="214" t="str">
        <f t="shared" si="11"/>
        <v/>
      </c>
    </row>
    <row r="335" spans="23:64" x14ac:dyDescent="0.25">
      <c r="W335" s="214" t="s">
        <v>232</v>
      </c>
      <c r="X335" s="214" t="s">
        <v>568</v>
      </c>
      <c r="Y335" s="220">
        <v>2</v>
      </c>
      <c r="AW335" s="214" t="s">
        <v>57</v>
      </c>
      <c r="AX335" s="205">
        <v>6</v>
      </c>
      <c r="AY335" s="205">
        <v>0.5</v>
      </c>
      <c r="AZ335" s="205">
        <v>100</v>
      </c>
      <c r="BA335" s="205">
        <v>0.17</v>
      </c>
      <c r="BB335" s="214" t="str">
        <f t="shared" si="10"/>
        <v/>
      </c>
      <c r="BG335" s="214" t="s">
        <v>57</v>
      </c>
      <c r="BH335" s="205">
        <v>6</v>
      </c>
      <c r="BI335" s="205">
        <v>0.4</v>
      </c>
      <c r="BJ335" s="205">
        <v>0.5</v>
      </c>
      <c r="BK335" s="205">
        <v>0.22</v>
      </c>
      <c r="BL335" s="214" t="str">
        <f t="shared" si="11"/>
        <v/>
      </c>
    </row>
    <row r="336" spans="23:64" x14ac:dyDescent="0.25">
      <c r="W336" s="214" t="s">
        <v>239</v>
      </c>
      <c r="X336" s="214" t="s">
        <v>569</v>
      </c>
      <c r="Y336" s="220">
        <v>1</v>
      </c>
      <c r="AW336" s="214" t="s">
        <v>57</v>
      </c>
      <c r="AX336" s="205">
        <v>7</v>
      </c>
      <c r="AY336" s="205">
        <v>0.5</v>
      </c>
      <c r="AZ336" s="205">
        <v>100</v>
      </c>
      <c r="BA336" s="205">
        <v>0.11</v>
      </c>
      <c r="BB336" s="214" t="str">
        <f t="shared" si="10"/>
        <v/>
      </c>
      <c r="BG336" s="214" t="s">
        <v>57</v>
      </c>
      <c r="BH336" s="205">
        <v>7</v>
      </c>
      <c r="BI336" s="205">
        <v>0.4</v>
      </c>
      <c r="BJ336" s="205">
        <v>0.5</v>
      </c>
      <c r="BK336" s="205">
        <v>0.22</v>
      </c>
      <c r="BL336" s="214" t="str">
        <f t="shared" si="11"/>
        <v/>
      </c>
    </row>
    <row r="337" spans="23:64" x14ac:dyDescent="0.25">
      <c r="W337" s="214" t="s">
        <v>232</v>
      </c>
      <c r="X337" s="214" t="s">
        <v>570</v>
      </c>
      <c r="Y337" s="220">
        <v>2</v>
      </c>
      <c r="AW337" s="214" t="s">
        <v>57</v>
      </c>
      <c r="AX337" s="205">
        <v>8</v>
      </c>
      <c r="AY337" s="205">
        <v>0.5</v>
      </c>
      <c r="AZ337" s="205">
        <v>100</v>
      </c>
      <c r="BA337" s="205">
        <v>0.13</v>
      </c>
      <c r="BB337" s="214" t="str">
        <f t="shared" si="10"/>
        <v/>
      </c>
      <c r="BG337" s="214" t="s">
        <v>57</v>
      </c>
      <c r="BH337" s="205">
        <v>8</v>
      </c>
      <c r="BI337" s="205">
        <v>0.4</v>
      </c>
      <c r="BJ337" s="205">
        <v>0.5</v>
      </c>
      <c r="BK337" s="205">
        <v>0.22</v>
      </c>
      <c r="BL337" s="214" t="str">
        <f t="shared" si="11"/>
        <v/>
      </c>
    </row>
    <row r="338" spans="23:64" x14ac:dyDescent="0.25">
      <c r="W338" s="214" t="s">
        <v>27</v>
      </c>
      <c r="X338" s="214" t="s">
        <v>571</v>
      </c>
      <c r="Y338" s="220">
        <v>2</v>
      </c>
      <c r="AW338" s="214" t="s">
        <v>58</v>
      </c>
      <c r="AX338" s="205">
        <v>1</v>
      </c>
      <c r="AY338" s="205">
        <v>0</v>
      </c>
      <c r="AZ338" s="205">
        <v>0.2</v>
      </c>
      <c r="BA338" s="205">
        <v>0.39</v>
      </c>
      <c r="BB338" s="214" t="str">
        <f t="shared" si="10"/>
        <v/>
      </c>
      <c r="BG338" s="214" t="s">
        <v>57</v>
      </c>
      <c r="BH338" s="205">
        <v>1</v>
      </c>
      <c r="BI338" s="205">
        <v>0.5</v>
      </c>
      <c r="BJ338" s="205">
        <v>100</v>
      </c>
      <c r="BK338" s="205">
        <v>0.23</v>
      </c>
      <c r="BL338" s="214" t="str">
        <f t="shared" si="11"/>
        <v/>
      </c>
    </row>
    <row r="339" spans="23:64" x14ac:dyDescent="0.25">
      <c r="W339" s="214" t="s">
        <v>239</v>
      </c>
      <c r="X339" s="214" t="s">
        <v>572</v>
      </c>
      <c r="Y339" s="220">
        <v>2</v>
      </c>
      <c r="AW339" s="214" t="s">
        <v>58</v>
      </c>
      <c r="AX339" s="205">
        <v>2</v>
      </c>
      <c r="AY339" s="205">
        <v>0</v>
      </c>
      <c r="AZ339" s="205">
        <v>0.2</v>
      </c>
      <c r="BA339" s="205">
        <v>0.35</v>
      </c>
      <c r="BB339" s="214" t="str">
        <f t="shared" si="10"/>
        <v/>
      </c>
      <c r="BG339" s="214" t="s">
        <v>57</v>
      </c>
      <c r="BH339" s="205">
        <v>2</v>
      </c>
      <c r="BI339" s="205">
        <v>0.5</v>
      </c>
      <c r="BJ339" s="205">
        <v>100</v>
      </c>
      <c r="BK339" s="205">
        <v>0.23</v>
      </c>
      <c r="BL339" s="214" t="str">
        <f t="shared" si="11"/>
        <v/>
      </c>
    </row>
    <row r="340" spans="23:64" x14ac:dyDescent="0.25">
      <c r="W340" s="214" t="s">
        <v>239</v>
      </c>
      <c r="X340" s="214" t="s">
        <v>573</v>
      </c>
      <c r="Y340" s="220">
        <v>1</v>
      </c>
      <c r="AW340" s="214" t="s">
        <v>58</v>
      </c>
      <c r="AX340" s="205">
        <v>3</v>
      </c>
      <c r="AY340" s="205">
        <v>0</v>
      </c>
      <c r="AZ340" s="205">
        <v>0.2</v>
      </c>
      <c r="BA340" s="205">
        <v>0.31</v>
      </c>
      <c r="BB340" s="214" t="str">
        <f t="shared" si="10"/>
        <v/>
      </c>
      <c r="BG340" s="214" t="s">
        <v>57</v>
      </c>
      <c r="BH340" s="205">
        <v>3</v>
      </c>
      <c r="BI340" s="205">
        <v>0.5</v>
      </c>
      <c r="BJ340" s="205">
        <v>100</v>
      </c>
      <c r="BK340" s="205">
        <v>0.23</v>
      </c>
      <c r="BL340" s="214" t="str">
        <f t="shared" si="11"/>
        <v/>
      </c>
    </row>
    <row r="341" spans="23:64" x14ac:dyDescent="0.25">
      <c r="W341" s="214" t="s">
        <v>239</v>
      </c>
      <c r="X341" s="214" t="s">
        <v>574</v>
      </c>
      <c r="Y341" s="220">
        <v>3</v>
      </c>
      <c r="AW341" s="214" t="s">
        <v>58</v>
      </c>
      <c r="AX341" s="205">
        <v>4</v>
      </c>
      <c r="AY341" s="205">
        <v>0</v>
      </c>
      <c r="AZ341" s="205">
        <v>0.2</v>
      </c>
      <c r="BA341" s="205">
        <v>0.26</v>
      </c>
      <c r="BB341" s="214" t="str">
        <f t="shared" si="10"/>
        <v/>
      </c>
      <c r="BG341" s="214" t="s">
        <v>57</v>
      </c>
      <c r="BH341" s="205">
        <v>4</v>
      </c>
      <c r="BI341" s="205">
        <v>0.5</v>
      </c>
      <c r="BJ341" s="205">
        <v>100</v>
      </c>
      <c r="BK341" s="205">
        <v>0.23</v>
      </c>
      <c r="BL341" s="214" t="str">
        <f t="shared" si="11"/>
        <v/>
      </c>
    </row>
    <row r="342" spans="23:64" x14ac:dyDescent="0.25">
      <c r="W342" s="214" t="s">
        <v>239</v>
      </c>
      <c r="X342" s="214" t="s">
        <v>575</v>
      </c>
      <c r="Y342" s="220">
        <v>2</v>
      </c>
      <c r="AW342" s="214" t="s">
        <v>58</v>
      </c>
      <c r="AX342" s="205">
        <v>5</v>
      </c>
      <c r="AY342" s="205">
        <v>0</v>
      </c>
      <c r="AZ342" s="205">
        <v>0.2</v>
      </c>
      <c r="BA342" s="205">
        <v>0.31</v>
      </c>
      <c r="BB342" s="214" t="str">
        <f t="shared" si="10"/>
        <v/>
      </c>
      <c r="BG342" s="214" t="s">
        <v>57</v>
      </c>
      <c r="BH342" s="205">
        <v>5</v>
      </c>
      <c r="BI342" s="205">
        <v>0.5</v>
      </c>
      <c r="BJ342" s="205">
        <v>100</v>
      </c>
      <c r="BK342" s="205">
        <v>0.23</v>
      </c>
      <c r="BL342" s="214" t="str">
        <f t="shared" si="11"/>
        <v/>
      </c>
    </row>
    <row r="343" spans="23:64" x14ac:dyDescent="0.25">
      <c r="W343" s="214" t="s">
        <v>239</v>
      </c>
      <c r="X343" s="214" t="s">
        <v>576</v>
      </c>
      <c r="Y343" s="220">
        <v>2</v>
      </c>
      <c r="AW343" s="214" t="s">
        <v>58</v>
      </c>
      <c r="AX343" s="205">
        <v>6</v>
      </c>
      <c r="AY343" s="205">
        <v>0</v>
      </c>
      <c r="AZ343" s="205">
        <v>0.2</v>
      </c>
      <c r="BA343" s="205">
        <v>0.26</v>
      </c>
      <c r="BB343" s="214" t="str">
        <f t="shared" si="10"/>
        <v/>
      </c>
      <c r="BG343" s="214" t="s">
        <v>57</v>
      </c>
      <c r="BH343" s="205">
        <v>6</v>
      </c>
      <c r="BI343" s="205">
        <v>0.5</v>
      </c>
      <c r="BJ343" s="205">
        <v>100</v>
      </c>
      <c r="BK343" s="205">
        <v>0.23</v>
      </c>
      <c r="BL343" s="214" t="str">
        <f t="shared" si="11"/>
        <v/>
      </c>
    </row>
    <row r="344" spans="23:64" x14ac:dyDescent="0.25">
      <c r="W344" s="214" t="s">
        <v>239</v>
      </c>
      <c r="X344" s="214" t="s">
        <v>577</v>
      </c>
      <c r="Y344" s="220">
        <v>1</v>
      </c>
      <c r="AW344" s="214" t="s">
        <v>58</v>
      </c>
      <c r="AX344" s="205">
        <v>7</v>
      </c>
      <c r="AY344" s="205">
        <v>0</v>
      </c>
      <c r="AZ344" s="205">
        <v>0.2</v>
      </c>
      <c r="BA344" s="205">
        <v>0.18</v>
      </c>
      <c r="BB344" s="214" t="str">
        <f t="shared" si="10"/>
        <v/>
      </c>
      <c r="BG344" s="214" t="s">
        <v>57</v>
      </c>
      <c r="BH344" s="205">
        <v>7</v>
      </c>
      <c r="BI344" s="205">
        <v>0.5</v>
      </c>
      <c r="BJ344" s="205">
        <v>100</v>
      </c>
      <c r="BK344" s="205">
        <v>0.23</v>
      </c>
      <c r="BL344" s="214" t="str">
        <f t="shared" si="11"/>
        <v/>
      </c>
    </row>
    <row r="345" spans="23:64" x14ac:dyDescent="0.25">
      <c r="W345" s="214" t="s">
        <v>239</v>
      </c>
      <c r="X345" s="214" t="s">
        <v>578</v>
      </c>
      <c r="Y345" s="220">
        <v>2</v>
      </c>
      <c r="AW345" s="214" t="s">
        <v>58</v>
      </c>
      <c r="AX345" s="205">
        <v>8</v>
      </c>
      <c r="AY345" s="205">
        <v>0</v>
      </c>
      <c r="AZ345" s="205">
        <v>0.2</v>
      </c>
      <c r="BA345" s="205">
        <v>0.21</v>
      </c>
      <c r="BB345" s="214" t="str">
        <f t="shared" si="10"/>
        <v/>
      </c>
      <c r="BG345" s="214" t="s">
        <v>57</v>
      </c>
      <c r="BH345" s="205">
        <v>8</v>
      </c>
      <c r="BI345" s="205">
        <v>0.5</v>
      </c>
      <c r="BJ345" s="205">
        <v>100</v>
      </c>
      <c r="BK345" s="205">
        <v>0.23</v>
      </c>
      <c r="BL345" s="214" t="str">
        <f t="shared" si="11"/>
        <v/>
      </c>
    </row>
    <row r="346" spans="23:64" x14ac:dyDescent="0.25">
      <c r="W346" s="214" t="s">
        <v>239</v>
      </c>
      <c r="X346" s="214" t="s">
        <v>579</v>
      </c>
      <c r="Y346" s="220">
        <v>2</v>
      </c>
      <c r="AW346" s="214" t="s">
        <v>58</v>
      </c>
      <c r="AX346" s="205">
        <v>1</v>
      </c>
      <c r="AY346" s="205">
        <v>0.2</v>
      </c>
      <c r="AZ346" s="205">
        <v>0.3</v>
      </c>
      <c r="BA346" s="205">
        <v>0.41</v>
      </c>
      <c r="BB346" s="214" t="str">
        <f t="shared" si="10"/>
        <v/>
      </c>
      <c r="BG346" s="214" t="s">
        <v>58</v>
      </c>
      <c r="BH346" s="205">
        <v>1</v>
      </c>
      <c r="BI346" s="205">
        <v>0</v>
      </c>
      <c r="BJ346" s="205">
        <v>0.2</v>
      </c>
      <c r="BK346" s="205">
        <v>0.21</v>
      </c>
      <c r="BL346" s="214" t="str">
        <f t="shared" si="11"/>
        <v/>
      </c>
    </row>
    <row r="347" spans="23:64" x14ac:dyDescent="0.25">
      <c r="W347" s="214" t="s">
        <v>239</v>
      </c>
      <c r="X347" s="214" t="s">
        <v>580</v>
      </c>
      <c r="Y347" s="220">
        <v>2</v>
      </c>
      <c r="AW347" s="214" t="s">
        <v>58</v>
      </c>
      <c r="AX347" s="205">
        <v>2</v>
      </c>
      <c r="AY347" s="205">
        <v>0.2</v>
      </c>
      <c r="AZ347" s="205">
        <v>0.3</v>
      </c>
      <c r="BA347" s="205">
        <v>0.37</v>
      </c>
      <c r="BB347" s="214" t="str">
        <f t="shared" si="10"/>
        <v/>
      </c>
      <c r="BG347" s="214" t="s">
        <v>58</v>
      </c>
      <c r="BH347" s="205">
        <v>2</v>
      </c>
      <c r="BI347" s="205">
        <v>0</v>
      </c>
      <c r="BJ347" s="205">
        <v>0.2</v>
      </c>
      <c r="BK347" s="205">
        <v>0.2</v>
      </c>
      <c r="BL347" s="214" t="str">
        <f t="shared" si="11"/>
        <v/>
      </c>
    </row>
    <row r="348" spans="23:64" x14ac:dyDescent="0.25">
      <c r="W348" s="214" t="s">
        <v>239</v>
      </c>
      <c r="X348" s="214" t="s">
        <v>581</v>
      </c>
      <c r="Y348" s="220">
        <v>2</v>
      </c>
      <c r="AW348" s="214" t="s">
        <v>58</v>
      </c>
      <c r="AX348" s="205">
        <v>3</v>
      </c>
      <c r="AY348" s="205">
        <v>0.2</v>
      </c>
      <c r="AZ348" s="205">
        <v>0.3</v>
      </c>
      <c r="BA348" s="205">
        <v>0.33</v>
      </c>
      <c r="BB348" s="214" t="str">
        <f t="shared" si="10"/>
        <v/>
      </c>
      <c r="BG348" s="214" t="s">
        <v>58</v>
      </c>
      <c r="BH348" s="205">
        <v>3</v>
      </c>
      <c r="BI348" s="205">
        <v>0</v>
      </c>
      <c r="BJ348" s="205">
        <v>0.2</v>
      </c>
      <c r="BK348" s="205">
        <v>0.21</v>
      </c>
      <c r="BL348" s="214" t="str">
        <f t="shared" si="11"/>
        <v/>
      </c>
    </row>
    <row r="349" spans="23:64" x14ac:dyDescent="0.25">
      <c r="W349" s="214" t="s">
        <v>239</v>
      </c>
      <c r="X349" s="214" t="s">
        <v>582</v>
      </c>
      <c r="Y349" s="220">
        <v>2</v>
      </c>
      <c r="AW349" s="214" t="s">
        <v>58</v>
      </c>
      <c r="AX349" s="205">
        <v>4</v>
      </c>
      <c r="AY349" s="205">
        <v>0.2</v>
      </c>
      <c r="AZ349" s="205">
        <v>0.3</v>
      </c>
      <c r="BA349" s="205">
        <v>0.28000000000000003</v>
      </c>
      <c r="BB349" s="214" t="str">
        <f t="shared" si="10"/>
        <v/>
      </c>
      <c r="BG349" s="214" t="s">
        <v>58</v>
      </c>
      <c r="BH349" s="205">
        <v>4</v>
      </c>
      <c r="BI349" s="205">
        <v>0</v>
      </c>
      <c r="BJ349" s="205">
        <v>0.2</v>
      </c>
      <c r="BK349" s="205">
        <v>0.22</v>
      </c>
      <c r="BL349" s="214" t="str">
        <f t="shared" si="11"/>
        <v/>
      </c>
    </row>
    <row r="350" spans="23:64" x14ac:dyDescent="0.25">
      <c r="W350" s="214" t="s">
        <v>239</v>
      </c>
      <c r="X350" s="214" t="s">
        <v>583</v>
      </c>
      <c r="Y350" s="220">
        <v>3</v>
      </c>
      <c r="AW350" s="214" t="s">
        <v>58</v>
      </c>
      <c r="AX350" s="205">
        <v>5</v>
      </c>
      <c r="AY350" s="205">
        <v>0.2</v>
      </c>
      <c r="AZ350" s="205">
        <v>0.3</v>
      </c>
      <c r="BA350" s="205">
        <v>0.33</v>
      </c>
      <c r="BB350" s="214" t="str">
        <f t="shared" si="10"/>
        <v/>
      </c>
      <c r="BG350" s="214" t="s">
        <v>58</v>
      </c>
      <c r="BH350" s="205">
        <v>5</v>
      </c>
      <c r="BI350" s="205">
        <v>0</v>
      </c>
      <c r="BJ350" s="205">
        <v>0.2</v>
      </c>
      <c r="BK350" s="205">
        <v>0.22</v>
      </c>
      <c r="BL350" s="214" t="str">
        <f t="shared" si="11"/>
        <v/>
      </c>
    </row>
    <row r="351" spans="23:64" x14ac:dyDescent="0.25">
      <c r="W351" s="214" t="s">
        <v>239</v>
      </c>
      <c r="X351" s="214" t="s">
        <v>584</v>
      </c>
      <c r="Y351" s="220">
        <v>2</v>
      </c>
      <c r="AW351" s="214" t="s">
        <v>58</v>
      </c>
      <c r="AX351" s="205">
        <v>6</v>
      </c>
      <c r="AY351" s="205">
        <v>0.2</v>
      </c>
      <c r="AZ351" s="205">
        <v>0.3</v>
      </c>
      <c r="BA351" s="205">
        <v>0.28999999999999998</v>
      </c>
      <c r="BB351" s="214" t="str">
        <f t="shared" si="10"/>
        <v/>
      </c>
      <c r="BG351" s="214" t="s">
        <v>58</v>
      </c>
      <c r="BH351" s="205">
        <v>6</v>
      </c>
      <c r="BI351" s="205">
        <v>0</v>
      </c>
      <c r="BJ351" s="205">
        <v>0.2</v>
      </c>
      <c r="BK351" s="205">
        <v>0.22</v>
      </c>
      <c r="BL351" s="214" t="str">
        <f t="shared" si="11"/>
        <v/>
      </c>
    </row>
    <row r="352" spans="23:64" x14ac:dyDescent="0.25">
      <c r="W352" s="214" t="s">
        <v>239</v>
      </c>
      <c r="X352" s="214" t="s">
        <v>585</v>
      </c>
      <c r="Y352" s="220">
        <v>2</v>
      </c>
      <c r="AW352" s="214" t="s">
        <v>58</v>
      </c>
      <c r="AX352" s="205">
        <v>7</v>
      </c>
      <c r="AY352" s="205">
        <v>0.2</v>
      </c>
      <c r="AZ352" s="205">
        <v>0.3</v>
      </c>
      <c r="BA352" s="205">
        <v>0.2</v>
      </c>
      <c r="BB352" s="214" t="str">
        <f t="shared" si="10"/>
        <v/>
      </c>
      <c r="BG352" s="214" t="s">
        <v>58</v>
      </c>
      <c r="BH352" s="205">
        <v>7</v>
      </c>
      <c r="BI352" s="205">
        <v>0</v>
      </c>
      <c r="BJ352" s="205">
        <v>0.2</v>
      </c>
      <c r="BK352" s="205">
        <v>0.22</v>
      </c>
      <c r="BL352" s="214" t="str">
        <f t="shared" si="11"/>
        <v/>
      </c>
    </row>
    <row r="353" spans="23:64" x14ac:dyDescent="0.25">
      <c r="W353" s="214" t="s">
        <v>239</v>
      </c>
      <c r="X353" s="214" t="s">
        <v>586</v>
      </c>
      <c r="Y353" s="220">
        <v>2</v>
      </c>
      <c r="AW353" s="214" t="s">
        <v>58</v>
      </c>
      <c r="AX353" s="205">
        <v>8</v>
      </c>
      <c r="AY353" s="205">
        <v>0.2</v>
      </c>
      <c r="AZ353" s="205">
        <v>0.3</v>
      </c>
      <c r="BA353" s="205">
        <v>0.23</v>
      </c>
      <c r="BB353" s="214" t="str">
        <f t="shared" si="10"/>
        <v/>
      </c>
      <c r="BG353" s="214" t="s">
        <v>58</v>
      </c>
      <c r="BH353" s="205">
        <v>8</v>
      </c>
      <c r="BI353" s="205">
        <v>0</v>
      </c>
      <c r="BJ353" s="205">
        <v>0.2</v>
      </c>
      <c r="BK353" s="205">
        <v>0.22</v>
      </c>
      <c r="BL353" s="214" t="str">
        <f t="shared" si="11"/>
        <v/>
      </c>
    </row>
    <row r="354" spans="23:64" x14ac:dyDescent="0.25">
      <c r="W354" s="214" t="s">
        <v>239</v>
      </c>
      <c r="X354" s="214" t="s">
        <v>587</v>
      </c>
      <c r="Y354" s="220">
        <v>2</v>
      </c>
      <c r="AW354" s="214" t="s">
        <v>58</v>
      </c>
      <c r="AX354" s="205">
        <v>1</v>
      </c>
      <c r="AY354" s="205">
        <v>0.3</v>
      </c>
      <c r="AZ354" s="205">
        <v>0.4</v>
      </c>
      <c r="BA354" s="205">
        <v>0.41</v>
      </c>
      <c r="BB354" s="214" t="str">
        <f t="shared" si="10"/>
        <v/>
      </c>
      <c r="BG354" s="214" t="s">
        <v>58</v>
      </c>
      <c r="BH354" s="205">
        <v>1</v>
      </c>
      <c r="BI354" s="205">
        <v>0.2</v>
      </c>
      <c r="BJ354" s="205">
        <v>0.3</v>
      </c>
      <c r="BK354" s="205">
        <v>0.24</v>
      </c>
      <c r="BL354" s="214" t="str">
        <f t="shared" si="11"/>
        <v/>
      </c>
    </row>
    <row r="355" spans="23:64" x14ac:dyDescent="0.25">
      <c r="W355" s="214" t="s">
        <v>27</v>
      </c>
      <c r="X355" s="214" t="s">
        <v>588</v>
      </c>
      <c r="Y355" s="220">
        <v>1</v>
      </c>
      <c r="AW355" s="214" t="s">
        <v>58</v>
      </c>
      <c r="AX355" s="205">
        <v>2</v>
      </c>
      <c r="AY355" s="205">
        <v>0.3</v>
      </c>
      <c r="AZ355" s="205">
        <v>0.4</v>
      </c>
      <c r="BA355" s="205">
        <v>0.38</v>
      </c>
      <c r="BB355" s="214" t="str">
        <f t="shared" si="10"/>
        <v/>
      </c>
      <c r="BG355" s="214" t="s">
        <v>58</v>
      </c>
      <c r="BH355" s="205">
        <v>2</v>
      </c>
      <c r="BI355" s="205">
        <v>0.2</v>
      </c>
      <c r="BJ355" s="205">
        <v>0.3</v>
      </c>
      <c r="BK355" s="205">
        <v>0.23</v>
      </c>
      <c r="BL355" s="214" t="str">
        <f t="shared" si="11"/>
        <v/>
      </c>
    </row>
    <row r="356" spans="23:64" x14ac:dyDescent="0.25">
      <c r="W356" s="214" t="s">
        <v>239</v>
      </c>
      <c r="X356" s="214" t="s">
        <v>589</v>
      </c>
      <c r="Y356" s="220">
        <v>2</v>
      </c>
      <c r="AW356" s="214" t="s">
        <v>58</v>
      </c>
      <c r="AX356" s="205">
        <v>3</v>
      </c>
      <c r="AY356" s="205">
        <v>0.3</v>
      </c>
      <c r="AZ356" s="205">
        <v>0.4</v>
      </c>
      <c r="BA356" s="205">
        <v>0.34</v>
      </c>
      <c r="BB356" s="214" t="str">
        <f t="shared" si="10"/>
        <v/>
      </c>
      <c r="BG356" s="214" t="s">
        <v>58</v>
      </c>
      <c r="BH356" s="205">
        <v>3</v>
      </c>
      <c r="BI356" s="205">
        <v>0.2</v>
      </c>
      <c r="BJ356" s="205">
        <v>0.3</v>
      </c>
      <c r="BK356" s="205">
        <v>0.24</v>
      </c>
      <c r="BL356" s="214" t="str">
        <f t="shared" si="11"/>
        <v/>
      </c>
    </row>
    <row r="357" spans="23:64" x14ac:dyDescent="0.25">
      <c r="W357" s="214" t="s">
        <v>239</v>
      </c>
      <c r="X357" s="214" t="s">
        <v>590</v>
      </c>
      <c r="Y357" s="220">
        <v>3</v>
      </c>
      <c r="AW357" s="214" t="s">
        <v>58</v>
      </c>
      <c r="AX357" s="205">
        <v>4</v>
      </c>
      <c r="AY357" s="205">
        <v>0.3</v>
      </c>
      <c r="AZ357" s="205">
        <v>0.4</v>
      </c>
      <c r="BA357" s="205">
        <v>0.28999999999999998</v>
      </c>
      <c r="BB357" s="214" t="str">
        <f t="shared" si="10"/>
        <v/>
      </c>
      <c r="BG357" s="214" t="s">
        <v>58</v>
      </c>
      <c r="BH357" s="205">
        <v>4</v>
      </c>
      <c r="BI357" s="205">
        <v>0.2</v>
      </c>
      <c r="BJ357" s="205">
        <v>0.3</v>
      </c>
      <c r="BK357" s="205">
        <v>0.25</v>
      </c>
      <c r="BL357" s="214" t="str">
        <f t="shared" si="11"/>
        <v/>
      </c>
    </row>
    <row r="358" spans="23:64" x14ac:dyDescent="0.25">
      <c r="W358" s="214" t="s">
        <v>239</v>
      </c>
      <c r="X358" s="214" t="s">
        <v>591</v>
      </c>
      <c r="Y358" s="220">
        <v>1</v>
      </c>
      <c r="AW358" s="214" t="s">
        <v>58</v>
      </c>
      <c r="AX358" s="205">
        <v>5</v>
      </c>
      <c r="AY358" s="205">
        <v>0.3</v>
      </c>
      <c r="AZ358" s="205">
        <v>0.4</v>
      </c>
      <c r="BA358" s="205">
        <v>0.34</v>
      </c>
      <c r="BB358" s="214" t="str">
        <f t="shared" si="10"/>
        <v/>
      </c>
      <c r="BG358" s="214" t="s">
        <v>58</v>
      </c>
      <c r="BH358" s="205">
        <v>5</v>
      </c>
      <c r="BI358" s="205">
        <v>0.2</v>
      </c>
      <c r="BJ358" s="205">
        <v>0.3</v>
      </c>
      <c r="BK358" s="205">
        <v>0.25</v>
      </c>
      <c r="BL358" s="214" t="str">
        <f t="shared" si="11"/>
        <v/>
      </c>
    </row>
    <row r="359" spans="23:64" x14ac:dyDescent="0.25">
      <c r="W359" s="214" t="s">
        <v>239</v>
      </c>
      <c r="X359" s="214" t="s">
        <v>592</v>
      </c>
      <c r="Y359" s="220">
        <v>2</v>
      </c>
      <c r="AW359" s="214" t="s">
        <v>58</v>
      </c>
      <c r="AX359" s="205">
        <v>6</v>
      </c>
      <c r="AY359" s="205">
        <v>0.3</v>
      </c>
      <c r="AZ359" s="205">
        <v>0.4</v>
      </c>
      <c r="BA359" s="205">
        <v>0.3</v>
      </c>
      <c r="BB359" s="214" t="str">
        <f t="shared" si="10"/>
        <v/>
      </c>
      <c r="BG359" s="214" t="s">
        <v>58</v>
      </c>
      <c r="BH359" s="205">
        <v>6</v>
      </c>
      <c r="BI359" s="205">
        <v>0.2</v>
      </c>
      <c r="BJ359" s="205">
        <v>0.3</v>
      </c>
      <c r="BK359" s="205">
        <v>0.25</v>
      </c>
      <c r="BL359" s="214" t="str">
        <f t="shared" si="11"/>
        <v/>
      </c>
    </row>
    <row r="360" spans="23:64" x14ac:dyDescent="0.25">
      <c r="W360" s="214" t="s">
        <v>27</v>
      </c>
      <c r="X360" s="214" t="s">
        <v>593</v>
      </c>
      <c r="Y360" s="220">
        <v>2</v>
      </c>
      <c r="AW360" s="214" t="s">
        <v>58</v>
      </c>
      <c r="AX360" s="205">
        <v>7</v>
      </c>
      <c r="AY360" s="205">
        <v>0.3</v>
      </c>
      <c r="AZ360" s="205">
        <v>0.4</v>
      </c>
      <c r="BA360" s="205">
        <v>0.21</v>
      </c>
      <c r="BB360" s="214" t="str">
        <f t="shared" si="10"/>
        <v/>
      </c>
      <c r="BG360" s="214" t="s">
        <v>58</v>
      </c>
      <c r="BH360" s="205">
        <v>7</v>
      </c>
      <c r="BI360" s="205">
        <v>0.2</v>
      </c>
      <c r="BJ360" s="205">
        <v>0.3</v>
      </c>
      <c r="BK360" s="205">
        <v>0.25</v>
      </c>
      <c r="BL360" s="214" t="str">
        <f t="shared" si="11"/>
        <v/>
      </c>
    </row>
    <row r="361" spans="23:64" x14ac:dyDescent="0.25">
      <c r="W361" s="214" t="s">
        <v>239</v>
      </c>
      <c r="X361" s="214" t="s">
        <v>594</v>
      </c>
      <c r="Y361" s="220">
        <v>2</v>
      </c>
      <c r="AW361" s="214" t="s">
        <v>58</v>
      </c>
      <c r="AX361" s="205">
        <v>8</v>
      </c>
      <c r="AY361" s="205">
        <v>0.3</v>
      </c>
      <c r="AZ361" s="205">
        <v>0.4</v>
      </c>
      <c r="BA361" s="205">
        <v>0.24</v>
      </c>
      <c r="BB361" s="214" t="str">
        <f t="shared" si="10"/>
        <v/>
      </c>
      <c r="BG361" s="214" t="s">
        <v>58</v>
      </c>
      <c r="BH361" s="205">
        <v>8</v>
      </c>
      <c r="BI361" s="205">
        <v>0.2</v>
      </c>
      <c r="BJ361" s="205">
        <v>0.3</v>
      </c>
      <c r="BK361" s="205">
        <v>0.25</v>
      </c>
      <c r="BL361" s="214" t="str">
        <f t="shared" si="11"/>
        <v/>
      </c>
    </row>
    <row r="362" spans="23:64" x14ac:dyDescent="0.25">
      <c r="W362" s="214" t="s">
        <v>27</v>
      </c>
      <c r="X362" s="214" t="s">
        <v>595</v>
      </c>
      <c r="Y362" s="220">
        <v>2</v>
      </c>
      <c r="AW362" s="214" t="s">
        <v>58</v>
      </c>
      <c r="AX362" s="205">
        <v>1</v>
      </c>
      <c r="AY362" s="205">
        <v>0.4</v>
      </c>
      <c r="AZ362" s="205">
        <v>100</v>
      </c>
      <c r="BA362" s="205">
        <v>0.43</v>
      </c>
      <c r="BB362" s="214" t="str">
        <f t="shared" si="10"/>
        <v/>
      </c>
      <c r="BG362" s="214" t="s">
        <v>58</v>
      </c>
      <c r="BH362" s="205">
        <v>1</v>
      </c>
      <c r="BI362" s="205">
        <v>0.3</v>
      </c>
      <c r="BJ362" s="205">
        <v>0.4</v>
      </c>
      <c r="BK362" s="205">
        <v>0.25</v>
      </c>
      <c r="BL362" s="214" t="str">
        <f t="shared" si="11"/>
        <v/>
      </c>
    </row>
    <row r="363" spans="23:64" x14ac:dyDescent="0.25">
      <c r="W363" s="214" t="s">
        <v>239</v>
      </c>
      <c r="X363" s="214" t="s">
        <v>596</v>
      </c>
      <c r="Y363" s="220">
        <v>2</v>
      </c>
      <c r="AW363" s="214" t="s">
        <v>58</v>
      </c>
      <c r="AX363" s="205">
        <v>2</v>
      </c>
      <c r="AY363" s="205">
        <v>0.4</v>
      </c>
      <c r="AZ363" s="205">
        <v>100</v>
      </c>
      <c r="BA363" s="205">
        <v>0.39</v>
      </c>
      <c r="BB363" s="214" t="str">
        <f t="shared" si="10"/>
        <v/>
      </c>
      <c r="BG363" s="214" t="s">
        <v>58</v>
      </c>
      <c r="BH363" s="205">
        <v>2</v>
      </c>
      <c r="BI363" s="205">
        <v>0.3</v>
      </c>
      <c r="BJ363" s="205">
        <v>0.4</v>
      </c>
      <c r="BK363" s="205">
        <v>0.24</v>
      </c>
      <c r="BL363" s="214" t="str">
        <f t="shared" si="11"/>
        <v/>
      </c>
    </row>
    <row r="364" spans="23:64" x14ac:dyDescent="0.25">
      <c r="W364" s="214" t="s">
        <v>239</v>
      </c>
      <c r="X364" s="214" t="s">
        <v>597</v>
      </c>
      <c r="Y364" s="220">
        <v>2</v>
      </c>
      <c r="AW364" s="214" t="s">
        <v>58</v>
      </c>
      <c r="AX364" s="205">
        <v>3</v>
      </c>
      <c r="AY364" s="205">
        <v>0.4</v>
      </c>
      <c r="AZ364" s="205">
        <v>100</v>
      </c>
      <c r="BA364" s="205">
        <v>0.35</v>
      </c>
      <c r="BB364" s="214" t="str">
        <f t="shared" si="10"/>
        <v/>
      </c>
      <c r="BG364" s="214" t="s">
        <v>58</v>
      </c>
      <c r="BH364" s="205">
        <v>3</v>
      </c>
      <c r="BI364" s="205">
        <v>0.3</v>
      </c>
      <c r="BJ364" s="205">
        <v>0.4</v>
      </c>
      <c r="BK364" s="205">
        <v>0.25</v>
      </c>
      <c r="BL364" s="214" t="str">
        <f t="shared" si="11"/>
        <v/>
      </c>
    </row>
    <row r="365" spans="23:64" x14ac:dyDescent="0.25">
      <c r="W365" s="214" t="s">
        <v>239</v>
      </c>
      <c r="X365" s="214" t="s">
        <v>598</v>
      </c>
      <c r="Y365" s="220">
        <v>2</v>
      </c>
      <c r="AW365" s="214" t="s">
        <v>58</v>
      </c>
      <c r="AX365" s="205">
        <v>4</v>
      </c>
      <c r="AY365" s="205">
        <v>0.4</v>
      </c>
      <c r="AZ365" s="205">
        <v>100</v>
      </c>
      <c r="BA365" s="205">
        <v>0.3</v>
      </c>
      <c r="BB365" s="214" t="str">
        <f t="shared" si="10"/>
        <v/>
      </c>
      <c r="BG365" s="214" t="s">
        <v>58</v>
      </c>
      <c r="BH365" s="205">
        <v>4</v>
      </c>
      <c r="BI365" s="205">
        <v>0.3</v>
      </c>
      <c r="BJ365" s="205">
        <v>0.4</v>
      </c>
      <c r="BK365" s="205">
        <v>0.26</v>
      </c>
      <c r="BL365" s="214" t="str">
        <f t="shared" si="11"/>
        <v/>
      </c>
    </row>
    <row r="366" spans="23:64" x14ac:dyDescent="0.25">
      <c r="W366" s="214" t="s">
        <v>239</v>
      </c>
      <c r="X366" s="214" t="s">
        <v>599</v>
      </c>
      <c r="Y366" s="220">
        <v>2</v>
      </c>
      <c r="AW366" s="214" t="s">
        <v>58</v>
      </c>
      <c r="AX366" s="205">
        <v>5</v>
      </c>
      <c r="AY366" s="205">
        <v>0.4</v>
      </c>
      <c r="AZ366" s="205">
        <v>100</v>
      </c>
      <c r="BA366" s="205">
        <v>0.36</v>
      </c>
      <c r="BB366" s="214" t="str">
        <f t="shared" si="10"/>
        <v/>
      </c>
      <c r="BG366" s="214" t="s">
        <v>58</v>
      </c>
      <c r="BH366" s="205">
        <v>5</v>
      </c>
      <c r="BI366" s="205">
        <v>0.3</v>
      </c>
      <c r="BJ366" s="205">
        <v>0.4</v>
      </c>
      <c r="BK366" s="205">
        <v>0.26</v>
      </c>
      <c r="BL366" s="214" t="str">
        <f t="shared" si="11"/>
        <v/>
      </c>
    </row>
    <row r="367" spans="23:64" x14ac:dyDescent="0.25">
      <c r="W367" s="214" t="s">
        <v>239</v>
      </c>
      <c r="X367" s="214" t="s">
        <v>600</v>
      </c>
      <c r="Y367" s="220">
        <v>2</v>
      </c>
      <c r="AW367" s="214" t="s">
        <v>58</v>
      </c>
      <c r="AX367" s="205">
        <v>6</v>
      </c>
      <c r="AY367" s="205">
        <v>0.4</v>
      </c>
      <c r="AZ367" s="205">
        <v>100</v>
      </c>
      <c r="BA367" s="205">
        <v>0.31</v>
      </c>
      <c r="BB367" s="214" t="str">
        <f t="shared" si="10"/>
        <v/>
      </c>
      <c r="BG367" s="214" t="s">
        <v>58</v>
      </c>
      <c r="BH367" s="205">
        <v>6</v>
      </c>
      <c r="BI367" s="205">
        <v>0.3</v>
      </c>
      <c r="BJ367" s="205">
        <v>0.4</v>
      </c>
      <c r="BK367" s="205">
        <v>0.27</v>
      </c>
      <c r="BL367" s="214" t="str">
        <f t="shared" si="11"/>
        <v/>
      </c>
    </row>
    <row r="368" spans="23:64" x14ac:dyDescent="0.25">
      <c r="W368" s="214" t="s">
        <v>239</v>
      </c>
      <c r="X368" s="214" t="s">
        <v>601</v>
      </c>
      <c r="Y368" s="220">
        <v>3</v>
      </c>
      <c r="AW368" s="214" t="s">
        <v>58</v>
      </c>
      <c r="AX368" s="205">
        <v>7</v>
      </c>
      <c r="AY368" s="205">
        <v>0.4</v>
      </c>
      <c r="AZ368" s="205">
        <v>100</v>
      </c>
      <c r="BA368" s="205">
        <v>0.22</v>
      </c>
      <c r="BB368" s="214" t="str">
        <f t="shared" si="10"/>
        <v/>
      </c>
      <c r="BG368" s="214" t="s">
        <v>58</v>
      </c>
      <c r="BH368" s="205">
        <v>7</v>
      </c>
      <c r="BI368" s="205">
        <v>0.3</v>
      </c>
      <c r="BJ368" s="205">
        <v>0.4</v>
      </c>
      <c r="BK368" s="205">
        <v>0.26</v>
      </c>
      <c r="BL368" s="214" t="str">
        <f t="shared" si="11"/>
        <v/>
      </c>
    </row>
    <row r="369" spans="23:64" x14ac:dyDescent="0.25">
      <c r="W369" s="214" t="s">
        <v>239</v>
      </c>
      <c r="X369" s="214" t="s">
        <v>602</v>
      </c>
      <c r="Y369" s="220">
        <v>2</v>
      </c>
      <c r="AW369" s="214" t="s">
        <v>58</v>
      </c>
      <c r="AX369" s="205">
        <v>8</v>
      </c>
      <c r="AY369" s="205">
        <v>0.4</v>
      </c>
      <c r="AZ369" s="205">
        <v>100</v>
      </c>
      <c r="BA369" s="205">
        <v>0.25</v>
      </c>
      <c r="BB369" s="214" t="str">
        <f t="shared" si="10"/>
        <v/>
      </c>
      <c r="BG369" s="214" t="s">
        <v>58</v>
      </c>
      <c r="BH369" s="205">
        <v>8</v>
      </c>
      <c r="BI369" s="205">
        <v>0.3</v>
      </c>
      <c r="BJ369" s="205">
        <v>0.4</v>
      </c>
      <c r="BK369" s="205">
        <v>0.27</v>
      </c>
      <c r="BL369" s="214" t="str">
        <f t="shared" si="11"/>
        <v/>
      </c>
    </row>
    <row r="370" spans="23:64" x14ac:dyDescent="0.25">
      <c r="W370" s="214" t="s">
        <v>239</v>
      </c>
      <c r="X370" s="214" t="s">
        <v>603</v>
      </c>
      <c r="Y370" s="220">
        <v>2</v>
      </c>
      <c r="BG370" s="214" t="s">
        <v>58</v>
      </c>
      <c r="BH370" s="205">
        <v>1</v>
      </c>
      <c r="BI370" s="205">
        <v>0.4</v>
      </c>
      <c r="BJ370" s="205">
        <v>100</v>
      </c>
      <c r="BK370" s="205">
        <v>0.26</v>
      </c>
      <c r="BL370" s="214" t="str">
        <f t="shared" ref="BL370:BL377" si="12">IF(BH370=$BE$1,IF(BG370=$BD$1,IF(AND($BC$1&gt;BI370,$BC$1&lt;BJ370),BK370,""),""),"")</f>
        <v/>
      </c>
    </row>
    <row r="371" spans="23:64" x14ac:dyDescent="0.25">
      <c r="W371" s="214" t="s">
        <v>239</v>
      </c>
      <c r="X371" s="214" t="s">
        <v>604</v>
      </c>
      <c r="Y371" s="220">
        <v>2</v>
      </c>
      <c r="BG371" s="214" t="s">
        <v>58</v>
      </c>
      <c r="BH371" s="205">
        <v>2</v>
      </c>
      <c r="BI371" s="205">
        <v>0.4</v>
      </c>
      <c r="BJ371" s="205">
        <v>100</v>
      </c>
      <c r="BK371" s="205">
        <v>0.26</v>
      </c>
      <c r="BL371" s="214" t="str">
        <f t="shared" si="12"/>
        <v/>
      </c>
    </row>
    <row r="372" spans="23:64" x14ac:dyDescent="0.25">
      <c r="W372" s="214" t="s">
        <v>239</v>
      </c>
      <c r="X372" s="214" t="s">
        <v>605</v>
      </c>
      <c r="Y372" s="220">
        <v>2</v>
      </c>
      <c r="BG372" s="214" t="s">
        <v>58</v>
      </c>
      <c r="BH372" s="205">
        <v>3</v>
      </c>
      <c r="BI372" s="205">
        <v>0.4</v>
      </c>
      <c r="BJ372" s="205">
        <v>100</v>
      </c>
      <c r="BK372" s="205">
        <v>0.27</v>
      </c>
      <c r="BL372" s="214" t="str">
        <f t="shared" si="12"/>
        <v/>
      </c>
    </row>
    <row r="373" spans="23:64" x14ac:dyDescent="0.25">
      <c r="W373" s="214" t="s">
        <v>239</v>
      </c>
      <c r="X373" s="214" t="s">
        <v>606</v>
      </c>
      <c r="Y373" s="220">
        <v>2</v>
      </c>
      <c r="BG373" s="214" t="s">
        <v>58</v>
      </c>
      <c r="BH373" s="205">
        <v>4</v>
      </c>
      <c r="BI373" s="205">
        <v>0.4</v>
      </c>
      <c r="BJ373" s="205">
        <v>100</v>
      </c>
      <c r="BK373" s="205">
        <v>0.28000000000000003</v>
      </c>
      <c r="BL373" s="214" t="str">
        <f t="shared" si="12"/>
        <v/>
      </c>
    </row>
    <row r="374" spans="23:64" x14ac:dyDescent="0.25">
      <c r="W374" s="214" t="s">
        <v>239</v>
      </c>
      <c r="X374" s="214" t="s">
        <v>607</v>
      </c>
      <c r="Y374" s="220">
        <v>2</v>
      </c>
      <c r="BG374" s="214" t="s">
        <v>58</v>
      </c>
      <c r="BH374" s="205">
        <v>5</v>
      </c>
      <c r="BI374" s="205">
        <v>0.4</v>
      </c>
      <c r="BJ374" s="205">
        <v>100</v>
      </c>
      <c r="BK374" s="205">
        <v>0.28000000000000003</v>
      </c>
      <c r="BL374" s="214" t="str">
        <f t="shared" si="12"/>
        <v/>
      </c>
    </row>
    <row r="375" spans="23:64" x14ac:dyDescent="0.25">
      <c r="W375" s="214" t="s">
        <v>239</v>
      </c>
      <c r="X375" s="214" t="s">
        <v>608</v>
      </c>
      <c r="Y375" s="220">
        <v>2</v>
      </c>
      <c r="BG375" s="214" t="s">
        <v>58</v>
      </c>
      <c r="BH375" s="205">
        <v>6</v>
      </c>
      <c r="BI375" s="205">
        <v>0.4</v>
      </c>
      <c r="BJ375" s="205">
        <v>100</v>
      </c>
      <c r="BK375" s="205">
        <v>0.28999999999999998</v>
      </c>
      <c r="BL375" s="214" t="str">
        <f t="shared" si="12"/>
        <v/>
      </c>
    </row>
    <row r="376" spans="23:64" x14ac:dyDescent="0.25">
      <c r="W376" s="214" t="s">
        <v>239</v>
      </c>
      <c r="X376" s="214" t="s">
        <v>609</v>
      </c>
      <c r="Y376" s="220">
        <v>2</v>
      </c>
      <c r="BG376" s="214" t="s">
        <v>58</v>
      </c>
      <c r="BH376" s="205">
        <v>7</v>
      </c>
      <c r="BI376" s="205">
        <v>0.4</v>
      </c>
      <c r="BJ376" s="205">
        <v>100</v>
      </c>
      <c r="BK376" s="205">
        <v>0.28000000000000003</v>
      </c>
      <c r="BL376" s="214" t="str">
        <f t="shared" si="12"/>
        <v/>
      </c>
    </row>
    <row r="377" spans="23:64" x14ac:dyDescent="0.25">
      <c r="W377" s="214" t="s">
        <v>27</v>
      </c>
      <c r="X377" s="214" t="s">
        <v>610</v>
      </c>
      <c r="Y377" s="220">
        <v>2</v>
      </c>
      <c r="BG377" s="214" t="s">
        <v>58</v>
      </c>
      <c r="BH377" s="205">
        <v>8</v>
      </c>
      <c r="BI377" s="205">
        <v>0.4</v>
      </c>
      <c r="BJ377" s="205">
        <v>100</v>
      </c>
      <c r="BK377" s="205">
        <v>0.28000000000000003</v>
      </c>
      <c r="BL377" s="214" t="str">
        <f t="shared" si="12"/>
        <v/>
      </c>
    </row>
    <row r="378" spans="23:64" x14ac:dyDescent="0.25">
      <c r="W378" s="214" t="s">
        <v>239</v>
      </c>
      <c r="X378" s="214" t="s">
        <v>611</v>
      </c>
      <c r="Y378" s="220">
        <v>2</v>
      </c>
    </row>
    <row r="379" spans="23:64" x14ac:dyDescent="0.25">
      <c r="W379" s="214" t="s">
        <v>239</v>
      </c>
      <c r="X379" s="214" t="s">
        <v>612</v>
      </c>
      <c r="Y379" s="220">
        <v>2</v>
      </c>
    </row>
    <row r="380" spans="23:64" x14ac:dyDescent="0.25">
      <c r="W380" s="214" t="s">
        <v>239</v>
      </c>
      <c r="X380" s="214" t="s">
        <v>613</v>
      </c>
      <c r="Y380" s="220">
        <v>2</v>
      </c>
    </row>
    <row r="381" spans="23:64" x14ac:dyDescent="0.25">
      <c r="W381" s="214" t="s">
        <v>239</v>
      </c>
      <c r="X381" s="214" t="s">
        <v>614</v>
      </c>
      <c r="Y381" s="220">
        <v>2</v>
      </c>
    </row>
    <row r="382" spans="23:64" x14ac:dyDescent="0.25">
      <c r="W382" s="214" t="s">
        <v>239</v>
      </c>
      <c r="X382" s="214" t="s">
        <v>615</v>
      </c>
      <c r="Y382" s="220">
        <v>2</v>
      </c>
    </row>
    <row r="383" spans="23:64" x14ac:dyDescent="0.25">
      <c r="W383" s="214" t="s">
        <v>239</v>
      </c>
      <c r="X383" s="214" t="s">
        <v>616</v>
      </c>
      <c r="Y383" s="220">
        <v>2</v>
      </c>
    </row>
    <row r="384" spans="23:64" x14ac:dyDescent="0.25">
      <c r="W384" s="214" t="s">
        <v>27</v>
      </c>
      <c r="X384" s="214" t="s">
        <v>617</v>
      </c>
      <c r="Y384" s="220">
        <v>2</v>
      </c>
    </row>
    <row r="385" spans="23:25" x14ac:dyDescent="0.25">
      <c r="W385" s="214" t="s">
        <v>239</v>
      </c>
      <c r="X385" s="214" t="s">
        <v>618</v>
      </c>
      <c r="Y385" s="220">
        <v>2</v>
      </c>
    </row>
    <row r="386" spans="23:25" x14ac:dyDescent="0.25">
      <c r="W386" s="214" t="s">
        <v>239</v>
      </c>
      <c r="X386" s="214" t="s">
        <v>619</v>
      </c>
      <c r="Y386" s="220">
        <v>2</v>
      </c>
    </row>
    <row r="387" spans="23:25" x14ac:dyDescent="0.25">
      <c r="W387" s="214" t="s">
        <v>239</v>
      </c>
      <c r="X387" s="214" t="s">
        <v>620</v>
      </c>
      <c r="Y387" s="220">
        <v>2</v>
      </c>
    </row>
    <row r="388" spans="23:25" x14ac:dyDescent="0.25">
      <c r="W388" s="214" t="s">
        <v>239</v>
      </c>
      <c r="X388" s="214" t="s">
        <v>621</v>
      </c>
      <c r="Y388" s="220">
        <v>2</v>
      </c>
    </row>
    <row r="389" spans="23:25" x14ac:dyDescent="0.25">
      <c r="W389" s="214" t="s">
        <v>239</v>
      </c>
      <c r="X389" s="214" t="s">
        <v>622</v>
      </c>
      <c r="Y389" s="220">
        <v>2</v>
      </c>
    </row>
    <row r="390" spans="23:25" x14ac:dyDescent="0.25">
      <c r="W390" s="214" t="s">
        <v>239</v>
      </c>
      <c r="X390" s="214" t="s">
        <v>623</v>
      </c>
      <c r="Y390" s="220">
        <v>3</v>
      </c>
    </row>
    <row r="391" spans="23:25" x14ac:dyDescent="0.25">
      <c r="W391" s="214" t="s">
        <v>239</v>
      </c>
      <c r="X391" s="214" t="s">
        <v>624</v>
      </c>
      <c r="Y391" s="220">
        <v>2</v>
      </c>
    </row>
    <row r="392" spans="23:25" x14ac:dyDescent="0.25">
      <c r="W392" s="214" t="s">
        <v>239</v>
      </c>
      <c r="X392" s="214" t="s">
        <v>625</v>
      </c>
      <c r="Y392" s="220">
        <v>2</v>
      </c>
    </row>
    <row r="393" spans="23:25" x14ac:dyDescent="0.25">
      <c r="W393" s="214" t="s">
        <v>239</v>
      </c>
      <c r="X393" s="214" t="s">
        <v>626</v>
      </c>
      <c r="Y393" s="220">
        <v>1</v>
      </c>
    </row>
    <row r="394" spans="23:25" x14ac:dyDescent="0.25">
      <c r="W394" s="214" t="s">
        <v>239</v>
      </c>
      <c r="X394" s="214" t="s">
        <v>627</v>
      </c>
      <c r="Y394" s="220">
        <v>2</v>
      </c>
    </row>
    <row r="395" spans="23:25" x14ac:dyDescent="0.25">
      <c r="W395" s="214" t="s">
        <v>239</v>
      </c>
      <c r="X395" s="214" t="s">
        <v>628</v>
      </c>
      <c r="Y395" s="220">
        <v>2</v>
      </c>
    </row>
    <row r="396" spans="23:25" x14ac:dyDescent="0.25">
      <c r="W396" s="214" t="s">
        <v>239</v>
      </c>
      <c r="X396" s="214" t="s">
        <v>629</v>
      </c>
      <c r="Y396" s="220">
        <v>2</v>
      </c>
    </row>
    <row r="397" spans="23:25" x14ac:dyDescent="0.25">
      <c r="W397" s="214" t="s">
        <v>239</v>
      </c>
      <c r="X397" s="214" t="s">
        <v>630</v>
      </c>
      <c r="Y397" s="220">
        <v>2</v>
      </c>
    </row>
    <row r="398" spans="23:25" x14ac:dyDescent="0.25">
      <c r="W398" s="214" t="s">
        <v>239</v>
      </c>
      <c r="X398" s="214" t="s">
        <v>631</v>
      </c>
      <c r="Y398" s="220">
        <v>3</v>
      </c>
    </row>
    <row r="399" spans="23:25" x14ac:dyDescent="0.25">
      <c r="W399" s="214" t="s">
        <v>239</v>
      </c>
      <c r="X399" s="214" t="s">
        <v>632</v>
      </c>
      <c r="Y399" s="220">
        <v>3</v>
      </c>
    </row>
    <row r="400" spans="23:25" x14ac:dyDescent="0.25">
      <c r="W400" s="214" t="s">
        <v>239</v>
      </c>
      <c r="X400" s="214" t="s">
        <v>633</v>
      </c>
      <c r="Y400" s="220">
        <v>2</v>
      </c>
    </row>
    <row r="401" spans="23:25" x14ac:dyDescent="0.25">
      <c r="W401" s="214" t="s">
        <v>258</v>
      </c>
      <c r="X401" s="214" t="s">
        <v>634</v>
      </c>
      <c r="Y401" s="220">
        <v>3</v>
      </c>
    </row>
    <row r="402" spans="23:25" x14ac:dyDescent="0.25">
      <c r="W402" s="214" t="s">
        <v>258</v>
      </c>
      <c r="X402" s="214" t="s">
        <v>635</v>
      </c>
      <c r="Y402" s="220">
        <v>3</v>
      </c>
    </row>
    <row r="403" spans="23:25" x14ac:dyDescent="0.25">
      <c r="W403" s="214" t="s">
        <v>239</v>
      </c>
      <c r="X403" s="214" t="s">
        <v>636</v>
      </c>
      <c r="Y403" s="220">
        <v>2</v>
      </c>
    </row>
    <row r="404" spans="23:25" x14ac:dyDescent="0.25">
      <c r="W404" s="214" t="s">
        <v>239</v>
      </c>
      <c r="X404" s="214" t="s">
        <v>637</v>
      </c>
      <c r="Y404" s="220">
        <v>1</v>
      </c>
    </row>
    <row r="405" spans="23:25" x14ac:dyDescent="0.25">
      <c r="W405" s="214" t="s">
        <v>239</v>
      </c>
      <c r="X405" s="214" t="s">
        <v>638</v>
      </c>
      <c r="Y405" s="220">
        <v>2</v>
      </c>
    </row>
    <row r="406" spans="23:25" x14ac:dyDescent="0.25">
      <c r="W406" s="214" t="s">
        <v>239</v>
      </c>
      <c r="X406" s="214" t="s">
        <v>639</v>
      </c>
      <c r="Y406" s="220">
        <v>2</v>
      </c>
    </row>
    <row r="407" spans="23:25" x14ac:dyDescent="0.25">
      <c r="W407" s="214" t="s">
        <v>239</v>
      </c>
      <c r="X407" s="214" t="s">
        <v>640</v>
      </c>
      <c r="Y407" s="220">
        <v>3</v>
      </c>
    </row>
    <row r="408" spans="23:25" x14ac:dyDescent="0.25">
      <c r="W408" s="214" t="s">
        <v>258</v>
      </c>
      <c r="X408" s="214" t="s">
        <v>641</v>
      </c>
      <c r="Y408" s="220">
        <v>3</v>
      </c>
    </row>
    <row r="409" spans="23:25" x14ac:dyDescent="0.25">
      <c r="W409" s="214" t="s">
        <v>239</v>
      </c>
      <c r="X409" s="214" t="s">
        <v>642</v>
      </c>
      <c r="Y409" s="220">
        <v>2</v>
      </c>
    </row>
    <row r="410" spans="23:25" x14ac:dyDescent="0.25">
      <c r="W410" s="214" t="s">
        <v>258</v>
      </c>
      <c r="X410" s="214" t="s">
        <v>643</v>
      </c>
      <c r="Y410" s="220">
        <v>2</v>
      </c>
    </row>
    <row r="411" spans="23:25" x14ac:dyDescent="0.25">
      <c r="W411" s="214" t="s">
        <v>258</v>
      </c>
      <c r="X411" s="214" t="s">
        <v>644</v>
      </c>
      <c r="Y411" s="220">
        <v>2</v>
      </c>
    </row>
    <row r="412" spans="23:25" x14ac:dyDescent="0.25">
      <c r="W412" s="214" t="s">
        <v>239</v>
      </c>
      <c r="X412" s="214" t="s">
        <v>645</v>
      </c>
      <c r="Y412" s="220">
        <v>2</v>
      </c>
    </row>
    <row r="413" spans="23:25" x14ac:dyDescent="0.25">
      <c r="W413" s="214" t="s">
        <v>239</v>
      </c>
      <c r="X413" s="214" t="s">
        <v>646</v>
      </c>
      <c r="Y413" s="220">
        <v>2</v>
      </c>
    </row>
    <row r="414" spans="23:25" x14ac:dyDescent="0.25">
      <c r="W414" s="214" t="s">
        <v>27</v>
      </c>
      <c r="X414" s="214" t="s">
        <v>647</v>
      </c>
      <c r="Y414" s="220">
        <v>2</v>
      </c>
    </row>
    <row r="415" spans="23:25" x14ac:dyDescent="0.25">
      <c r="W415" s="214" t="s">
        <v>239</v>
      </c>
      <c r="X415" s="214" t="s">
        <v>648</v>
      </c>
      <c r="Y415" s="220">
        <v>2</v>
      </c>
    </row>
    <row r="416" spans="23:25" x14ac:dyDescent="0.25">
      <c r="W416" s="214" t="s">
        <v>398</v>
      </c>
      <c r="X416" s="214" t="s">
        <v>649</v>
      </c>
      <c r="Y416" s="220">
        <v>6</v>
      </c>
    </row>
    <row r="417" spans="23:25" x14ac:dyDescent="0.25">
      <c r="W417" s="214" t="s">
        <v>398</v>
      </c>
      <c r="X417" s="214" t="s">
        <v>650</v>
      </c>
      <c r="Y417" s="220">
        <v>6</v>
      </c>
    </row>
    <row r="418" spans="23:25" x14ac:dyDescent="0.25">
      <c r="W418" s="214" t="s">
        <v>258</v>
      </c>
      <c r="X418" s="214" t="s">
        <v>651</v>
      </c>
      <c r="Y418" s="220">
        <v>3</v>
      </c>
    </row>
    <row r="419" spans="23:25" x14ac:dyDescent="0.25">
      <c r="W419" s="214" t="s">
        <v>239</v>
      </c>
      <c r="X419" s="214" t="s">
        <v>652</v>
      </c>
      <c r="Y419" s="220">
        <v>2</v>
      </c>
    </row>
    <row r="420" spans="23:25" x14ac:dyDescent="0.25">
      <c r="W420" s="214" t="s">
        <v>239</v>
      </c>
      <c r="X420" s="214" t="s">
        <v>653</v>
      </c>
      <c r="Y420" s="220">
        <v>1</v>
      </c>
    </row>
    <row r="421" spans="23:25" x14ac:dyDescent="0.25">
      <c r="W421" s="214" t="s">
        <v>252</v>
      </c>
      <c r="X421" s="214" t="s">
        <v>654</v>
      </c>
      <c r="Y421" s="220">
        <v>3</v>
      </c>
    </row>
    <row r="422" spans="23:25" x14ac:dyDescent="0.25">
      <c r="W422" s="214" t="s">
        <v>239</v>
      </c>
      <c r="X422" s="214" t="s">
        <v>655</v>
      </c>
      <c r="Y422" s="220">
        <v>3</v>
      </c>
    </row>
    <row r="423" spans="23:25" x14ac:dyDescent="0.25">
      <c r="W423" s="214" t="s">
        <v>239</v>
      </c>
      <c r="X423" s="214" t="s">
        <v>656</v>
      </c>
      <c r="Y423" s="220">
        <v>2</v>
      </c>
    </row>
    <row r="424" spans="23:25" x14ac:dyDescent="0.25">
      <c r="W424" s="214" t="s">
        <v>258</v>
      </c>
      <c r="X424" s="214" t="s">
        <v>657</v>
      </c>
      <c r="Y424" s="220">
        <v>3</v>
      </c>
    </row>
    <row r="425" spans="23:25" x14ac:dyDescent="0.25">
      <c r="W425" s="214" t="s">
        <v>274</v>
      </c>
      <c r="X425" s="214" t="s">
        <v>658</v>
      </c>
      <c r="Y425" s="220">
        <v>3</v>
      </c>
    </row>
    <row r="426" spans="23:25" x14ac:dyDescent="0.25">
      <c r="W426" s="214" t="s">
        <v>239</v>
      </c>
      <c r="X426" s="214" t="s">
        <v>659</v>
      </c>
      <c r="Y426" s="220">
        <v>2</v>
      </c>
    </row>
    <row r="427" spans="23:25" x14ac:dyDescent="0.25">
      <c r="W427" s="214" t="s">
        <v>258</v>
      </c>
      <c r="X427" s="214" t="s">
        <v>660</v>
      </c>
      <c r="Y427" s="220">
        <v>3</v>
      </c>
    </row>
    <row r="428" spans="23:25" x14ac:dyDescent="0.25">
      <c r="W428" s="214" t="s">
        <v>274</v>
      </c>
      <c r="X428" s="214" t="s">
        <v>661</v>
      </c>
      <c r="Y428" s="220">
        <v>4</v>
      </c>
    </row>
    <row r="429" spans="23:25" x14ac:dyDescent="0.25">
      <c r="W429" s="214" t="s">
        <v>274</v>
      </c>
      <c r="X429" s="214" t="s">
        <v>662</v>
      </c>
      <c r="Y429" s="220">
        <v>3</v>
      </c>
    </row>
    <row r="430" spans="23:25" x14ac:dyDescent="0.25">
      <c r="W430" s="214" t="s">
        <v>274</v>
      </c>
      <c r="X430" s="214" t="s">
        <v>663</v>
      </c>
      <c r="Y430" s="220">
        <v>6</v>
      </c>
    </row>
    <row r="431" spans="23:25" x14ac:dyDescent="0.25">
      <c r="W431" s="214" t="s">
        <v>239</v>
      </c>
      <c r="X431" s="214" t="s">
        <v>664</v>
      </c>
      <c r="Y431" s="220">
        <v>2</v>
      </c>
    </row>
    <row r="432" spans="23:25" x14ac:dyDescent="0.25">
      <c r="W432" s="214" t="s">
        <v>274</v>
      </c>
      <c r="X432" s="214" t="s">
        <v>665</v>
      </c>
      <c r="Y432" s="220">
        <v>2</v>
      </c>
    </row>
    <row r="433" spans="23:25" x14ac:dyDescent="0.25">
      <c r="W433" s="214" t="s">
        <v>274</v>
      </c>
      <c r="X433" s="214" t="s">
        <v>666</v>
      </c>
      <c r="Y433" s="220">
        <v>3</v>
      </c>
    </row>
    <row r="434" spans="23:25" x14ac:dyDescent="0.25">
      <c r="W434" s="214" t="s">
        <v>239</v>
      </c>
      <c r="X434" s="214" t="s">
        <v>667</v>
      </c>
      <c r="Y434" s="220">
        <v>2</v>
      </c>
    </row>
    <row r="435" spans="23:25" x14ac:dyDescent="0.25">
      <c r="W435" s="214" t="s">
        <v>258</v>
      </c>
      <c r="X435" s="214" t="s">
        <v>668</v>
      </c>
      <c r="Y435" s="220">
        <v>3</v>
      </c>
    </row>
    <row r="436" spans="23:25" x14ac:dyDescent="0.25">
      <c r="W436" s="214" t="s">
        <v>274</v>
      </c>
      <c r="X436" s="214" t="s">
        <v>593</v>
      </c>
      <c r="Y436" s="220">
        <v>3</v>
      </c>
    </row>
    <row r="437" spans="23:25" x14ac:dyDescent="0.25">
      <c r="W437" s="214" t="s">
        <v>239</v>
      </c>
      <c r="X437" s="214" t="s">
        <v>669</v>
      </c>
      <c r="Y437" s="220">
        <v>2</v>
      </c>
    </row>
    <row r="438" spans="23:25" x14ac:dyDescent="0.25">
      <c r="W438" s="214" t="s">
        <v>258</v>
      </c>
      <c r="X438" s="214" t="s">
        <v>670</v>
      </c>
      <c r="Y438" s="220">
        <v>3</v>
      </c>
    </row>
    <row r="439" spans="23:25" x14ac:dyDescent="0.25">
      <c r="W439" s="214" t="s">
        <v>252</v>
      </c>
      <c r="X439" s="214" t="s">
        <v>671</v>
      </c>
      <c r="Y439" s="220">
        <v>3</v>
      </c>
    </row>
    <row r="440" spans="23:25" x14ac:dyDescent="0.25">
      <c r="W440" s="214" t="s">
        <v>274</v>
      </c>
      <c r="X440" s="214" t="s">
        <v>672</v>
      </c>
      <c r="Y440" s="220">
        <v>3</v>
      </c>
    </row>
    <row r="441" spans="23:25" x14ac:dyDescent="0.25">
      <c r="W441" s="214" t="s">
        <v>274</v>
      </c>
      <c r="X441" s="214" t="s">
        <v>673</v>
      </c>
      <c r="Y441" s="220">
        <v>3</v>
      </c>
    </row>
    <row r="442" spans="23:25" x14ac:dyDescent="0.25">
      <c r="W442" s="214" t="s">
        <v>274</v>
      </c>
      <c r="X442" s="214" t="s">
        <v>674</v>
      </c>
      <c r="Y442" s="220">
        <v>3</v>
      </c>
    </row>
    <row r="443" spans="23:25" x14ac:dyDescent="0.25">
      <c r="W443" s="214" t="s">
        <v>239</v>
      </c>
      <c r="X443" s="214" t="s">
        <v>675</v>
      </c>
      <c r="Y443" s="220">
        <v>2</v>
      </c>
    </row>
    <row r="444" spans="23:25" x14ac:dyDescent="0.25">
      <c r="W444" s="214" t="s">
        <v>239</v>
      </c>
      <c r="X444" s="214" t="s">
        <v>676</v>
      </c>
      <c r="Y444" s="220">
        <v>2</v>
      </c>
    </row>
    <row r="445" spans="23:25" x14ac:dyDescent="0.25">
      <c r="W445" s="214" t="s">
        <v>274</v>
      </c>
      <c r="X445" s="214" t="s">
        <v>677</v>
      </c>
      <c r="Y445" s="220">
        <v>2</v>
      </c>
    </row>
    <row r="446" spans="23:25" x14ac:dyDescent="0.25">
      <c r="W446" s="214" t="s">
        <v>274</v>
      </c>
      <c r="X446" s="214" t="s">
        <v>678</v>
      </c>
      <c r="Y446" s="220">
        <v>3</v>
      </c>
    </row>
    <row r="447" spans="23:25" x14ac:dyDescent="0.25">
      <c r="W447" s="214" t="s">
        <v>274</v>
      </c>
      <c r="X447" s="214" t="s">
        <v>679</v>
      </c>
      <c r="Y447" s="220">
        <v>4</v>
      </c>
    </row>
    <row r="448" spans="23:25" x14ac:dyDescent="0.25">
      <c r="W448" s="214" t="s">
        <v>258</v>
      </c>
      <c r="X448" s="214" t="s">
        <v>680</v>
      </c>
      <c r="Y448" s="220">
        <v>3</v>
      </c>
    </row>
    <row r="449" spans="23:25" x14ac:dyDescent="0.25">
      <c r="W449" s="214" t="s">
        <v>258</v>
      </c>
      <c r="X449" s="214" t="s">
        <v>681</v>
      </c>
      <c r="Y449" s="220">
        <v>3</v>
      </c>
    </row>
    <row r="450" spans="23:25" x14ac:dyDescent="0.25">
      <c r="W450" s="214" t="s">
        <v>239</v>
      </c>
      <c r="X450" s="214" t="s">
        <v>682</v>
      </c>
      <c r="Y450" s="220">
        <v>2</v>
      </c>
    </row>
    <row r="451" spans="23:25" x14ac:dyDescent="0.25">
      <c r="W451" s="214" t="s">
        <v>274</v>
      </c>
      <c r="X451" s="214" t="s">
        <v>683</v>
      </c>
      <c r="Y451" s="220">
        <v>2</v>
      </c>
    </row>
    <row r="452" spans="23:25" x14ac:dyDescent="0.25">
      <c r="W452" s="214" t="s">
        <v>239</v>
      </c>
      <c r="X452" s="214" t="s">
        <v>684</v>
      </c>
      <c r="Y452" s="220">
        <v>3</v>
      </c>
    </row>
    <row r="453" spans="23:25" x14ac:dyDescent="0.25">
      <c r="W453" s="214" t="s">
        <v>239</v>
      </c>
      <c r="X453" s="214" t="s">
        <v>685</v>
      </c>
      <c r="Y453" s="220">
        <v>2</v>
      </c>
    </row>
    <row r="454" spans="23:25" x14ac:dyDescent="0.25">
      <c r="W454" s="214" t="s">
        <v>274</v>
      </c>
      <c r="X454" s="214" t="s">
        <v>686</v>
      </c>
      <c r="Y454" s="220">
        <v>3</v>
      </c>
    </row>
    <row r="455" spans="23:25" x14ac:dyDescent="0.25">
      <c r="W455" s="214" t="s">
        <v>258</v>
      </c>
      <c r="X455" s="214" t="s">
        <v>687</v>
      </c>
      <c r="Y455" s="220">
        <v>2</v>
      </c>
    </row>
    <row r="456" spans="23:25" x14ac:dyDescent="0.25">
      <c r="W456" s="214" t="s">
        <v>258</v>
      </c>
      <c r="X456" s="214" t="s">
        <v>688</v>
      </c>
      <c r="Y456" s="220">
        <v>3</v>
      </c>
    </row>
    <row r="457" spans="23:25" x14ac:dyDescent="0.25">
      <c r="W457" s="214" t="s">
        <v>274</v>
      </c>
      <c r="X457" s="214" t="s">
        <v>689</v>
      </c>
      <c r="Y457" s="220">
        <v>2</v>
      </c>
    </row>
    <row r="458" spans="23:25" x14ac:dyDescent="0.25">
      <c r="W458" s="214" t="s">
        <v>239</v>
      </c>
      <c r="X458" s="214" t="s">
        <v>690</v>
      </c>
      <c r="Y458" s="220">
        <v>2</v>
      </c>
    </row>
    <row r="459" spans="23:25" x14ac:dyDescent="0.25">
      <c r="W459" s="214" t="s">
        <v>258</v>
      </c>
      <c r="X459" s="214" t="s">
        <v>691</v>
      </c>
      <c r="Y459" s="220">
        <v>3</v>
      </c>
    </row>
    <row r="460" spans="23:25" x14ac:dyDescent="0.25">
      <c r="W460" s="214" t="s">
        <v>258</v>
      </c>
      <c r="X460" s="214" t="s">
        <v>692</v>
      </c>
      <c r="Y460" s="220">
        <v>3</v>
      </c>
    </row>
    <row r="461" spans="23:25" x14ac:dyDescent="0.25">
      <c r="W461" s="214" t="s">
        <v>239</v>
      </c>
      <c r="X461" s="214" t="s">
        <v>693</v>
      </c>
      <c r="Y461" s="220">
        <v>2</v>
      </c>
    </row>
    <row r="462" spans="23:25" x14ac:dyDescent="0.25">
      <c r="W462" s="214" t="s">
        <v>274</v>
      </c>
      <c r="X462" s="214" t="s">
        <v>694</v>
      </c>
      <c r="Y462" s="220">
        <v>2</v>
      </c>
    </row>
    <row r="463" spans="23:25" x14ac:dyDescent="0.25">
      <c r="W463" s="214" t="s">
        <v>258</v>
      </c>
      <c r="X463" s="214" t="s">
        <v>695</v>
      </c>
      <c r="Y463" s="220">
        <v>3</v>
      </c>
    </row>
    <row r="464" spans="23:25" x14ac:dyDescent="0.25">
      <c r="W464" s="214" t="s">
        <v>258</v>
      </c>
      <c r="X464" s="214" t="s">
        <v>696</v>
      </c>
      <c r="Y464" s="220">
        <v>3</v>
      </c>
    </row>
    <row r="465" spans="23:25" x14ac:dyDescent="0.25">
      <c r="W465" s="214" t="s">
        <v>274</v>
      </c>
      <c r="X465" s="214" t="s">
        <v>697</v>
      </c>
      <c r="Y465" s="220">
        <v>2</v>
      </c>
    </row>
    <row r="466" spans="23:25" x14ac:dyDescent="0.25">
      <c r="W466" s="214" t="s">
        <v>258</v>
      </c>
      <c r="X466" s="214" t="s">
        <v>698</v>
      </c>
      <c r="Y466" s="220">
        <v>3</v>
      </c>
    </row>
    <row r="467" spans="23:25" x14ac:dyDescent="0.25">
      <c r="W467" s="214" t="s">
        <v>258</v>
      </c>
      <c r="X467" s="214" t="s">
        <v>699</v>
      </c>
      <c r="Y467" s="220">
        <v>3</v>
      </c>
    </row>
    <row r="468" spans="23:25" x14ac:dyDescent="0.25">
      <c r="W468" s="214" t="s">
        <v>258</v>
      </c>
      <c r="X468" s="214" t="s">
        <v>700</v>
      </c>
      <c r="Y468" s="220">
        <v>3</v>
      </c>
    </row>
    <row r="469" spans="23:25" x14ac:dyDescent="0.25">
      <c r="W469" s="214" t="s">
        <v>258</v>
      </c>
      <c r="X469" s="214" t="s">
        <v>701</v>
      </c>
      <c r="Y469" s="220">
        <v>3</v>
      </c>
    </row>
    <row r="470" spans="23:25" x14ac:dyDescent="0.25">
      <c r="W470" s="214" t="s">
        <v>274</v>
      </c>
      <c r="X470" s="214" t="s">
        <v>702</v>
      </c>
      <c r="Y470" s="220">
        <v>2</v>
      </c>
    </row>
    <row r="471" spans="23:25" x14ac:dyDescent="0.25">
      <c r="W471" s="214" t="s">
        <v>274</v>
      </c>
      <c r="X471" s="214" t="s">
        <v>703</v>
      </c>
      <c r="Y471" s="220">
        <v>2</v>
      </c>
    </row>
    <row r="472" spans="23:25" x14ac:dyDescent="0.25">
      <c r="W472" s="214" t="s">
        <v>258</v>
      </c>
      <c r="X472" s="214" t="s">
        <v>704</v>
      </c>
      <c r="Y472" s="220">
        <v>3</v>
      </c>
    </row>
    <row r="473" spans="23:25" x14ac:dyDescent="0.25">
      <c r="W473" s="214" t="s">
        <v>274</v>
      </c>
      <c r="X473" s="214" t="s">
        <v>705</v>
      </c>
      <c r="Y473" s="220">
        <v>3</v>
      </c>
    </row>
    <row r="474" spans="23:25" x14ac:dyDescent="0.25">
      <c r="W474" s="214" t="s">
        <v>274</v>
      </c>
      <c r="X474" s="214" t="s">
        <v>706</v>
      </c>
      <c r="Y474" s="220">
        <v>4</v>
      </c>
    </row>
    <row r="475" spans="23:25" x14ac:dyDescent="0.25">
      <c r="W475" s="214" t="s">
        <v>274</v>
      </c>
      <c r="X475" s="214" t="s">
        <v>707</v>
      </c>
      <c r="Y475" s="220">
        <v>2</v>
      </c>
    </row>
    <row r="476" spans="23:25" x14ac:dyDescent="0.25">
      <c r="W476" s="214" t="s">
        <v>274</v>
      </c>
      <c r="X476" s="214" t="s">
        <v>708</v>
      </c>
      <c r="Y476" s="220">
        <v>4</v>
      </c>
    </row>
    <row r="477" spans="23:25" x14ac:dyDescent="0.25">
      <c r="W477" s="214" t="s">
        <v>258</v>
      </c>
      <c r="X477" s="214" t="s">
        <v>709</v>
      </c>
      <c r="Y477" s="220">
        <v>3</v>
      </c>
    </row>
    <row r="478" spans="23:25" x14ac:dyDescent="0.25">
      <c r="W478" s="214" t="s">
        <v>274</v>
      </c>
      <c r="X478" s="214" t="s">
        <v>710</v>
      </c>
      <c r="Y478" s="220">
        <v>1</v>
      </c>
    </row>
    <row r="479" spans="23:25" x14ac:dyDescent="0.25">
      <c r="W479" s="214" t="s">
        <v>274</v>
      </c>
      <c r="X479" s="214" t="s">
        <v>711</v>
      </c>
      <c r="Y479" s="220">
        <v>2</v>
      </c>
    </row>
    <row r="480" spans="23:25" x14ac:dyDescent="0.25">
      <c r="W480" s="214" t="s">
        <v>274</v>
      </c>
      <c r="X480" s="214" t="s">
        <v>712</v>
      </c>
      <c r="Y480" s="220">
        <v>4</v>
      </c>
    </row>
    <row r="481" spans="23:25" x14ac:dyDescent="0.25">
      <c r="W481" s="214" t="s">
        <v>274</v>
      </c>
      <c r="X481" s="214" t="s">
        <v>713</v>
      </c>
      <c r="Y481" s="220">
        <v>2</v>
      </c>
    </row>
    <row r="482" spans="23:25" x14ac:dyDescent="0.25">
      <c r="W482" s="214" t="s">
        <v>274</v>
      </c>
      <c r="X482" s="214" t="s">
        <v>714</v>
      </c>
      <c r="Y482" s="220">
        <v>3</v>
      </c>
    </row>
    <row r="483" spans="23:25" x14ac:dyDescent="0.25">
      <c r="W483" s="214" t="s">
        <v>239</v>
      </c>
      <c r="X483" s="214" t="s">
        <v>702</v>
      </c>
      <c r="Y483" s="220">
        <v>2</v>
      </c>
    </row>
    <row r="484" spans="23:25" x14ac:dyDescent="0.25">
      <c r="W484" s="214" t="s">
        <v>274</v>
      </c>
      <c r="X484" s="214" t="s">
        <v>715</v>
      </c>
      <c r="Y484" s="220">
        <v>2</v>
      </c>
    </row>
    <row r="485" spans="23:25" x14ac:dyDescent="0.25">
      <c r="W485" s="214" t="s">
        <v>239</v>
      </c>
      <c r="X485" s="214" t="s">
        <v>716</v>
      </c>
      <c r="Y485" s="220">
        <v>3</v>
      </c>
    </row>
    <row r="486" spans="23:25" x14ac:dyDescent="0.25">
      <c r="W486" s="214" t="s">
        <v>274</v>
      </c>
      <c r="X486" s="214" t="s">
        <v>717</v>
      </c>
      <c r="Y486" s="220">
        <v>3</v>
      </c>
    </row>
    <row r="487" spans="23:25" x14ac:dyDescent="0.25">
      <c r="W487" s="214" t="s">
        <v>274</v>
      </c>
      <c r="X487" s="214" t="s">
        <v>718</v>
      </c>
      <c r="Y487" s="220">
        <v>1</v>
      </c>
    </row>
    <row r="488" spans="23:25" x14ac:dyDescent="0.25">
      <c r="W488" s="214" t="s">
        <v>274</v>
      </c>
      <c r="X488" s="214" t="s">
        <v>719</v>
      </c>
      <c r="Y488" s="220">
        <v>3</v>
      </c>
    </row>
    <row r="489" spans="23:25" x14ac:dyDescent="0.25">
      <c r="W489" s="214" t="s">
        <v>274</v>
      </c>
      <c r="X489" s="214" t="s">
        <v>720</v>
      </c>
      <c r="Y489" s="220">
        <v>2</v>
      </c>
    </row>
    <row r="490" spans="23:25" x14ac:dyDescent="0.25">
      <c r="W490" s="214" t="s">
        <v>244</v>
      </c>
      <c r="X490" s="214" t="s">
        <v>721</v>
      </c>
      <c r="Y490" s="220">
        <v>5</v>
      </c>
    </row>
    <row r="491" spans="23:25" x14ac:dyDescent="0.25">
      <c r="W491" s="214" t="s">
        <v>274</v>
      </c>
      <c r="X491" s="214" t="s">
        <v>722</v>
      </c>
      <c r="Y491" s="220">
        <v>2</v>
      </c>
    </row>
    <row r="492" spans="23:25" x14ac:dyDescent="0.25">
      <c r="W492" s="214" t="s">
        <v>258</v>
      </c>
      <c r="X492" s="214" t="s">
        <v>723</v>
      </c>
      <c r="Y492" s="220">
        <v>3</v>
      </c>
    </row>
    <row r="493" spans="23:25" x14ac:dyDescent="0.25">
      <c r="W493" s="214" t="s">
        <v>258</v>
      </c>
      <c r="X493" s="214" t="s">
        <v>724</v>
      </c>
      <c r="Y493" s="220">
        <v>3</v>
      </c>
    </row>
    <row r="494" spans="23:25" x14ac:dyDescent="0.25">
      <c r="W494" s="214" t="s">
        <v>258</v>
      </c>
      <c r="X494" s="214" t="s">
        <v>725</v>
      </c>
      <c r="Y494" s="220">
        <v>3</v>
      </c>
    </row>
    <row r="495" spans="23:25" x14ac:dyDescent="0.25">
      <c r="W495" s="214" t="s">
        <v>274</v>
      </c>
      <c r="X495" s="214" t="s">
        <v>726</v>
      </c>
      <c r="Y495" s="220">
        <v>2</v>
      </c>
    </row>
    <row r="496" spans="23:25" x14ac:dyDescent="0.25">
      <c r="W496" s="214" t="s">
        <v>274</v>
      </c>
      <c r="X496" s="214" t="s">
        <v>727</v>
      </c>
      <c r="Y496" s="220">
        <v>2</v>
      </c>
    </row>
    <row r="497" spans="23:25" x14ac:dyDescent="0.25">
      <c r="W497" s="214" t="s">
        <v>258</v>
      </c>
      <c r="X497" s="214" t="s">
        <v>728</v>
      </c>
      <c r="Y497" s="220">
        <v>3</v>
      </c>
    </row>
    <row r="498" spans="23:25" x14ac:dyDescent="0.25">
      <c r="W498" s="214" t="s">
        <v>274</v>
      </c>
      <c r="X498" s="214" t="s">
        <v>729</v>
      </c>
      <c r="Y498" s="220">
        <v>2</v>
      </c>
    </row>
    <row r="499" spans="23:25" x14ac:dyDescent="0.25">
      <c r="W499" s="214" t="s">
        <v>274</v>
      </c>
      <c r="X499" s="214" t="s">
        <v>730</v>
      </c>
      <c r="Y499" s="220">
        <v>2</v>
      </c>
    </row>
    <row r="500" spans="23:25" x14ac:dyDescent="0.25">
      <c r="W500" s="214" t="s">
        <v>274</v>
      </c>
      <c r="X500" s="214" t="s">
        <v>731</v>
      </c>
      <c r="Y500" s="220">
        <v>3</v>
      </c>
    </row>
    <row r="501" spans="23:25" x14ac:dyDescent="0.25">
      <c r="W501" s="214" t="s">
        <v>274</v>
      </c>
      <c r="X501" s="214" t="s">
        <v>732</v>
      </c>
      <c r="Y501" s="220">
        <v>2</v>
      </c>
    </row>
    <row r="502" spans="23:25" x14ac:dyDescent="0.25">
      <c r="W502" s="214" t="s">
        <v>274</v>
      </c>
      <c r="X502" s="214" t="s">
        <v>561</v>
      </c>
      <c r="Y502" s="220">
        <v>3</v>
      </c>
    </row>
    <row r="503" spans="23:25" x14ac:dyDescent="0.25">
      <c r="W503" s="214" t="s">
        <v>274</v>
      </c>
      <c r="X503" s="214" t="s">
        <v>733</v>
      </c>
      <c r="Y503" s="220">
        <v>2</v>
      </c>
    </row>
    <row r="504" spans="23:25" x14ac:dyDescent="0.25">
      <c r="W504" s="214" t="s">
        <v>274</v>
      </c>
      <c r="X504" s="214" t="s">
        <v>734</v>
      </c>
      <c r="Y504" s="220">
        <v>3</v>
      </c>
    </row>
    <row r="505" spans="23:25" x14ac:dyDescent="0.25">
      <c r="W505" s="214" t="s">
        <v>258</v>
      </c>
      <c r="X505" s="214" t="s">
        <v>735</v>
      </c>
      <c r="Y505" s="220">
        <v>3</v>
      </c>
    </row>
    <row r="506" spans="23:25" x14ac:dyDescent="0.25">
      <c r="W506" s="214" t="s">
        <v>239</v>
      </c>
      <c r="X506" s="214" t="s">
        <v>736</v>
      </c>
      <c r="Y506" s="220">
        <v>2</v>
      </c>
    </row>
    <row r="507" spans="23:25" x14ac:dyDescent="0.25">
      <c r="W507" s="214" t="s">
        <v>258</v>
      </c>
      <c r="X507" s="214" t="s">
        <v>737</v>
      </c>
      <c r="Y507" s="220">
        <v>3</v>
      </c>
    </row>
    <row r="508" spans="23:25" x14ac:dyDescent="0.25">
      <c r="W508" s="214" t="s">
        <v>258</v>
      </c>
      <c r="X508" s="214" t="s">
        <v>738</v>
      </c>
      <c r="Y508" s="220">
        <v>2</v>
      </c>
    </row>
    <row r="509" spans="23:25" x14ac:dyDescent="0.25">
      <c r="W509" s="214" t="s">
        <v>274</v>
      </c>
      <c r="X509" s="214" t="s">
        <v>739</v>
      </c>
      <c r="Y509" s="220">
        <v>4</v>
      </c>
    </row>
    <row r="510" spans="23:25" x14ac:dyDescent="0.25">
      <c r="W510" s="214" t="s">
        <v>274</v>
      </c>
      <c r="X510" s="214" t="s">
        <v>740</v>
      </c>
      <c r="Y510" s="220">
        <v>2</v>
      </c>
    </row>
    <row r="511" spans="23:25" x14ac:dyDescent="0.25">
      <c r="W511" s="214" t="s">
        <v>274</v>
      </c>
      <c r="X511" s="214" t="s">
        <v>741</v>
      </c>
      <c r="Y511" s="220">
        <v>4</v>
      </c>
    </row>
    <row r="512" spans="23:25" x14ac:dyDescent="0.25">
      <c r="W512" s="214" t="s">
        <v>258</v>
      </c>
      <c r="X512" s="214" t="s">
        <v>742</v>
      </c>
      <c r="Y512" s="220">
        <v>3</v>
      </c>
    </row>
    <row r="513" spans="23:25" x14ac:dyDescent="0.25">
      <c r="W513" s="214" t="s">
        <v>274</v>
      </c>
      <c r="X513" s="214" t="s">
        <v>743</v>
      </c>
      <c r="Y513" s="220">
        <v>2</v>
      </c>
    </row>
    <row r="514" spans="23:25" x14ac:dyDescent="0.25">
      <c r="W514" s="214" t="s">
        <v>258</v>
      </c>
      <c r="X514" s="214" t="s">
        <v>744</v>
      </c>
      <c r="Y514" s="220">
        <v>3</v>
      </c>
    </row>
    <row r="515" spans="23:25" x14ac:dyDescent="0.25">
      <c r="W515" s="214" t="s">
        <v>274</v>
      </c>
      <c r="X515" s="214" t="s">
        <v>745</v>
      </c>
      <c r="Y515" s="220">
        <v>2</v>
      </c>
    </row>
    <row r="516" spans="23:25" x14ac:dyDescent="0.25">
      <c r="W516" s="214" t="s">
        <v>258</v>
      </c>
      <c r="X516" s="214" t="s">
        <v>746</v>
      </c>
      <c r="Y516" s="220">
        <v>3</v>
      </c>
    </row>
    <row r="517" spans="23:25" x14ac:dyDescent="0.25">
      <c r="W517" s="214" t="s">
        <v>258</v>
      </c>
      <c r="X517" s="214" t="s">
        <v>747</v>
      </c>
      <c r="Y517" s="220">
        <v>3</v>
      </c>
    </row>
    <row r="518" spans="23:25" x14ac:dyDescent="0.25">
      <c r="W518" s="214" t="s">
        <v>274</v>
      </c>
      <c r="X518" s="214" t="s">
        <v>748</v>
      </c>
      <c r="Y518" s="220">
        <v>3</v>
      </c>
    </row>
    <row r="519" spans="23:25" x14ac:dyDescent="0.25">
      <c r="W519" s="214" t="s">
        <v>274</v>
      </c>
      <c r="X519" s="214" t="s">
        <v>749</v>
      </c>
      <c r="Y519" s="220">
        <v>2</v>
      </c>
    </row>
    <row r="520" spans="23:25" x14ac:dyDescent="0.25">
      <c r="W520" s="214" t="s">
        <v>258</v>
      </c>
      <c r="X520" s="214" t="s">
        <v>750</v>
      </c>
      <c r="Y520" s="220">
        <v>3</v>
      </c>
    </row>
    <row r="521" spans="23:25" x14ac:dyDescent="0.25">
      <c r="W521" s="214" t="s">
        <v>258</v>
      </c>
      <c r="X521" s="214" t="s">
        <v>751</v>
      </c>
      <c r="Y521" s="220">
        <v>3</v>
      </c>
    </row>
    <row r="522" spans="23:25" x14ac:dyDescent="0.25">
      <c r="W522" s="214" t="s">
        <v>258</v>
      </c>
      <c r="X522" s="214" t="s">
        <v>752</v>
      </c>
      <c r="Y522" s="220">
        <v>3</v>
      </c>
    </row>
    <row r="523" spans="23:25" x14ac:dyDescent="0.25">
      <c r="W523" s="214" t="s">
        <v>239</v>
      </c>
      <c r="X523" s="214" t="s">
        <v>753</v>
      </c>
      <c r="Y523" s="220">
        <v>3</v>
      </c>
    </row>
    <row r="524" spans="23:25" x14ac:dyDescent="0.25">
      <c r="W524" s="214" t="s">
        <v>274</v>
      </c>
      <c r="X524" s="214" t="s">
        <v>754</v>
      </c>
      <c r="Y524" s="220">
        <v>2</v>
      </c>
    </row>
    <row r="525" spans="23:25" x14ac:dyDescent="0.25">
      <c r="W525" s="214" t="s">
        <v>274</v>
      </c>
      <c r="X525" s="214" t="s">
        <v>755</v>
      </c>
      <c r="Y525" s="220">
        <v>2</v>
      </c>
    </row>
    <row r="526" spans="23:25" x14ac:dyDescent="0.25">
      <c r="W526" s="214" t="s">
        <v>274</v>
      </c>
      <c r="X526" s="214" t="s">
        <v>756</v>
      </c>
      <c r="Y526" s="220">
        <v>2</v>
      </c>
    </row>
    <row r="527" spans="23:25" x14ac:dyDescent="0.25">
      <c r="W527" s="214" t="s">
        <v>258</v>
      </c>
      <c r="X527" s="214" t="s">
        <v>757</v>
      </c>
      <c r="Y527" s="220">
        <v>3</v>
      </c>
    </row>
    <row r="528" spans="23:25" x14ac:dyDescent="0.25">
      <c r="W528" s="214" t="s">
        <v>258</v>
      </c>
      <c r="X528" s="214" t="s">
        <v>758</v>
      </c>
      <c r="Y528" s="220">
        <v>3</v>
      </c>
    </row>
    <row r="529" spans="23:25" x14ac:dyDescent="0.25">
      <c r="W529" s="214" t="s">
        <v>274</v>
      </c>
      <c r="X529" s="214" t="s">
        <v>759</v>
      </c>
      <c r="Y529" s="220">
        <v>2</v>
      </c>
    </row>
    <row r="530" spans="23:25" x14ac:dyDescent="0.25">
      <c r="W530" s="214" t="s">
        <v>258</v>
      </c>
      <c r="X530" s="214" t="s">
        <v>760</v>
      </c>
      <c r="Y530" s="220">
        <v>3</v>
      </c>
    </row>
    <row r="531" spans="23:25" x14ac:dyDescent="0.25">
      <c r="W531" s="214" t="s">
        <v>274</v>
      </c>
      <c r="X531" s="214" t="s">
        <v>761</v>
      </c>
      <c r="Y531" s="220">
        <v>4</v>
      </c>
    </row>
    <row r="532" spans="23:25" x14ac:dyDescent="0.25">
      <c r="W532" s="214" t="s">
        <v>274</v>
      </c>
      <c r="X532" s="214" t="s">
        <v>762</v>
      </c>
      <c r="Y532" s="220">
        <v>3</v>
      </c>
    </row>
    <row r="533" spans="23:25" x14ac:dyDescent="0.25">
      <c r="W533" s="214" t="s">
        <v>274</v>
      </c>
      <c r="X533" s="214" t="s">
        <v>763</v>
      </c>
      <c r="Y533" s="220">
        <v>4</v>
      </c>
    </row>
    <row r="534" spans="23:25" x14ac:dyDescent="0.25">
      <c r="W534" s="214" t="s">
        <v>258</v>
      </c>
      <c r="X534" s="214" t="s">
        <v>764</v>
      </c>
      <c r="Y534" s="220">
        <v>3</v>
      </c>
    </row>
    <row r="535" spans="23:25" x14ac:dyDescent="0.25">
      <c r="W535" s="214" t="s">
        <v>258</v>
      </c>
      <c r="X535" s="214" t="s">
        <v>765</v>
      </c>
      <c r="Y535" s="220">
        <v>3</v>
      </c>
    </row>
    <row r="536" spans="23:25" x14ac:dyDescent="0.25">
      <c r="W536" s="214" t="s">
        <v>274</v>
      </c>
      <c r="X536" s="214" t="s">
        <v>766</v>
      </c>
      <c r="Y536" s="220">
        <v>2</v>
      </c>
    </row>
    <row r="537" spans="23:25" x14ac:dyDescent="0.25">
      <c r="W537" s="214" t="s">
        <v>274</v>
      </c>
      <c r="X537" s="214" t="s">
        <v>767</v>
      </c>
      <c r="Y537" s="220">
        <v>2</v>
      </c>
    </row>
    <row r="538" spans="23:25" x14ac:dyDescent="0.25">
      <c r="W538" s="214" t="s">
        <v>258</v>
      </c>
      <c r="X538" s="214" t="s">
        <v>768</v>
      </c>
      <c r="Y538" s="220">
        <v>2</v>
      </c>
    </row>
    <row r="539" spans="23:25" x14ac:dyDescent="0.25">
      <c r="W539" s="214" t="s">
        <v>239</v>
      </c>
      <c r="X539" s="214" t="s">
        <v>769</v>
      </c>
      <c r="Y539" s="220">
        <v>2</v>
      </c>
    </row>
    <row r="540" spans="23:25" x14ac:dyDescent="0.25">
      <c r="W540" s="214" t="s">
        <v>258</v>
      </c>
      <c r="X540" s="214" t="s">
        <v>770</v>
      </c>
      <c r="Y540" s="220">
        <v>3</v>
      </c>
    </row>
    <row r="541" spans="23:25" x14ac:dyDescent="0.25">
      <c r="W541" s="214" t="s">
        <v>274</v>
      </c>
      <c r="X541" s="214" t="s">
        <v>771</v>
      </c>
      <c r="Y541" s="220">
        <v>2</v>
      </c>
    </row>
    <row r="542" spans="23:25" x14ac:dyDescent="0.25">
      <c r="W542" s="214" t="s">
        <v>258</v>
      </c>
      <c r="X542" s="214" t="s">
        <v>772</v>
      </c>
      <c r="Y542" s="220">
        <v>3</v>
      </c>
    </row>
    <row r="543" spans="23:25" x14ac:dyDescent="0.25">
      <c r="W543" s="214" t="s">
        <v>274</v>
      </c>
      <c r="X543" s="214" t="s">
        <v>773</v>
      </c>
      <c r="Y543" s="220">
        <v>1</v>
      </c>
    </row>
    <row r="544" spans="23:25" x14ac:dyDescent="0.25">
      <c r="W544" s="214" t="s">
        <v>274</v>
      </c>
      <c r="X544" s="214" t="s">
        <v>774</v>
      </c>
      <c r="Y544" s="220">
        <v>2</v>
      </c>
    </row>
    <row r="545" spans="23:25" x14ac:dyDescent="0.25">
      <c r="W545" s="214" t="s">
        <v>274</v>
      </c>
      <c r="X545" s="214" t="s">
        <v>775</v>
      </c>
      <c r="Y545" s="220">
        <v>2</v>
      </c>
    </row>
    <row r="546" spans="23:25" x14ac:dyDescent="0.25">
      <c r="W546" s="214" t="s">
        <v>258</v>
      </c>
      <c r="X546" s="214" t="s">
        <v>776</v>
      </c>
      <c r="Y546" s="220">
        <v>3</v>
      </c>
    </row>
    <row r="547" spans="23:25" x14ac:dyDescent="0.25">
      <c r="W547" s="214" t="s">
        <v>274</v>
      </c>
      <c r="X547" s="214" t="s">
        <v>777</v>
      </c>
      <c r="Y547" s="220">
        <v>2</v>
      </c>
    </row>
    <row r="548" spans="23:25" x14ac:dyDescent="0.25">
      <c r="W548" s="214" t="s">
        <v>258</v>
      </c>
      <c r="X548" s="214" t="s">
        <v>778</v>
      </c>
      <c r="Y548" s="220">
        <v>3</v>
      </c>
    </row>
    <row r="549" spans="23:25" x14ac:dyDescent="0.25">
      <c r="W549" s="214" t="s">
        <v>258</v>
      </c>
      <c r="X549" s="214" t="s">
        <v>779</v>
      </c>
      <c r="Y549" s="220">
        <v>3</v>
      </c>
    </row>
    <row r="550" spans="23:25" x14ac:dyDescent="0.25">
      <c r="W550" s="214" t="s">
        <v>274</v>
      </c>
      <c r="X550" s="214" t="s">
        <v>780</v>
      </c>
      <c r="Y550" s="220">
        <v>2</v>
      </c>
    </row>
    <row r="551" spans="23:25" x14ac:dyDescent="0.25">
      <c r="W551" s="214" t="s">
        <v>258</v>
      </c>
      <c r="X551" s="214" t="s">
        <v>781</v>
      </c>
      <c r="Y551" s="220">
        <v>3</v>
      </c>
    </row>
    <row r="552" spans="23:25" x14ac:dyDescent="0.25">
      <c r="W552" s="214" t="s">
        <v>239</v>
      </c>
      <c r="X552" s="214" t="s">
        <v>782</v>
      </c>
      <c r="Y552" s="220">
        <v>3</v>
      </c>
    </row>
    <row r="553" spans="23:25" x14ac:dyDescent="0.25">
      <c r="W553" s="214" t="s">
        <v>258</v>
      </c>
      <c r="X553" s="214" t="s">
        <v>783</v>
      </c>
      <c r="Y553" s="220">
        <v>3</v>
      </c>
    </row>
    <row r="554" spans="23:25" x14ac:dyDescent="0.25">
      <c r="W554" s="214" t="s">
        <v>274</v>
      </c>
      <c r="X554" s="214" t="s">
        <v>784</v>
      </c>
      <c r="Y554" s="220">
        <v>2</v>
      </c>
    </row>
    <row r="555" spans="23:25" x14ac:dyDescent="0.25">
      <c r="W555" s="214" t="s">
        <v>274</v>
      </c>
      <c r="X555" s="214" t="s">
        <v>785</v>
      </c>
      <c r="Y555" s="220">
        <v>3</v>
      </c>
    </row>
    <row r="556" spans="23:25" x14ac:dyDescent="0.25">
      <c r="W556" s="214" t="s">
        <v>258</v>
      </c>
      <c r="X556" s="214" t="s">
        <v>786</v>
      </c>
      <c r="Y556" s="220">
        <v>4</v>
      </c>
    </row>
    <row r="557" spans="23:25" x14ac:dyDescent="0.25">
      <c r="W557" s="214" t="s">
        <v>258</v>
      </c>
      <c r="X557" s="214" t="s">
        <v>787</v>
      </c>
      <c r="Y557" s="220">
        <v>3</v>
      </c>
    </row>
    <row r="558" spans="23:25" x14ac:dyDescent="0.25">
      <c r="W558" s="214" t="s">
        <v>258</v>
      </c>
      <c r="X558" s="214" t="s">
        <v>788</v>
      </c>
      <c r="Y558" s="220">
        <v>3</v>
      </c>
    </row>
    <row r="559" spans="23:25" x14ac:dyDescent="0.25">
      <c r="W559" s="214" t="s">
        <v>274</v>
      </c>
      <c r="X559" s="214" t="s">
        <v>789</v>
      </c>
      <c r="Y559" s="220">
        <v>2</v>
      </c>
    </row>
    <row r="560" spans="23:25" x14ac:dyDescent="0.25">
      <c r="W560" s="214" t="s">
        <v>274</v>
      </c>
      <c r="X560" s="214" t="s">
        <v>790</v>
      </c>
      <c r="Y560" s="220">
        <v>2</v>
      </c>
    </row>
    <row r="561" spans="23:25" x14ac:dyDescent="0.25">
      <c r="W561" s="214" t="s">
        <v>274</v>
      </c>
      <c r="X561" s="214" t="s">
        <v>791</v>
      </c>
      <c r="Y561" s="220">
        <v>2</v>
      </c>
    </row>
    <row r="562" spans="23:25" x14ac:dyDescent="0.25">
      <c r="W562" s="214" t="s">
        <v>274</v>
      </c>
      <c r="X562" s="214" t="s">
        <v>792</v>
      </c>
      <c r="Y562" s="220">
        <v>2</v>
      </c>
    </row>
    <row r="563" spans="23:25" x14ac:dyDescent="0.25">
      <c r="W563" s="214" t="s">
        <v>274</v>
      </c>
      <c r="X563" s="214" t="s">
        <v>793</v>
      </c>
      <c r="Y563" s="220">
        <v>2</v>
      </c>
    </row>
    <row r="564" spans="23:25" x14ac:dyDescent="0.25">
      <c r="W564" s="214" t="s">
        <v>274</v>
      </c>
      <c r="X564" s="214" t="s">
        <v>794</v>
      </c>
      <c r="Y564" s="220">
        <v>2</v>
      </c>
    </row>
    <row r="565" spans="23:25" x14ac:dyDescent="0.25">
      <c r="W565" s="214" t="s">
        <v>274</v>
      </c>
      <c r="X565" s="214" t="s">
        <v>795</v>
      </c>
      <c r="Y565" s="220">
        <v>2</v>
      </c>
    </row>
    <row r="566" spans="23:25" x14ac:dyDescent="0.25">
      <c r="W566" s="214" t="s">
        <v>274</v>
      </c>
      <c r="X566" s="214" t="s">
        <v>796</v>
      </c>
      <c r="Y566" s="220">
        <v>2</v>
      </c>
    </row>
    <row r="567" spans="23:25" x14ac:dyDescent="0.25">
      <c r="W567" s="214" t="s">
        <v>274</v>
      </c>
      <c r="X567" s="214" t="s">
        <v>797</v>
      </c>
      <c r="Y567" s="220">
        <v>2</v>
      </c>
    </row>
    <row r="568" spans="23:25" x14ac:dyDescent="0.25">
      <c r="W568" s="214" t="s">
        <v>274</v>
      </c>
      <c r="X568" s="214" t="s">
        <v>798</v>
      </c>
      <c r="Y568" s="220">
        <v>2</v>
      </c>
    </row>
    <row r="569" spans="23:25" x14ac:dyDescent="0.25">
      <c r="W569" s="214" t="s">
        <v>274</v>
      </c>
      <c r="X569" s="214" t="s">
        <v>799</v>
      </c>
      <c r="Y569" s="220">
        <v>2</v>
      </c>
    </row>
    <row r="570" spans="23:25" x14ac:dyDescent="0.25">
      <c r="W570" s="214" t="s">
        <v>258</v>
      </c>
      <c r="X570" s="214" t="s">
        <v>800</v>
      </c>
      <c r="Y570" s="220">
        <v>3</v>
      </c>
    </row>
    <row r="571" spans="23:25" x14ac:dyDescent="0.25">
      <c r="W571" s="214" t="s">
        <v>258</v>
      </c>
      <c r="X571" s="214" t="s">
        <v>801</v>
      </c>
      <c r="Y571" s="220">
        <v>3</v>
      </c>
    </row>
    <row r="572" spans="23:25" x14ac:dyDescent="0.25">
      <c r="W572" s="214" t="s">
        <v>274</v>
      </c>
      <c r="X572" s="214" t="s">
        <v>802</v>
      </c>
      <c r="Y572" s="220">
        <v>1</v>
      </c>
    </row>
    <row r="573" spans="23:25" x14ac:dyDescent="0.25">
      <c r="W573" s="214" t="s">
        <v>258</v>
      </c>
      <c r="X573" s="214" t="s">
        <v>803</v>
      </c>
      <c r="Y573" s="220">
        <v>3</v>
      </c>
    </row>
    <row r="574" spans="23:25" x14ac:dyDescent="0.25">
      <c r="W574" s="214" t="s">
        <v>258</v>
      </c>
      <c r="X574" s="214" t="s">
        <v>804</v>
      </c>
      <c r="Y574" s="220">
        <v>3</v>
      </c>
    </row>
    <row r="575" spans="23:25" x14ac:dyDescent="0.25">
      <c r="W575" s="214" t="s">
        <v>274</v>
      </c>
      <c r="X575" s="214" t="s">
        <v>805</v>
      </c>
      <c r="Y575" s="220">
        <v>2</v>
      </c>
    </row>
    <row r="576" spans="23:25" x14ac:dyDescent="0.25">
      <c r="W576" s="214" t="s">
        <v>274</v>
      </c>
      <c r="X576" s="214" t="s">
        <v>806</v>
      </c>
      <c r="Y576" s="220">
        <v>2</v>
      </c>
    </row>
    <row r="577" spans="23:25" x14ac:dyDescent="0.25">
      <c r="W577" s="214" t="s">
        <v>274</v>
      </c>
      <c r="X577" s="214" t="s">
        <v>807</v>
      </c>
      <c r="Y577" s="220">
        <v>2</v>
      </c>
    </row>
    <row r="578" spans="23:25" x14ac:dyDescent="0.25">
      <c r="W578" s="214" t="s">
        <v>274</v>
      </c>
      <c r="X578" s="214" t="s">
        <v>808</v>
      </c>
      <c r="Y578" s="220">
        <v>2</v>
      </c>
    </row>
    <row r="579" spans="23:25" x14ac:dyDescent="0.25">
      <c r="W579" s="214" t="s">
        <v>274</v>
      </c>
      <c r="X579" s="214" t="s">
        <v>809</v>
      </c>
      <c r="Y579" s="220">
        <v>2</v>
      </c>
    </row>
    <row r="580" spans="23:25" x14ac:dyDescent="0.25">
      <c r="W580" s="214" t="s">
        <v>258</v>
      </c>
      <c r="X580" s="214" t="s">
        <v>810</v>
      </c>
      <c r="Y580" s="220">
        <v>3</v>
      </c>
    </row>
    <row r="581" spans="23:25" x14ac:dyDescent="0.25">
      <c r="W581" s="214" t="s">
        <v>258</v>
      </c>
      <c r="X581" s="214" t="s">
        <v>811</v>
      </c>
      <c r="Y581" s="220">
        <v>4</v>
      </c>
    </row>
    <row r="582" spans="23:25" x14ac:dyDescent="0.25">
      <c r="W582" s="214" t="s">
        <v>274</v>
      </c>
      <c r="X582" s="214" t="s">
        <v>812</v>
      </c>
      <c r="Y582" s="220">
        <v>2</v>
      </c>
    </row>
    <row r="583" spans="23:25" x14ac:dyDescent="0.25">
      <c r="W583" s="214" t="s">
        <v>274</v>
      </c>
      <c r="X583" s="214" t="s">
        <v>813</v>
      </c>
      <c r="Y583" s="220">
        <v>2</v>
      </c>
    </row>
    <row r="584" spans="23:25" x14ac:dyDescent="0.25">
      <c r="W584" s="214" t="s">
        <v>274</v>
      </c>
      <c r="X584" s="214" t="s">
        <v>814</v>
      </c>
      <c r="Y584" s="220">
        <v>2</v>
      </c>
    </row>
    <row r="585" spans="23:25" x14ac:dyDescent="0.25">
      <c r="W585" s="214" t="s">
        <v>258</v>
      </c>
      <c r="X585" s="214" t="s">
        <v>815</v>
      </c>
      <c r="Y585" s="220">
        <v>3</v>
      </c>
    </row>
    <row r="586" spans="23:25" x14ac:dyDescent="0.25">
      <c r="W586" s="214" t="s">
        <v>274</v>
      </c>
      <c r="X586" s="214" t="s">
        <v>816</v>
      </c>
      <c r="Y586" s="220">
        <v>2</v>
      </c>
    </row>
    <row r="587" spans="23:25" x14ac:dyDescent="0.25">
      <c r="W587" s="214" t="s">
        <v>274</v>
      </c>
      <c r="X587" s="214" t="s">
        <v>817</v>
      </c>
      <c r="Y587" s="220">
        <v>2</v>
      </c>
    </row>
    <row r="588" spans="23:25" x14ac:dyDescent="0.25">
      <c r="W588" s="214" t="s">
        <v>258</v>
      </c>
      <c r="X588" s="214" t="s">
        <v>818</v>
      </c>
      <c r="Y588" s="220">
        <v>2</v>
      </c>
    </row>
    <row r="589" spans="23:25" x14ac:dyDescent="0.25">
      <c r="W589" s="214" t="s">
        <v>258</v>
      </c>
      <c r="X589" s="214" t="s">
        <v>819</v>
      </c>
      <c r="Y589" s="220">
        <v>3</v>
      </c>
    </row>
    <row r="590" spans="23:25" x14ac:dyDescent="0.25">
      <c r="W590" s="214" t="s">
        <v>274</v>
      </c>
      <c r="X590" s="214" t="s">
        <v>820</v>
      </c>
      <c r="Y590" s="220">
        <v>4</v>
      </c>
    </row>
    <row r="591" spans="23:25" x14ac:dyDescent="0.25">
      <c r="W591" s="214" t="s">
        <v>258</v>
      </c>
      <c r="X591" s="214" t="s">
        <v>821</v>
      </c>
      <c r="Y591" s="220">
        <v>3</v>
      </c>
    </row>
    <row r="592" spans="23:25" x14ac:dyDescent="0.25">
      <c r="W592" s="214" t="s">
        <v>239</v>
      </c>
      <c r="X592" s="214" t="s">
        <v>822</v>
      </c>
      <c r="Y592" s="220">
        <v>3</v>
      </c>
    </row>
    <row r="593" spans="23:25" x14ac:dyDescent="0.25">
      <c r="W593" s="214" t="s">
        <v>258</v>
      </c>
      <c r="X593" s="214" t="s">
        <v>823</v>
      </c>
      <c r="Y593" s="220">
        <v>3</v>
      </c>
    </row>
    <row r="594" spans="23:25" x14ac:dyDescent="0.25">
      <c r="W594" s="214" t="s">
        <v>274</v>
      </c>
      <c r="X594" s="214" t="s">
        <v>824</v>
      </c>
      <c r="Y594" s="220">
        <v>2</v>
      </c>
    </row>
    <row r="595" spans="23:25" x14ac:dyDescent="0.25">
      <c r="W595" s="214" t="s">
        <v>258</v>
      </c>
      <c r="X595" s="214" t="s">
        <v>825</v>
      </c>
      <c r="Y595" s="220">
        <v>4</v>
      </c>
    </row>
    <row r="596" spans="23:25" x14ac:dyDescent="0.25">
      <c r="W596" s="214" t="s">
        <v>274</v>
      </c>
      <c r="X596" s="214" t="s">
        <v>826</v>
      </c>
      <c r="Y596" s="220">
        <v>2</v>
      </c>
    </row>
    <row r="597" spans="23:25" x14ac:dyDescent="0.25">
      <c r="W597" s="214" t="s">
        <v>239</v>
      </c>
      <c r="X597" s="214" t="s">
        <v>827</v>
      </c>
      <c r="Y597" s="220">
        <v>3</v>
      </c>
    </row>
    <row r="598" spans="23:25" x14ac:dyDescent="0.25">
      <c r="W598" s="214" t="s">
        <v>274</v>
      </c>
      <c r="X598" s="214" t="s">
        <v>828</v>
      </c>
      <c r="Y598" s="220">
        <v>3</v>
      </c>
    </row>
    <row r="599" spans="23:25" x14ac:dyDescent="0.25">
      <c r="W599" s="214" t="s">
        <v>258</v>
      </c>
      <c r="X599" s="214" t="s">
        <v>829</v>
      </c>
      <c r="Y599" s="220">
        <v>3</v>
      </c>
    </row>
    <row r="600" spans="23:25" x14ac:dyDescent="0.25">
      <c r="W600" s="214" t="s">
        <v>274</v>
      </c>
      <c r="X600" s="214" t="s">
        <v>830</v>
      </c>
      <c r="Y600" s="220">
        <v>2</v>
      </c>
    </row>
    <row r="601" spans="23:25" x14ac:dyDescent="0.25">
      <c r="W601" s="214" t="s">
        <v>258</v>
      </c>
      <c r="X601" s="214" t="s">
        <v>831</v>
      </c>
      <c r="Y601" s="220">
        <v>3</v>
      </c>
    </row>
    <row r="602" spans="23:25" x14ac:dyDescent="0.25">
      <c r="W602" s="214" t="s">
        <v>258</v>
      </c>
      <c r="X602" s="214" t="s">
        <v>832</v>
      </c>
      <c r="Y602" s="220">
        <v>3</v>
      </c>
    </row>
    <row r="603" spans="23:25" x14ac:dyDescent="0.25">
      <c r="W603" s="214" t="s">
        <v>274</v>
      </c>
      <c r="X603" s="214" t="s">
        <v>833</v>
      </c>
      <c r="Y603" s="220">
        <v>2</v>
      </c>
    </row>
    <row r="604" spans="23:25" x14ac:dyDescent="0.25">
      <c r="W604" s="214" t="s">
        <v>274</v>
      </c>
      <c r="X604" s="214" t="s">
        <v>834</v>
      </c>
      <c r="Y604" s="220">
        <v>2</v>
      </c>
    </row>
    <row r="605" spans="23:25" x14ac:dyDescent="0.25">
      <c r="W605" s="214" t="s">
        <v>274</v>
      </c>
      <c r="X605" s="214" t="s">
        <v>835</v>
      </c>
      <c r="Y605" s="220">
        <v>2</v>
      </c>
    </row>
    <row r="606" spans="23:25" x14ac:dyDescent="0.25">
      <c r="W606" s="214" t="s">
        <v>274</v>
      </c>
      <c r="X606" s="214" t="s">
        <v>836</v>
      </c>
      <c r="Y606" s="220">
        <v>2</v>
      </c>
    </row>
    <row r="607" spans="23:25" x14ac:dyDescent="0.25">
      <c r="W607" s="214" t="s">
        <v>274</v>
      </c>
      <c r="X607" s="214" t="s">
        <v>837</v>
      </c>
      <c r="Y607" s="220">
        <v>3</v>
      </c>
    </row>
    <row r="608" spans="23:25" x14ac:dyDescent="0.25">
      <c r="W608" s="214" t="s">
        <v>274</v>
      </c>
      <c r="X608" s="214" t="s">
        <v>838</v>
      </c>
      <c r="Y608" s="220">
        <v>2</v>
      </c>
    </row>
    <row r="609" spans="23:25" x14ac:dyDescent="0.25">
      <c r="W609" s="214" t="s">
        <v>258</v>
      </c>
      <c r="X609" s="214" t="s">
        <v>839</v>
      </c>
      <c r="Y609" s="220">
        <v>3</v>
      </c>
    </row>
    <row r="610" spans="23:25" x14ac:dyDescent="0.25">
      <c r="W610" s="214" t="s">
        <v>274</v>
      </c>
      <c r="X610" s="214" t="s">
        <v>840</v>
      </c>
      <c r="Y610" s="220">
        <v>2</v>
      </c>
    </row>
    <row r="611" spans="23:25" x14ac:dyDescent="0.25">
      <c r="W611" s="214" t="s">
        <v>274</v>
      </c>
      <c r="X611" s="214" t="s">
        <v>841</v>
      </c>
      <c r="Y611" s="220">
        <v>2</v>
      </c>
    </row>
    <row r="612" spans="23:25" x14ac:dyDescent="0.25">
      <c r="W612" s="214" t="s">
        <v>258</v>
      </c>
      <c r="X612" s="214" t="s">
        <v>842</v>
      </c>
      <c r="Y612" s="220">
        <v>3</v>
      </c>
    </row>
    <row r="613" spans="23:25" x14ac:dyDescent="0.25">
      <c r="W613" s="214" t="s">
        <v>274</v>
      </c>
      <c r="X613" s="214" t="s">
        <v>843</v>
      </c>
      <c r="Y613" s="220">
        <v>3</v>
      </c>
    </row>
    <row r="614" spans="23:25" x14ac:dyDescent="0.25">
      <c r="W614" s="214" t="s">
        <v>274</v>
      </c>
      <c r="X614" s="214" t="s">
        <v>844</v>
      </c>
      <c r="Y614" s="220">
        <v>2</v>
      </c>
    </row>
    <row r="615" spans="23:25" x14ac:dyDescent="0.25">
      <c r="W615" s="214" t="s">
        <v>258</v>
      </c>
      <c r="X615" s="214" t="s">
        <v>845</v>
      </c>
      <c r="Y615" s="220">
        <v>3</v>
      </c>
    </row>
    <row r="616" spans="23:25" x14ac:dyDescent="0.25">
      <c r="W616" s="214" t="s">
        <v>274</v>
      </c>
      <c r="X616" s="214" t="s">
        <v>846</v>
      </c>
      <c r="Y616" s="220">
        <v>2</v>
      </c>
    </row>
    <row r="617" spans="23:25" x14ac:dyDescent="0.25">
      <c r="W617" s="214" t="s">
        <v>258</v>
      </c>
      <c r="X617" s="214" t="s">
        <v>847</v>
      </c>
      <c r="Y617" s="220">
        <v>3</v>
      </c>
    </row>
    <row r="618" spans="23:25" x14ac:dyDescent="0.25">
      <c r="W618" s="214" t="s">
        <v>258</v>
      </c>
      <c r="X618" s="214" t="s">
        <v>848</v>
      </c>
      <c r="Y618" s="220">
        <v>3</v>
      </c>
    </row>
    <row r="619" spans="23:25" x14ac:dyDescent="0.25">
      <c r="W619" s="214" t="s">
        <v>258</v>
      </c>
      <c r="X619" s="214" t="s">
        <v>849</v>
      </c>
      <c r="Y619" s="220">
        <v>3</v>
      </c>
    </row>
    <row r="620" spans="23:25" x14ac:dyDescent="0.25">
      <c r="W620" s="214" t="s">
        <v>258</v>
      </c>
      <c r="X620" s="214" t="s">
        <v>850</v>
      </c>
      <c r="Y620" s="220">
        <v>3</v>
      </c>
    </row>
    <row r="621" spans="23:25" x14ac:dyDescent="0.25">
      <c r="W621" s="214" t="s">
        <v>274</v>
      </c>
      <c r="X621" s="214" t="s">
        <v>851</v>
      </c>
      <c r="Y621" s="220">
        <v>2</v>
      </c>
    </row>
    <row r="622" spans="23:25" x14ac:dyDescent="0.25">
      <c r="W622" s="214" t="s">
        <v>274</v>
      </c>
      <c r="X622" s="214" t="s">
        <v>852</v>
      </c>
      <c r="Y622" s="220">
        <v>2</v>
      </c>
    </row>
    <row r="623" spans="23:25" x14ac:dyDescent="0.25">
      <c r="W623" s="214" t="s">
        <v>274</v>
      </c>
      <c r="X623" s="214" t="s">
        <v>853</v>
      </c>
      <c r="Y623" s="220">
        <v>4</v>
      </c>
    </row>
    <row r="624" spans="23:25" x14ac:dyDescent="0.25">
      <c r="W624" s="214" t="s">
        <v>258</v>
      </c>
      <c r="X624" s="214" t="s">
        <v>854</v>
      </c>
      <c r="Y624" s="220">
        <v>3</v>
      </c>
    </row>
    <row r="625" spans="23:25" x14ac:dyDescent="0.25">
      <c r="W625" s="214" t="s">
        <v>258</v>
      </c>
      <c r="X625" s="214" t="s">
        <v>855</v>
      </c>
      <c r="Y625" s="220">
        <v>3</v>
      </c>
    </row>
    <row r="626" spans="23:25" x14ac:dyDescent="0.25">
      <c r="W626" s="214" t="s">
        <v>258</v>
      </c>
      <c r="X626" s="214" t="s">
        <v>856</v>
      </c>
      <c r="Y626" s="220">
        <v>3</v>
      </c>
    </row>
    <row r="627" spans="23:25" x14ac:dyDescent="0.25">
      <c r="W627" s="214" t="s">
        <v>258</v>
      </c>
      <c r="X627" s="214" t="s">
        <v>857</v>
      </c>
      <c r="Y627" s="220">
        <v>3</v>
      </c>
    </row>
    <row r="628" spans="23:25" x14ac:dyDescent="0.25">
      <c r="W628" s="214" t="s">
        <v>258</v>
      </c>
      <c r="X628" s="214" t="s">
        <v>858</v>
      </c>
      <c r="Y628" s="220">
        <v>3</v>
      </c>
    </row>
    <row r="629" spans="23:25" x14ac:dyDescent="0.25">
      <c r="W629" s="214" t="s">
        <v>274</v>
      </c>
      <c r="X629" s="214" t="s">
        <v>859</v>
      </c>
      <c r="Y629" s="220">
        <v>3</v>
      </c>
    </row>
    <row r="630" spans="23:25" x14ac:dyDescent="0.25">
      <c r="W630" s="214" t="s">
        <v>258</v>
      </c>
      <c r="X630" s="214" t="s">
        <v>860</v>
      </c>
      <c r="Y630" s="220">
        <v>3</v>
      </c>
    </row>
    <row r="631" spans="23:25" x14ac:dyDescent="0.25">
      <c r="W631" s="214" t="s">
        <v>258</v>
      </c>
      <c r="X631" s="214" t="s">
        <v>861</v>
      </c>
      <c r="Y631" s="220">
        <v>3</v>
      </c>
    </row>
    <row r="632" spans="23:25" x14ac:dyDescent="0.25">
      <c r="W632" s="214" t="s">
        <v>258</v>
      </c>
      <c r="X632" s="214" t="s">
        <v>862</v>
      </c>
      <c r="Y632" s="220">
        <v>3</v>
      </c>
    </row>
    <row r="633" spans="23:25" x14ac:dyDescent="0.25">
      <c r="W633" s="214" t="s">
        <v>274</v>
      </c>
      <c r="X633" s="214" t="s">
        <v>863</v>
      </c>
      <c r="Y633" s="220">
        <v>3</v>
      </c>
    </row>
    <row r="634" spans="23:25" x14ac:dyDescent="0.25">
      <c r="W634" s="214" t="s">
        <v>258</v>
      </c>
      <c r="X634" s="214" t="s">
        <v>864</v>
      </c>
      <c r="Y634" s="220">
        <v>3</v>
      </c>
    </row>
    <row r="635" spans="23:25" x14ac:dyDescent="0.25">
      <c r="W635" s="214" t="s">
        <v>274</v>
      </c>
      <c r="X635" s="214" t="s">
        <v>865</v>
      </c>
      <c r="Y635" s="220">
        <v>2</v>
      </c>
    </row>
    <row r="636" spans="23:25" x14ac:dyDescent="0.25">
      <c r="W636" s="214" t="s">
        <v>258</v>
      </c>
      <c r="X636" s="214" t="s">
        <v>866</v>
      </c>
      <c r="Y636" s="220">
        <v>4</v>
      </c>
    </row>
    <row r="637" spans="23:25" x14ac:dyDescent="0.25">
      <c r="W637" s="214" t="s">
        <v>258</v>
      </c>
      <c r="X637" s="214" t="s">
        <v>867</v>
      </c>
      <c r="Y637" s="220">
        <v>4</v>
      </c>
    </row>
    <row r="638" spans="23:25" x14ac:dyDescent="0.25">
      <c r="W638" s="214" t="s">
        <v>258</v>
      </c>
      <c r="X638" s="214" t="s">
        <v>868</v>
      </c>
      <c r="Y638" s="220">
        <v>3</v>
      </c>
    </row>
    <row r="639" spans="23:25" x14ac:dyDescent="0.25">
      <c r="W639" s="214" t="s">
        <v>258</v>
      </c>
      <c r="X639" s="214" t="s">
        <v>869</v>
      </c>
      <c r="Y639" s="220">
        <v>3</v>
      </c>
    </row>
    <row r="640" spans="23:25" x14ac:dyDescent="0.25">
      <c r="W640" s="214" t="s">
        <v>258</v>
      </c>
      <c r="X640" s="214" t="s">
        <v>870</v>
      </c>
      <c r="Y640" s="220">
        <v>3</v>
      </c>
    </row>
    <row r="641" spans="23:25" x14ac:dyDescent="0.25">
      <c r="W641" s="214" t="s">
        <v>258</v>
      </c>
      <c r="X641" s="214" t="s">
        <v>871</v>
      </c>
      <c r="Y641" s="220">
        <v>3</v>
      </c>
    </row>
    <row r="642" spans="23:25" x14ac:dyDescent="0.25">
      <c r="W642" s="214" t="s">
        <v>258</v>
      </c>
      <c r="X642" s="214" t="s">
        <v>872</v>
      </c>
      <c r="Y642" s="220">
        <v>3</v>
      </c>
    </row>
    <row r="643" spans="23:25" x14ac:dyDescent="0.25">
      <c r="W643" s="214" t="s">
        <v>274</v>
      </c>
      <c r="X643" s="214" t="s">
        <v>873</v>
      </c>
      <c r="Y643" s="220">
        <v>3</v>
      </c>
    </row>
    <row r="644" spans="23:25" x14ac:dyDescent="0.25">
      <c r="W644" s="214" t="s">
        <v>258</v>
      </c>
      <c r="X644" s="214" t="s">
        <v>874</v>
      </c>
      <c r="Y644" s="220">
        <v>3</v>
      </c>
    </row>
    <row r="645" spans="23:25" x14ac:dyDescent="0.25">
      <c r="W645" s="214" t="s">
        <v>274</v>
      </c>
      <c r="X645" s="214" t="s">
        <v>875</v>
      </c>
      <c r="Y645" s="220">
        <v>3</v>
      </c>
    </row>
    <row r="646" spans="23:25" x14ac:dyDescent="0.25">
      <c r="W646" s="214" t="s">
        <v>258</v>
      </c>
      <c r="X646" s="214" t="s">
        <v>876</v>
      </c>
      <c r="Y646" s="220">
        <v>2</v>
      </c>
    </row>
    <row r="647" spans="23:25" x14ac:dyDescent="0.25">
      <c r="W647" s="214" t="s">
        <v>258</v>
      </c>
      <c r="X647" s="214" t="s">
        <v>877</v>
      </c>
      <c r="Y647" s="220">
        <v>4</v>
      </c>
    </row>
    <row r="648" spans="23:25" x14ac:dyDescent="0.25">
      <c r="W648" s="214" t="s">
        <v>258</v>
      </c>
      <c r="X648" s="214" t="s">
        <v>878</v>
      </c>
      <c r="Y648" s="220">
        <v>3</v>
      </c>
    </row>
    <row r="649" spans="23:25" x14ac:dyDescent="0.25">
      <c r="W649" s="214" t="s">
        <v>258</v>
      </c>
      <c r="X649" s="214" t="s">
        <v>879</v>
      </c>
      <c r="Y649" s="220">
        <v>3</v>
      </c>
    </row>
    <row r="650" spans="23:25" x14ac:dyDescent="0.25">
      <c r="W650" s="214" t="s">
        <v>258</v>
      </c>
      <c r="X650" s="214" t="s">
        <v>880</v>
      </c>
      <c r="Y650" s="220">
        <v>3</v>
      </c>
    </row>
    <row r="651" spans="23:25" x14ac:dyDescent="0.25">
      <c r="W651" s="214" t="s">
        <v>258</v>
      </c>
      <c r="X651" s="214" t="s">
        <v>881</v>
      </c>
      <c r="Y651" s="220">
        <v>3</v>
      </c>
    </row>
    <row r="652" spans="23:25" x14ac:dyDescent="0.25">
      <c r="W652" s="214" t="s">
        <v>258</v>
      </c>
      <c r="X652" s="214" t="s">
        <v>882</v>
      </c>
      <c r="Y652" s="220">
        <v>3</v>
      </c>
    </row>
    <row r="653" spans="23:25" x14ac:dyDescent="0.25">
      <c r="W653" s="214" t="s">
        <v>258</v>
      </c>
      <c r="X653" s="214" t="s">
        <v>883</v>
      </c>
      <c r="Y653" s="220">
        <v>3</v>
      </c>
    </row>
    <row r="654" spans="23:25" x14ac:dyDescent="0.25">
      <c r="W654" s="214" t="s">
        <v>274</v>
      </c>
      <c r="X654" s="214" t="s">
        <v>884</v>
      </c>
      <c r="Y654" s="220">
        <v>4</v>
      </c>
    </row>
    <row r="655" spans="23:25" x14ac:dyDescent="0.25">
      <c r="W655" s="214" t="s">
        <v>258</v>
      </c>
      <c r="X655" s="214" t="s">
        <v>885</v>
      </c>
      <c r="Y655" s="220">
        <v>3</v>
      </c>
    </row>
    <row r="656" spans="23:25" x14ac:dyDescent="0.25">
      <c r="W656" s="214" t="s">
        <v>258</v>
      </c>
      <c r="X656" s="214" t="s">
        <v>886</v>
      </c>
      <c r="Y656" s="220">
        <v>3</v>
      </c>
    </row>
    <row r="657" spans="23:25" x14ac:dyDescent="0.25">
      <c r="W657" s="214" t="s">
        <v>258</v>
      </c>
      <c r="X657" s="214" t="s">
        <v>887</v>
      </c>
      <c r="Y657" s="220">
        <v>3</v>
      </c>
    </row>
    <row r="658" spans="23:25" x14ac:dyDescent="0.25">
      <c r="W658" s="214" t="s">
        <v>258</v>
      </c>
      <c r="X658" s="214" t="s">
        <v>888</v>
      </c>
      <c r="Y658" s="220">
        <v>3</v>
      </c>
    </row>
    <row r="659" spans="23:25" x14ac:dyDescent="0.25">
      <c r="W659" s="214" t="s">
        <v>258</v>
      </c>
      <c r="X659" s="214" t="s">
        <v>889</v>
      </c>
      <c r="Y659" s="220">
        <v>3</v>
      </c>
    </row>
    <row r="660" spans="23:25" x14ac:dyDescent="0.25">
      <c r="W660" s="214" t="s">
        <v>258</v>
      </c>
      <c r="X660" s="214" t="s">
        <v>890</v>
      </c>
      <c r="Y660" s="220">
        <v>3</v>
      </c>
    </row>
    <row r="661" spans="23:25" x14ac:dyDescent="0.25">
      <c r="W661" s="214" t="s">
        <v>258</v>
      </c>
      <c r="X661" s="214" t="s">
        <v>891</v>
      </c>
      <c r="Y661" s="220">
        <v>3</v>
      </c>
    </row>
    <row r="662" spans="23:25" x14ac:dyDescent="0.25">
      <c r="W662" s="214" t="s">
        <v>274</v>
      </c>
      <c r="X662" s="214" t="s">
        <v>892</v>
      </c>
      <c r="Y662" s="220">
        <v>4</v>
      </c>
    </row>
    <row r="663" spans="23:25" x14ac:dyDescent="0.25">
      <c r="W663" s="214" t="s">
        <v>258</v>
      </c>
      <c r="X663" s="214" t="s">
        <v>893</v>
      </c>
      <c r="Y663" s="220">
        <v>3</v>
      </c>
    </row>
    <row r="664" spans="23:25" x14ac:dyDescent="0.25">
      <c r="W664" s="214" t="s">
        <v>258</v>
      </c>
      <c r="X664" s="214" t="s">
        <v>894</v>
      </c>
      <c r="Y664" s="220">
        <v>3</v>
      </c>
    </row>
    <row r="665" spans="23:25" x14ac:dyDescent="0.25">
      <c r="W665" s="214" t="s">
        <v>258</v>
      </c>
      <c r="X665" s="214" t="s">
        <v>895</v>
      </c>
      <c r="Y665" s="220">
        <v>3</v>
      </c>
    </row>
    <row r="666" spans="23:25" x14ac:dyDescent="0.25">
      <c r="W666" s="214" t="s">
        <v>258</v>
      </c>
      <c r="X666" s="214" t="s">
        <v>896</v>
      </c>
      <c r="Y666" s="220">
        <v>3</v>
      </c>
    </row>
    <row r="667" spans="23:25" x14ac:dyDescent="0.25">
      <c r="W667" s="214" t="s">
        <v>258</v>
      </c>
      <c r="X667" s="214" t="s">
        <v>897</v>
      </c>
      <c r="Y667" s="220">
        <v>3</v>
      </c>
    </row>
    <row r="668" spans="23:25" x14ac:dyDescent="0.25">
      <c r="W668" s="214" t="s">
        <v>258</v>
      </c>
      <c r="X668" s="214" t="s">
        <v>898</v>
      </c>
      <c r="Y668" s="220">
        <v>3</v>
      </c>
    </row>
    <row r="669" spans="23:25" x14ac:dyDescent="0.25">
      <c r="W669" s="214" t="s">
        <v>258</v>
      </c>
      <c r="X669" s="214" t="s">
        <v>899</v>
      </c>
      <c r="Y669" s="220">
        <v>3</v>
      </c>
    </row>
    <row r="670" spans="23:25" x14ac:dyDescent="0.25">
      <c r="W670" s="214" t="s">
        <v>258</v>
      </c>
      <c r="X670" s="214" t="s">
        <v>900</v>
      </c>
      <c r="Y670" s="220">
        <v>3</v>
      </c>
    </row>
    <row r="671" spans="23:25" x14ac:dyDescent="0.25">
      <c r="W671" s="214" t="s">
        <v>258</v>
      </c>
      <c r="X671" s="214" t="s">
        <v>901</v>
      </c>
      <c r="Y671" s="220">
        <v>3</v>
      </c>
    </row>
    <row r="672" spans="23:25" x14ac:dyDescent="0.25">
      <c r="W672" s="214" t="s">
        <v>258</v>
      </c>
      <c r="X672" s="214" t="s">
        <v>902</v>
      </c>
      <c r="Y672" s="220">
        <v>3</v>
      </c>
    </row>
    <row r="673" spans="23:25" x14ac:dyDescent="0.25">
      <c r="W673" s="214" t="s">
        <v>258</v>
      </c>
      <c r="X673" s="214" t="s">
        <v>903</v>
      </c>
      <c r="Y673" s="220">
        <v>3</v>
      </c>
    </row>
    <row r="674" spans="23:25" x14ac:dyDescent="0.25">
      <c r="W674" s="214" t="s">
        <v>258</v>
      </c>
      <c r="X674" s="214" t="s">
        <v>904</v>
      </c>
      <c r="Y674" s="220">
        <v>3</v>
      </c>
    </row>
    <row r="675" spans="23:25" x14ac:dyDescent="0.25">
      <c r="W675" s="214" t="s">
        <v>258</v>
      </c>
      <c r="X675" s="214" t="s">
        <v>905</v>
      </c>
      <c r="Y675" s="220">
        <v>2</v>
      </c>
    </row>
    <row r="676" spans="23:25" x14ac:dyDescent="0.25">
      <c r="W676" s="214" t="s">
        <v>258</v>
      </c>
      <c r="X676" s="214" t="s">
        <v>906</v>
      </c>
      <c r="Y676" s="220">
        <v>3</v>
      </c>
    </row>
    <row r="677" spans="23:25" x14ac:dyDescent="0.25">
      <c r="W677" s="214" t="s">
        <v>258</v>
      </c>
      <c r="X677" s="214" t="s">
        <v>907</v>
      </c>
      <c r="Y677" s="220">
        <v>3</v>
      </c>
    </row>
    <row r="678" spans="23:25" x14ac:dyDescent="0.25">
      <c r="W678" s="214" t="s">
        <v>258</v>
      </c>
      <c r="X678" s="214" t="s">
        <v>908</v>
      </c>
      <c r="Y678" s="220">
        <v>3</v>
      </c>
    </row>
    <row r="679" spans="23:25" x14ac:dyDescent="0.25">
      <c r="W679" s="214" t="s">
        <v>274</v>
      </c>
      <c r="X679" s="214" t="s">
        <v>909</v>
      </c>
      <c r="Y679" s="220">
        <v>3</v>
      </c>
    </row>
    <row r="680" spans="23:25" x14ac:dyDescent="0.25">
      <c r="W680" s="214" t="s">
        <v>258</v>
      </c>
      <c r="X680" s="214" t="s">
        <v>910</v>
      </c>
      <c r="Y680" s="220">
        <v>4</v>
      </c>
    </row>
    <row r="681" spans="23:25" x14ac:dyDescent="0.25">
      <c r="W681" s="214" t="s">
        <v>258</v>
      </c>
      <c r="X681" s="214" t="s">
        <v>911</v>
      </c>
      <c r="Y681" s="220">
        <v>3</v>
      </c>
    </row>
    <row r="682" spans="23:25" x14ac:dyDescent="0.25">
      <c r="W682" s="214" t="s">
        <v>258</v>
      </c>
      <c r="X682" s="214" t="s">
        <v>912</v>
      </c>
      <c r="Y682" s="220">
        <v>3</v>
      </c>
    </row>
    <row r="683" spans="23:25" x14ac:dyDescent="0.25">
      <c r="W683" s="214" t="s">
        <v>258</v>
      </c>
      <c r="X683" s="214" t="s">
        <v>913</v>
      </c>
      <c r="Y683" s="220">
        <v>3</v>
      </c>
    </row>
    <row r="684" spans="23:25" x14ac:dyDescent="0.25">
      <c r="W684" s="214" t="s">
        <v>258</v>
      </c>
      <c r="X684" s="214" t="s">
        <v>914</v>
      </c>
      <c r="Y684" s="220">
        <v>3</v>
      </c>
    </row>
    <row r="685" spans="23:25" x14ac:dyDescent="0.25">
      <c r="W685" s="214" t="s">
        <v>258</v>
      </c>
      <c r="X685" s="214" t="s">
        <v>915</v>
      </c>
      <c r="Y685" s="220">
        <v>4</v>
      </c>
    </row>
    <row r="686" spans="23:25" x14ac:dyDescent="0.25">
      <c r="W686" s="214" t="s">
        <v>258</v>
      </c>
      <c r="X686" s="214" t="s">
        <v>916</v>
      </c>
      <c r="Y686" s="220">
        <v>4</v>
      </c>
    </row>
    <row r="687" spans="23:25" x14ac:dyDescent="0.25">
      <c r="W687" s="214" t="s">
        <v>27</v>
      </c>
      <c r="X687" s="214" t="s">
        <v>917</v>
      </c>
      <c r="Y687" s="220">
        <v>2</v>
      </c>
    </row>
    <row r="688" spans="23:25" x14ac:dyDescent="0.25">
      <c r="W688" s="214" t="s">
        <v>232</v>
      </c>
      <c r="X688" s="214" t="s">
        <v>918</v>
      </c>
      <c r="Y688" s="220">
        <v>3</v>
      </c>
    </row>
    <row r="689" spans="23:25" x14ac:dyDescent="0.25">
      <c r="W689" s="214" t="s">
        <v>232</v>
      </c>
      <c r="X689" s="214" t="s">
        <v>919</v>
      </c>
      <c r="Y689" s="220">
        <v>3</v>
      </c>
    </row>
    <row r="690" spans="23:25" x14ac:dyDescent="0.25">
      <c r="W690" s="214" t="s">
        <v>27</v>
      </c>
      <c r="X690" s="214" t="s">
        <v>920</v>
      </c>
      <c r="Y690" s="220">
        <v>2</v>
      </c>
    </row>
    <row r="691" spans="23:25" x14ac:dyDescent="0.25">
      <c r="W691" s="214" t="s">
        <v>27</v>
      </c>
      <c r="X691" s="214" t="s">
        <v>921</v>
      </c>
      <c r="Y691" s="220">
        <v>2</v>
      </c>
    </row>
    <row r="692" spans="23:25" x14ac:dyDescent="0.25">
      <c r="W692" s="214" t="s">
        <v>27</v>
      </c>
      <c r="X692" s="214" t="s">
        <v>922</v>
      </c>
      <c r="Y692" s="220">
        <v>2</v>
      </c>
    </row>
    <row r="693" spans="23:25" x14ac:dyDescent="0.25">
      <c r="W693" s="214" t="s">
        <v>232</v>
      </c>
      <c r="X693" s="214" t="s">
        <v>923</v>
      </c>
      <c r="Y693" s="220">
        <v>1</v>
      </c>
    </row>
    <row r="694" spans="23:25" x14ac:dyDescent="0.25">
      <c r="W694" s="214" t="s">
        <v>27</v>
      </c>
      <c r="X694" s="214" t="s">
        <v>924</v>
      </c>
      <c r="Y694" s="220">
        <v>2</v>
      </c>
    </row>
    <row r="695" spans="23:25" x14ac:dyDescent="0.25">
      <c r="W695" s="214" t="s">
        <v>232</v>
      </c>
      <c r="X695" s="214" t="s">
        <v>5880</v>
      </c>
      <c r="Y695" s="220">
        <v>1</v>
      </c>
    </row>
    <row r="696" spans="23:25" x14ac:dyDescent="0.25">
      <c r="W696" s="214" t="s">
        <v>27</v>
      </c>
      <c r="X696" s="214" t="s">
        <v>925</v>
      </c>
      <c r="Y696" s="220">
        <v>2</v>
      </c>
    </row>
    <row r="697" spans="23:25" x14ac:dyDescent="0.25">
      <c r="W697" s="214" t="s">
        <v>27</v>
      </c>
      <c r="X697" s="214" t="s">
        <v>926</v>
      </c>
      <c r="Y697" s="220">
        <v>2</v>
      </c>
    </row>
    <row r="698" spans="23:25" x14ac:dyDescent="0.25">
      <c r="W698" s="214" t="s">
        <v>27</v>
      </c>
      <c r="X698" s="214" t="s">
        <v>927</v>
      </c>
      <c r="Y698" s="220">
        <v>2</v>
      </c>
    </row>
    <row r="699" spans="23:25" x14ac:dyDescent="0.25">
      <c r="W699" s="214" t="s">
        <v>27</v>
      </c>
      <c r="X699" s="214" t="s">
        <v>928</v>
      </c>
      <c r="Y699" s="220">
        <v>2</v>
      </c>
    </row>
    <row r="700" spans="23:25" x14ac:dyDescent="0.25">
      <c r="W700" s="214" t="s">
        <v>27</v>
      </c>
      <c r="X700" s="214" t="s">
        <v>929</v>
      </c>
      <c r="Y700" s="220">
        <v>2</v>
      </c>
    </row>
    <row r="701" spans="23:25" x14ac:dyDescent="0.25">
      <c r="W701" s="214" t="s">
        <v>232</v>
      </c>
      <c r="X701" s="214" t="s">
        <v>930</v>
      </c>
      <c r="Y701" s="220">
        <v>1</v>
      </c>
    </row>
    <row r="702" spans="23:25" x14ac:dyDescent="0.25">
      <c r="W702" s="214" t="s">
        <v>27</v>
      </c>
      <c r="X702" s="214" t="s">
        <v>931</v>
      </c>
      <c r="Y702" s="220">
        <v>2</v>
      </c>
    </row>
    <row r="703" spans="23:25" x14ac:dyDescent="0.25">
      <c r="W703" s="214" t="s">
        <v>27</v>
      </c>
      <c r="X703" s="214" t="s">
        <v>932</v>
      </c>
      <c r="Y703" s="220">
        <v>2</v>
      </c>
    </row>
    <row r="704" spans="23:25" x14ac:dyDescent="0.25">
      <c r="W704" s="214" t="s">
        <v>232</v>
      </c>
      <c r="X704" s="214" t="s">
        <v>933</v>
      </c>
      <c r="Y704" s="220">
        <v>1</v>
      </c>
    </row>
    <row r="705" spans="23:25" x14ac:dyDescent="0.25">
      <c r="W705" s="214" t="s">
        <v>232</v>
      </c>
      <c r="X705" s="214" t="s">
        <v>934</v>
      </c>
      <c r="Y705" s="220">
        <v>2</v>
      </c>
    </row>
    <row r="706" spans="23:25" x14ac:dyDescent="0.25">
      <c r="W706" s="214" t="s">
        <v>27</v>
      </c>
      <c r="X706" s="214" t="s">
        <v>935</v>
      </c>
      <c r="Y706" s="220">
        <v>2</v>
      </c>
    </row>
    <row r="707" spans="23:25" x14ac:dyDescent="0.25">
      <c r="W707" s="214" t="s">
        <v>27</v>
      </c>
      <c r="X707" s="214" t="s">
        <v>936</v>
      </c>
      <c r="Y707" s="220">
        <v>2</v>
      </c>
    </row>
    <row r="708" spans="23:25" x14ac:dyDescent="0.25">
      <c r="W708" s="214" t="s">
        <v>232</v>
      </c>
      <c r="X708" s="214" t="s">
        <v>937</v>
      </c>
      <c r="Y708" s="220">
        <v>2</v>
      </c>
    </row>
    <row r="709" spans="23:25" x14ac:dyDescent="0.25">
      <c r="W709" s="214" t="s">
        <v>232</v>
      </c>
      <c r="X709" s="214" t="s">
        <v>938</v>
      </c>
      <c r="Y709" s="220">
        <v>3</v>
      </c>
    </row>
    <row r="710" spans="23:25" x14ac:dyDescent="0.25">
      <c r="W710" s="214" t="s">
        <v>27</v>
      </c>
      <c r="X710" s="214" t="s">
        <v>939</v>
      </c>
      <c r="Y710" s="220">
        <v>2</v>
      </c>
    </row>
    <row r="711" spans="23:25" x14ac:dyDescent="0.25">
      <c r="W711" s="214" t="s">
        <v>232</v>
      </c>
      <c r="X711" s="214" t="s">
        <v>940</v>
      </c>
      <c r="Y711" s="220">
        <v>2</v>
      </c>
    </row>
    <row r="712" spans="23:25" x14ac:dyDescent="0.25">
      <c r="W712" s="214" t="s">
        <v>27</v>
      </c>
      <c r="X712" s="214" t="s">
        <v>941</v>
      </c>
      <c r="Y712" s="220">
        <v>2</v>
      </c>
    </row>
    <row r="713" spans="23:25" x14ac:dyDescent="0.25">
      <c r="W713" s="214" t="s">
        <v>27</v>
      </c>
      <c r="X713" s="214" t="s">
        <v>942</v>
      </c>
      <c r="Y713" s="220">
        <v>2</v>
      </c>
    </row>
    <row r="714" spans="23:25" x14ac:dyDescent="0.25">
      <c r="W714" s="214" t="s">
        <v>27</v>
      </c>
      <c r="X714" s="214" t="s">
        <v>943</v>
      </c>
      <c r="Y714" s="220">
        <v>2</v>
      </c>
    </row>
    <row r="715" spans="23:25" x14ac:dyDescent="0.25">
      <c r="W715" s="214" t="s">
        <v>27</v>
      </c>
      <c r="X715" s="214" t="s">
        <v>944</v>
      </c>
      <c r="Y715" s="220">
        <v>2</v>
      </c>
    </row>
    <row r="716" spans="23:25" x14ac:dyDescent="0.25">
      <c r="W716" s="214" t="s">
        <v>27</v>
      </c>
      <c r="X716" s="214" t="s">
        <v>945</v>
      </c>
      <c r="Y716" s="220">
        <v>2</v>
      </c>
    </row>
    <row r="717" spans="23:25" x14ac:dyDescent="0.25">
      <c r="W717" s="214" t="s">
        <v>27</v>
      </c>
      <c r="X717" s="214" t="s">
        <v>946</v>
      </c>
      <c r="Y717" s="220">
        <v>2</v>
      </c>
    </row>
    <row r="718" spans="23:25" x14ac:dyDescent="0.25">
      <c r="W718" s="214" t="s">
        <v>27</v>
      </c>
      <c r="X718" s="214" t="s">
        <v>947</v>
      </c>
      <c r="Y718" s="220">
        <v>2</v>
      </c>
    </row>
    <row r="719" spans="23:25" x14ac:dyDescent="0.25">
      <c r="W719" s="214" t="s">
        <v>232</v>
      </c>
      <c r="X719" s="214" t="s">
        <v>948</v>
      </c>
      <c r="Y719" s="220">
        <v>2</v>
      </c>
    </row>
    <row r="720" spans="23:25" x14ac:dyDescent="0.25">
      <c r="W720" s="214" t="s">
        <v>232</v>
      </c>
      <c r="X720" s="214" t="s">
        <v>949</v>
      </c>
      <c r="Y720" s="220">
        <v>2</v>
      </c>
    </row>
    <row r="721" spans="23:25" x14ac:dyDescent="0.25">
      <c r="W721" s="214" t="s">
        <v>232</v>
      </c>
      <c r="X721" s="214" t="s">
        <v>950</v>
      </c>
      <c r="Y721" s="220">
        <v>2</v>
      </c>
    </row>
    <row r="722" spans="23:25" x14ac:dyDescent="0.25">
      <c r="W722" s="214" t="s">
        <v>27</v>
      </c>
      <c r="X722" s="214" t="s">
        <v>951</v>
      </c>
      <c r="Y722" s="220">
        <v>1</v>
      </c>
    </row>
    <row r="723" spans="23:25" x14ac:dyDescent="0.25">
      <c r="W723" s="214" t="s">
        <v>27</v>
      </c>
      <c r="X723" s="214" t="s">
        <v>952</v>
      </c>
      <c r="Y723" s="220">
        <v>2</v>
      </c>
    </row>
    <row r="724" spans="23:25" x14ac:dyDescent="0.25">
      <c r="W724" s="214" t="s">
        <v>27</v>
      </c>
      <c r="X724" s="214" t="s">
        <v>953</v>
      </c>
      <c r="Y724" s="220">
        <v>3</v>
      </c>
    </row>
    <row r="725" spans="23:25" x14ac:dyDescent="0.25">
      <c r="W725" s="214" t="s">
        <v>232</v>
      </c>
      <c r="X725" s="214" t="s">
        <v>954</v>
      </c>
      <c r="Y725" s="220">
        <v>3</v>
      </c>
    </row>
    <row r="726" spans="23:25" x14ac:dyDescent="0.25">
      <c r="W726" s="214" t="s">
        <v>27</v>
      </c>
      <c r="X726" s="214" t="s">
        <v>955</v>
      </c>
      <c r="Y726" s="220">
        <v>2</v>
      </c>
    </row>
    <row r="727" spans="23:25" x14ac:dyDescent="0.25">
      <c r="W727" s="214" t="s">
        <v>27</v>
      </c>
      <c r="X727" s="214" t="s">
        <v>956</v>
      </c>
      <c r="Y727" s="220">
        <v>3</v>
      </c>
    </row>
    <row r="728" spans="23:25" x14ac:dyDescent="0.25">
      <c r="W728" s="214" t="s">
        <v>232</v>
      </c>
      <c r="X728" s="214" t="s">
        <v>957</v>
      </c>
      <c r="Y728" s="220">
        <v>2</v>
      </c>
    </row>
    <row r="729" spans="23:25" x14ac:dyDescent="0.25">
      <c r="W729" s="214" t="s">
        <v>232</v>
      </c>
      <c r="X729" s="214" t="s">
        <v>958</v>
      </c>
      <c r="Y729" s="220">
        <v>2</v>
      </c>
    </row>
    <row r="730" spans="23:25" x14ac:dyDescent="0.25">
      <c r="W730" s="214" t="s">
        <v>232</v>
      </c>
      <c r="X730" s="214" t="s">
        <v>959</v>
      </c>
      <c r="Y730" s="220">
        <v>2</v>
      </c>
    </row>
    <row r="731" spans="23:25" x14ac:dyDescent="0.25">
      <c r="W731" s="214" t="s">
        <v>27</v>
      </c>
      <c r="X731" s="214" t="s">
        <v>960</v>
      </c>
      <c r="Y731" s="220">
        <v>2</v>
      </c>
    </row>
    <row r="732" spans="23:25" x14ac:dyDescent="0.25">
      <c r="W732" s="214" t="s">
        <v>27</v>
      </c>
      <c r="X732" s="214" t="s">
        <v>961</v>
      </c>
      <c r="Y732" s="220">
        <v>2</v>
      </c>
    </row>
    <row r="733" spans="23:25" x14ac:dyDescent="0.25">
      <c r="W733" s="214" t="s">
        <v>232</v>
      </c>
      <c r="X733" s="214" t="s">
        <v>962</v>
      </c>
      <c r="Y733" s="220">
        <v>1</v>
      </c>
    </row>
    <row r="734" spans="23:25" x14ac:dyDescent="0.25">
      <c r="W734" s="214" t="s">
        <v>239</v>
      </c>
      <c r="X734" s="214" t="s">
        <v>963</v>
      </c>
      <c r="Y734" s="220">
        <v>2</v>
      </c>
    </row>
    <row r="735" spans="23:25" x14ac:dyDescent="0.25">
      <c r="W735" s="214" t="s">
        <v>232</v>
      </c>
      <c r="X735" s="214" t="s">
        <v>964</v>
      </c>
      <c r="Y735" s="220">
        <v>2</v>
      </c>
    </row>
    <row r="736" spans="23:25" x14ac:dyDescent="0.25">
      <c r="W736" s="214" t="s">
        <v>232</v>
      </c>
      <c r="X736" s="214" t="s">
        <v>965</v>
      </c>
      <c r="Y736" s="220">
        <v>2</v>
      </c>
    </row>
    <row r="737" spans="23:25" x14ac:dyDescent="0.25">
      <c r="W737" s="214" t="s">
        <v>232</v>
      </c>
      <c r="X737" s="214" t="s">
        <v>966</v>
      </c>
      <c r="Y737" s="220">
        <v>2</v>
      </c>
    </row>
    <row r="738" spans="23:25" x14ac:dyDescent="0.25">
      <c r="W738" s="214" t="s">
        <v>232</v>
      </c>
      <c r="X738" s="214" t="s">
        <v>967</v>
      </c>
      <c r="Y738" s="220">
        <v>1</v>
      </c>
    </row>
    <row r="739" spans="23:25" x14ac:dyDescent="0.25">
      <c r="W739" s="214" t="s">
        <v>232</v>
      </c>
      <c r="X739" s="214" t="s">
        <v>968</v>
      </c>
      <c r="Y739" s="220">
        <v>2</v>
      </c>
    </row>
    <row r="740" spans="23:25" x14ac:dyDescent="0.25">
      <c r="W740" s="214" t="s">
        <v>27</v>
      </c>
      <c r="X740" s="214" t="s">
        <v>969</v>
      </c>
      <c r="Y740" s="220">
        <v>2</v>
      </c>
    </row>
    <row r="741" spans="23:25" x14ac:dyDescent="0.25">
      <c r="W741" s="214" t="s">
        <v>232</v>
      </c>
      <c r="X741" s="214" t="s">
        <v>970</v>
      </c>
      <c r="Y741" s="220">
        <v>1</v>
      </c>
    </row>
    <row r="742" spans="23:25" x14ac:dyDescent="0.25">
      <c r="W742" s="214" t="s">
        <v>27</v>
      </c>
      <c r="X742" s="214" t="s">
        <v>971</v>
      </c>
      <c r="Y742" s="220">
        <v>2</v>
      </c>
    </row>
    <row r="743" spans="23:25" x14ac:dyDescent="0.25">
      <c r="W743" s="214" t="s">
        <v>232</v>
      </c>
      <c r="X743" s="214" t="s">
        <v>518</v>
      </c>
      <c r="Y743" s="220">
        <v>1</v>
      </c>
    </row>
    <row r="744" spans="23:25" x14ac:dyDescent="0.25">
      <c r="W744" s="214" t="s">
        <v>27</v>
      </c>
      <c r="X744" s="214" t="s">
        <v>972</v>
      </c>
      <c r="Y744" s="220">
        <v>2</v>
      </c>
    </row>
    <row r="745" spans="23:25" x14ac:dyDescent="0.25">
      <c r="W745" s="214" t="s">
        <v>27</v>
      </c>
      <c r="X745" s="214" t="s">
        <v>973</v>
      </c>
      <c r="Y745" s="220">
        <v>2</v>
      </c>
    </row>
    <row r="746" spans="23:25" x14ac:dyDescent="0.25">
      <c r="W746" s="214" t="s">
        <v>27</v>
      </c>
      <c r="X746" s="214" t="s">
        <v>974</v>
      </c>
      <c r="Y746" s="220">
        <v>1</v>
      </c>
    </row>
    <row r="747" spans="23:25" x14ac:dyDescent="0.25">
      <c r="W747" s="214" t="s">
        <v>232</v>
      </c>
      <c r="X747" s="214" t="s">
        <v>975</v>
      </c>
      <c r="Y747" s="220">
        <v>2</v>
      </c>
    </row>
    <row r="748" spans="23:25" x14ac:dyDescent="0.25">
      <c r="W748" s="214" t="s">
        <v>232</v>
      </c>
      <c r="X748" s="214" t="s">
        <v>976</v>
      </c>
      <c r="Y748" s="220">
        <v>1</v>
      </c>
    </row>
    <row r="749" spans="23:25" x14ac:dyDescent="0.25">
      <c r="W749" s="214" t="s">
        <v>232</v>
      </c>
      <c r="X749" s="214" t="s">
        <v>977</v>
      </c>
      <c r="Y749" s="220">
        <v>1</v>
      </c>
    </row>
    <row r="750" spans="23:25" x14ac:dyDescent="0.25">
      <c r="W750" s="214" t="s">
        <v>232</v>
      </c>
      <c r="X750" s="214" t="s">
        <v>978</v>
      </c>
      <c r="Y750" s="220">
        <v>1</v>
      </c>
    </row>
    <row r="751" spans="23:25" x14ac:dyDescent="0.25">
      <c r="W751" s="214" t="s">
        <v>27</v>
      </c>
      <c r="X751" s="214" t="s">
        <v>979</v>
      </c>
      <c r="Y751" s="220">
        <v>1</v>
      </c>
    </row>
    <row r="752" spans="23:25" x14ac:dyDescent="0.25">
      <c r="W752" s="214" t="s">
        <v>232</v>
      </c>
      <c r="X752" s="214" t="s">
        <v>980</v>
      </c>
      <c r="Y752" s="220">
        <v>1</v>
      </c>
    </row>
    <row r="753" spans="23:25" x14ac:dyDescent="0.25">
      <c r="W753" s="214" t="s">
        <v>27</v>
      </c>
      <c r="X753" s="214" t="s">
        <v>981</v>
      </c>
      <c r="Y753" s="220">
        <v>3</v>
      </c>
    </row>
    <row r="754" spans="23:25" x14ac:dyDescent="0.25">
      <c r="W754" s="214" t="s">
        <v>27</v>
      </c>
      <c r="X754" s="214" t="s">
        <v>982</v>
      </c>
      <c r="Y754" s="220">
        <v>2</v>
      </c>
    </row>
    <row r="755" spans="23:25" x14ac:dyDescent="0.25">
      <c r="W755" s="214" t="s">
        <v>27</v>
      </c>
      <c r="X755" s="214" t="s">
        <v>621</v>
      </c>
      <c r="Y755" s="220">
        <v>1</v>
      </c>
    </row>
    <row r="756" spans="23:25" x14ac:dyDescent="0.25">
      <c r="W756" s="214" t="s">
        <v>27</v>
      </c>
      <c r="X756" s="214" t="s">
        <v>983</v>
      </c>
      <c r="Y756" s="220">
        <v>3</v>
      </c>
    </row>
    <row r="757" spans="23:25" x14ac:dyDescent="0.25">
      <c r="W757" s="214" t="s">
        <v>27</v>
      </c>
      <c r="X757" s="214" t="s">
        <v>984</v>
      </c>
      <c r="Y757" s="220">
        <v>2</v>
      </c>
    </row>
    <row r="758" spans="23:25" x14ac:dyDescent="0.25">
      <c r="W758" s="214" t="s">
        <v>27</v>
      </c>
      <c r="X758" s="214" t="s">
        <v>985</v>
      </c>
      <c r="Y758" s="220">
        <v>1</v>
      </c>
    </row>
    <row r="759" spans="23:25" x14ac:dyDescent="0.25">
      <c r="W759" s="214" t="s">
        <v>232</v>
      </c>
      <c r="X759" s="214" t="s">
        <v>986</v>
      </c>
      <c r="Y759" s="220">
        <v>1</v>
      </c>
    </row>
    <row r="760" spans="23:25" x14ac:dyDescent="0.25">
      <c r="W760" s="214" t="s">
        <v>27</v>
      </c>
      <c r="X760" s="214" t="s">
        <v>987</v>
      </c>
      <c r="Y760" s="220">
        <v>2</v>
      </c>
    </row>
    <row r="761" spans="23:25" x14ac:dyDescent="0.25">
      <c r="W761" s="214" t="s">
        <v>27</v>
      </c>
      <c r="X761" s="214" t="s">
        <v>887</v>
      </c>
      <c r="Y761" s="220">
        <v>2</v>
      </c>
    </row>
    <row r="762" spans="23:25" x14ac:dyDescent="0.25">
      <c r="W762" s="214" t="s">
        <v>27</v>
      </c>
      <c r="X762" s="214" t="s">
        <v>988</v>
      </c>
      <c r="Y762" s="220">
        <v>1</v>
      </c>
    </row>
    <row r="763" spans="23:25" x14ac:dyDescent="0.25">
      <c r="W763" s="214" t="s">
        <v>232</v>
      </c>
      <c r="X763" s="214" t="s">
        <v>989</v>
      </c>
      <c r="Y763" s="220">
        <v>1</v>
      </c>
    </row>
    <row r="764" spans="23:25" x14ac:dyDescent="0.25">
      <c r="W764" s="214" t="s">
        <v>232</v>
      </c>
      <c r="X764" s="214" t="s">
        <v>990</v>
      </c>
      <c r="Y764" s="220">
        <v>2</v>
      </c>
    </row>
    <row r="765" spans="23:25" x14ac:dyDescent="0.25">
      <c r="W765" s="214" t="s">
        <v>27</v>
      </c>
      <c r="X765" s="214" t="s">
        <v>991</v>
      </c>
      <c r="Y765" s="220">
        <v>1</v>
      </c>
    </row>
    <row r="766" spans="23:25" x14ac:dyDescent="0.25">
      <c r="W766" s="214" t="s">
        <v>232</v>
      </c>
      <c r="X766" s="214" t="s">
        <v>992</v>
      </c>
      <c r="Y766" s="220">
        <v>1</v>
      </c>
    </row>
    <row r="767" spans="23:25" x14ac:dyDescent="0.25">
      <c r="W767" s="214" t="s">
        <v>27</v>
      </c>
      <c r="X767" s="214" t="s">
        <v>993</v>
      </c>
      <c r="Y767" s="220">
        <v>3</v>
      </c>
    </row>
    <row r="768" spans="23:25" x14ac:dyDescent="0.25">
      <c r="W768" s="214" t="s">
        <v>232</v>
      </c>
      <c r="X768" s="214" t="s">
        <v>994</v>
      </c>
      <c r="Y768" s="220">
        <v>3</v>
      </c>
    </row>
    <row r="769" spans="23:25" x14ac:dyDescent="0.25">
      <c r="W769" s="214" t="s">
        <v>27</v>
      </c>
      <c r="X769" s="214" t="s">
        <v>995</v>
      </c>
      <c r="Y769" s="220">
        <v>3</v>
      </c>
    </row>
    <row r="770" spans="23:25" x14ac:dyDescent="0.25">
      <c r="W770" s="214" t="s">
        <v>232</v>
      </c>
      <c r="X770" s="214" t="s">
        <v>996</v>
      </c>
      <c r="Y770" s="220">
        <v>1</v>
      </c>
    </row>
    <row r="771" spans="23:25" x14ac:dyDescent="0.25">
      <c r="W771" s="214" t="s">
        <v>232</v>
      </c>
      <c r="X771" s="214" t="s">
        <v>997</v>
      </c>
      <c r="Y771" s="220">
        <v>1</v>
      </c>
    </row>
    <row r="772" spans="23:25" x14ac:dyDescent="0.25">
      <c r="W772" s="214" t="s">
        <v>27</v>
      </c>
      <c r="X772" s="214" t="s">
        <v>998</v>
      </c>
      <c r="Y772" s="220">
        <v>3</v>
      </c>
    </row>
    <row r="773" spans="23:25" x14ac:dyDescent="0.25">
      <c r="W773" s="214" t="s">
        <v>232</v>
      </c>
      <c r="X773" s="214" t="s">
        <v>999</v>
      </c>
      <c r="Y773" s="220">
        <v>1</v>
      </c>
    </row>
    <row r="774" spans="23:25" x14ac:dyDescent="0.25">
      <c r="W774" s="214" t="s">
        <v>232</v>
      </c>
      <c r="X774" s="214" t="s">
        <v>1000</v>
      </c>
      <c r="Y774" s="220">
        <v>1</v>
      </c>
    </row>
    <row r="775" spans="23:25" x14ac:dyDescent="0.25">
      <c r="W775" s="214" t="s">
        <v>27</v>
      </c>
      <c r="X775" s="214" t="s">
        <v>1001</v>
      </c>
      <c r="Y775" s="220">
        <v>2</v>
      </c>
    </row>
    <row r="776" spans="23:25" x14ac:dyDescent="0.25">
      <c r="W776" s="214" t="s">
        <v>232</v>
      </c>
      <c r="X776" s="214" t="s">
        <v>1002</v>
      </c>
      <c r="Y776" s="220">
        <v>1</v>
      </c>
    </row>
    <row r="777" spans="23:25" x14ac:dyDescent="0.25">
      <c r="W777" s="214" t="s">
        <v>232</v>
      </c>
      <c r="X777" s="214" t="s">
        <v>1003</v>
      </c>
      <c r="Y777" s="220">
        <v>1</v>
      </c>
    </row>
    <row r="778" spans="23:25" x14ac:dyDescent="0.25">
      <c r="W778" s="214" t="s">
        <v>27</v>
      </c>
      <c r="X778" s="214" t="s">
        <v>1004</v>
      </c>
      <c r="Y778" s="220">
        <v>1</v>
      </c>
    </row>
    <row r="779" spans="23:25" x14ac:dyDescent="0.25">
      <c r="W779" s="214" t="s">
        <v>27</v>
      </c>
      <c r="X779" s="214" t="s">
        <v>1005</v>
      </c>
      <c r="Y779" s="220">
        <v>2</v>
      </c>
    </row>
    <row r="780" spans="23:25" x14ac:dyDescent="0.25">
      <c r="W780" s="214" t="s">
        <v>27</v>
      </c>
      <c r="X780" s="214" t="s">
        <v>1006</v>
      </c>
      <c r="Y780" s="220">
        <v>2</v>
      </c>
    </row>
    <row r="781" spans="23:25" x14ac:dyDescent="0.25">
      <c r="W781" s="214" t="s">
        <v>27</v>
      </c>
      <c r="X781" s="214" t="s">
        <v>1007</v>
      </c>
      <c r="Y781" s="220">
        <v>2</v>
      </c>
    </row>
    <row r="782" spans="23:25" x14ac:dyDescent="0.25">
      <c r="W782" s="214" t="s">
        <v>232</v>
      </c>
      <c r="X782" s="214" t="s">
        <v>1008</v>
      </c>
      <c r="Y782" s="220">
        <v>2</v>
      </c>
    </row>
    <row r="783" spans="23:25" x14ac:dyDescent="0.25">
      <c r="W783" s="214" t="s">
        <v>232</v>
      </c>
      <c r="X783" s="214" t="s">
        <v>1009</v>
      </c>
      <c r="Y783" s="220">
        <v>2</v>
      </c>
    </row>
    <row r="784" spans="23:25" x14ac:dyDescent="0.25">
      <c r="W784" s="214" t="s">
        <v>232</v>
      </c>
      <c r="X784" s="214" t="s">
        <v>1010</v>
      </c>
      <c r="Y784" s="220">
        <v>2</v>
      </c>
    </row>
    <row r="785" spans="23:25" x14ac:dyDescent="0.25">
      <c r="W785" s="214" t="s">
        <v>27</v>
      </c>
      <c r="X785" s="214" t="s">
        <v>1011</v>
      </c>
      <c r="Y785" s="220">
        <v>3</v>
      </c>
    </row>
    <row r="786" spans="23:25" x14ac:dyDescent="0.25">
      <c r="W786" s="214" t="s">
        <v>232</v>
      </c>
      <c r="X786" s="214" t="s">
        <v>1012</v>
      </c>
      <c r="Y786" s="220">
        <v>2</v>
      </c>
    </row>
    <row r="787" spans="23:25" x14ac:dyDescent="0.25">
      <c r="W787" s="214" t="s">
        <v>232</v>
      </c>
      <c r="X787" s="214" t="s">
        <v>1013</v>
      </c>
      <c r="Y787" s="220">
        <v>1</v>
      </c>
    </row>
    <row r="788" spans="23:25" x14ac:dyDescent="0.25">
      <c r="W788" s="214" t="s">
        <v>27</v>
      </c>
      <c r="X788" s="214" t="s">
        <v>1014</v>
      </c>
      <c r="Y788" s="220">
        <v>3</v>
      </c>
    </row>
    <row r="789" spans="23:25" x14ac:dyDescent="0.25">
      <c r="W789" s="214" t="s">
        <v>27</v>
      </c>
      <c r="X789" s="214" t="s">
        <v>1015</v>
      </c>
      <c r="Y789" s="220">
        <v>3</v>
      </c>
    </row>
    <row r="790" spans="23:25" x14ac:dyDescent="0.25">
      <c r="W790" s="214" t="s">
        <v>232</v>
      </c>
      <c r="X790" s="214" t="s">
        <v>1016</v>
      </c>
      <c r="Y790" s="220">
        <v>1</v>
      </c>
    </row>
    <row r="791" spans="23:25" x14ac:dyDescent="0.25">
      <c r="W791" s="214" t="s">
        <v>232</v>
      </c>
      <c r="X791" s="214" t="s">
        <v>1017</v>
      </c>
      <c r="Y791" s="220">
        <v>2</v>
      </c>
    </row>
    <row r="792" spans="23:25" x14ac:dyDescent="0.25">
      <c r="W792" s="214" t="s">
        <v>232</v>
      </c>
      <c r="X792" s="214" t="s">
        <v>1018</v>
      </c>
      <c r="Y792" s="220">
        <v>2</v>
      </c>
    </row>
    <row r="793" spans="23:25" x14ac:dyDescent="0.25">
      <c r="W793" s="214" t="s">
        <v>232</v>
      </c>
      <c r="X793" s="214" t="s">
        <v>1019</v>
      </c>
      <c r="Y793" s="220">
        <v>2</v>
      </c>
    </row>
    <row r="794" spans="23:25" x14ac:dyDescent="0.25">
      <c r="W794" s="214" t="s">
        <v>232</v>
      </c>
      <c r="X794" s="214" t="s">
        <v>1020</v>
      </c>
      <c r="Y794" s="220">
        <v>2</v>
      </c>
    </row>
    <row r="795" spans="23:25" x14ac:dyDescent="0.25">
      <c r="W795" s="214" t="s">
        <v>232</v>
      </c>
      <c r="X795" s="214" t="s">
        <v>1021</v>
      </c>
      <c r="Y795" s="220">
        <v>1</v>
      </c>
    </row>
    <row r="796" spans="23:25" x14ac:dyDescent="0.25">
      <c r="W796" s="214" t="s">
        <v>232</v>
      </c>
      <c r="X796" s="214" t="s">
        <v>1022</v>
      </c>
      <c r="Y796" s="220">
        <v>2</v>
      </c>
    </row>
    <row r="797" spans="23:25" x14ac:dyDescent="0.25">
      <c r="W797" s="214" t="s">
        <v>232</v>
      </c>
      <c r="X797" s="214" t="s">
        <v>1023</v>
      </c>
      <c r="Y797" s="220">
        <v>2</v>
      </c>
    </row>
    <row r="798" spans="23:25" x14ac:dyDescent="0.25">
      <c r="W798" s="214" t="s">
        <v>27</v>
      </c>
      <c r="X798" s="214" t="s">
        <v>1024</v>
      </c>
      <c r="Y798" s="220">
        <v>2</v>
      </c>
    </row>
    <row r="799" spans="23:25" x14ac:dyDescent="0.25">
      <c r="W799" s="214" t="s">
        <v>232</v>
      </c>
      <c r="X799" s="214" t="s">
        <v>1025</v>
      </c>
      <c r="Y799" s="220">
        <v>2</v>
      </c>
    </row>
    <row r="800" spans="23:25" x14ac:dyDescent="0.25">
      <c r="W800" s="214" t="s">
        <v>27</v>
      </c>
      <c r="X800" s="214" t="s">
        <v>1026</v>
      </c>
      <c r="Y800" s="220">
        <v>3</v>
      </c>
    </row>
    <row r="801" spans="23:25" x14ac:dyDescent="0.25">
      <c r="W801" s="214" t="s">
        <v>27</v>
      </c>
      <c r="X801" s="214" t="s">
        <v>1027</v>
      </c>
      <c r="Y801" s="220">
        <v>3</v>
      </c>
    </row>
    <row r="802" spans="23:25" x14ac:dyDescent="0.25">
      <c r="W802" s="214" t="s">
        <v>232</v>
      </c>
      <c r="X802" s="214" t="s">
        <v>1028</v>
      </c>
      <c r="Y802" s="220">
        <v>2</v>
      </c>
    </row>
    <row r="803" spans="23:25" x14ac:dyDescent="0.25">
      <c r="W803" s="214" t="s">
        <v>27</v>
      </c>
      <c r="X803" s="214" t="s">
        <v>1029</v>
      </c>
      <c r="Y803" s="220">
        <v>1</v>
      </c>
    </row>
    <row r="804" spans="23:25" x14ac:dyDescent="0.25">
      <c r="W804" s="214" t="s">
        <v>232</v>
      </c>
      <c r="X804" s="214" t="s">
        <v>1030</v>
      </c>
      <c r="Y804" s="220">
        <v>3</v>
      </c>
    </row>
    <row r="805" spans="23:25" x14ac:dyDescent="0.25">
      <c r="W805" s="214" t="s">
        <v>232</v>
      </c>
      <c r="X805" s="214" t="s">
        <v>1031</v>
      </c>
      <c r="Y805" s="220">
        <v>2</v>
      </c>
    </row>
    <row r="806" spans="23:25" x14ac:dyDescent="0.25">
      <c r="W806" s="214" t="s">
        <v>27</v>
      </c>
      <c r="X806" s="214" t="s">
        <v>1032</v>
      </c>
      <c r="Y806" s="220">
        <v>3</v>
      </c>
    </row>
    <row r="807" spans="23:25" x14ac:dyDescent="0.25">
      <c r="W807" s="214" t="s">
        <v>232</v>
      </c>
      <c r="X807" s="214" t="s">
        <v>1033</v>
      </c>
      <c r="Y807" s="220">
        <v>2</v>
      </c>
    </row>
    <row r="808" spans="23:25" x14ac:dyDescent="0.25">
      <c r="W808" s="214" t="s">
        <v>232</v>
      </c>
      <c r="X808" s="214" t="s">
        <v>1034</v>
      </c>
      <c r="Y808" s="220">
        <v>2</v>
      </c>
    </row>
    <row r="809" spans="23:25" x14ac:dyDescent="0.25">
      <c r="W809" s="214" t="s">
        <v>27</v>
      </c>
      <c r="X809" s="214" t="s">
        <v>1035</v>
      </c>
      <c r="Y809" s="220">
        <v>3</v>
      </c>
    </row>
    <row r="810" spans="23:25" x14ac:dyDescent="0.25">
      <c r="W810" s="214" t="s">
        <v>232</v>
      </c>
      <c r="X810" s="214" t="s">
        <v>1036</v>
      </c>
      <c r="Y810" s="220">
        <v>2</v>
      </c>
    </row>
    <row r="811" spans="23:25" x14ac:dyDescent="0.25">
      <c r="W811" s="214" t="s">
        <v>232</v>
      </c>
      <c r="X811" s="214" t="s">
        <v>1037</v>
      </c>
      <c r="Y811" s="220">
        <v>2</v>
      </c>
    </row>
    <row r="812" spans="23:25" x14ac:dyDescent="0.25">
      <c r="W812" s="214" t="s">
        <v>27</v>
      </c>
      <c r="X812" s="214" t="s">
        <v>1038</v>
      </c>
      <c r="Y812" s="220">
        <v>5</v>
      </c>
    </row>
    <row r="813" spans="23:25" x14ac:dyDescent="0.25">
      <c r="W813" s="214" t="s">
        <v>232</v>
      </c>
      <c r="X813" s="214" t="s">
        <v>1039</v>
      </c>
      <c r="Y813" s="220">
        <v>2</v>
      </c>
    </row>
    <row r="814" spans="23:25" x14ac:dyDescent="0.25">
      <c r="W814" s="214" t="s">
        <v>27</v>
      </c>
      <c r="X814" s="214" t="s">
        <v>1040</v>
      </c>
      <c r="Y814" s="220">
        <v>2</v>
      </c>
    </row>
    <row r="815" spans="23:25" x14ac:dyDescent="0.25">
      <c r="W815" s="214" t="s">
        <v>232</v>
      </c>
      <c r="X815" s="214" t="s">
        <v>1041</v>
      </c>
      <c r="Y815" s="220">
        <v>1</v>
      </c>
    </row>
    <row r="816" spans="23:25" x14ac:dyDescent="0.25">
      <c r="W816" s="214" t="s">
        <v>232</v>
      </c>
      <c r="X816" s="214" t="s">
        <v>1042</v>
      </c>
      <c r="Y816" s="220">
        <v>2</v>
      </c>
    </row>
    <row r="817" spans="23:25" x14ac:dyDescent="0.25">
      <c r="W817" s="214" t="s">
        <v>27</v>
      </c>
      <c r="X817" s="214" t="s">
        <v>1043</v>
      </c>
      <c r="Y817" s="220">
        <v>3</v>
      </c>
    </row>
    <row r="818" spans="23:25" x14ac:dyDescent="0.25">
      <c r="W818" s="214" t="s">
        <v>27</v>
      </c>
      <c r="X818" s="214" t="s">
        <v>1044</v>
      </c>
      <c r="Y818" s="220">
        <v>3</v>
      </c>
    </row>
    <row r="819" spans="23:25" x14ac:dyDescent="0.25">
      <c r="W819" s="214" t="s">
        <v>232</v>
      </c>
      <c r="X819" s="214" t="s">
        <v>1045</v>
      </c>
      <c r="Y819" s="220">
        <v>2</v>
      </c>
    </row>
    <row r="820" spans="23:25" x14ac:dyDescent="0.25">
      <c r="W820" s="214" t="s">
        <v>232</v>
      </c>
      <c r="X820" s="214" t="s">
        <v>1046</v>
      </c>
      <c r="Y820" s="220">
        <v>2</v>
      </c>
    </row>
    <row r="821" spans="23:25" x14ac:dyDescent="0.25">
      <c r="W821" s="214" t="s">
        <v>232</v>
      </c>
      <c r="X821" s="214" t="s">
        <v>1047</v>
      </c>
      <c r="Y821" s="220">
        <v>2</v>
      </c>
    </row>
    <row r="822" spans="23:25" x14ac:dyDescent="0.25">
      <c r="W822" s="214" t="s">
        <v>27</v>
      </c>
      <c r="X822" s="214" t="s">
        <v>1048</v>
      </c>
      <c r="Y822" s="220">
        <v>3</v>
      </c>
    </row>
    <row r="823" spans="23:25" x14ac:dyDescent="0.25">
      <c r="W823" s="214" t="s">
        <v>27</v>
      </c>
      <c r="X823" s="214" t="s">
        <v>1049</v>
      </c>
      <c r="Y823" s="220">
        <v>3</v>
      </c>
    </row>
    <row r="824" spans="23:25" x14ac:dyDescent="0.25">
      <c r="W824" s="214" t="s">
        <v>232</v>
      </c>
      <c r="X824" s="214" t="s">
        <v>1050</v>
      </c>
      <c r="Y824" s="220">
        <v>2</v>
      </c>
    </row>
    <row r="825" spans="23:25" x14ac:dyDescent="0.25">
      <c r="W825" s="214" t="s">
        <v>27</v>
      </c>
      <c r="X825" s="214" t="s">
        <v>1051</v>
      </c>
      <c r="Y825" s="220">
        <v>3</v>
      </c>
    </row>
    <row r="826" spans="23:25" x14ac:dyDescent="0.25">
      <c r="W826" s="214" t="s">
        <v>232</v>
      </c>
      <c r="X826" s="214" t="s">
        <v>1052</v>
      </c>
      <c r="Y826" s="220">
        <v>2</v>
      </c>
    </row>
    <row r="827" spans="23:25" x14ac:dyDescent="0.25">
      <c r="W827" s="214" t="s">
        <v>232</v>
      </c>
      <c r="X827" s="214" t="s">
        <v>1053</v>
      </c>
      <c r="Y827" s="220">
        <v>2</v>
      </c>
    </row>
    <row r="828" spans="23:25" x14ac:dyDescent="0.25">
      <c r="W828" s="214" t="s">
        <v>232</v>
      </c>
      <c r="X828" s="214" t="s">
        <v>1054</v>
      </c>
      <c r="Y828" s="220">
        <v>2</v>
      </c>
    </row>
    <row r="829" spans="23:25" x14ac:dyDescent="0.25">
      <c r="W829" s="214" t="s">
        <v>232</v>
      </c>
      <c r="X829" s="214" t="s">
        <v>1055</v>
      </c>
      <c r="Y829" s="220">
        <v>1</v>
      </c>
    </row>
    <row r="830" spans="23:25" x14ac:dyDescent="0.25">
      <c r="W830" s="214" t="s">
        <v>232</v>
      </c>
      <c r="X830" s="214" t="s">
        <v>1056</v>
      </c>
      <c r="Y830" s="220">
        <v>2</v>
      </c>
    </row>
    <row r="831" spans="23:25" x14ac:dyDescent="0.25">
      <c r="W831" s="214" t="s">
        <v>27</v>
      </c>
      <c r="X831" s="214" t="s">
        <v>1057</v>
      </c>
      <c r="Y831" s="220">
        <v>3</v>
      </c>
    </row>
    <row r="832" spans="23:25" x14ac:dyDescent="0.25">
      <c r="W832" s="214" t="s">
        <v>232</v>
      </c>
      <c r="X832" s="214" t="s">
        <v>1058</v>
      </c>
      <c r="Y832" s="220">
        <v>2</v>
      </c>
    </row>
    <row r="833" spans="23:25" x14ac:dyDescent="0.25">
      <c r="W833" s="214" t="s">
        <v>232</v>
      </c>
      <c r="X833" s="214" t="s">
        <v>1059</v>
      </c>
      <c r="Y833" s="220">
        <v>2</v>
      </c>
    </row>
    <row r="834" spans="23:25" x14ac:dyDescent="0.25">
      <c r="W834" s="214" t="s">
        <v>27</v>
      </c>
      <c r="X834" s="214" t="s">
        <v>1060</v>
      </c>
      <c r="Y834" s="220">
        <v>2</v>
      </c>
    </row>
    <row r="835" spans="23:25" x14ac:dyDescent="0.25">
      <c r="W835" s="214" t="s">
        <v>232</v>
      </c>
      <c r="X835" s="214" t="s">
        <v>1061</v>
      </c>
      <c r="Y835" s="220">
        <v>1</v>
      </c>
    </row>
    <row r="836" spans="23:25" x14ac:dyDescent="0.25">
      <c r="W836" s="214" t="s">
        <v>232</v>
      </c>
      <c r="X836" s="214" t="s">
        <v>1062</v>
      </c>
      <c r="Y836" s="220">
        <v>2</v>
      </c>
    </row>
    <row r="837" spans="23:25" x14ac:dyDescent="0.25">
      <c r="W837" s="214" t="s">
        <v>239</v>
      </c>
      <c r="X837" s="214" t="s">
        <v>1063</v>
      </c>
      <c r="Y837" s="220">
        <v>2</v>
      </c>
    </row>
    <row r="838" spans="23:25" x14ac:dyDescent="0.25">
      <c r="W838" s="214" t="s">
        <v>232</v>
      </c>
      <c r="X838" s="214" t="s">
        <v>1064</v>
      </c>
      <c r="Y838" s="220">
        <v>2</v>
      </c>
    </row>
    <row r="839" spans="23:25" x14ac:dyDescent="0.25">
      <c r="W839" s="214" t="s">
        <v>232</v>
      </c>
      <c r="X839" s="214" t="s">
        <v>1065</v>
      </c>
      <c r="Y839" s="220">
        <v>2</v>
      </c>
    </row>
    <row r="840" spans="23:25" x14ac:dyDescent="0.25">
      <c r="W840" s="214" t="s">
        <v>27</v>
      </c>
      <c r="X840" s="214" t="s">
        <v>1066</v>
      </c>
      <c r="Y840" s="220">
        <v>2</v>
      </c>
    </row>
    <row r="841" spans="23:25" x14ac:dyDescent="0.25">
      <c r="W841" s="214" t="s">
        <v>232</v>
      </c>
      <c r="X841" s="214" t="s">
        <v>1067</v>
      </c>
      <c r="Y841" s="220">
        <v>1</v>
      </c>
    </row>
    <row r="842" spans="23:25" x14ac:dyDescent="0.25">
      <c r="W842" s="214" t="s">
        <v>232</v>
      </c>
      <c r="X842" s="214" t="s">
        <v>1068</v>
      </c>
      <c r="Y842" s="220">
        <v>1</v>
      </c>
    </row>
    <row r="843" spans="23:25" x14ac:dyDescent="0.25">
      <c r="W843" s="214" t="s">
        <v>232</v>
      </c>
      <c r="X843" s="214" t="s">
        <v>1069</v>
      </c>
      <c r="Y843" s="220">
        <v>2</v>
      </c>
    </row>
    <row r="844" spans="23:25" x14ac:dyDescent="0.25">
      <c r="W844" s="214" t="s">
        <v>232</v>
      </c>
      <c r="X844" s="214" t="s">
        <v>1070</v>
      </c>
      <c r="Y844" s="220">
        <v>2</v>
      </c>
    </row>
    <row r="845" spans="23:25" x14ac:dyDescent="0.25">
      <c r="W845" s="214" t="s">
        <v>232</v>
      </c>
      <c r="X845" s="214" t="s">
        <v>1071</v>
      </c>
      <c r="Y845" s="220">
        <v>1</v>
      </c>
    </row>
    <row r="846" spans="23:25" x14ac:dyDescent="0.25">
      <c r="W846" s="214" t="s">
        <v>27</v>
      </c>
      <c r="X846" s="214" t="s">
        <v>1072</v>
      </c>
      <c r="Y846" s="220">
        <v>2</v>
      </c>
    </row>
    <row r="847" spans="23:25" x14ac:dyDescent="0.25">
      <c r="W847" s="214" t="s">
        <v>27</v>
      </c>
      <c r="X847" s="214" t="s">
        <v>1073</v>
      </c>
      <c r="Y847" s="220">
        <v>3</v>
      </c>
    </row>
    <row r="848" spans="23:25" x14ac:dyDescent="0.25">
      <c r="W848" s="214" t="s">
        <v>232</v>
      </c>
      <c r="X848" s="214" t="s">
        <v>1074</v>
      </c>
      <c r="Y848" s="220">
        <v>1</v>
      </c>
    </row>
    <row r="849" spans="23:25" x14ac:dyDescent="0.25">
      <c r="W849" s="214" t="s">
        <v>232</v>
      </c>
      <c r="X849" s="214" t="s">
        <v>1075</v>
      </c>
      <c r="Y849" s="220">
        <v>2</v>
      </c>
    </row>
    <row r="850" spans="23:25" x14ac:dyDescent="0.25">
      <c r="W850" s="214" t="s">
        <v>232</v>
      </c>
      <c r="X850" s="214" t="s">
        <v>1076</v>
      </c>
      <c r="Y850" s="220">
        <v>2</v>
      </c>
    </row>
    <row r="851" spans="23:25" x14ac:dyDescent="0.25">
      <c r="W851" s="214" t="s">
        <v>232</v>
      </c>
      <c r="X851" s="214" t="s">
        <v>1077</v>
      </c>
      <c r="Y851" s="220">
        <v>1</v>
      </c>
    </row>
    <row r="852" spans="23:25" x14ac:dyDescent="0.25">
      <c r="W852" s="214" t="s">
        <v>27</v>
      </c>
      <c r="X852" s="214" t="s">
        <v>1078</v>
      </c>
      <c r="Y852" s="220">
        <v>3</v>
      </c>
    </row>
    <row r="853" spans="23:25" x14ac:dyDescent="0.25">
      <c r="W853" s="214" t="s">
        <v>27</v>
      </c>
      <c r="X853" s="214" t="s">
        <v>1079</v>
      </c>
      <c r="Y853" s="220">
        <v>2</v>
      </c>
    </row>
    <row r="854" spans="23:25" x14ac:dyDescent="0.25">
      <c r="W854" s="214" t="s">
        <v>27</v>
      </c>
      <c r="X854" s="214" t="s">
        <v>1080</v>
      </c>
      <c r="Y854" s="220">
        <v>3</v>
      </c>
    </row>
    <row r="855" spans="23:25" x14ac:dyDescent="0.25">
      <c r="W855" s="214" t="s">
        <v>232</v>
      </c>
      <c r="X855" s="214" t="s">
        <v>1081</v>
      </c>
      <c r="Y855" s="220">
        <v>1</v>
      </c>
    </row>
    <row r="856" spans="23:25" x14ac:dyDescent="0.25">
      <c r="W856" s="214" t="s">
        <v>27</v>
      </c>
      <c r="X856" s="214" t="s">
        <v>1082</v>
      </c>
      <c r="Y856" s="220">
        <v>2</v>
      </c>
    </row>
    <row r="857" spans="23:25" x14ac:dyDescent="0.25">
      <c r="W857" s="214" t="s">
        <v>232</v>
      </c>
      <c r="X857" s="214" t="s">
        <v>1083</v>
      </c>
      <c r="Y857" s="220">
        <v>1</v>
      </c>
    </row>
    <row r="858" spans="23:25" x14ac:dyDescent="0.25">
      <c r="W858" s="214" t="s">
        <v>232</v>
      </c>
      <c r="X858" s="214" t="s">
        <v>1084</v>
      </c>
      <c r="Y858" s="220">
        <v>2</v>
      </c>
    </row>
    <row r="859" spans="23:25" x14ac:dyDescent="0.25">
      <c r="W859" s="214" t="s">
        <v>27</v>
      </c>
      <c r="X859" s="214" t="s">
        <v>411</v>
      </c>
      <c r="Y859" s="220">
        <v>3</v>
      </c>
    </row>
    <row r="860" spans="23:25" x14ac:dyDescent="0.25">
      <c r="W860" s="214" t="s">
        <v>27</v>
      </c>
      <c r="X860" s="214" t="s">
        <v>1085</v>
      </c>
      <c r="Y860" s="220">
        <v>2</v>
      </c>
    </row>
    <row r="861" spans="23:25" x14ac:dyDescent="0.25">
      <c r="W861" s="214" t="s">
        <v>232</v>
      </c>
      <c r="X861" s="214" t="s">
        <v>1086</v>
      </c>
      <c r="Y861" s="220">
        <v>2</v>
      </c>
    </row>
    <row r="862" spans="23:25" x14ac:dyDescent="0.25">
      <c r="W862" s="214" t="s">
        <v>27</v>
      </c>
      <c r="X862" s="214" t="s">
        <v>1087</v>
      </c>
      <c r="Y862" s="220">
        <v>2</v>
      </c>
    </row>
    <row r="863" spans="23:25" x14ac:dyDescent="0.25">
      <c r="W863" s="214" t="s">
        <v>232</v>
      </c>
      <c r="X863" s="214" t="s">
        <v>1088</v>
      </c>
      <c r="Y863" s="220">
        <v>1</v>
      </c>
    </row>
    <row r="864" spans="23:25" x14ac:dyDescent="0.25">
      <c r="W864" s="214" t="s">
        <v>232</v>
      </c>
      <c r="X864" s="214" t="s">
        <v>1089</v>
      </c>
      <c r="Y864" s="220">
        <v>1</v>
      </c>
    </row>
    <row r="865" spans="23:25" x14ac:dyDescent="0.25">
      <c r="W865" s="214" t="s">
        <v>232</v>
      </c>
      <c r="X865" s="214" t="s">
        <v>1090</v>
      </c>
      <c r="Y865" s="220">
        <v>2</v>
      </c>
    </row>
    <row r="866" spans="23:25" x14ac:dyDescent="0.25">
      <c r="W866" s="214" t="s">
        <v>232</v>
      </c>
      <c r="X866" s="214" t="s">
        <v>1091</v>
      </c>
      <c r="Y866" s="220">
        <v>2</v>
      </c>
    </row>
    <row r="867" spans="23:25" x14ac:dyDescent="0.25">
      <c r="W867" s="214" t="s">
        <v>232</v>
      </c>
      <c r="X867" s="214" t="s">
        <v>1092</v>
      </c>
      <c r="Y867" s="220">
        <v>2</v>
      </c>
    </row>
    <row r="868" spans="23:25" x14ac:dyDescent="0.25">
      <c r="W868" s="214" t="s">
        <v>232</v>
      </c>
      <c r="X868" s="214" t="s">
        <v>1093</v>
      </c>
      <c r="Y868" s="220">
        <v>2</v>
      </c>
    </row>
    <row r="869" spans="23:25" x14ac:dyDescent="0.25">
      <c r="W869" s="214" t="s">
        <v>232</v>
      </c>
      <c r="X869" s="214" t="s">
        <v>1094</v>
      </c>
      <c r="Y869" s="220">
        <v>1</v>
      </c>
    </row>
    <row r="870" spans="23:25" x14ac:dyDescent="0.25">
      <c r="W870" s="214" t="s">
        <v>232</v>
      </c>
      <c r="X870" s="214" t="s">
        <v>1095</v>
      </c>
      <c r="Y870" s="220">
        <v>2</v>
      </c>
    </row>
    <row r="871" spans="23:25" x14ac:dyDescent="0.25">
      <c r="W871" s="214" t="s">
        <v>232</v>
      </c>
      <c r="X871" s="214" t="s">
        <v>1096</v>
      </c>
      <c r="Y871" s="220">
        <v>2</v>
      </c>
    </row>
    <row r="872" spans="23:25" x14ac:dyDescent="0.25">
      <c r="W872" s="214" t="s">
        <v>27</v>
      </c>
      <c r="X872" s="214" t="s">
        <v>1097</v>
      </c>
      <c r="Y872" s="220">
        <v>3</v>
      </c>
    </row>
    <row r="873" spans="23:25" x14ac:dyDescent="0.25">
      <c r="W873" s="214" t="s">
        <v>27</v>
      </c>
      <c r="X873" s="214" t="s">
        <v>1098</v>
      </c>
      <c r="Y873" s="220">
        <v>3</v>
      </c>
    </row>
    <row r="874" spans="23:25" x14ac:dyDescent="0.25">
      <c r="W874" s="214" t="s">
        <v>232</v>
      </c>
      <c r="X874" s="214" t="s">
        <v>1099</v>
      </c>
      <c r="Y874" s="220">
        <v>2</v>
      </c>
    </row>
    <row r="875" spans="23:25" x14ac:dyDescent="0.25">
      <c r="W875" s="214" t="s">
        <v>27</v>
      </c>
      <c r="X875" s="214" t="s">
        <v>1100</v>
      </c>
      <c r="Y875" s="220">
        <v>2</v>
      </c>
    </row>
    <row r="876" spans="23:25" x14ac:dyDescent="0.25">
      <c r="W876" s="214" t="s">
        <v>232</v>
      </c>
      <c r="X876" s="214" t="s">
        <v>1101</v>
      </c>
      <c r="Y876" s="220">
        <v>2</v>
      </c>
    </row>
    <row r="877" spans="23:25" x14ac:dyDescent="0.25">
      <c r="W877" s="214" t="s">
        <v>232</v>
      </c>
      <c r="X877" s="214" t="s">
        <v>1102</v>
      </c>
      <c r="Y877" s="220">
        <v>1</v>
      </c>
    </row>
    <row r="878" spans="23:25" x14ac:dyDescent="0.25">
      <c r="W878" s="214" t="s">
        <v>232</v>
      </c>
      <c r="X878" s="214" t="s">
        <v>1103</v>
      </c>
      <c r="Y878" s="220">
        <v>2</v>
      </c>
    </row>
    <row r="879" spans="23:25" x14ac:dyDescent="0.25">
      <c r="W879" s="214" t="s">
        <v>232</v>
      </c>
      <c r="X879" s="214" t="s">
        <v>1104</v>
      </c>
      <c r="Y879" s="220">
        <v>2</v>
      </c>
    </row>
    <row r="880" spans="23:25" x14ac:dyDescent="0.25">
      <c r="W880" s="214" t="s">
        <v>232</v>
      </c>
      <c r="X880" s="214" t="s">
        <v>1105</v>
      </c>
      <c r="Y880" s="220">
        <v>2</v>
      </c>
    </row>
    <row r="881" spans="23:25" x14ac:dyDescent="0.25">
      <c r="W881" s="214" t="s">
        <v>27</v>
      </c>
      <c r="X881" s="214" t="s">
        <v>1106</v>
      </c>
      <c r="Y881" s="220">
        <v>3</v>
      </c>
    </row>
    <row r="882" spans="23:25" x14ac:dyDescent="0.25">
      <c r="W882" s="214" t="s">
        <v>232</v>
      </c>
      <c r="X882" s="214" t="s">
        <v>1107</v>
      </c>
      <c r="Y882" s="220">
        <v>2</v>
      </c>
    </row>
    <row r="883" spans="23:25" x14ac:dyDescent="0.25">
      <c r="W883" s="214" t="s">
        <v>27</v>
      </c>
      <c r="X883" s="214" t="s">
        <v>1108</v>
      </c>
      <c r="Y883" s="220">
        <v>3</v>
      </c>
    </row>
    <row r="884" spans="23:25" x14ac:dyDescent="0.25">
      <c r="W884" s="214" t="s">
        <v>27</v>
      </c>
      <c r="X884" s="214" t="s">
        <v>1109</v>
      </c>
      <c r="Y884" s="220">
        <v>2</v>
      </c>
    </row>
    <row r="885" spans="23:25" x14ac:dyDescent="0.25">
      <c r="W885" s="214" t="s">
        <v>27</v>
      </c>
      <c r="X885" s="214" t="s">
        <v>1110</v>
      </c>
      <c r="Y885" s="220">
        <v>3</v>
      </c>
    </row>
    <row r="886" spans="23:25" x14ac:dyDescent="0.25">
      <c r="W886" s="214" t="s">
        <v>232</v>
      </c>
      <c r="X886" s="214" t="s">
        <v>1111</v>
      </c>
      <c r="Y886" s="220">
        <v>2</v>
      </c>
    </row>
    <row r="887" spans="23:25" x14ac:dyDescent="0.25">
      <c r="W887" s="214" t="s">
        <v>27</v>
      </c>
      <c r="X887" s="214" t="s">
        <v>1112</v>
      </c>
      <c r="Y887" s="220">
        <v>2</v>
      </c>
    </row>
    <row r="888" spans="23:25" x14ac:dyDescent="0.25">
      <c r="W888" s="214" t="s">
        <v>27</v>
      </c>
      <c r="X888" s="214" t="s">
        <v>1113</v>
      </c>
      <c r="Y888" s="220">
        <v>2</v>
      </c>
    </row>
    <row r="889" spans="23:25" x14ac:dyDescent="0.25">
      <c r="W889" s="214" t="s">
        <v>232</v>
      </c>
      <c r="X889" s="214" t="s">
        <v>1114</v>
      </c>
      <c r="Y889" s="220">
        <v>2</v>
      </c>
    </row>
    <row r="890" spans="23:25" x14ac:dyDescent="0.25">
      <c r="W890" s="214" t="s">
        <v>232</v>
      </c>
      <c r="X890" s="214" t="s">
        <v>1115</v>
      </c>
      <c r="Y890" s="220">
        <v>3</v>
      </c>
    </row>
    <row r="891" spans="23:25" x14ac:dyDescent="0.25">
      <c r="W891" s="214" t="s">
        <v>27</v>
      </c>
      <c r="X891" s="214" t="s">
        <v>1116</v>
      </c>
      <c r="Y891" s="220">
        <v>2</v>
      </c>
    </row>
    <row r="892" spans="23:25" x14ac:dyDescent="0.25">
      <c r="W892" s="214" t="s">
        <v>27</v>
      </c>
      <c r="X892" s="214" t="s">
        <v>1117</v>
      </c>
      <c r="Y892" s="220">
        <v>2</v>
      </c>
    </row>
    <row r="893" spans="23:25" x14ac:dyDescent="0.25">
      <c r="W893" s="214" t="s">
        <v>232</v>
      </c>
      <c r="X893" s="214" t="s">
        <v>1118</v>
      </c>
      <c r="Y893" s="220">
        <v>2</v>
      </c>
    </row>
    <row r="894" spans="23:25" x14ac:dyDescent="0.25">
      <c r="W894" s="214" t="s">
        <v>27</v>
      </c>
      <c r="X894" s="214" t="s">
        <v>1119</v>
      </c>
      <c r="Y894" s="220">
        <v>2</v>
      </c>
    </row>
    <row r="895" spans="23:25" x14ac:dyDescent="0.25">
      <c r="W895" s="214" t="s">
        <v>232</v>
      </c>
      <c r="X895" s="214" t="s">
        <v>1120</v>
      </c>
      <c r="Y895" s="220">
        <v>1</v>
      </c>
    </row>
    <row r="896" spans="23:25" x14ac:dyDescent="0.25">
      <c r="W896" s="214" t="s">
        <v>232</v>
      </c>
      <c r="X896" s="214" t="s">
        <v>1121</v>
      </c>
      <c r="Y896" s="220">
        <v>1</v>
      </c>
    </row>
    <row r="897" spans="23:25" x14ac:dyDescent="0.25">
      <c r="W897" s="214" t="s">
        <v>27</v>
      </c>
      <c r="X897" s="214" t="s">
        <v>1122</v>
      </c>
      <c r="Y897" s="220">
        <v>3</v>
      </c>
    </row>
    <row r="898" spans="23:25" x14ac:dyDescent="0.25">
      <c r="W898" s="214" t="s">
        <v>232</v>
      </c>
      <c r="X898" s="214" t="s">
        <v>1123</v>
      </c>
      <c r="Y898" s="220">
        <v>2</v>
      </c>
    </row>
    <row r="899" spans="23:25" x14ac:dyDescent="0.25">
      <c r="W899" s="214" t="s">
        <v>27</v>
      </c>
      <c r="X899" s="214" t="s">
        <v>1124</v>
      </c>
      <c r="Y899" s="220">
        <v>2</v>
      </c>
    </row>
    <row r="900" spans="23:25" x14ac:dyDescent="0.25">
      <c r="W900" s="214" t="s">
        <v>27</v>
      </c>
      <c r="X900" s="214" t="s">
        <v>1125</v>
      </c>
      <c r="Y900" s="220">
        <v>3</v>
      </c>
    </row>
    <row r="901" spans="23:25" x14ac:dyDescent="0.25">
      <c r="W901" s="214" t="s">
        <v>232</v>
      </c>
      <c r="X901" s="214" t="s">
        <v>1126</v>
      </c>
      <c r="Y901" s="220">
        <v>2</v>
      </c>
    </row>
    <row r="902" spans="23:25" x14ac:dyDescent="0.25">
      <c r="W902" s="214" t="s">
        <v>232</v>
      </c>
      <c r="X902" s="214" t="s">
        <v>1127</v>
      </c>
      <c r="Y902" s="220">
        <v>1</v>
      </c>
    </row>
    <row r="903" spans="23:25" x14ac:dyDescent="0.25">
      <c r="W903" s="214" t="s">
        <v>232</v>
      </c>
      <c r="X903" s="214" t="s">
        <v>1128</v>
      </c>
      <c r="Y903" s="220">
        <v>2</v>
      </c>
    </row>
    <row r="904" spans="23:25" x14ac:dyDescent="0.25">
      <c r="W904" s="214" t="s">
        <v>232</v>
      </c>
      <c r="X904" s="214" t="s">
        <v>1129</v>
      </c>
      <c r="Y904" s="220">
        <v>1</v>
      </c>
    </row>
    <row r="905" spans="23:25" x14ac:dyDescent="0.25">
      <c r="W905" s="214" t="s">
        <v>232</v>
      </c>
      <c r="X905" s="214" t="s">
        <v>1130</v>
      </c>
      <c r="Y905" s="220">
        <v>1</v>
      </c>
    </row>
    <row r="906" spans="23:25" x14ac:dyDescent="0.25">
      <c r="W906" s="214" t="s">
        <v>232</v>
      </c>
      <c r="X906" s="214" t="s">
        <v>1131</v>
      </c>
      <c r="Y906" s="220">
        <v>2</v>
      </c>
    </row>
    <row r="907" spans="23:25" x14ac:dyDescent="0.25">
      <c r="W907" s="214" t="s">
        <v>27</v>
      </c>
      <c r="X907" s="214" t="s">
        <v>1132</v>
      </c>
      <c r="Y907" s="220">
        <v>2</v>
      </c>
    </row>
    <row r="908" spans="23:25" x14ac:dyDescent="0.25">
      <c r="W908" s="214" t="s">
        <v>232</v>
      </c>
      <c r="X908" s="214" t="s">
        <v>1133</v>
      </c>
      <c r="Y908" s="220">
        <v>2</v>
      </c>
    </row>
    <row r="909" spans="23:25" x14ac:dyDescent="0.25">
      <c r="W909" s="214" t="s">
        <v>27</v>
      </c>
      <c r="X909" s="214" t="s">
        <v>1134</v>
      </c>
      <c r="Y909" s="220">
        <v>3</v>
      </c>
    </row>
    <row r="910" spans="23:25" x14ac:dyDescent="0.25">
      <c r="W910" s="214" t="s">
        <v>232</v>
      </c>
      <c r="X910" s="214" t="s">
        <v>1135</v>
      </c>
      <c r="Y910" s="220">
        <v>2</v>
      </c>
    </row>
    <row r="911" spans="23:25" x14ac:dyDescent="0.25">
      <c r="W911" s="214" t="s">
        <v>232</v>
      </c>
      <c r="X911" s="214" t="s">
        <v>1136</v>
      </c>
      <c r="Y911" s="220">
        <v>2</v>
      </c>
    </row>
    <row r="912" spans="23:25" x14ac:dyDescent="0.25">
      <c r="W912" s="214" t="s">
        <v>27</v>
      </c>
      <c r="X912" s="214" t="s">
        <v>1137</v>
      </c>
      <c r="Y912" s="220">
        <v>2</v>
      </c>
    </row>
    <row r="913" spans="23:25" x14ac:dyDescent="0.25">
      <c r="W913" s="214" t="s">
        <v>232</v>
      </c>
      <c r="X913" s="214" t="s">
        <v>1138</v>
      </c>
      <c r="Y913" s="220">
        <v>2</v>
      </c>
    </row>
    <row r="914" spans="23:25" x14ac:dyDescent="0.25">
      <c r="W914" s="214" t="s">
        <v>27</v>
      </c>
      <c r="X914" s="214" t="s">
        <v>1139</v>
      </c>
      <c r="Y914" s="220">
        <v>2</v>
      </c>
    </row>
    <row r="915" spans="23:25" x14ac:dyDescent="0.25">
      <c r="W915" s="214" t="s">
        <v>27</v>
      </c>
      <c r="X915" s="214" t="s">
        <v>1140</v>
      </c>
      <c r="Y915" s="220">
        <v>2</v>
      </c>
    </row>
    <row r="916" spans="23:25" x14ac:dyDescent="0.25">
      <c r="W916" s="214" t="s">
        <v>27</v>
      </c>
      <c r="X916" s="214" t="s">
        <v>1141</v>
      </c>
      <c r="Y916" s="220">
        <v>2</v>
      </c>
    </row>
    <row r="917" spans="23:25" x14ac:dyDescent="0.25">
      <c r="W917" s="214" t="s">
        <v>27</v>
      </c>
      <c r="X917" s="214" t="s">
        <v>1142</v>
      </c>
      <c r="Y917" s="220">
        <v>2</v>
      </c>
    </row>
    <row r="918" spans="23:25" x14ac:dyDescent="0.25">
      <c r="W918" s="214" t="s">
        <v>232</v>
      </c>
      <c r="X918" s="214" t="s">
        <v>1143</v>
      </c>
      <c r="Y918" s="220">
        <v>2</v>
      </c>
    </row>
    <row r="919" spans="23:25" x14ac:dyDescent="0.25">
      <c r="W919" s="214" t="s">
        <v>27</v>
      </c>
      <c r="X919" s="214" t="s">
        <v>1144</v>
      </c>
      <c r="Y919" s="220">
        <v>2</v>
      </c>
    </row>
    <row r="920" spans="23:25" x14ac:dyDescent="0.25">
      <c r="W920" s="214" t="s">
        <v>27</v>
      </c>
      <c r="X920" s="214" t="s">
        <v>1145</v>
      </c>
      <c r="Y920" s="220">
        <v>3</v>
      </c>
    </row>
    <row r="921" spans="23:25" x14ac:dyDescent="0.25">
      <c r="W921" s="214" t="s">
        <v>232</v>
      </c>
      <c r="X921" s="214" t="s">
        <v>1146</v>
      </c>
      <c r="Y921" s="220">
        <v>1</v>
      </c>
    </row>
    <row r="922" spans="23:25" x14ac:dyDescent="0.25">
      <c r="W922" s="214" t="s">
        <v>232</v>
      </c>
      <c r="X922" s="214" t="s">
        <v>1147</v>
      </c>
      <c r="Y922" s="220">
        <v>1</v>
      </c>
    </row>
    <row r="923" spans="23:25" x14ac:dyDescent="0.25">
      <c r="W923" s="214" t="s">
        <v>232</v>
      </c>
      <c r="X923" s="214" t="s">
        <v>1148</v>
      </c>
      <c r="Y923" s="220">
        <v>3</v>
      </c>
    </row>
    <row r="924" spans="23:25" x14ac:dyDescent="0.25">
      <c r="W924" s="214" t="s">
        <v>27</v>
      </c>
      <c r="X924" s="214" t="s">
        <v>1149</v>
      </c>
      <c r="Y924" s="220">
        <v>2</v>
      </c>
    </row>
    <row r="925" spans="23:25" x14ac:dyDescent="0.25">
      <c r="W925" s="214" t="s">
        <v>232</v>
      </c>
      <c r="X925" s="214" t="s">
        <v>1150</v>
      </c>
      <c r="Y925" s="220">
        <v>1</v>
      </c>
    </row>
    <row r="926" spans="23:25" x14ac:dyDescent="0.25">
      <c r="W926" s="214" t="s">
        <v>232</v>
      </c>
      <c r="X926" s="214" t="s">
        <v>1151</v>
      </c>
      <c r="Y926" s="220">
        <v>2</v>
      </c>
    </row>
    <row r="927" spans="23:25" x14ac:dyDescent="0.25">
      <c r="W927" s="214" t="s">
        <v>232</v>
      </c>
      <c r="X927" s="214" t="s">
        <v>1152</v>
      </c>
      <c r="Y927" s="220">
        <v>2</v>
      </c>
    </row>
    <row r="928" spans="23:25" x14ac:dyDescent="0.25">
      <c r="W928" s="214" t="s">
        <v>232</v>
      </c>
      <c r="X928" s="214" t="s">
        <v>1153</v>
      </c>
      <c r="Y928" s="220">
        <v>2</v>
      </c>
    </row>
    <row r="929" spans="23:25" x14ac:dyDescent="0.25">
      <c r="W929" s="214" t="s">
        <v>27</v>
      </c>
      <c r="X929" s="214" t="s">
        <v>1154</v>
      </c>
      <c r="Y929" s="220">
        <v>2</v>
      </c>
    </row>
    <row r="930" spans="23:25" x14ac:dyDescent="0.25">
      <c r="W930" s="214" t="s">
        <v>27</v>
      </c>
      <c r="X930" s="214" t="s">
        <v>1155</v>
      </c>
      <c r="Y930" s="220">
        <v>2</v>
      </c>
    </row>
    <row r="931" spans="23:25" x14ac:dyDescent="0.25">
      <c r="W931" s="214" t="s">
        <v>27</v>
      </c>
      <c r="X931" s="214" t="s">
        <v>1156</v>
      </c>
      <c r="Y931" s="220">
        <v>3</v>
      </c>
    </row>
    <row r="932" spans="23:25" x14ac:dyDescent="0.25">
      <c r="W932" s="214" t="s">
        <v>27</v>
      </c>
      <c r="X932" s="214" t="s">
        <v>1157</v>
      </c>
      <c r="Y932" s="220">
        <v>2</v>
      </c>
    </row>
    <row r="933" spans="23:25" x14ac:dyDescent="0.25">
      <c r="W933" s="214" t="s">
        <v>232</v>
      </c>
      <c r="X933" s="214" t="s">
        <v>1158</v>
      </c>
      <c r="Y933" s="220">
        <v>2</v>
      </c>
    </row>
    <row r="934" spans="23:25" x14ac:dyDescent="0.25">
      <c r="W934" s="214" t="s">
        <v>27</v>
      </c>
      <c r="X934" s="214" t="s">
        <v>1159</v>
      </c>
      <c r="Y934" s="220">
        <v>2</v>
      </c>
    </row>
    <row r="935" spans="23:25" x14ac:dyDescent="0.25">
      <c r="W935" s="214" t="s">
        <v>232</v>
      </c>
      <c r="X935" s="214" t="s">
        <v>1160</v>
      </c>
      <c r="Y935" s="220">
        <v>2</v>
      </c>
    </row>
    <row r="936" spans="23:25" x14ac:dyDescent="0.25">
      <c r="W936" s="214" t="s">
        <v>27</v>
      </c>
      <c r="X936" s="214" t="s">
        <v>1161</v>
      </c>
      <c r="Y936" s="220">
        <v>2</v>
      </c>
    </row>
    <row r="937" spans="23:25" x14ac:dyDescent="0.25">
      <c r="W937" s="214" t="s">
        <v>232</v>
      </c>
      <c r="X937" s="214" t="s">
        <v>1162</v>
      </c>
      <c r="Y937" s="220">
        <v>2</v>
      </c>
    </row>
    <row r="938" spans="23:25" x14ac:dyDescent="0.25">
      <c r="W938" s="214" t="s">
        <v>27</v>
      </c>
      <c r="X938" s="214" t="s">
        <v>1163</v>
      </c>
      <c r="Y938" s="220">
        <v>2</v>
      </c>
    </row>
    <row r="939" spans="23:25" x14ac:dyDescent="0.25">
      <c r="W939" s="214" t="s">
        <v>232</v>
      </c>
      <c r="X939" s="214" t="s">
        <v>1164</v>
      </c>
      <c r="Y939" s="220">
        <v>2</v>
      </c>
    </row>
    <row r="940" spans="23:25" x14ac:dyDescent="0.25">
      <c r="W940" s="214" t="s">
        <v>232</v>
      </c>
      <c r="X940" s="214" t="s">
        <v>1165</v>
      </c>
      <c r="Y940" s="220">
        <v>2</v>
      </c>
    </row>
    <row r="941" spans="23:25" x14ac:dyDescent="0.25">
      <c r="W941" s="214" t="s">
        <v>232</v>
      </c>
      <c r="X941" s="214" t="s">
        <v>1166</v>
      </c>
      <c r="Y941" s="220">
        <v>2</v>
      </c>
    </row>
    <row r="942" spans="23:25" x14ac:dyDescent="0.25">
      <c r="W942" s="214" t="s">
        <v>232</v>
      </c>
      <c r="X942" s="214" t="s">
        <v>1167</v>
      </c>
      <c r="Y942" s="220">
        <v>2</v>
      </c>
    </row>
    <row r="943" spans="23:25" x14ac:dyDescent="0.25">
      <c r="W943" s="214" t="s">
        <v>232</v>
      </c>
      <c r="X943" s="214" t="s">
        <v>1168</v>
      </c>
      <c r="Y943" s="220">
        <v>2</v>
      </c>
    </row>
    <row r="944" spans="23:25" x14ac:dyDescent="0.25">
      <c r="W944" s="214" t="s">
        <v>27</v>
      </c>
      <c r="X944" s="214" t="s">
        <v>1169</v>
      </c>
      <c r="Y944" s="220">
        <v>2</v>
      </c>
    </row>
    <row r="945" spans="23:25" x14ac:dyDescent="0.25">
      <c r="W945" s="214" t="s">
        <v>232</v>
      </c>
      <c r="X945" s="214" t="s">
        <v>1170</v>
      </c>
      <c r="Y945" s="220">
        <v>2</v>
      </c>
    </row>
    <row r="946" spans="23:25" x14ac:dyDescent="0.25">
      <c r="W946" s="214" t="s">
        <v>232</v>
      </c>
      <c r="X946" s="214" t="s">
        <v>1171</v>
      </c>
      <c r="Y946" s="220">
        <v>2</v>
      </c>
    </row>
    <row r="947" spans="23:25" x14ac:dyDescent="0.25">
      <c r="W947" s="214" t="s">
        <v>232</v>
      </c>
      <c r="X947" s="214" t="s">
        <v>1172</v>
      </c>
      <c r="Y947" s="220">
        <v>2</v>
      </c>
    </row>
    <row r="948" spans="23:25" x14ac:dyDescent="0.25">
      <c r="W948" s="214" t="s">
        <v>27</v>
      </c>
      <c r="X948" s="214" t="s">
        <v>1173</v>
      </c>
      <c r="Y948" s="220">
        <v>2</v>
      </c>
    </row>
    <row r="949" spans="23:25" x14ac:dyDescent="0.25">
      <c r="W949" s="214" t="s">
        <v>232</v>
      </c>
      <c r="X949" s="214" t="s">
        <v>1174</v>
      </c>
      <c r="Y949" s="220">
        <v>2</v>
      </c>
    </row>
    <row r="950" spans="23:25" x14ac:dyDescent="0.25">
      <c r="W950" s="214" t="s">
        <v>232</v>
      </c>
      <c r="X950" s="214" t="s">
        <v>1175</v>
      </c>
      <c r="Y950" s="220">
        <v>2</v>
      </c>
    </row>
    <row r="951" spans="23:25" x14ac:dyDescent="0.25">
      <c r="W951" s="214" t="s">
        <v>27</v>
      </c>
      <c r="X951" s="214" t="s">
        <v>1176</v>
      </c>
      <c r="Y951" s="220">
        <v>3</v>
      </c>
    </row>
    <row r="952" spans="23:25" x14ac:dyDescent="0.25">
      <c r="W952" s="214" t="s">
        <v>27</v>
      </c>
      <c r="X952" s="214" t="s">
        <v>387</v>
      </c>
      <c r="Y952" s="220">
        <v>2</v>
      </c>
    </row>
    <row r="953" spans="23:25" x14ac:dyDescent="0.25">
      <c r="W953" s="214" t="s">
        <v>232</v>
      </c>
      <c r="X953" s="214" t="s">
        <v>1177</v>
      </c>
      <c r="Y953" s="220">
        <v>2</v>
      </c>
    </row>
    <row r="954" spans="23:25" x14ac:dyDescent="0.25">
      <c r="W954" s="214" t="s">
        <v>232</v>
      </c>
      <c r="X954" s="214" t="s">
        <v>1178</v>
      </c>
      <c r="Y954" s="220">
        <v>2</v>
      </c>
    </row>
    <row r="955" spans="23:25" x14ac:dyDescent="0.25">
      <c r="W955" s="214" t="s">
        <v>232</v>
      </c>
      <c r="X955" s="214" t="s">
        <v>1179</v>
      </c>
      <c r="Y955" s="220">
        <v>2</v>
      </c>
    </row>
    <row r="956" spans="23:25" x14ac:dyDescent="0.25">
      <c r="W956" s="214" t="s">
        <v>232</v>
      </c>
      <c r="X956" s="214" t="s">
        <v>1180</v>
      </c>
      <c r="Y956" s="220">
        <v>2</v>
      </c>
    </row>
    <row r="957" spans="23:25" x14ac:dyDescent="0.25">
      <c r="W957" s="214" t="s">
        <v>27</v>
      </c>
      <c r="X957" s="214" t="s">
        <v>1181</v>
      </c>
      <c r="Y957" s="220">
        <v>2</v>
      </c>
    </row>
    <row r="958" spans="23:25" x14ac:dyDescent="0.25">
      <c r="W958" s="214" t="s">
        <v>232</v>
      </c>
      <c r="X958" s="214" t="s">
        <v>1182</v>
      </c>
      <c r="Y958" s="220">
        <v>2</v>
      </c>
    </row>
    <row r="959" spans="23:25" x14ac:dyDescent="0.25">
      <c r="W959" s="214" t="s">
        <v>27</v>
      </c>
      <c r="X959" s="214" t="s">
        <v>1183</v>
      </c>
      <c r="Y959" s="220">
        <v>3</v>
      </c>
    </row>
    <row r="960" spans="23:25" x14ac:dyDescent="0.25">
      <c r="W960" s="214" t="s">
        <v>232</v>
      </c>
      <c r="X960" s="214" t="s">
        <v>1184</v>
      </c>
      <c r="Y960" s="220">
        <v>2</v>
      </c>
    </row>
    <row r="961" spans="23:25" x14ac:dyDescent="0.25">
      <c r="W961" s="214" t="s">
        <v>232</v>
      </c>
      <c r="X961" s="214" t="s">
        <v>1185</v>
      </c>
      <c r="Y961" s="220">
        <v>2</v>
      </c>
    </row>
    <row r="962" spans="23:25" x14ac:dyDescent="0.25">
      <c r="W962" s="214" t="s">
        <v>232</v>
      </c>
      <c r="X962" s="214" t="s">
        <v>1186</v>
      </c>
      <c r="Y962" s="220">
        <v>2</v>
      </c>
    </row>
    <row r="963" spans="23:25" x14ac:dyDescent="0.25">
      <c r="W963" s="214" t="s">
        <v>232</v>
      </c>
      <c r="X963" s="214" t="s">
        <v>1187</v>
      </c>
      <c r="Y963" s="220">
        <v>2</v>
      </c>
    </row>
    <row r="964" spans="23:25" x14ac:dyDescent="0.25">
      <c r="W964" s="214" t="s">
        <v>232</v>
      </c>
      <c r="X964" s="214" t="s">
        <v>1188</v>
      </c>
      <c r="Y964" s="220">
        <v>2</v>
      </c>
    </row>
    <row r="965" spans="23:25" x14ac:dyDescent="0.25">
      <c r="W965" s="214" t="s">
        <v>232</v>
      </c>
      <c r="X965" s="214" t="s">
        <v>1189</v>
      </c>
      <c r="Y965" s="220">
        <v>2</v>
      </c>
    </row>
    <row r="966" spans="23:25" x14ac:dyDescent="0.25">
      <c r="W966" s="214" t="s">
        <v>232</v>
      </c>
      <c r="X966" s="214" t="s">
        <v>1190</v>
      </c>
      <c r="Y966" s="220">
        <v>3</v>
      </c>
    </row>
    <row r="967" spans="23:25" x14ac:dyDescent="0.25">
      <c r="W967" s="214" t="s">
        <v>232</v>
      </c>
      <c r="X967" s="214" t="s">
        <v>1191</v>
      </c>
      <c r="Y967" s="220">
        <v>2</v>
      </c>
    </row>
    <row r="968" spans="23:25" x14ac:dyDescent="0.25">
      <c r="W968" s="214" t="s">
        <v>27</v>
      </c>
      <c r="X968" s="214" t="s">
        <v>1192</v>
      </c>
      <c r="Y968" s="220">
        <v>3</v>
      </c>
    </row>
    <row r="969" spans="23:25" x14ac:dyDescent="0.25">
      <c r="W969" s="214" t="s">
        <v>232</v>
      </c>
      <c r="X969" s="214" t="s">
        <v>1193</v>
      </c>
      <c r="Y969" s="220">
        <v>2</v>
      </c>
    </row>
    <row r="970" spans="23:25" x14ac:dyDescent="0.25">
      <c r="W970" s="214" t="s">
        <v>27</v>
      </c>
      <c r="X970" s="214" t="s">
        <v>1194</v>
      </c>
      <c r="Y970" s="220">
        <v>2</v>
      </c>
    </row>
    <row r="971" spans="23:25" x14ac:dyDescent="0.25">
      <c r="W971" s="214" t="s">
        <v>239</v>
      </c>
      <c r="X971" s="214" t="s">
        <v>1195</v>
      </c>
      <c r="Y971" s="220">
        <v>2</v>
      </c>
    </row>
    <row r="972" spans="23:25" x14ac:dyDescent="0.25">
      <c r="W972" s="214" t="s">
        <v>27</v>
      </c>
      <c r="X972" s="214" t="s">
        <v>1196</v>
      </c>
      <c r="Y972" s="220">
        <v>3</v>
      </c>
    </row>
    <row r="973" spans="23:25" x14ac:dyDescent="0.25">
      <c r="W973" s="214" t="s">
        <v>232</v>
      </c>
      <c r="X973" s="214" t="s">
        <v>1197</v>
      </c>
      <c r="Y973" s="220">
        <v>3</v>
      </c>
    </row>
    <row r="974" spans="23:25" x14ac:dyDescent="0.25">
      <c r="W974" s="214" t="s">
        <v>27</v>
      </c>
      <c r="X974" s="214" t="s">
        <v>1198</v>
      </c>
      <c r="Y974" s="220">
        <v>3</v>
      </c>
    </row>
    <row r="975" spans="23:25" x14ac:dyDescent="0.25">
      <c r="W975" s="214" t="s">
        <v>27</v>
      </c>
      <c r="X975" s="214" t="s">
        <v>1199</v>
      </c>
      <c r="Y975" s="220">
        <v>3</v>
      </c>
    </row>
    <row r="976" spans="23:25" x14ac:dyDescent="0.25">
      <c r="W976" s="214" t="s">
        <v>27</v>
      </c>
      <c r="X976" s="214" t="s">
        <v>1200</v>
      </c>
      <c r="Y976" s="220">
        <v>2</v>
      </c>
    </row>
    <row r="977" spans="23:25" x14ac:dyDescent="0.25">
      <c r="W977" s="214" t="s">
        <v>27</v>
      </c>
      <c r="X977" s="214" t="s">
        <v>1201</v>
      </c>
      <c r="Y977" s="220">
        <v>3</v>
      </c>
    </row>
    <row r="978" spans="23:25" x14ac:dyDescent="0.25">
      <c r="W978" s="214" t="s">
        <v>27</v>
      </c>
      <c r="X978" s="214" t="s">
        <v>1202</v>
      </c>
      <c r="Y978" s="220">
        <v>2</v>
      </c>
    </row>
    <row r="979" spans="23:25" x14ac:dyDescent="0.25">
      <c r="W979" s="214" t="s">
        <v>27</v>
      </c>
      <c r="X979" s="214" t="s">
        <v>1203</v>
      </c>
      <c r="Y979" s="220">
        <v>3</v>
      </c>
    </row>
    <row r="980" spans="23:25" x14ac:dyDescent="0.25">
      <c r="W980" s="214" t="s">
        <v>232</v>
      </c>
      <c r="X980" s="214" t="s">
        <v>1204</v>
      </c>
      <c r="Y980" s="220">
        <v>2</v>
      </c>
    </row>
    <row r="981" spans="23:25" x14ac:dyDescent="0.25">
      <c r="W981" s="214" t="s">
        <v>27</v>
      </c>
      <c r="X981" s="214" t="s">
        <v>1205</v>
      </c>
      <c r="Y981" s="220">
        <v>2</v>
      </c>
    </row>
    <row r="982" spans="23:25" x14ac:dyDescent="0.25">
      <c r="W982" s="214" t="s">
        <v>232</v>
      </c>
      <c r="X982" s="214" t="s">
        <v>5881</v>
      </c>
      <c r="Y982" s="220">
        <v>2</v>
      </c>
    </row>
    <row r="983" spans="23:25" x14ac:dyDescent="0.25">
      <c r="W983" s="214" t="s">
        <v>232</v>
      </c>
      <c r="X983" s="214" t="s">
        <v>1206</v>
      </c>
      <c r="Y983" s="220">
        <v>2</v>
      </c>
    </row>
    <row r="984" spans="23:25" x14ac:dyDescent="0.25">
      <c r="W984" s="214" t="s">
        <v>232</v>
      </c>
      <c r="X984" s="214" t="s">
        <v>1207</v>
      </c>
      <c r="Y984" s="220">
        <v>2</v>
      </c>
    </row>
    <row r="985" spans="23:25" x14ac:dyDescent="0.25">
      <c r="W985" s="214" t="s">
        <v>27</v>
      </c>
      <c r="X985" s="214" t="s">
        <v>1208</v>
      </c>
      <c r="Y985" s="220">
        <v>2</v>
      </c>
    </row>
    <row r="986" spans="23:25" x14ac:dyDescent="0.25">
      <c r="W986" s="214" t="s">
        <v>27</v>
      </c>
      <c r="X986" s="214" t="s">
        <v>1209</v>
      </c>
      <c r="Y986" s="220">
        <v>3</v>
      </c>
    </row>
    <row r="987" spans="23:25" x14ac:dyDescent="0.25">
      <c r="W987" s="214" t="s">
        <v>232</v>
      </c>
      <c r="X987" s="214" t="s">
        <v>1210</v>
      </c>
      <c r="Y987" s="220">
        <v>2</v>
      </c>
    </row>
    <row r="988" spans="23:25" x14ac:dyDescent="0.25">
      <c r="W988" s="214" t="s">
        <v>27</v>
      </c>
      <c r="X988" s="214" t="s">
        <v>1211</v>
      </c>
      <c r="Y988" s="220">
        <v>3</v>
      </c>
    </row>
    <row r="989" spans="23:25" x14ac:dyDescent="0.25">
      <c r="W989" s="214" t="s">
        <v>232</v>
      </c>
      <c r="X989" s="214" t="s">
        <v>1212</v>
      </c>
      <c r="Y989" s="220">
        <v>2</v>
      </c>
    </row>
    <row r="990" spans="23:25" x14ac:dyDescent="0.25">
      <c r="W990" s="214" t="s">
        <v>27</v>
      </c>
      <c r="X990" s="214" t="s">
        <v>1213</v>
      </c>
      <c r="Y990" s="220">
        <v>3</v>
      </c>
    </row>
    <row r="991" spans="23:25" x14ac:dyDescent="0.25">
      <c r="W991" s="214" t="s">
        <v>232</v>
      </c>
      <c r="X991" s="214" t="s">
        <v>1214</v>
      </c>
      <c r="Y991" s="220">
        <v>2</v>
      </c>
    </row>
    <row r="992" spans="23:25" x14ac:dyDescent="0.25">
      <c r="W992" s="214" t="s">
        <v>27</v>
      </c>
      <c r="X992" s="214" t="s">
        <v>1215</v>
      </c>
      <c r="Y992" s="220">
        <v>2</v>
      </c>
    </row>
    <row r="993" spans="23:25" x14ac:dyDescent="0.25">
      <c r="W993" s="214" t="s">
        <v>27</v>
      </c>
      <c r="X993" s="214" t="s">
        <v>1216</v>
      </c>
      <c r="Y993" s="220">
        <v>2</v>
      </c>
    </row>
    <row r="994" spans="23:25" x14ac:dyDescent="0.25">
      <c r="W994" s="214" t="s">
        <v>27</v>
      </c>
      <c r="X994" s="214" t="s">
        <v>1217</v>
      </c>
      <c r="Y994" s="220">
        <v>2</v>
      </c>
    </row>
    <row r="995" spans="23:25" x14ac:dyDescent="0.25">
      <c r="W995" s="214" t="s">
        <v>232</v>
      </c>
      <c r="X995" s="214" t="s">
        <v>1218</v>
      </c>
      <c r="Y995" s="220">
        <v>2</v>
      </c>
    </row>
    <row r="996" spans="23:25" x14ac:dyDescent="0.25">
      <c r="W996" s="214" t="s">
        <v>232</v>
      </c>
      <c r="X996" s="214" t="s">
        <v>1219</v>
      </c>
      <c r="Y996" s="220">
        <v>2</v>
      </c>
    </row>
    <row r="997" spans="23:25" x14ac:dyDescent="0.25">
      <c r="W997" s="214" t="s">
        <v>27</v>
      </c>
      <c r="X997" s="214" t="s">
        <v>5882</v>
      </c>
      <c r="Y997" s="220">
        <v>2</v>
      </c>
    </row>
    <row r="998" spans="23:25" x14ac:dyDescent="0.25">
      <c r="W998" s="214" t="s">
        <v>27</v>
      </c>
      <c r="X998" s="214" t="s">
        <v>1220</v>
      </c>
      <c r="Y998" s="220">
        <v>3</v>
      </c>
    </row>
    <row r="999" spans="23:25" x14ac:dyDescent="0.25">
      <c r="W999" s="214" t="s">
        <v>27</v>
      </c>
      <c r="X999" s="214" t="s">
        <v>1221</v>
      </c>
      <c r="Y999" s="220">
        <v>3</v>
      </c>
    </row>
    <row r="1000" spans="23:25" x14ac:dyDescent="0.25">
      <c r="W1000" s="214" t="s">
        <v>232</v>
      </c>
      <c r="X1000" s="214" t="s">
        <v>1222</v>
      </c>
      <c r="Y1000" s="220">
        <v>2</v>
      </c>
    </row>
    <row r="1001" spans="23:25" x14ac:dyDescent="0.25">
      <c r="W1001" s="214" t="s">
        <v>27</v>
      </c>
      <c r="X1001" s="214" t="s">
        <v>1223</v>
      </c>
      <c r="Y1001" s="220">
        <v>2</v>
      </c>
    </row>
    <row r="1002" spans="23:25" x14ac:dyDescent="0.25">
      <c r="W1002" s="214" t="s">
        <v>232</v>
      </c>
      <c r="X1002" s="214" t="s">
        <v>1224</v>
      </c>
      <c r="Y1002" s="220">
        <v>2</v>
      </c>
    </row>
    <row r="1003" spans="23:25" x14ac:dyDescent="0.25">
      <c r="W1003" s="214" t="s">
        <v>27</v>
      </c>
      <c r="X1003" s="214" t="s">
        <v>1225</v>
      </c>
      <c r="Y1003" s="220">
        <v>2</v>
      </c>
    </row>
    <row r="1004" spans="23:25" x14ac:dyDescent="0.25">
      <c r="W1004" s="214" t="s">
        <v>239</v>
      </c>
      <c r="X1004" s="214" t="s">
        <v>1226</v>
      </c>
      <c r="Y1004" s="220">
        <v>2</v>
      </c>
    </row>
    <row r="1005" spans="23:25" x14ac:dyDescent="0.25">
      <c r="W1005" s="214" t="s">
        <v>27</v>
      </c>
      <c r="X1005" s="214" t="s">
        <v>1227</v>
      </c>
      <c r="Y1005" s="220">
        <v>2</v>
      </c>
    </row>
    <row r="1006" spans="23:25" x14ac:dyDescent="0.25">
      <c r="W1006" s="214" t="s">
        <v>232</v>
      </c>
      <c r="X1006" s="214" t="s">
        <v>1228</v>
      </c>
      <c r="Y1006" s="220">
        <v>2</v>
      </c>
    </row>
    <row r="1007" spans="23:25" x14ac:dyDescent="0.25">
      <c r="W1007" s="214" t="s">
        <v>27</v>
      </c>
      <c r="X1007" s="214" t="s">
        <v>1229</v>
      </c>
      <c r="Y1007" s="220">
        <v>3</v>
      </c>
    </row>
    <row r="1008" spans="23:25" x14ac:dyDescent="0.25">
      <c r="W1008" s="214" t="s">
        <v>27</v>
      </c>
      <c r="X1008" s="214" t="s">
        <v>1230</v>
      </c>
      <c r="Y1008" s="220">
        <v>2</v>
      </c>
    </row>
    <row r="1009" spans="23:25" x14ac:dyDescent="0.25">
      <c r="W1009" s="214" t="s">
        <v>232</v>
      </c>
      <c r="X1009" s="214" t="s">
        <v>1231</v>
      </c>
      <c r="Y1009" s="220">
        <v>2</v>
      </c>
    </row>
    <row r="1010" spans="23:25" x14ac:dyDescent="0.25">
      <c r="W1010" s="214" t="s">
        <v>232</v>
      </c>
      <c r="X1010" s="214" t="s">
        <v>1232</v>
      </c>
      <c r="Y1010" s="220">
        <v>3</v>
      </c>
    </row>
    <row r="1011" spans="23:25" x14ac:dyDescent="0.25">
      <c r="W1011" s="214" t="s">
        <v>27</v>
      </c>
      <c r="X1011" s="214" t="s">
        <v>1233</v>
      </c>
      <c r="Y1011" s="220">
        <v>3</v>
      </c>
    </row>
    <row r="1012" spans="23:25" x14ac:dyDescent="0.25">
      <c r="W1012" s="214" t="s">
        <v>232</v>
      </c>
      <c r="X1012" s="214" t="s">
        <v>1234</v>
      </c>
      <c r="Y1012" s="220">
        <v>2</v>
      </c>
    </row>
    <row r="1013" spans="23:25" x14ac:dyDescent="0.25">
      <c r="W1013" s="214" t="s">
        <v>27</v>
      </c>
      <c r="X1013" s="214" t="s">
        <v>1235</v>
      </c>
      <c r="Y1013" s="220">
        <v>2</v>
      </c>
    </row>
    <row r="1014" spans="23:25" x14ac:dyDescent="0.25">
      <c r="W1014" s="214" t="s">
        <v>232</v>
      </c>
      <c r="X1014" s="214" t="s">
        <v>1236</v>
      </c>
      <c r="Y1014" s="220">
        <v>2</v>
      </c>
    </row>
    <row r="1015" spans="23:25" x14ac:dyDescent="0.25">
      <c r="W1015" s="214" t="s">
        <v>232</v>
      </c>
      <c r="X1015" s="214" t="s">
        <v>1237</v>
      </c>
      <c r="Y1015" s="220">
        <v>2</v>
      </c>
    </row>
    <row r="1016" spans="23:25" x14ac:dyDescent="0.25">
      <c r="W1016" s="214" t="s">
        <v>232</v>
      </c>
      <c r="X1016" s="214" t="s">
        <v>1238</v>
      </c>
      <c r="Y1016" s="220">
        <v>2</v>
      </c>
    </row>
    <row r="1017" spans="23:25" x14ac:dyDescent="0.25">
      <c r="W1017" s="214" t="s">
        <v>27</v>
      </c>
      <c r="X1017" s="214" t="s">
        <v>1239</v>
      </c>
      <c r="Y1017" s="220">
        <v>2</v>
      </c>
    </row>
    <row r="1018" spans="23:25" x14ac:dyDescent="0.25">
      <c r="W1018" s="214" t="s">
        <v>27</v>
      </c>
      <c r="X1018" s="214" t="s">
        <v>569</v>
      </c>
      <c r="Y1018" s="220">
        <v>2</v>
      </c>
    </row>
    <row r="1019" spans="23:25" x14ac:dyDescent="0.25">
      <c r="W1019" s="214" t="s">
        <v>27</v>
      </c>
      <c r="X1019" s="214" t="s">
        <v>1240</v>
      </c>
      <c r="Y1019" s="220">
        <v>2</v>
      </c>
    </row>
    <row r="1020" spans="23:25" x14ac:dyDescent="0.25">
      <c r="W1020" s="214" t="s">
        <v>232</v>
      </c>
      <c r="X1020" s="214" t="s">
        <v>1241</v>
      </c>
      <c r="Y1020" s="220">
        <v>2</v>
      </c>
    </row>
    <row r="1021" spans="23:25" x14ac:dyDescent="0.25">
      <c r="W1021" s="214" t="s">
        <v>232</v>
      </c>
      <c r="X1021" s="214" t="s">
        <v>1242</v>
      </c>
      <c r="Y1021" s="220">
        <v>2</v>
      </c>
    </row>
    <row r="1022" spans="23:25" x14ac:dyDescent="0.25">
      <c r="W1022" s="214" t="s">
        <v>27</v>
      </c>
      <c r="X1022" s="214" t="s">
        <v>1243</v>
      </c>
      <c r="Y1022" s="220">
        <v>2</v>
      </c>
    </row>
    <row r="1023" spans="23:25" x14ac:dyDescent="0.25">
      <c r="W1023" s="214" t="s">
        <v>27</v>
      </c>
      <c r="X1023" s="214" t="s">
        <v>1244</v>
      </c>
      <c r="Y1023" s="220">
        <v>3</v>
      </c>
    </row>
    <row r="1024" spans="23:25" x14ac:dyDescent="0.25">
      <c r="W1024" s="214" t="s">
        <v>232</v>
      </c>
      <c r="X1024" s="214" t="s">
        <v>1245</v>
      </c>
      <c r="Y1024" s="220">
        <v>2</v>
      </c>
    </row>
    <row r="1025" spans="23:25" x14ac:dyDescent="0.25">
      <c r="W1025" s="214" t="s">
        <v>232</v>
      </c>
      <c r="X1025" s="214" t="s">
        <v>1246</v>
      </c>
      <c r="Y1025" s="220">
        <v>2</v>
      </c>
    </row>
    <row r="1026" spans="23:25" x14ac:dyDescent="0.25">
      <c r="W1026" s="214" t="s">
        <v>27</v>
      </c>
      <c r="X1026" s="214" t="s">
        <v>1247</v>
      </c>
      <c r="Y1026" s="220">
        <v>3</v>
      </c>
    </row>
    <row r="1027" spans="23:25" x14ac:dyDescent="0.25">
      <c r="W1027" s="214" t="s">
        <v>232</v>
      </c>
      <c r="X1027" s="214" t="s">
        <v>1248</v>
      </c>
      <c r="Y1027" s="220">
        <v>2</v>
      </c>
    </row>
    <row r="1028" spans="23:25" x14ac:dyDescent="0.25">
      <c r="W1028" s="214" t="s">
        <v>27</v>
      </c>
      <c r="X1028" s="214" t="s">
        <v>1249</v>
      </c>
      <c r="Y1028" s="220">
        <v>2</v>
      </c>
    </row>
    <row r="1029" spans="23:25" x14ac:dyDescent="0.25">
      <c r="W1029" s="214" t="s">
        <v>27</v>
      </c>
      <c r="X1029" s="214" t="s">
        <v>1250</v>
      </c>
      <c r="Y1029" s="220">
        <v>2</v>
      </c>
    </row>
    <row r="1030" spans="23:25" x14ac:dyDescent="0.25">
      <c r="W1030" s="214" t="s">
        <v>232</v>
      </c>
      <c r="X1030" s="214" t="s">
        <v>1251</v>
      </c>
      <c r="Y1030" s="220">
        <v>2</v>
      </c>
    </row>
    <row r="1031" spans="23:25" x14ac:dyDescent="0.25">
      <c r="W1031" s="214" t="s">
        <v>232</v>
      </c>
      <c r="X1031" s="214" t="s">
        <v>1252</v>
      </c>
      <c r="Y1031" s="220">
        <v>2</v>
      </c>
    </row>
    <row r="1032" spans="23:25" x14ac:dyDescent="0.25">
      <c r="W1032" s="214" t="s">
        <v>232</v>
      </c>
      <c r="X1032" s="214" t="s">
        <v>1253</v>
      </c>
      <c r="Y1032" s="220">
        <v>2</v>
      </c>
    </row>
    <row r="1033" spans="23:25" x14ac:dyDescent="0.25">
      <c r="W1033" s="214" t="s">
        <v>232</v>
      </c>
      <c r="X1033" s="214" t="s">
        <v>1254</v>
      </c>
      <c r="Y1033" s="220">
        <v>2</v>
      </c>
    </row>
    <row r="1034" spans="23:25" x14ac:dyDescent="0.25">
      <c r="W1034" s="214" t="s">
        <v>232</v>
      </c>
      <c r="X1034" s="214" t="s">
        <v>1255</v>
      </c>
      <c r="Y1034" s="220">
        <v>2</v>
      </c>
    </row>
    <row r="1035" spans="23:25" x14ac:dyDescent="0.25">
      <c r="W1035" s="214" t="s">
        <v>232</v>
      </c>
      <c r="X1035" s="214" t="s">
        <v>1256</v>
      </c>
      <c r="Y1035" s="220">
        <v>2</v>
      </c>
    </row>
    <row r="1036" spans="23:25" x14ac:dyDescent="0.25">
      <c r="W1036" s="214" t="s">
        <v>232</v>
      </c>
      <c r="X1036" s="214" t="s">
        <v>1257</v>
      </c>
      <c r="Y1036" s="220">
        <v>2</v>
      </c>
    </row>
    <row r="1037" spans="23:25" x14ac:dyDescent="0.25">
      <c r="W1037" s="214" t="s">
        <v>232</v>
      </c>
      <c r="X1037" s="214" t="s">
        <v>1258</v>
      </c>
      <c r="Y1037" s="220">
        <v>2</v>
      </c>
    </row>
    <row r="1038" spans="23:25" x14ac:dyDescent="0.25">
      <c r="W1038" s="214" t="s">
        <v>232</v>
      </c>
      <c r="X1038" s="214" t="s">
        <v>1259</v>
      </c>
      <c r="Y1038" s="220">
        <v>1</v>
      </c>
    </row>
    <row r="1039" spans="23:25" x14ac:dyDescent="0.25">
      <c r="W1039" s="214" t="s">
        <v>232</v>
      </c>
      <c r="X1039" s="214" t="s">
        <v>1260</v>
      </c>
      <c r="Y1039" s="220">
        <v>2</v>
      </c>
    </row>
    <row r="1040" spans="23:25" x14ac:dyDescent="0.25">
      <c r="W1040" s="214" t="s">
        <v>232</v>
      </c>
      <c r="X1040" s="214" t="s">
        <v>1261</v>
      </c>
      <c r="Y1040" s="220">
        <v>2</v>
      </c>
    </row>
    <row r="1041" spans="23:25" x14ac:dyDescent="0.25">
      <c r="W1041" s="214" t="s">
        <v>232</v>
      </c>
      <c r="X1041" s="214" t="s">
        <v>1262</v>
      </c>
      <c r="Y1041" s="220">
        <v>2</v>
      </c>
    </row>
    <row r="1042" spans="23:25" x14ac:dyDescent="0.25">
      <c r="W1042" s="214" t="s">
        <v>232</v>
      </c>
      <c r="X1042" s="214" t="s">
        <v>1263</v>
      </c>
      <c r="Y1042" s="220">
        <v>2</v>
      </c>
    </row>
    <row r="1043" spans="23:25" x14ac:dyDescent="0.25">
      <c r="W1043" s="214" t="s">
        <v>232</v>
      </c>
      <c r="X1043" s="214" t="s">
        <v>1264</v>
      </c>
      <c r="Y1043" s="220">
        <v>2</v>
      </c>
    </row>
    <row r="1044" spans="23:25" x14ac:dyDescent="0.25">
      <c r="W1044" s="214" t="s">
        <v>232</v>
      </c>
      <c r="X1044" s="214" t="s">
        <v>1265</v>
      </c>
      <c r="Y1044" s="220">
        <v>2</v>
      </c>
    </row>
    <row r="1045" spans="23:25" x14ac:dyDescent="0.25">
      <c r="W1045" s="214" t="s">
        <v>232</v>
      </c>
      <c r="X1045" s="214" t="s">
        <v>1266</v>
      </c>
      <c r="Y1045" s="220">
        <v>2</v>
      </c>
    </row>
    <row r="1046" spans="23:25" x14ac:dyDescent="0.25">
      <c r="W1046" s="214" t="s">
        <v>232</v>
      </c>
      <c r="X1046" s="214" t="s">
        <v>1267</v>
      </c>
      <c r="Y1046" s="220">
        <v>2</v>
      </c>
    </row>
    <row r="1047" spans="23:25" x14ac:dyDescent="0.25">
      <c r="W1047" s="214" t="s">
        <v>232</v>
      </c>
      <c r="X1047" s="214" t="s">
        <v>1268</v>
      </c>
      <c r="Y1047" s="220">
        <v>2</v>
      </c>
    </row>
    <row r="1048" spans="23:25" x14ac:dyDescent="0.25">
      <c r="W1048" s="214" t="s">
        <v>232</v>
      </c>
      <c r="X1048" s="214" t="s">
        <v>1269</v>
      </c>
      <c r="Y1048" s="220">
        <v>3</v>
      </c>
    </row>
    <row r="1049" spans="23:25" x14ac:dyDescent="0.25">
      <c r="W1049" s="214" t="s">
        <v>232</v>
      </c>
      <c r="X1049" s="214" t="s">
        <v>1270</v>
      </c>
      <c r="Y1049" s="220">
        <v>3</v>
      </c>
    </row>
    <row r="1050" spans="23:25" x14ac:dyDescent="0.25">
      <c r="W1050" s="214" t="s">
        <v>232</v>
      </c>
      <c r="X1050" s="214" t="s">
        <v>1271</v>
      </c>
      <c r="Y1050" s="220">
        <v>2</v>
      </c>
    </row>
    <row r="1051" spans="23:25" x14ac:dyDescent="0.25">
      <c r="W1051" s="214" t="s">
        <v>232</v>
      </c>
      <c r="X1051" s="214" t="s">
        <v>1272</v>
      </c>
      <c r="Y1051" s="220">
        <v>2</v>
      </c>
    </row>
    <row r="1052" spans="23:25" x14ac:dyDescent="0.25">
      <c r="W1052" s="214" t="s">
        <v>232</v>
      </c>
      <c r="X1052" s="214" t="s">
        <v>1273</v>
      </c>
      <c r="Y1052" s="220">
        <v>2</v>
      </c>
    </row>
    <row r="1053" spans="23:25" x14ac:dyDescent="0.25">
      <c r="W1053" s="214" t="s">
        <v>232</v>
      </c>
      <c r="X1053" s="214" t="s">
        <v>1274</v>
      </c>
      <c r="Y1053" s="220">
        <v>2</v>
      </c>
    </row>
    <row r="1054" spans="23:25" x14ac:dyDescent="0.25">
      <c r="W1054" s="214" t="s">
        <v>232</v>
      </c>
      <c r="X1054" s="214" t="s">
        <v>1275</v>
      </c>
      <c r="Y1054" s="220">
        <v>2</v>
      </c>
    </row>
    <row r="1055" spans="23:25" x14ac:dyDescent="0.25">
      <c r="W1055" s="214" t="s">
        <v>232</v>
      </c>
      <c r="X1055" s="214" t="s">
        <v>1276</v>
      </c>
      <c r="Y1055" s="220">
        <v>2</v>
      </c>
    </row>
    <row r="1056" spans="23:25" x14ac:dyDescent="0.25">
      <c r="W1056" s="214" t="s">
        <v>232</v>
      </c>
      <c r="X1056" s="214" t="s">
        <v>1277</v>
      </c>
      <c r="Y1056" s="220">
        <v>2</v>
      </c>
    </row>
    <row r="1057" spans="23:25" x14ac:dyDescent="0.25">
      <c r="W1057" s="214" t="s">
        <v>232</v>
      </c>
      <c r="X1057" s="214" t="s">
        <v>1278</v>
      </c>
      <c r="Y1057" s="220">
        <v>2</v>
      </c>
    </row>
    <row r="1058" spans="23:25" x14ac:dyDescent="0.25">
      <c r="W1058" s="214" t="s">
        <v>27</v>
      </c>
      <c r="X1058" s="214" t="s">
        <v>1279</v>
      </c>
      <c r="Y1058" s="220">
        <v>2</v>
      </c>
    </row>
    <row r="1059" spans="23:25" x14ac:dyDescent="0.25">
      <c r="W1059" s="214" t="s">
        <v>232</v>
      </c>
      <c r="X1059" s="214" t="s">
        <v>1280</v>
      </c>
      <c r="Y1059" s="220">
        <v>2</v>
      </c>
    </row>
    <row r="1060" spans="23:25" x14ac:dyDescent="0.25">
      <c r="W1060" s="214" t="s">
        <v>27</v>
      </c>
      <c r="X1060" s="214" t="s">
        <v>1281</v>
      </c>
      <c r="Y1060" s="220">
        <v>2</v>
      </c>
    </row>
    <row r="1061" spans="23:25" x14ac:dyDescent="0.25">
      <c r="W1061" s="214" t="s">
        <v>232</v>
      </c>
      <c r="X1061" s="214" t="s">
        <v>1282</v>
      </c>
      <c r="Y1061" s="220">
        <v>2</v>
      </c>
    </row>
    <row r="1062" spans="23:25" x14ac:dyDescent="0.25">
      <c r="W1062" s="214" t="s">
        <v>232</v>
      </c>
      <c r="X1062" s="214" t="s">
        <v>1283</v>
      </c>
      <c r="Y1062" s="220">
        <v>2</v>
      </c>
    </row>
    <row r="1063" spans="23:25" x14ac:dyDescent="0.25">
      <c r="W1063" s="214" t="s">
        <v>27</v>
      </c>
      <c r="X1063" s="214" t="s">
        <v>1284</v>
      </c>
      <c r="Y1063" s="220">
        <v>2</v>
      </c>
    </row>
    <row r="1064" spans="23:25" x14ac:dyDescent="0.25">
      <c r="W1064" s="214" t="s">
        <v>232</v>
      </c>
      <c r="X1064" s="214" t="s">
        <v>1285</v>
      </c>
      <c r="Y1064" s="220">
        <v>2</v>
      </c>
    </row>
    <row r="1065" spans="23:25" x14ac:dyDescent="0.25">
      <c r="W1065" s="214" t="s">
        <v>27</v>
      </c>
      <c r="X1065" s="214" t="s">
        <v>1286</v>
      </c>
      <c r="Y1065" s="220">
        <v>2</v>
      </c>
    </row>
    <row r="1066" spans="23:25" x14ac:dyDescent="0.25">
      <c r="W1066" s="214" t="s">
        <v>232</v>
      </c>
      <c r="X1066" s="214" t="s">
        <v>1287</v>
      </c>
      <c r="Y1066" s="220">
        <v>2</v>
      </c>
    </row>
    <row r="1067" spans="23:25" x14ac:dyDescent="0.25">
      <c r="W1067" s="214" t="s">
        <v>232</v>
      </c>
      <c r="X1067" s="214" t="s">
        <v>1288</v>
      </c>
      <c r="Y1067" s="220">
        <v>2</v>
      </c>
    </row>
    <row r="1068" spans="23:25" x14ac:dyDescent="0.25">
      <c r="W1068" s="214" t="s">
        <v>232</v>
      </c>
      <c r="X1068" s="214" t="s">
        <v>1289</v>
      </c>
      <c r="Y1068" s="220">
        <v>2</v>
      </c>
    </row>
    <row r="1069" spans="23:25" x14ac:dyDescent="0.25">
      <c r="W1069" s="214" t="s">
        <v>232</v>
      </c>
      <c r="X1069" s="214" t="s">
        <v>1290</v>
      </c>
      <c r="Y1069" s="220">
        <v>2</v>
      </c>
    </row>
    <row r="1070" spans="23:25" x14ac:dyDescent="0.25">
      <c r="W1070" s="214" t="s">
        <v>232</v>
      </c>
      <c r="X1070" s="214" t="s">
        <v>1291</v>
      </c>
      <c r="Y1070" s="220">
        <v>2</v>
      </c>
    </row>
    <row r="1071" spans="23:25" x14ac:dyDescent="0.25">
      <c r="W1071" s="214" t="s">
        <v>232</v>
      </c>
      <c r="X1071" s="214" t="s">
        <v>1292</v>
      </c>
      <c r="Y1071" s="220">
        <v>2</v>
      </c>
    </row>
    <row r="1072" spans="23:25" x14ac:dyDescent="0.25">
      <c r="W1072" s="214" t="s">
        <v>27</v>
      </c>
      <c r="X1072" s="214" t="s">
        <v>1293</v>
      </c>
      <c r="Y1072" s="220">
        <v>1</v>
      </c>
    </row>
    <row r="1073" spans="23:25" x14ac:dyDescent="0.25">
      <c r="W1073" s="214" t="s">
        <v>232</v>
      </c>
      <c r="X1073" s="214" t="s">
        <v>1294</v>
      </c>
      <c r="Y1073" s="220">
        <v>2</v>
      </c>
    </row>
    <row r="1074" spans="23:25" x14ac:dyDescent="0.25">
      <c r="W1074" s="214" t="s">
        <v>27</v>
      </c>
      <c r="X1074" s="214" t="s">
        <v>912</v>
      </c>
      <c r="Y1074" s="220">
        <v>2</v>
      </c>
    </row>
    <row r="1075" spans="23:25" x14ac:dyDescent="0.25">
      <c r="W1075" s="214" t="s">
        <v>27</v>
      </c>
      <c r="X1075" s="214" t="s">
        <v>1295</v>
      </c>
      <c r="Y1075" s="220">
        <v>2</v>
      </c>
    </row>
    <row r="1076" spans="23:25" x14ac:dyDescent="0.25">
      <c r="W1076" s="214" t="s">
        <v>232</v>
      </c>
      <c r="X1076" s="214" t="s">
        <v>1296</v>
      </c>
      <c r="Y1076" s="220">
        <v>2</v>
      </c>
    </row>
    <row r="1077" spans="23:25" x14ac:dyDescent="0.25">
      <c r="W1077" s="214" t="s">
        <v>232</v>
      </c>
      <c r="X1077" s="214" t="s">
        <v>1297</v>
      </c>
      <c r="Y1077" s="220">
        <v>2</v>
      </c>
    </row>
    <row r="1078" spans="23:25" x14ac:dyDescent="0.25">
      <c r="W1078" s="214" t="s">
        <v>232</v>
      </c>
      <c r="X1078" s="214" t="s">
        <v>1298</v>
      </c>
      <c r="Y1078" s="220">
        <v>2</v>
      </c>
    </row>
    <row r="1079" spans="23:25" x14ac:dyDescent="0.25">
      <c r="W1079" s="214" t="s">
        <v>27</v>
      </c>
      <c r="X1079" s="214" t="s">
        <v>1299</v>
      </c>
      <c r="Y1079" s="220">
        <v>2</v>
      </c>
    </row>
    <row r="1080" spans="23:25" x14ac:dyDescent="0.25">
      <c r="W1080" s="214" t="s">
        <v>27</v>
      </c>
      <c r="X1080" s="214" t="s">
        <v>1300</v>
      </c>
      <c r="Y1080" s="220">
        <v>1</v>
      </c>
    </row>
    <row r="1081" spans="23:25" x14ac:dyDescent="0.25">
      <c r="W1081" s="214" t="s">
        <v>232</v>
      </c>
      <c r="X1081" s="214" t="s">
        <v>1301</v>
      </c>
      <c r="Y1081" s="220">
        <v>2</v>
      </c>
    </row>
    <row r="1082" spans="23:25" x14ac:dyDescent="0.25">
      <c r="W1082" s="214" t="s">
        <v>27</v>
      </c>
      <c r="X1082" s="214" t="s">
        <v>1302</v>
      </c>
      <c r="Y1082" s="220">
        <v>2</v>
      </c>
    </row>
    <row r="1083" spans="23:25" x14ac:dyDescent="0.25">
      <c r="W1083" s="214" t="s">
        <v>232</v>
      </c>
      <c r="X1083" s="214" t="s">
        <v>1303</v>
      </c>
      <c r="Y1083" s="220">
        <v>3</v>
      </c>
    </row>
    <row r="1084" spans="23:25" x14ac:dyDescent="0.25">
      <c r="W1084" s="214" t="s">
        <v>27</v>
      </c>
      <c r="X1084" s="214" t="s">
        <v>1304</v>
      </c>
      <c r="Y1084" s="220">
        <v>2</v>
      </c>
    </row>
    <row r="1085" spans="23:25" x14ac:dyDescent="0.25">
      <c r="W1085" s="214" t="s">
        <v>232</v>
      </c>
      <c r="X1085" s="214" t="s">
        <v>1305</v>
      </c>
      <c r="Y1085" s="220">
        <v>2</v>
      </c>
    </row>
    <row r="1086" spans="23:25" x14ac:dyDescent="0.25">
      <c r="W1086" s="214" t="s">
        <v>232</v>
      </c>
      <c r="X1086" s="214" t="s">
        <v>1306</v>
      </c>
      <c r="Y1086" s="220">
        <v>2</v>
      </c>
    </row>
    <row r="1087" spans="23:25" x14ac:dyDescent="0.25">
      <c r="W1087" s="214" t="s">
        <v>232</v>
      </c>
      <c r="X1087" s="214" t="s">
        <v>1307</v>
      </c>
      <c r="Y1087" s="220">
        <v>2</v>
      </c>
    </row>
    <row r="1088" spans="23:25" x14ac:dyDescent="0.25">
      <c r="W1088" s="214" t="s">
        <v>232</v>
      </c>
      <c r="X1088" s="214" t="s">
        <v>1308</v>
      </c>
      <c r="Y1088" s="220">
        <v>2</v>
      </c>
    </row>
    <row r="1089" spans="23:25" x14ac:dyDescent="0.25">
      <c r="W1089" s="214" t="s">
        <v>27</v>
      </c>
      <c r="X1089" s="214" t="s">
        <v>1309</v>
      </c>
      <c r="Y1089" s="220">
        <v>2</v>
      </c>
    </row>
    <row r="1090" spans="23:25" x14ac:dyDescent="0.25">
      <c r="W1090" s="214" t="s">
        <v>232</v>
      </c>
      <c r="X1090" s="214" t="s">
        <v>1310</v>
      </c>
      <c r="Y1090" s="220">
        <v>2</v>
      </c>
    </row>
    <row r="1091" spans="23:25" x14ac:dyDescent="0.25">
      <c r="W1091" s="214" t="s">
        <v>239</v>
      </c>
      <c r="X1091" s="214" t="s">
        <v>1311</v>
      </c>
      <c r="Y1091" s="220">
        <v>2</v>
      </c>
    </row>
    <row r="1092" spans="23:25" x14ac:dyDescent="0.25">
      <c r="W1092" s="214" t="s">
        <v>27</v>
      </c>
      <c r="X1092" s="214" t="s">
        <v>1312</v>
      </c>
      <c r="Y1092" s="220">
        <v>2</v>
      </c>
    </row>
    <row r="1093" spans="23:25" x14ac:dyDescent="0.25">
      <c r="W1093" s="214" t="s">
        <v>232</v>
      </c>
      <c r="X1093" s="214" t="s">
        <v>1313</v>
      </c>
      <c r="Y1093" s="220">
        <v>2</v>
      </c>
    </row>
    <row r="1094" spans="23:25" x14ac:dyDescent="0.25">
      <c r="W1094" s="214" t="s">
        <v>27</v>
      </c>
      <c r="X1094" s="214" t="s">
        <v>1314</v>
      </c>
      <c r="Y1094" s="220">
        <v>2</v>
      </c>
    </row>
    <row r="1095" spans="23:25" x14ac:dyDescent="0.25">
      <c r="W1095" s="214" t="s">
        <v>27</v>
      </c>
      <c r="X1095" s="214" t="s">
        <v>1315</v>
      </c>
      <c r="Y1095" s="220">
        <v>2</v>
      </c>
    </row>
    <row r="1096" spans="23:25" x14ac:dyDescent="0.25">
      <c r="W1096" s="214" t="s">
        <v>232</v>
      </c>
      <c r="X1096" s="214" t="s">
        <v>1316</v>
      </c>
      <c r="Y1096" s="220">
        <v>2</v>
      </c>
    </row>
    <row r="1097" spans="23:25" x14ac:dyDescent="0.25">
      <c r="W1097" s="214" t="s">
        <v>232</v>
      </c>
      <c r="X1097" s="214" t="s">
        <v>1317</v>
      </c>
      <c r="Y1097" s="220">
        <v>1</v>
      </c>
    </row>
    <row r="1098" spans="23:25" x14ac:dyDescent="0.25">
      <c r="W1098" s="214" t="s">
        <v>232</v>
      </c>
      <c r="X1098" s="214" t="s">
        <v>1318</v>
      </c>
      <c r="Y1098" s="220">
        <v>1</v>
      </c>
    </row>
    <row r="1099" spans="23:25" x14ac:dyDescent="0.25">
      <c r="W1099" s="214" t="s">
        <v>232</v>
      </c>
      <c r="X1099" s="214" t="s">
        <v>1319</v>
      </c>
      <c r="Y1099" s="220">
        <v>1</v>
      </c>
    </row>
    <row r="1100" spans="23:25" x14ac:dyDescent="0.25">
      <c r="W1100" s="214" t="s">
        <v>232</v>
      </c>
      <c r="X1100" s="214" t="s">
        <v>1320</v>
      </c>
      <c r="Y1100" s="220">
        <v>2</v>
      </c>
    </row>
    <row r="1101" spans="23:25" x14ac:dyDescent="0.25">
      <c r="W1101" s="214" t="s">
        <v>239</v>
      </c>
      <c r="X1101" s="214" t="s">
        <v>1321</v>
      </c>
      <c r="Y1101" s="220">
        <v>2</v>
      </c>
    </row>
    <row r="1102" spans="23:25" x14ac:dyDescent="0.25">
      <c r="W1102" s="214" t="s">
        <v>232</v>
      </c>
      <c r="X1102" s="214" t="s">
        <v>1322</v>
      </c>
      <c r="Y1102" s="220">
        <v>2</v>
      </c>
    </row>
    <row r="1103" spans="23:25" x14ac:dyDescent="0.25">
      <c r="W1103" s="214" t="s">
        <v>232</v>
      </c>
      <c r="X1103" s="214" t="s">
        <v>1323</v>
      </c>
      <c r="Y1103" s="220">
        <v>2</v>
      </c>
    </row>
    <row r="1104" spans="23:25" x14ac:dyDescent="0.25">
      <c r="W1104" s="214" t="s">
        <v>232</v>
      </c>
      <c r="X1104" s="214" t="s">
        <v>1324</v>
      </c>
      <c r="Y1104" s="220">
        <v>2</v>
      </c>
    </row>
    <row r="1105" spans="23:25" x14ac:dyDescent="0.25">
      <c r="W1105" s="214" t="s">
        <v>232</v>
      </c>
      <c r="X1105" s="214" t="s">
        <v>1325</v>
      </c>
      <c r="Y1105" s="220">
        <v>2</v>
      </c>
    </row>
    <row r="1106" spans="23:25" x14ac:dyDescent="0.25">
      <c r="W1106" s="214" t="s">
        <v>27</v>
      </c>
      <c r="X1106" s="214" t="s">
        <v>1326</v>
      </c>
      <c r="Y1106" s="220">
        <v>2</v>
      </c>
    </row>
    <row r="1107" spans="23:25" x14ac:dyDescent="0.25">
      <c r="W1107" s="214" t="s">
        <v>232</v>
      </c>
      <c r="X1107" s="214" t="s">
        <v>1327</v>
      </c>
      <c r="Y1107" s="220">
        <v>2</v>
      </c>
    </row>
    <row r="1108" spans="23:25" x14ac:dyDescent="0.25">
      <c r="W1108" s="214" t="s">
        <v>232</v>
      </c>
      <c r="X1108" s="214" t="s">
        <v>1328</v>
      </c>
      <c r="Y1108" s="220">
        <v>1</v>
      </c>
    </row>
    <row r="1109" spans="23:25" x14ac:dyDescent="0.25">
      <c r="W1109" s="214" t="s">
        <v>232</v>
      </c>
      <c r="X1109" s="214" t="s">
        <v>1329</v>
      </c>
      <c r="Y1109" s="220">
        <v>2</v>
      </c>
    </row>
    <row r="1110" spans="23:25" x14ac:dyDescent="0.25">
      <c r="W1110" s="214" t="s">
        <v>232</v>
      </c>
      <c r="X1110" s="214" t="s">
        <v>1330</v>
      </c>
      <c r="Y1110" s="220">
        <v>2</v>
      </c>
    </row>
    <row r="1111" spans="23:25" x14ac:dyDescent="0.25">
      <c r="W1111" s="214" t="s">
        <v>232</v>
      </c>
      <c r="X1111" s="214" t="s">
        <v>1331</v>
      </c>
      <c r="Y1111" s="220">
        <v>2</v>
      </c>
    </row>
    <row r="1112" spans="23:25" x14ac:dyDescent="0.25">
      <c r="W1112" s="214" t="s">
        <v>232</v>
      </c>
      <c r="X1112" s="214" t="s">
        <v>1332</v>
      </c>
      <c r="Y1112" s="220">
        <v>1</v>
      </c>
    </row>
    <row r="1113" spans="23:25" x14ac:dyDescent="0.25">
      <c r="W1113" s="214" t="s">
        <v>232</v>
      </c>
      <c r="X1113" s="214" t="s">
        <v>1333</v>
      </c>
      <c r="Y1113" s="220">
        <v>2</v>
      </c>
    </row>
    <row r="1114" spans="23:25" x14ac:dyDescent="0.25">
      <c r="W1114" s="214" t="s">
        <v>232</v>
      </c>
      <c r="X1114" s="214" t="s">
        <v>1334</v>
      </c>
      <c r="Y1114" s="220">
        <v>2</v>
      </c>
    </row>
    <row r="1115" spans="23:25" x14ac:dyDescent="0.25">
      <c r="W1115" s="214" t="s">
        <v>232</v>
      </c>
      <c r="X1115" s="214" t="s">
        <v>1335</v>
      </c>
      <c r="Y1115" s="220">
        <v>2</v>
      </c>
    </row>
    <row r="1116" spans="23:25" x14ac:dyDescent="0.25">
      <c r="W1116" s="214" t="s">
        <v>232</v>
      </c>
      <c r="X1116" s="214" t="s">
        <v>1336</v>
      </c>
      <c r="Y1116" s="220">
        <v>2</v>
      </c>
    </row>
    <row r="1117" spans="23:25" x14ac:dyDescent="0.25">
      <c r="W1117" s="214" t="s">
        <v>27</v>
      </c>
      <c r="X1117" s="214" t="s">
        <v>1337</v>
      </c>
      <c r="Y1117" s="220">
        <v>2</v>
      </c>
    </row>
    <row r="1118" spans="23:25" x14ac:dyDescent="0.25">
      <c r="W1118" s="214" t="s">
        <v>232</v>
      </c>
      <c r="X1118" s="214" t="s">
        <v>1338</v>
      </c>
      <c r="Y1118" s="220">
        <v>2</v>
      </c>
    </row>
    <row r="1119" spans="23:25" x14ac:dyDescent="0.25">
      <c r="W1119" s="214" t="s">
        <v>239</v>
      </c>
      <c r="X1119" s="214" t="s">
        <v>1339</v>
      </c>
      <c r="Y1119" s="220">
        <v>2</v>
      </c>
    </row>
    <row r="1120" spans="23:25" x14ac:dyDescent="0.25">
      <c r="W1120" s="214" t="s">
        <v>232</v>
      </c>
      <c r="X1120" s="214" t="s">
        <v>1340</v>
      </c>
      <c r="Y1120" s="220">
        <v>1</v>
      </c>
    </row>
    <row r="1121" spans="23:25" x14ac:dyDescent="0.25">
      <c r="W1121" s="214" t="s">
        <v>232</v>
      </c>
      <c r="X1121" s="214" t="s">
        <v>1341</v>
      </c>
      <c r="Y1121" s="220">
        <v>2</v>
      </c>
    </row>
    <row r="1122" spans="23:25" x14ac:dyDescent="0.25">
      <c r="W1122" s="214" t="s">
        <v>232</v>
      </c>
      <c r="X1122" s="214" t="s">
        <v>1342</v>
      </c>
      <c r="Y1122" s="220">
        <v>2</v>
      </c>
    </row>
    <row r="1123" spans="23:25" x14ac:dyDescent="0.25">
      <c r="W1123" s="214" t="s">
        <v>232</v>
      </c>
      <c r="X1123" s="214" t="s">
        <v>1343</v>
      </c>
      <c r="Y1123" s="220">
        <v>1</v>
      </c>
    </row>
    <row r="1124" spans="23:25" x14ac:dyDescent="0.25">
      <c r="W1124" s="214" t="s">
        <v>27</v>
      </c>
      <c r="X1124" s="214" t="s">
        <v>1344</v>
      </c>
      <c r="Y1124" s="220">
        <v>2</v>
      </c>
    </row>
    <row r="1125" spans="23:25" x14ac:dyDescent="0.25">
      <c r="W1125" s="214" t="s">
        <v>232</v>
      </c>
      <c r="X1125" s="214" t="s">
        <v>1195</v>
      </c>
      <c r="Y1125" s="220">
        <v>2</v>
      </c>
    </row>
    <row r="1126" spans="23:25" x14ac:dyDescent="0.25">
      <c r="W1126" s="214" t="s">
        <v>232</v>
      </c>
      <c r="X1126" s="214" t="s">
        <v>1345</v>
      </c>
      <c r="Y1126" s="220">
        <v>2</v>
      </c>
    </row>
    <row r="1127" spans="23:25" x14ac:dyDescent="0.25">
      <c r="W1127" s="214" t="s">
        <v>27</v>
      </c>
      <c r="X1127" s="214" t="s">
        <v>1346</v>
      </c>
      <c r="Y1127" s="220">
        <v>2</v>
      </c>
    </row>
    <row r="1128" spans="23:25" x14ac:dyDescent="0.25">
      <c r="W1128" s="214" t="s">
        <v>27</v>
      </c>
      <c r="X1128" s="214" t="s">
        <v>1347</v>
      </c>
      <c r="Y1128" s="220">
        <v>2</v>
      </c>
    </row>
    <row r="1129" spans="23:25" x14ac:dyDescent="0.25">
      <c r="W1129" s="214" t="s">
        <v>232</v>
      </c>
      <c r="X1129" s="214" t="s">
        <v>1348</v>
      </c>
      <c r="Y1129" s="220">
        <v>2</v>
      </c>
    </row>
    <row r="1130" spans="23:25" x14ac:dyDescent="0.25">
      <c r="W1130" s="214" t="s">
        <v>232</v>
      </c>
      <c r="X1130" s="214" t="s">
        <v>1349</v>
      </c>
      <c r="Y1130" s="220">
        <v>2</v>
      </c>
    </row>
    <row r="1131" spans="23:25" x14ac:dyDescent="0.25">
      <c r="W1131" s="214" t="s">
        <v>232</v>
      </c>
      <c r="X1131" s="214" t="s">
        <v>1350</v>
      </c>
      <c r="Y1131" s="220">
        <v>2</v>
      </c>
    </row>
    <row r="1132" spans="23:25" x14ac:dyDescent="0.25">
      <c r="W1132" s="214" t="s">
        <v>239</v>
      </c>
      <c r="X1132" s="214" t="s">
        <v>1351</v>
      </c>
      <c r="Y1132" s="220">
        <v>2</v>
      </c>
    </row>
    <row r="1133" spans="23:25" x14ac:dyDescent="0.25">
      <c r="W1133" s="214" t="s">
        <v>239</v>
      </c>
      <c r="X1133" s="214" t="s">
        <v>1352</v>
      </c>
      <c r="Y1133" s="220">
        <v>2</v>
      </c>
    </row>
    <row r="1134" spans="23:25" x14ac:dyDescent="0.25">
      <c r="W1134" s="214" t="s">
        <v>232</v>
      </c>
      <c r="X1134" s="214" t="s">
        <v>1353</v>
      </c>
      <c r="Y1134" s="220">
        <v>1</v>
      </c>
    </row>
    <row r="1135" spans="23:25" x14ac:dyDescent="0.25">
      <c r="W1135" s="214" t="s">
        <v>232</v>
      </c>
      <c r="X1135" s="214" t="s">
        <v>1354</v>
      </c>
      <c r="Y1135" s="220">
        <v>1</v>
      </c>
    </row>
    <row r="1136" spans="23:25" x14ac:dyDescent="0.25">
      <c r="W1136" s="214" t="s">
        <v>232</v>
      </c>
      <c r="X1136" s="214" t="s">
        <v>1355</v>
      </c>
      <c r="Y1136" s="220">
        <v>2</v>
      </c>
    </row>
    <row r="1137" spans="23:25" x14ac:dyDescent="0.25">
      <c r="W1137" s="214" t="s">
        <v>27</v>
      </c>
      <c r="X1137" s="214" t="s">
        <v>1356</v>
      </c>
      <c r="Y1137" s="220">
        <v>2</v>
      </c>
    </row>
    <row r="1138" spans="23:25" x14ac:dyDescent="0.25">
      <c r="W1138" s="214" t="s">
        <v>232</v>
      </c>
      <c r="X1138" s="214" t="s">
        <v>1357</v>
      </c>
      <c r="Y1138" s="220">
        <v>2</v>
      </c>
    </row>
    <row r="1139" spans="23:25" x14ac:dyDescent="0.25">
      <c r="W1139" s="214" t="s">
        <v>232</v>
      </c>
      <c r="X1139" s="214" t="s">
        <v>1358</v>
      </c>
      <c r="Y1139" s="220">
        <v>2</v>
      </c>
    </row>
    <row r="1140" spans="23:25" x14ac:dyDescent="0.25">
      <c r="W1140" s="214" t="s">
        <v>27</v>
      </c>
      <c r="X1140" s="214" t="s">
        <v>1359</v>
      </c>
      <c r="Y1140" s="220">
        <v>2</v>
      </c>
    </row>
    <row r="1141" spans="23:25" x14ac:dyDescent="0.25">
      <c r="W1141" s="214" t="s">
        <v>232</v>
      </c>
      <c r="X1141" s="214" t="s">
        <v>1360</v>
      </c>
      <c r="Y1141" s="220">
        <v>2</v>
      </c>
    </row>
    <row r="1142" spans="23:25" x14ac:dyDescent="0.25">
      <c r="W1142" s="214" t="s">
        <v>232</v>
      </c>
      <c r="X1142" s="214" t="s">
        <v>1361</v>
      </c>
      <c r="Y1142" s="220">
        <v>2</v>
      </c>
    </row>
    <row r="1143" spans="23:25" x14ac:dyDescent="0.25">
      <c r="W1143" s="214" t="s">
        <v>27</v>
      </c>
      <c r="X1143" s="214" t="s">
        <v>1362</v>
      </c>
      <c r="Y1143" s="220">
        <v>2</v>
      </c>
    </row>
    <row r="1144" spans="23:25" x14ac:dyDescent="0.25">
      <c r="W1144" s="214" t="s">
        <v>27</v>
      </c>
      <c r="X1144" s="214" t="s">
        <v>1363</v>
      </c>
      <c r="Y1144" s="220">
        <v>2</v>
      </c>
    </row>
    <row r="1145" spans="23:25" x14ac:dyDescent="0.25">
      <c r="W1145" s="214" t="s">
        <v>27</v>
      </c>
      <c r="X1145" s="214" t="s">
        <v>1364</v>
      </c>
      <c r="Y1145" s="220">
        <v>2</v>
      </c>
    </row>
    <row r="1146" spans="23:25" x14ac:dyDescent="0.25">
      <c r="W1146" s="214" t="s">
        <v>232</v>
      </c>
      <c r="X1146" s="214" t="s">
        <v>1365</v>
      </c>
      <c r="Y1146" s="220">
        <v>2</v>
      </c>
    </row>
    <row r="1147" spans="23:25" x14ac:dyDescent="0.25">
      <c r="W1147" s="214" t="s">
        <v>27</v>
      </c>
      <c r="X1147" s="214" t="s">
        <v>1343</v>
      </c>
      <c r="Y1147" s="220">
        <v>2</v>
      </c>
    </row>
    <row r="1148" spans="23:25" x14ac:dyDescent="0.25">
      <c r="W1148" s="214" t="s">
        <v>27</v>
      </c>
      <c r="X1148" s="214" t="s">
        <v>1366</v>
      </c>
      <c r="Y1148" s="220">
        <v>2</v>
      </c>
    </row>
    <row r="1149" spans="23:25" x14ac:dyDescent="0.25">
      <c r="W1149" s="214" t="s">
        <v>232</v>
      </c>
      <c r="X1149" s="214" t="s">
        <v>1367</v>
      </c>
      <c r="Y1149" s="220">
        <v>2</v>
      </c>
    </row>
    <row r="1150" spans="23:25" x14ac:dyDescent="0.25">
      <c r="W1150" s="214" t="s">
        <v>232</v>
      </c>
      <c r="X1150" s="214" t="s">
        <v>1368</v>
      </c>
      <c r="Y1150" s="220">
        <v>2</v>
      </c>
    </row>
    <row r="1151" spans="23:25" x14ac:dyDescent="0.25">
      <c r="W1151" s="214" t="s">
        <v>27</v>
      </c>
      <c r="X1151" s="214" t="s">
        <v>1369</v>
      </c>
      <c r="Y1151" s="220">
        <v>2</v>
      </c>
    </row>
    <row r="1152" spans="23:25" x14ac:dyDescent="0.25">
      <c r="W1152" s="214" t="s">
        <v>232</v>
      </c>
      <c r="X1152" s="214" t="s">
        <v>1370</v>
      </c>
      <c r="Y1152" s="220">
        <v>2</v>
      </c>
    </row>
    <row r="1153" spans="23:25" x14ac:dyDescent="0.25">
      <c r="W1153" s="214" t="s">
        <v>232</v>
      </c>
      <c r="X1153" s="214" t="s">
        <v>1371</v>
      </c>
      <c r="Y1153" s="220">
        <v>2</v>
      </c>
    </row>
    <row r="1154" spans="23:25" x14ac:dyDescent="0.25">
      <c r="W1154" s="214" t="s">
        <v>232</v>
      </c>
      <c r="X1154" s="214" t="s">
        <v>1372</v>
      </c>
      <c r="Y1154" s="220">
        <v>2</v>
      </c>
    </row>
    <row r="1155" spans="23:25" x14ac:dyDescent="0.25">
      <c r="W1155" s="214" t="s">
        <v>232</v>
      </c>
      <c r="X1155" s="214" t="s">
        <v>1373</v>
      </c>
      <c r="Y1155" s="220">
        <v>2</v>
      </c>
    </row>
    <row r="1156" spans="23:25" x14ac:dyDescent="0.25">
      <c r="W1156" s="214" t="s">
        <v>232</v>
      </c>
      <c r="X1156" s="214" t="s">
        <v>1374</v>
      </c>
      <c r="Y1156" s="220">
        <v>2</v>
      </c>
    </row>
    <row r="1157" spans="23:25" x14ac:dyDescent="0.25">
      <c r="W1157" s="214" t="s">
        <v>27</v>
      </c>
      <c r="X1157" s="214" t="s">
        <v>1375</v>
      </c>
      <c r="Y1157" s="220">
        <v>2</v>
      </c>
    </row>
    <row r="1158" spans="23:25" x14ac:dyDescent="0.25">
      <c r="W1158" s="214" t="s">
        <v>232</v>
      </c>
      <c r="X1158" s="214" t="s">
        <v>1376</v>
      </c>
      <c r="Y1158" s="220">
        <v>2</v>
      </c>
    </row>
    <row r="1159" spans="23:25" x14ac:dyDescent="0.25">
      <c r="W1159" s="214" t="s">
        <v>239</v>
      </c>
      <c r="X1159" s="214" t="s">
        <v>1377</v>
      </c>
      <c r="Y1159" s="220">
        <v>1</v>
      </c>
    </row>
    <row r="1160" spans="23:25" x14ac:dyDescent="0.25">
      <c r="W1160" s="214" t="s">
        <v>232</v>
      </c>
      <c r="X1160" s="214" t="s">
        <v>1378</v>
      </c>
      <c r="Y1160" s="220">
        <v>2</v>
      </c>
    </row>
    <row r="1161" spans="23:25" x14ac:dyDescent="0.25">
      <c r="W1161" s="214" t="s">
        <v>232</v>
      </c>
      <c r="X1161" s="214" t="s">
        <v>1379</v>
      </c>
      <c r="Y1161" s="220">
        <v>2</v>
      </c>
    </row>
    <row r="1162" spans="23:25" x14ac:dyDescent="0.25">
      <c r="W1162" s="214" t="s">
        <v>232</v>
      </c>
      <c r="X1162" s="214" t="s">
        <v>1380</v>
      </c>
      <c r="Y1162" s="220">
        <v>2</v>
      </c>
    </row>
    <row r="1163" spans="23:25" x14ac:dyDescent="0.25">
      <c r="W1163" s="214" t="s">
        <v>27</v>
      </c>
      <c r="X1163" s="214" t="s">
        <v>1381</v>
      </c>
      <c r="Y1163" s="220">
        <v>2</v>
      </c>
    </row>
    <row r="1164" spans="23:25" x14ac:dyDescent="0.25">
      <c r="W1164" s="214" t="s">
        <v>27</v>
      </c>
      <c r="X1164" s="214" t="s">
        <v>1382</v>
      </c>
      <c r="Y1164" s="220">
        <v>2</v>
      </c>
    </row>
    <row r="1165" spans="23:25" x14ac:dyDescent="0.25">
      <c r="W1165" s="214" t="s">
        <v>27</v>
      </c>
      <c r="X1165" s="214" t="s">
        <v>565</v>
      </c>
      <c r="Y1165" s="220">
        <v>2</v>
      </c>
    </row>
    <row r="1166" spans="23:25" x14ac:dyDescent="0.25">
      <c r="W1166" s="214" t="s">
        <v>232</v>
      </c>
      <c r="X1166" s="214" t="s">
        <v>1383</v>
      </c>
      <c r="Y1166" s="220">
        <v>2</v>
      </c>
    </row>
    <row r="1167" spans="23:25" x14ac:dyDescent="0.25">
      <c r="W1167" s="214" t="s">
        <v>232</v>
      </c>
      <c r="X1167" s="214" t="s">
        <v>1384</v>
      </c>
      <c r="Y1167" s="220">
        <v>2</v>
      </c>
    </row>
    <row r="1168" spans="23:25" x14ac:dyDescent="0.25">
      <c r="W1168" s="214" t="s">
        <v>232</v>
      </c>
      <c r="X1168" s="214" t="s">
        <v>1385</v>
      </c>
      <c r="Y1168" s="220">
        <v>2</v>
      </c>
    </row>
    <row r="1169" spans="23:25" x14ac:dyDescent="0.25">
      <c r="W1169" s="214" t="s">
        <v>232</v>
      </c>
      <c r="X1169" s="214" t="s">
        <v>1386</v>
      </c>
      <c r="Y1169" s="220">
        <v>2</v>
      </c>
    </row>
    <row r="1170" spans="23:25" x14ac:dyDescent="0.25">
      <c r="W1170" s="214" t="s">
        <v>239</v>
      </c>
      <c r="X1170" s="214" t="s">
        <v>1387</v>
      </c>
      <c r="Y1170" s="220">
        <v>2</v>
      </c>
    </row>
    <row r="1171" spans="23:25" x14ac:dyDescent="0.25">
      <c r="W1171" s="214" t="s">
        <v>232</v>
      </c>
      <c r="X1171" s="214" t="s">
        <v>1388</v>
      </c>
      <c r="Y1171" s="220">
        <v>2</v>
      </c>
    </row>
    <row r="1172" spans="23:25" x14ac:dyDescent="0.25">
      <c r="W1172" s="214" t="s">
        <v>27</v>
      </c>
      <c r="X1172" s="214" t="s">
        <v>1389</v>
      </c>
      <c r="Y1172" s="220">
        <v>2</v>
      </c>
    </row>
    <row r="1173" spans="23:25" x14ac:dyDescent="0.25">
      <c r="W1173" s="214" t="s">
        <v>27</v>
      </c>
      <c r="X1173" s="214" t="s">
        <v>1390</v>
      </c>
      <c r="Y1173" s="220">
        <v>2</v>
      </c>
    </row>
    <row r="1174" spans="23:25" x14ac:dyDescent="0.25">
      <c r="W1174" s="214" t="s">
        <v>27</v>
      </c>
      <c r="X1174" s="214" t="s">
        <v>1391</v>
      </c>
      <c r="Y1174" s="220">
        <v>2</v>
      </c>
    </row>
    <row r="1175" spans="23:25" x14ac:dyDescent="0.25">
      <c r="W1175" s="214" t="s">
        <v>27</v>
      </c>
      <c r="X1175" s="214" t="s">
        <v>1392</v>
      </c>
      <c r="Y1175" s="220">
        <v>2</v>
      </c>
    </row>
    <row r="1176" spans="23:25" x14ac:dyDescent="0.25">
      <c r="W1176" s="214" t="s">
        <v>27</v>
      </c>
      <c r="X1176" s="214" t="s">
        <v>1393</v>
      </c>
      <c r="Y1176" s="220">
        <v>3</v>
      </c>
    </row>
    <row r="1177" spans="23:25" x14ac:dyDescent="0.25">
      <c r="W1177" s="214" t="s">
        <v>232</v>
      </c>
      <c r="X1177" s="214" t="s">
        <v>1394</v>
      </c>
      <c r="Y1177" s="220">
        <v>2</v>
      </c>
    </row>
    <row r="1178" spans="23:25" x14ac:dyDescent="0.25">
      <c r="W1178" s="214" t="s">
        <v>232</v>
      </c>
      <c r="X1178" s="214" t="s">
        <v>1395</v>
      </c>
      <c r="Y1178" s="220">
        <v>2</v>
      </c>
    </row>
    <row r="1179" spans="23:25" x14ac:dyDescent="0.25">
      <c r="W1179" s="214" t="s">
        <v>27</v>
      </c>
      <c r="X1179" s="214" t="s">
        <v>1396</v>
      </c>
      <c r="Y1179" s="220">
        <v>3</v>
      </c>
    </row>
    <row r="1180" spans="23:25" x14ac:dyDescent="0.25">
      <c r="W1180" s="214" t="s">
        <v>239</v>
      </c>
      <c r="X1180" s="214" t="s">
        <v>1397</v>
      </c>
      <c r="Y1180" s="220">
        <v>2</v>
      </c>
    </row>
    <row r="1181" spans="23:25" x14ac:dyDescent="0.25">
      <c r="W1181" s="214" t="s">
        <v>232</v>
      </c>
      <c r="X1181" s="214" t="s">
        <v>1398</v>
      </c>
      <c r="Y1181" s="220">
        <v>2</v>
      </c>
    </row>
    <row r="1182" spans="23:25" x14ac:dyDescent="0.25">
      <c r="W1182" s="214" t="s">
        <v>239</v>
      </c>
      <c r="X1182" s="214" t="s">
        <v>1399</v>
      </c>
      <c r="Y1182" s="220">
        <v>2</v>
      </c>
    </row>
    <row r="1183" spans="23:25" x14ac:dyDescent="0.25">
      <c r="W1183" s="214" t="s">
        <v>239</v>
      </c>
      <c r="X1183" s="214" t="s">
        <v>1400</v>
      </c>
      <c r="Y1183" s="220">
        <v>2</v>
      </c>
    </row>
    <row r="1184" spans="23:25" x14ac:dyDescent="0.25">
      <c r="W1184" s="214" t="s">
        <v>27</v>
      </c>
      <c r="X1184" s="214" t="s">
        <v>1401</v>
      </c>
      <c r="Y1184" s="220">
        <v>2</v>
      </c>
    </row>
    <row r="1185" spans="23:25" x14ac:dyDescent="0.25">
      <c r="W1185" s="214" t="s">
        <v>232</v>
      </c>
      <c r="X1185" s="214" t="s">
        <v>1402</v>
      </c>
      <c r="Y1185" s="220">
        <v>2</v>
      </c>
    </row>
    <row r="1186" spans="23:25" x14ac:dyDescent="0.25">
      <c r="W1186" s="214" t="s">
        <v>232</v>
      </c>
      <c r="X1186" s="214" t="s">
        <v>1403</v>
      </c>
      <c r="Y1186" s="220">
        <v>2</v>
      </c>
    </row>
    <row r="1187" spans="23:25" x14ac:dyDescent="0.25">
      <c r="W1187" s="214" t="s">
        <v>232</v>
      </c>
      <c r="X1187" s="214" t="s">
        <v>1404</v>
      </c>
      <c r="Y1187" s="220">
        <v>2</v>
      </c>
    </row>
    <row r="1188" spans="23:25" x14ac:dyDescent="0.25">
      <c r="W1188" s="214" t="s">
        <v>232</v>
      </c>
      <c r="X1188" s="214" t="s">
        <v>1405</v>
      </c>
      <c r="Y1188" s="220">
        <v>2</v>
      </c>
    </row>
    <row r="1189" spans="23:25" x14ac:dyDescent="0.25">
      <c r="W1189" s="214" t="s">
        <v>232</v>
      </c>
      <c r="X1189" s="214" t="s">
        <v>1406</v>
      </c>
      <c r="Y1189" s="220">
        <v>2</v>
      </c>
    </row>
    <row r="1190" spans="23:25" x14ac:dyDescent="0.25">
      <c r="W1190" s="214" t="s">
        <v>232</v>
      </c>
      <c r="X1190" s="214" t="s">
        <v>1407</v>
      </c>
      <c r="Y1190" s="220">
        <v>2</v>
      </c>
    </row>
    <row r="1191" spans="23:25" x14ac:dyDescent="0.25">
      <c r="W1191" s="214" t="s">
        <v>27</v>
      </c>
      <c r="X1191" s="214" t="s">
        <v>1408</v>
      </c>
      <c r="Y1191" s="220">
        <v>2</v>
      </c>
    </row>
    <row r="1192" spans="23:25" x14ac:dyDescent="0.25">
      <c r="W1192" s="214" t="s">
        <v>27</v>
      </c>
      <c r="X1192" s="214" t="s">
        <v>1409</v>
      </c>
      <c r="Y1192" s="220">
        <v>2</v>
      </c>
    </row>
    <row r="1193" spans="23:25" x14ac:dyDescent="0.25">
      <c r="W1193" s="214" t="s">
        <v>232</v>
      </c>
      <c r="X1193" s="214" t="s">
        <v>1410</v>
      </c>
      <c r="Y1193" s="220">
        <v>2</v>
      </c>
    </row>
    <row r="1194" spans="23:25" x14ac:dyDescent="0.25">
      <c r="W1194" s="214" t="s">
        <v>239</v>
      </c>
      <c r="X1194" s="214" t="s">
        <v>1411</v>
      </c>
      <c r="Y1194" s="220">
        <v>2</v>
      </c>
    </row>
    <row r="1195" spans="23:25" x14ac:dyDescent="0.25">
      <c r="W1195" s="214" t="s">
        <v>232</v>
      </c>
      <c r="X1195" s="214" t="s">
        <v>1412</v>
      </c>
      <c r="Y1195" s="220">
        <v>2</v>
      </c>
    </row>
    <row r="1196" spans="23:25" x14ac:dyDescent="0.25">
      <c r="W1196" s="214" t="s">
        <v>232</v>
      </c>
      <c r="X1196" s="214" t="s">
        <v>1413</v>
      </c>
      <c r="Y1196" s="220">
        <v>2</v>
      </c>
    </row>
    <row r="1197" spans="23:25" x14ac:dyDescent="0.25">
      <c r="W1197" s="214" t="s">
        <v>27</v>
      </c>
      <c r="X1197" s="214" t="s">
        <v>1414</v>
      </c>
      <c r="Y1197" s="220">
        <v>2</v>
      </c>
    </row>
    <row r="1198" spans="23:25" x14ac:dyDescent="0.25">
      <c r="W1198" s="214" t="s">
        <v>232</v>
      </c>
      <c r="X1198" s="214" t="s">
        <v>1415</v>
      </c>
      <c r="Y1198" s="220">
        <v>2</v>
      </c>
    </row>
    <row r="1199" spans="23:25" x14ac:dyDescent="0.25">
      <c r="W1199" s="214" t="s">
        <v>27</v>
      </c>
      <c r="X1199" s="214" t="s">
        <v>1416</v>
      </c>
      <c r="Y1199" s="220">
        <v>2</v>
      </c>
    </row>
    <row r="1200" spans="23:25" x14ac:dyDescent="0.25">
      <c r="W1200" s="214" t="s">
        <v>232</v>
      </c>
      <c r="X1200" s="214" t="s">
        <v>1417</v>
      </c>
      <c r="Y1200" s="220">
        <v>2</v>
      </c>
    </row>
    <row r="1201" spans="23:25" x14ac:dyDescent="0.25">
      <c r="W1201" s="214" t="s">
        <v>232</v>
      </c>
      <c r="X1201" s="214" t="s">
        <v>1418</v>
      </c>
      <c r="Y1201" s="220">
        <v>2</v>
      </c>
    </row>
    <row r="1202" spans="23:25" x14ac:dyDescent="0.25">
      <c r="W1202" s="214" t="s">
        <v>232</v>
      </c>
      <c r="X1202" s="214" t="s">
        <v>1419</v>
      </c>
      <c r="Y1202" s="220">
        <v>2</v>
      </c>
    </row>
    <row r="1203" spans="23:25" x14ac:dyDescent="0.25">
      <c r="W1203" s="214" t="s">
        <v>232</v>
      </c>
      <c r="X1203" s="214" t="s">
        <v>1420</v>
      </c>
      <c r="Y1203" s="220">
        <v>2</v>
      </c>
    </row>
    <row r="1204" spans="23:25" x14ac:dyDescent="0.25">
      <c r="W1204" s="214" t="s">
        <v>232</v>
      </c>
      <c r="X1204" s="214" t="s">
        <v>1421</v>
      </c>
      <c r="Y1204" s="220">
        <v>2</v>
      </c>
    </row>
    <row r="1205" spans="23:25" x14ac:dyDescent="0.25">
      <c r="W1205" s="214" t="s">
        <v>27</v>
      </c>
      <c r="X1205" s="214" t="s">
        <v>1422</v>
      </c>
      <c r="Y1205" s="220">
        <v>2</v>
      </c>
    </row>
    <row r="1206" spans="23:25" x14ac:dyDescent="0.25">
      <c r="W1206" s="214" t="s">
        <v>232</v>
      </c>
      <c r="X1206" s="214" t="s">
        <v>1423</v>
      </c>
      <c r="Y1206" s="220">
        <v>2</v>
      </c>
    </row>
    <row r="1207" spans="23:25" x14ac:dyDescent="0.25">
      <c r="W1207" s="214" t="s">
        <v>232</v>
      </c>
      <c r="X1207" s="214" t="s">
        <v>1424</v>
      </c>
      <c r="Y1207" s="220">
        <v>2</v>
      </c>
    </row>
    <row r="1208" spans="23:25" x14ac:dyDescent="0.25">
      <c r="W1208" s="214" t="s">
        <v>232</v>
      </c>
      <c r="X1208" s="214" t="s">
        <v>1425</v>
      </c>
      <c r="Y1208" s="220">
        <v>2</v>
      </c>
    </row>
    <row r="1209" spans="23:25" x14ac:dyDescent="0.25">
      <c r="W1209" s="214" t="s">
        <v>232</v>
      </c>
      <c r="X1209" s="214" t="s">
        <v>1426</v>
      </c>
      <c r="Y1209" s="220">
        <v>2</v>
      </c>
    </row>
    <row r="1210" spans="23:25" x14ac:dyDescent="0.25">
      <c r="W1210" s="214" t="s">
        <v>232</v>
      </c>
      <c r="X1210" s="214" t="s">
        <v>1427</v>
      </c>
      <c r="Y1210" s="220">
        <v>2</v>
      </c>
    </row>
    <row r="1211" spans="23:25" x14ac:dyDescent="0.25">
      <c r="W1211" s="214" t="s">
        <v>27</v>
      </c>
      <c r="X1211" s="214" t="s">
        <v>1428</v>
      </c>
      <c r="Y1211" s="220">
        <v>2</v>
      </c>
    </row>
    <row r="1212" spans="23:25" x14ac:dyDescent="0.25">
      <c r="W1212" s="214" t="s">
        <v>232</v>
      </c>
      <c r="X1212" s="214" t="s">
        <v>1429</v>
      </c>
      <c r="Y1212" s="220">
        <v>2</v>
      </c>
    </row>
    <row r="1213" spans="23:25" x14ac:dyDescent="0.25">
      <c r="W1213" s="214" t="s">
        <v>239</v>
      </c>
      <c r="X1213" s="214" t="s">
        <v>1430</v>
      </c>
      <c r="Y1213" s="220">
        <v>1</v>
      </c>
    </row>
    <row r="1214" spans="23:25" x14ac:dyDescent="0.25">
      <c r="W1214" s="214" t="s">
        <v>239</v>
      </c>
      <c r="X1214" s="214" t="s">
        <v>1431</v>
      </c>
      <c r="Y1214" s="220">
        <v>2</v>
      </c>
    </row>
    <row r="1215" spans="23:25" x14ac:dyDescent="0.25">
      <c r="W1215" s="214" t="s">
        <v>232</v>
      </c>
      <c r="X1215" s="214" t="s">
        <v>1432</v>
      </c>
      <c r="Y1215" s="220">
        <v>2</v>
      </c>
    </row>
    <row r="1216" spans="23:25" x14ac:dyDescent="0.25">
      <c r="W1216" s="214" t="s">
        <v>27</v>
      </c>
      <c r="X1216" s="214" t="s">
        <v>1433</v>
      </c>
      <c r="Y1216" s="220">
        <v>2</v>
      </c>
    </row>
    <row r="1217" spans="23:25" x14ac:dyDescent="0.25">
      <c r="W1217" s="214" t="s">
        <v>232</v>
      </c>
      <c r="X1217" s="214" t="s">
        <v>1434</v>
      </c>
      <c r="Y1217" s="220">
        <v>2</v>
      </c>
    </row>
    <row r="1218" spans="23:25" x14ac:dyDescent="0.25">
      <c r="W1218" s="214" t="s">
        <v>27</v>
      </c>
      <c r="X1218" s="214" t="s">
        <v>1435</v>
      </c>
      <c r="Y1218" s="220">
        <v>2</v>
      </c>
    </row>
    <row r="1219" spans="23:25" x14ac:dyDescent="0.25">
      <c r="W1219" s="214" t="s">
        <v>232</v>
      </c>
      <c r="X1219" s="214" t="s">
        <v>1436</v>
      </c>
      <c r="Y1219" s="220">
        <v>2</v>
      </c>
    </row>
    <row r="1220" spans="23:25" x14ac:dyDescent="0.25">
      <c r="W1220" s="214" t="s">
        <v>232</v>
      </c>
      <c r="X1220" s="214" t="s">
        <v>1437</v>
      </c>
      <c r="Y1220" s="220">
        <v>2</v>
      </c>
    </row>
    <row r="1221" spans="23:25" x14ac:dyDescent="0.25">
      <c r="W1221" s="214" t="s">
        <v>232</v>
      </c>
      <c r="X1221" s="214" t="s">
        <v>1438</v>
      </c>
      <c r="Y1221" s="220">
        <v>2</v>
      </c>
    </row>
    <row r="1222" spans="23:25" x14ac:dyDescent="0.25">
      <c r="W1222" s="214" t="s">
        <v>232</v>
      </c>
      <c r="X1222" s="214" t="s">
        <v>1439</v>
      </c>
      <c r="Y1222" s="220">
        <v>2</v>
      </c>
    </row>
    <row r="1223" spans="23:25" x14ac:dyDescent="0.25">
      <c r="W1223" s="214" t="s">
        <v>232</v>
      </c>
      <c r="X1223" s="214" t="s">
        <v>1440</v>
      </c>
      <c r="Y1223" s="220">
        <v>2</v>
      </c>
    </row>
    <row r="1224" spans="23:25" x14ac:dyDescent="0.25">
      <c r="W1224" s="214" t="s">
        <v>232</v>
      </c>
      <c r="X1224" s="214" t="s">
        <v>1441</v>
      </c>
      <c r="Y1224" s="220">
        <v>3</v>
      </c>
    </row>
    <row r="1225" spans="23:25" x14ac:dyDescent="0.25">
      <c r="W1225" s="214" t="s">
        <v>239</v>
      </c>
      <c r="X1225" s="214" t="s">
        <v>932</v>
      </c>
      <c r="Y1225" s="220">
        <v>2</v>
      </c>
    </row>
    <row r="1226" spans="23:25" x14ac:dyDescent="0.25">
      <c r="W1226" s="214" t="s">
        <v>27</v>
      </c>
      <c r="X1226" s="214" t="s">
        <v>1442</v>
      </c>
      <c r="Y1226" s="220">
        <v>2</v>
      </c>
    </row>
    <row r="1227" spans="23:25" x14ac:dyDescent="0.25">
      <c r="W1227" s="214" t="s">
        <v>27</v>
      </c>
      <c r="X1227" s="214" t="s">
        <v>1443</v>
      </c>
      <c r="Y1227" s="220">
        <v>2</v>
      </c>
    </row>
    <row r="1228" spans="23:25" x14ac:dyDescent="0.25">
      <c r="W1228" s="214" t="s">
        <v>232</v>
      </c>
      <c r="X1228" s="214" t="s">
        <v>1444</v>
      </c>
      <c r="Y1228" s="220">
        <v>2</v>
      </c>
    </row>
    <row r="1229" spans="23:25" x14ac:dyDescent="0.25">
      <c r="W1229" s="214" t="s">
        <v>232</v>
      </c>
      <c r="X1229" s="214" t="s">
        <v>1445</v>
      </c>
      <c r="Y1229" s="220">
        <v>2</v>
      </c>
    </row>
    <row r="1230" spans="23:25" x14ac:dyDescent="0.25">
      <c r="W1230" s="214" t="s">
        <v>232</v>
      </c>
      <c r="X1230" s="214" t="s">
        <v>1446</v>
      </c>
      <c r="Y1230" s="220">
        <v>2</v>
      </c>
    </row>
    <row r="1231" spans="23:25" x14ac:dyDescent="0.25">
      <c r="W1231" s="214" t="s">
        <v>232</v>
      </c>
      <c r="X1231" s="214" t="s">
        <v>1447</v>
      </c>
      <c r="Y1231" s="220">
        <v>2</v>
      </c>
    </row>
    <row r="1232" spans="23:25" x14ac:dyDescent="0.25">
      <c r="W1232" s="214" t="s">
        <v>232</v>
      </c>
      <c r="X1232" s="214" t="s">
        <v>1448</v>
      </c>
      <c r="Y1232" s="220">
        <v>2</v>
      </c>
    </row>
    <row r="1233" spans="23:25" x14ac:dyDescent="0.25">
      <c r="W1233" s="214" t="s">
        <v>239</v>
      </c>
      <c r="X1233" s="214" t="s">
        <v>1449</v>
      </c>
      <c r="Y1233" s="220">
        <v>2</v>
      </c>
    </row>
    <row r="1234" spans="23:25" x14ac:dyDescent="0.25">
      <c r="W1234" s="214" t="s">
        <v>27</v>
      </c>
      <c r="X1234" s="214" t="s">
        <v>1450</v>
      </c>
      <c r="Y1234" s="220">
        <v>2</v>
      </c>
    </row>
    <row r="1235" spans="23:25" x14ac:dyDescent="0.25">
      <c r="W1235" s="214" t="s">
        <v>232</v>
      </c>
      <c r="X1235" s="214" t="s">
        <v>1451</v>
      </c>
      <c r="Y1235" s="220">
        <v>2</v>
      </c>
    </row>
    <row r="1236" spans="23:25" x14ac:dyDescent="0.25">
      <c r="W1236" s="214" t="s">
        <v>232</v>
      </c>
      <c r="X1236" s="214" t="s">
        <v>1452</v>
      </c>
      <c r="Y1236" s="220">
        <v>2</v>
      </c>
    </row>
    <row r="1237" spans="23:25" x14ac:dyDescent="0.25">
      <c r="W1237" s="214" t="s">
        <v>232</v>
      </c>
      <c r="X1237" s="214" t="s">
        <v>1453</v>
      </c>
      <c r="Y1237" s="220">
        <v>2</v>
      </c>
    </row>
    <row r="1238" spans="23:25" x14ac:dyDescent="0.25">
      <c r="W1238" s="214" t="s">
        <v>232</v>
      </c>
      <c r="X1238" s="214" t="s">
        <v>1454</v>
      </c>
      <c r="Y1238" s="220">
        <v>2</v>
      </c>
    </row>
    <row r="1239" spans="23:25" x14ac:dyDescent="0.25">
      <c r="W1239" s="214" t="s">
        <v>27</v>
      </c>
      <c r="X1239" s="214" t="s">
        <v>1455</v>
      </c>
      <c r="Y1239" s="220">
        <v>2</v>
      </c>
    </row>
    <row r="1240" spans="23:25" x14ac:dyDescent="0.25">
      <c r="W1240" s="214" t="s">
        <v>232</v>
      </c>
      <c r="X1240" s="214" t="s">
        <v>1456</v>
      </c>
      <c r="Y1240" s="220">
        <v>2</v>
      </c>
    </row>
    <row r="1241" spans="23:25" x14ac:dyDescent="0.25">
      <c r="W1241" s="214" t="s">
        <v>232</v>
      </c>
      <c r="X1241" s="214" t="s">
        <v>1457</v>
      </c>
      <c r="Y1241" s="220">
        <v>2</v>
      </c>
    </row>
    <row r="1242" spans="23:25" x14ac:dyDescent="0.25">
      <c r="W1242" s="214" t="s">
        <v>232</v>
      </c>
      <c r="X1242" s="214" t="s">
        <v>1458</v>
      </c>
      <c r="Y1242" s="220">
        <v>2</v>
      </c>
    </row>
    <row r="1243" spans="23:25" x14ac:dyDescent="0.25">
      <c r="W1243" s="214" t="s">
        <v>232</v>
      </c>
      <c r="X1243" s="214" t="s">
        <v>1459</v>
      </c>
      <c r="Y1243" s="220">
        <v>2</v>
      </c>
    </row>
    <row r="1244" spans="23:25" x14ac:dyDescent="0.25">
      <c r="W1244" s="214" t="s">
        <v>232</v>
      </c>
      <c r="X1244" s="214" t="s">
        <v>1460</v>
      </c>
      <c r="Y1244" s="220">
        <v>2</v>
      </c>
    </row>
    <row r="1245" spans="23:25" x14ac:dyDescent="0.25">
      <c r="W1245" s="214" t="s">
        <v>232</v>
      </c>
      <c r="X1245" s="214" t="s">
        <v>1461</v>
      </c>
      <c r="Y1245" s="220">
        <v>2</v>
      </c>
    </row>
    <row r="1246" spans="23:25" x14ac:dyDescent="0.25">
      <c r="W1246" s="214" t="s">
        <v>232</v>
      </c>
      <c r="X1246" s="214" t="s">
        <v>1462</v>
      </c>
      <c r="Y1246" s="220">
        <v>2</v>
      </c>
    </row>
    <row r="1247" spans="23:25" x14ac:dyDescent="0.25">
      <c r="W1247" s="214" t="s">
        <v>239</v>
      </c>
      <c r="X1247" s="214" t="s">
        <v>1463</v>
      </c>
      <c r="Y1247" s="220">
        <v>1</v>
      </c>
    </row>
    <row r="1248" spans="23:25" x14ac:dyDescent="0.25">
      <c r="W1248" s="214" t="s">
        <v>239</v>
      </c>
      <c r="X1248" s="214" t="s">
        <v>1464</v>
      </c>
      <c r="Y1248" s="220">
        <v>2</v>
      </c>
    </row>
    <row r="1249" spans="23:25" x14ac:dyDescent="0.25">
      <c r="W1249" s="214" t="s">
        <v>232</v>
      </c>
      <c r="X1249" s="214" t="s">
        <v>1465</v>
      </c>
      <c r="Y1249" s="220">
        <v>2</v>
      </c>
    </row>
    <row r="1250" spans="23:25" x14ac:dyDescent="0.25">
      <c r="W1250" s="214" t="s">
        <v>239</v>
      </c>
      <c r="X1250" s="214" t="s">
        <v>1466</v>
      </c>
      <c r="Y1250" s="220">
        <v>2</v>
      </c>
    </row>
    <row r="1251" spans="23:25" x14ac:dyDescent="0.25">
      <c r="W1251" s="214" t="s">
        <v>232</v>
      </c>
      <c r="X1251" s="214" t="s">
        <v>1467</v>
      </c>
      <c r="Y1251" s="220">
        <v>2</v>
      </c>
    </row>
    <row r="1252" spans="23:25" x14ac:dyDescent="0.25">
      <c r="W1252" s="214" t="s">
        <v>232</v>
      </c>
      <c r="X1252" s="214" t="s">
        <v>1468</v>
      </c>
      <c r="Y1252" s="220">
        <v>2</v>
      </c>
    </row>
    <row r="1253" spans="23:25" x14ac:dyDescent="0.25">
      <c r="W1253" s="214" t="s">
        <v>232</v>
      </c>
      <c r="X1253" s="214" t="s">
        <v>1469</v>
      </c>
      <c r="Y1253" s="220">
        <v>2</v>
      </c>
    </row>
    <row r="1254" spans="23:25" x14ac:dyDescent="0.25">
      <c r="W1254" s="214" t="s">
        <v>232</v>
      </c>
      <c r="X1254" s="214" t="s">
        <v>1470</v>
      </c>
      <c r="Y1254" s="220">
        <v>2</v>
      </c>
    </row>
    <row r="1255" spans="23:25" x14ac:dyDescent="0.25">
      <c r="W1255" s="214" t="s">
        <v>27</v>
      </c>
      <c r="X1255" s="214" t="s">
        <v>1471</v>
      </c>
      <c r="Y1255" s="220">
        <v>2</v>
      </c>
    </row>
    <row r="1256" spans="23:25" x14ac:dyDescent="0.25">
      <c r="W1256" s="214" t="s">
        <v>232</v>
      </c>
      <c r="X1256" s="214" t="s">
        <v>1472</v>
      </c>
      <c r="Y1256" s="220">
        <v>2</v>
      </c>
    </row>
    <row r="1257" spans="23:25" x14ac:dyDescent="0.25">
      <c r="W1257" s="214" t="s">
        <v>232</v>
      </c>
      <c r="X1257" s="214" t="s">
        <v>1473</v>
      </c>
      <c r="Y1257" s="220">
        <v>2</v>
      </c>
    </row>
    <row r="1258" spans="23:25" x14ac:dyDescent="0.25">
      <c r="W1258" s="214" t="s">
        <v>232</v>
      </c>
      <c r="X1258" s="214" t="s">
        <v>1474</v>
      </c>
      <c r="Y1258" s="220">
        <v>2</v>
      </c>
    </row>
    <row r="1259" spans="23:25" x14ac:dyDescent="0.25">
      <c r="W1259" s="214" t="s">
        <v>232</v>
      </c>
      <c r="X1259" s="214" t="s">
        <v>1475</v>
      </c>
      <c r="Y1259" s="220">
        <v>2</v>
      </c>
    </row>
    <row r="1260" spans="23:25" x14ac:dyDescent="0.25">
      <c r="W1260" s="214" t="s">
        <v>232</v>
      </c>
      <c r="X1260" s="214" t="s">
        <v>1476</v>
      </c>
      <c r="Y1260" s="220">
        <v>2</v>
      </c>
    </row>
    <row r="1261" spans="23:25" x14ac:dyDescent="0.25">
      <c r="W1261" s="214" t="s">
        <v>232</v>
      </c>
      <c r="X1261" s="214" t="s">
        <v>1477</v>
      </c>
      <c r="Y1261" s="220">
        <v>2</v>
      </c>
    </row>
    <row r="1262" spans="23:25" x14ac:dyDescent="0.25">
      <c r="W1262" s="214" t="s">
        <v>232</v>
      </c>
      <c r="X1262" s="214" t="s">
        <v>1478</v>
      </c>
      <c r="Y1262" s="220">
        <v>2</v>
      </c>
    </row>
    <row r="1263" spans="23:25" x14ac:dyDescent="0.25">
      <c r="W1263" s="214" t="s">
        <v>27</v>
      </c>
      <c r="X1263" s="214" t="s">
        <v>1479</v>
      </c>
      <c r="Y1263" s="220">
        <v>2</v>
      </c>
    </row>
    <row r="1264" spans="23:25" x14ac:dyDescent="0.25">
      <c r="W1264" s="214" t="s">
        <v>232</v>
      </c>
      <c r="X1264" s="214" t="s">
        <v>1480</v>
      </c>
      <c r="Y1264" s="220">
        <v>2</v>
      </c>
    </row>
    <row r="1265" spans="23:25" x14ac:dyDescent="0.25">
      <c r="W1265" s="214" t="s">
        <v>27</v>
      </c>
      <c r="X1265" s="214" t="s">
        <v>1481</v>
      </c>
      <c r="Y1265" s="220">
        <v>2</v>
      </c>
    </row>
    <row r="1266" spans="23:25" x14ac:dyDescent="0.25">
      <c r="W1266" s="214" t="s">
        <v>27</v>
      </c>
      <c r="X1266" s="214" t="s">
        <v>1482</v>
      </c>
      <c r="Y1266" s="220">
        <v>2</v>
      </c>
    </row>
    <row r="1267" spans="23:25" x14ac:dyDescent="0.25">
      <c r="W1267" s="214" t="s">
        <v>232</v>
      </c>
      <c r="X1267" s="214" t="s">
        <v>1483</v>
      </c>
      <c r="Y1267" s="220">
        <v>1</v>
      </c>
    </row>
    <row r="1268" spans="23:25" x14ac:dyDescent="0.25">
      <c r="W1268" s="214" t="s">
        <v>232</v>
      </c>
      <c r="X1268" s="214" t="s">
        <v>1484</v>
      </c>
      <c r="Y1268" s="220">
        <v>2</v>
      </c>
    </row>
    <row r="1269" spans="23:25" x14ac:dyDescent="0.25">
      <c r="W1269" s="214" t="s">
        <v>239</v>
      </c>
      <c r="X1269" s="214" t="s">
        <v>1485</v>
      </c>
      <c r="Y1269" s="220">
        <v>2</v>
      </c>
    </row>
    <row r="1270" spans="23:25" x14ac:dyDescent="0.25">
      <c r="W1270" s="214" t="s">
        <v>27</v>
      </c>
      <c r="X1270" s="214" t="s">
        <v>1486</v>
      </c>
      <c r="Y1270" s="220">
        <v>2</v>
      </c>
    </row>
    <row r="1271" spans="23:25" x14ac:dyDescent="0.25">
      <c r="W1271" s="214" t="s">
        <v>232</v>
      </c>
      <c r="X1271" s="214" t="s">
        <v>1487</v>
      </c>
      <c r="Y1271" s="220">
        <v>2</v>
      </c>
    </row>
    <row r="1272" spans="23:25" x14ac:dyDescent="0.25">
      <c r="W1272" s="214" t="s">
        <v>232</v>
      </c>
      <c r="X1272" s="214" t="s">
        <v>1488</v>
      </c>
      <c r="Y1272" s="220">
        <v>2</v>
      </c>
    </row>
    <row r="1273" spans="23:25" x14ac:dyDescent="0.25">
      <c r="W1273" s="214" t="s">
        <v>232</v>
      </c>
      <c r="X1273" s="214" t="s">
        <v>1489</v>
      </c>
      <c r="Y1273" s="220">
        <v>2</v>
      </c>
    </row>
    <row r="1274" spans="23:25" x14ac:dyDescent="0.25">
      <c r="W1274" s="214" t="s">
        <v>232</v>
      </c>
      <c r="X1274" s="214" t="s">
        <v>1490</v>
      </c>
      <c r="Y1274" s="220">
        <v>2</v>
      </c>
    </row>
    <row r="1275" spans="23:25" x14ac:dyDescent="0.25">
      <c r="W1275" s="214" t="s">
        <v>239</v>
      </c>
      <c r="X1275" s="214" t="s">
        <v>1491</v>
      </c>
      <c r="Y1275" s="220">
        <v>2</v>
      </c>
    </row>
    <row r="1276" spans="23:25" x14ac:dyDescent="0.25">
      <c r="W1276" s="214" t="s">
        <v>27</v>
      </c>
      <c r="X1276" s="214" t="s">
        <v>1492</v>
      </c>
      <c r="Y1276" s="220">
        <v>2</v>
      </c>
    </row>
    <row r="1277" spans="23:25" x14ac:dyDescent="0.25">
      <c r="W1277" s="214" t="s">
        <v>232</v>
      </c>
      <c r="X1277" s="214" t="s">
        <v>1493</v>
      </c>
      <c r="Y1277" s="220">
        <v>2</v>
      </c>
    </row>
    <row r="1278" spans="23:25" x14ac:dyDescent="0.25">
      <c r="W1278" s="214" t="s">
        <v>232</v>
      </c>
      <c r="X1278" s="214" t="s">
        <v>1494</v>
      </c>
      <c r="Y1278" s="220">
        <v>2</v>
      </c>
    </row>
    <row r="1279" spans="23:25" x14ac:dyDescent="0.25">
      <c r="W1279" s="214" t="s">
        <v>232</v>
      </c>
      <c r="X1279" s="214" t="s">
        <v>1495</v>
      </c>
      <c r="Y1279" s="220">
        <v>2</v>
      </c>
    </row>
    <row r="1280" spans="23:25" x14ac:dyDescent="0.25">
      <c r="W1280" s="214" t="s">
        <v>232</v>
      </c>
      <c r="X1280" s="214" t="s">
        <v>1496</v>
      </c>
      <c r="Y1280" s="220">
        <v>3</v>
      </c>
    </row>
    <row r="1281" spans="23:25" x14ac:dyDescent="0.25">
      <c r="W1281" s="214" t="s">
        <v>232</v>
      </c>
      <c r="X1281" s="214" t="s">
        <v>1497</v>
      </c>
      <c r="Y1281" s="220">
        <v>2</v>
      </c>
    </row>
    <row r="1282" spans="23:25" x14ac:dyDescent="0.25">
      <c r="W1282" s="214" t="s">
        <v>239</v>
      </c>
      <c r="X1282" s="214" t="s">
        <v>1498</v>
      </c>
      <c r="Y1282" s="220">
        <v>2</v>
      </c>
    </row>
    <row r="1283" spans="23:25" x14ac:dyDescent="0.25">
      <c r="W1283" s="214" t="s">
        <v>232</v>
      </c>
      <c r="X1283" s="214" t="s">
        <v>1499</v>
      </c>
      <c r="Y1283" s="220">
        <v>2</v>
      </c>
    </row>
    <row r="1284" spans="23:25" x14ac:dyDescent="0.25">
      <c r="W1284" s="214" t="s">
        <v>232</v>
      </c>
      <c r="X1284" s="214" t="s">
        <v>1500</v>
      </c>
      <c r="Y1284" s="220">
        <v>2</v>
      </c>
    </row>
    <row r="1285" spans="23:25" x14ac:dyDescent="0.25">
      <c r="W1285" s="214" t="s">
        <v>232</v>
      </c>
      <c r="X1285" s="214" t="s">
        <v>1501</v>
      </c>
      <c r="Y1285" s="220">
        <v>3</v>
      </c>
    </row>
    <row r="1286" spans="23:25" x14ac:dyDescent="0.25">
      <c r="W1286" s="214" t="s">
        <v>232</v>
      </c>
      <c r="X1286" s="214" t="s">
        <v>1502</v>
      </c>
      <c r="Y1286" s="220">
        <v>2</v>
      </c>
    </row>
    <row r="1287" spans="23:25" x14ac:dyDescent="0.25">
      <c r="W1287" s="214" t="s">
        <v>232</v>
      </c>
      <c r="X1287" s="214" t="s">
        <v>1503</v>
      </c>
      <c r="Y1287" s="220">
        <v>2</v>
      </c>
    </row>
    <row r="1288" spans="23:25" x14ac:dyDescent="0.25">
      <c r="W1288" s="214" t="s">
        <v>232</v>
      </c>
      <c r="X1288" s="214" t="s">
        <v>1504</v>
      </c>
      <c r="Y1288" s="220">
        <v>2</v>
      </c>
    </row>
    <row r="1289" spans="23:25" x14ac:dyDescent="0.25">
      <c r="W1289" s="214" t="s">
        <v>232</v>
      </c>
      <c r="X1289" s="214" t="s">
        <v>1505</v>
      </c>
      <c r="Y1289" s="220">
        <v>2</v>
      </c>
    </row>
    <row r="1290" spans="23:25" x14ac:dyDescent="0.25">
      <c r="W1290" s="214" t="s">
        <v>232</v>
      </c>
      <c r="X1290" s="214" t="s">
        <v>1506</v>
      </c>
      <c r="Y1290" s="220">
        <v>2</v>
      </c>
    </row>
    <row r="1291" spans="23:25" x14ac:dyDescent="0.25">
      <c r="W1291" s="214" t="s">
        <v>232</v>
      </c>
      <c r="X1291" s="214" t="s">
        <v>1507</v>
      </c>
      <c r="Y1291" s="220">
        <v>2</v>
      </c>
    </row>
    <row r="1292" spans="23:25" x14ac:dyDescent="0.25">
      <c r="W1292" s="214" t="s">
        <v>27</v>
      </c>
      <c r="X1292" s="214" t="s">
        <v>1508</v>
      </c>
      <c r="Y1292" s="220">
        <v>2</v>
      </c>
    </row>
    <row r="1293" spans="23:25" x14ac:dyDescent="0.25">
      <c r="W1293" s="214" t="s">
        <v>232</v>
      </c>
      <c r="X1293" s="214" t="s">
        <v>1509</v>
      </c>
      <c r="Y1293" s="220">
        <v>2</v>
      </c>
    </row>
    <row r="1294" spans="23:25" x14ac:dyDescent="0.25">
      <c r="W1294" s="214" t="s">
        <v>232</v>
      </c>
      <c r="X1294" s="214" t="s">
        <v>1510</v>
      </c>
      <c r="Y1294" s="220">
        <v>3</v>
      </c>
    </row>
    <row r="1295" spans="23:25" x14ac:dyDescent="0.25">
      <c r="W1295" s="214" t="s">
        <v>232</v>
      </c>
      <c r="X1295" s="214" t="s">
        <v>1511</v>
      </c>
      <c r="Y1295" s="220">
        <v>2</v>
      </c>
    </row>
    <row r="1296" spans="23:25" x14ac:dyDescent="0.25">
      <c r="W1296" s="214" t="s">
        <v>232</v>
      </c>
      <c r="X1296" s="214" t="s">
        <v>1512</v>
      </c>
      <c r="Y1296" s="220">
        <v>2</v>
      </c>
    </row>
    <row r="1297" spans="23:25" x14ac:dyDescent="0.25">
      <c r="W1297" s="214" t="s">
        <v>232</v>
      </c>
      <c r="X1297" s="214" t="s">
        <v>1513</v>
      </c>
      <c r="Y1297" s="220">
        <v>2</v>
      </c>
    </row>
    <row r="1298" spans="23:25" x14ac:dyDescent="0.25">
      <c r="W1298" s="214" t="s">
        <v>232</v>
      </c>
      <c r="X1298" s="214" t="s">
        <v>1514</v>
      </c>
      <c r="Y1298" s="220">
        <v>2</v>
      </c>
    </row>
    <row r="1299" spans="23:25" x14ac:dyDescent="0.25">
      <c r="W1299" s="214" t="s">
        <v>232</v>
      </c>
      <c r="X1299" s="214" t="s">
        <v>1515</v>
      </c>
      <c r="Y1299" s="220">
        <v>2</v>
      </c>
    </row>
    <row r="1300" spans="23:25" x14ac:dyDescent="0.25">
      <c r="W1300" s="214" t="s">
        <v>232</v>
      </c>
      <c r="X1300" s="214" t="s">
        <v>1516</v>
      </c>
      <c r="Y1300" s="220">
        <v>2</v>
      </c>
    </row>
    <row r="1301" spans="23:25" x14ac:dyDescent="0.25">
      <c r="W1301" s="214" t="s">
        <v>232</v>
      </c>
      <c r="X1301" s="214" t="s">
        <v>1517</v>
      </c>
      <c r="Y1301" s="220">
        <v>2</v>
      </c>
    </row>
    <row r="1302" spans="23:25" x14ac:dyDescent="0.25">
      <c r="W1302" s="214" t="s">
        <v>27</v>
      </c>
      <c r="X1302" s="214" t="s">
        <v>1518</v>
      </c>
      <c r="Y1302" s="220">
        <v>2</v>
      </c>
    </row>
    <row r="1303" spans="23:25" x14ac:dyDescent="0.25">
      <c r="W1303" s="214" t="s">
        <v>232</v>
      </c>
      <c r="X1303" s="214" t="s">
        <v>1519</v>
      </c>
      <c r="Y1303" s="220">
        <v>2</v>
      </c>
    </row>
    <row r="1304" spans="23:25" x14ac:dyDescent="0.25">
      <c r="W1304" s="214" t="s">
        <v>232</v>
      </c>
      <c r="X1304" s="214" t="s">
        <v>1520</v>
      </c>
      <c r="Y1304" s="220">
        <v>2</v>
      </c>
    </row>
    <row r="1305" spans="23:25" x14ac:dyDescent="0.25">
      <c r="W1305" s="214" t="s">
        <v>232</v>
      </c>
      <c r="X1305" s="214" t="s">
        <v>1521</v>
      </c>
      <c r="Y1305" s="220">
        <v>2</v>
      </c>
    </row>
    <row r="1306" spans="23:25" x14ac:dyDescent="0.25">
      <c r="W1306" s="214" t="s">
        <v>232</v>
      </c>
      <c r="X1306" s="214" t="s">
        <v>1522</v>
      </c>
      <c r="Y1306" s="220">
        <v>2</v>
      </c>
    </row>
    <row r="1307" spans="23:25" x14ac:dyDescent="0.25">
      <c r="W1307" s="214" t="s">
        <v>27</v>
      </c>
      <c r="X1307" s="214" t="s">
        <v>1523</v>
      </c>
      <c r="Y1307" s="220">
        <v>2</v>
      </c>
    </row>
    <row r="1308" spans="23:25" x14ac:dyDescent="0.25">
      <c r="W1308" s="214" t="s">
        <v>27</v>
      </c>
      <c r="X1308" s="214" t="s">
        <v>1524</v>
      </c>
      <c r="Y1308" s="220">
        <v>2</v>
      </c>
    </row>
    <row r="1309" spans="23:25" x14ac:dyDescent="0.25">
      <c r="W1309" s="214" t="s">
        <v>27</v>
      </c>
      <c r="X1309" s="214" t="s">
        <v>1525</v>
      </c>
      <c r="Y1309" s="220">
        <v>2</v>
      </c>
    </row>
    <row r="1310" spans="23:25" x14ac:dyDescent="0.25">
      <c r="W1310" s="214" t="s">
        <v>232</v>
      </c>
      <c r="X1310" s="214" t="s">
        <v>1526</v>
      </c>
      <c r="Y1310" s="220">
        <v>2</v>
      </c>
    </row>
    <row r="1311" spans="23:25" x14ac:dyDescent="0.25">
      <c r="W1311" s="214" t="s">
        <v>232</v>
      </c>
      <c r="X1311" s="214" t="s">
        <v>1527</v>
      </c>
      <c r="Y1311" s="220">
        <v>2</v>
      </c>
    </row>
    <row r="1312" spans="23:25" x14ac:dyDescent="0.25">
      <c r="W1312" s="214" t="s">
        <v>232</v>
      </c>
      <c r="X1312" s="214" t="s">
        <v>1528</v>
      </c>
      <c r="Y1312" s="220">
        <v>2</v>
      </c>
    </row>
    <row r="1313" spans="23:25" x14ac:dyDescent="0.25">
      <c r="W1313" s="214" t="s">
        <v>232</v>
      </c>
      <c r="X1313" s="214" t="s">
        <v>1529</v>
      </c>
      <c r="Y1313" s="220">
        <v>2</v>
      </c>
    </row>
    <row r="1314" spans="23:25" x14ac:dyDescent="0.25">
      <c r="W1314" s="214" t="s">
        <v>27</v>
      </c>
      <c r="X1314" s="214" t="s">
        <v>1530</v>
      </c>
      <c r="Y1314" s="220">
        <v>2</v>
      </c>
    </row>
    <row r="1315" spans="23:25" x14ac:dyDescent="0.25">
      <c r="W1315" s="214" t="s">
        <v>232</v>
      </c>
      <c r="X1315" s="214" t="s">
        <v>1531</v>
      </c>
      <c r="Y1315" s="220">
        <v>2</v>
      </c>
    </row>
    <row r="1316" spans="23:25" x14ac:dyDescent="0.25">
      <c r="W1316" s="214" t="s">
        <v>239</v>
      </c>
      <c r="X1316" s="214" t="s">
        <v>1532</v>
      </c>
      <c r="Y1316" s="220">
        <v>2</v>
      </c>
    </row>
    <row r="1317" spans="23:25" x14ac:dyDescent="0.25">
      <c r="W1317" s="214" t="s">
        <v>232</v>
      </c>
      <c r="X1317" s="214" t="s">
        <v>837</v>
      </c>
      <c r="Y1317" s="220">
        <v>2</v>
      </c>
    </row>
    <row r="1318" spans="23:25" x14ac:dyDescent="0.25">
      <c r="W1318" s="214" t="s">
        <v>232</v>
      </c>
      <c r="X1318" s="214" t="s">
        <v>1533</v>
      </c>
      <c r="Y1318" s="220">
        <v>2</v>
      </c>
    </row>
    <row r="1319" spans="23:25" x14ac:dyDescent="0.25">
      <c r="W1319" s="214" t="s">
        <v>232</v>
      </c>
      <c r="X1319" s="214" t="s">
        <v>1534</v>
      </c>
      <c r="Y1319" s="220">
        <v>2</v>
      </c>
    </row>
    <row r="1320" spans="23:25" x14ac:dyDescent="0.25">
      <c r="W1320" s="214" t="s">
        <v>232</v>
      </c>
      <c r="X1320" s="214" t="s">
        <v>1535</v>
      </c>
      <c r="Y1320" s="220">
        <v>2</v>
      </c>
    </row>
    <row r="1321" spans="23:25" x14ac:dyDescent="0.25">
      <c r="W1321" s="214" t="s">
        <v>232</v>
      </c>
      <c r="X1321" s="214" t="s">
        <v>1536</v>
      </c>
      <c r="Y1321" s="220">
        <v>3</v>
      </c>
    </row>
    <row r="1322" spans="23:25" x14ac:dyDescent="0.25">
      <c r="W1322" s="214" t="s">
        <v>232</v>
      </c>
      <c r="X1322" s="214" t="s">
        <v>1537</v>
      </c>
      <c r="Y1322" s="220">
        <v>2</v>
      </c>
    </row>
    <row r="1323" spans="23:25" x14ac:dyDescent="0.25">
      <c r="W1323" s="214" t="s">
        <v>232</v>
      </c>
      <c r="X1323" s="214" t="s">
        <v>1538</v>
      </c>
      <c r="Y1323" s="220">
        <v>2</v>
      </c>
    </row>
    <row r="1324" spans="23:25" x14ac:dyDescent="0.25">
      <c r="W1324" s="214" t="s">
        <v>239</v>
      </c>
      <c r="X1324" s="214" t="s">
        <v>1539</v>
      </c>
      <c r="Y1324" s="220">
        <v>2</v>
      </c>
    </row>
    <row r="1325" spans="23:25" x14ac:dyDescent="0.25">
      <c r="W1325" s="214" t="s">
        <v>232</v>
      </c>
      <c r="X1325" s="214" t="s">
        <v>1540</v>
      </c>
      <c r="Y1325" s="220">
        <v>2</v>
      </c>
    </row>
    <row r="1326" spans="23:25" x14ac:dyDescent="0.25">
      <c r="W1326" s="214" t="s">
        <v>232</v>
      </c>
      <c r="X1326" s="214" t="s">
        <v>931</v>
      </c>
      <c r="Y1326" s="220">
        <v>2</v>
      </c>
    </row>
    <row r="1327" spans="23:25" x14ac:dyDescent="0.25">
      <c r="W1327" s="214" t="s">
        <v>232</v>
      </c>
      <c r="X1327" s="214" t="s">
        <v>1541</v>
      </c>
      <c r="Y1327" s="220">
        <v>2</v>
      </c>
    </row>
    <row r="1328" spans="23:25" x14ac:dyDescent="0.25">
      <c r="W1328" s="214" t="s">
        <v>239</v>
      </c>
      <c r="X1328" s="214" t="s">
        <v>1542</v>
      </c>
      <c r="Y1328" s="220">
        <v>2</v>
      </c>
    </row>
    <row r="1329" spans="23:25" x14ac:dyDescent="0.25">
      <c r="W1329" s="214" t="s">
        <v>232</v>
      </c>
      <c r="X1329" s="214" t="s">
        <v>1543</v>
      </c>
      <c r="Y1329" s="220">
        <v>2</v>
      </c>
    </row>
    <row r="1330" spans="23:25" x14ac:dyDescent="0.25">
      <c r="W1330" s="214" t="s">
        <v>27</v>
      </c>
      <c r="X1330" s="214" t="s">
        <v>1544</v>
      </c>
      <c r="Y1330" s="220">
        <v>2</v>
      </c>
    </row>
    <row r="1331" spans="23:25" x14ac:dyDescent="0.25">
      <c r="W1331" s="214" t="s">
        <v>232</v>
      </c>
      <c r="X1331" s="214" t="s">
        <v>1545</v>
      </c>
      <c r="Y1331" s="220">
        <v>2</v>
      </c>
    </row>
    <row r="1332" spans="23:25" x14ac:dyDescent="0.25">
      <c r="W1332" s="214" t="s">
        <v>232</v>
      </c>
      <c r="X1332" s="214" t="s">
        <v>1546</v>
      </c>
      <c r="Y1332" s="220">
        <v>2</v>
      </c>
    </row>
    <row r="1333" spans="23:25" x14ac:dyDescent="0.25">
      <c r="W1333" s="214" t="s">
        <v>232</v>
      </c>
      <c r="X1333" s="214" t="s">
        <v>1547</v>
      </c>
      <c r="Y1333" s="220">
        <v>2</v>
      </c>
    </row>
    <row r="1334" spans="23:25" x14ac:dyDescent="0.25">
      <c r="W1334" s="214" t="s">
        <v>232</v>
      </c>
      <c r="X1334" s="214" t="s">
        <v>1548</v>
      </c>
      <c r="Y1334" s="220">
        <v>2</v>
      </c>
    </row>
    <row r="1335" spans="23:25" x14ac:dyDescent="0.25">
      <c r="W1335" s="214" t="s">
        <v>27</v>
      </c>
      <c r="X1335" s="214" t="s">
        <v>1549</v>
      </c>
      <c r="Y1335" s="220">
        <v>2</v>
      </c>
    </row>
    <row r="1336" spans="23:25" x14ac:dyDescent="0.25">
      <c r="W1336" s="214" t="s">
        <v>232</v>
      </c>
      <c r="X1336" s="214" t="s">
        <v>1550</v>
      </c>
      <c r="Y1336" s="220">
        <v>2</v>
      </c>
    </row>
    <row r="1337" spans="23:25" x14ac:dyDescent="0.25">
      <c r="W1337" s="214" t="s">
        <v>232</v>
      </c>
      <c r="X1337" s="214" t="s">
        <v>1551</v>
      </c>
      <c r="Y1337" s="220">
        <v>2</v>
      </c>
    </row>
    <row r="1338" spans="23:25" x14ac:dyDescent="0.25">
      <c r="W1338" s="214" t="s">
        <v>232</v>
      </c>
      <c r="X1338" s="214" t="s">
        <v>1552</v>
      </c>
      <c r="Y1338" s="220">
        <v>2</v>
      </c>
    </row>
    <row r="1339" spans="23:25" x14ac:dyDescent="0.25">
      <c r="W1339" s="214" t="s">
        <v>232</v>
      </c>
      <c r="X1339" s="214" t="s">
        <v>1553</v>
      </c>
      <c r="Y1339" s="220">
        <v>2</v>
      </c>
    </row>
    <row r="1340" spans="23:25" x14ac:dyDescent="0.25">
      <c r="W1340" s="214" t="s">
        <v>232</v>
      </c>
      <c r="X1340" s="214" t="s">
        <v>1554</v>
      </c>
      <c r="Y1340" s="220">
        <v>2</v>
      </c>
    </row>
    <row r="1341" spans="23:25" x14ac:dyDescent="0.25">
      <c r="W1341" s="214" t="s">
        <v>239</v>
      </c>
      <c r="X1341" s="214" t="s">
        <v>1555</v>
      </c>
      <c r="Y1341" s="220">
        <v>2</v>
      </c>
    </row>
    <row r="1342" spans="23:25" x14ac:dyDescent="0.25">
      <c r="W1342" s="214" t="s">
        <v>232</v>
      </c>
      <c r="X1342" s="214" t="s">
        <v>1556</v>
      </c>
      <c r="Y1342" s="220">
        <v>2</v>
      </c>
    </row>
    <row r="1343" spans="23:25" x14ac:dyDescent="0.25">
      <c r="W1343" s="214" t="s">
        <v>232</v>
      </c>
      <c r="X1343" s="214" t="s">
        <v>1557</v>
      </c>
      <c r="Y1343" s="220">
        <v>2</v>
      </c>
    </row>
    <row r="1344" spans="23:25" x14ac:dyDescent="0.25">
      <c r="W1344" s="214" t="s">
        <v>232</v>
      </c>
      <c r="X1344" s="214" t="s">
        <v>1558</v>
      </c>
      <c r="Y1344" s="220">
        <v>2</v>
      </c>
    </row>
    <row r="1345" spans="23:25" x14ac:dyDescent="0.25">
      <c r="W1345" s="214" t="s">
        <v>232</v>
      </c>
      <c r="X1345" s="214" t="s">
        <v>1559</v>
      </c>
      <c r="Y1345" s="220">
        <v>2</v>
      </c>
    </row>
    <row r="1346" spans="23:25" x14ac:dyDescent="0.25">
      <c r="W1346" s="214" t="s">
        <v>232</v>
      </c>
      <c r="X1346" s="214" t="s">
        <v>1560</v>
      </c>
      <c r="Y1346" s="220">
        <v>2</v>
      </c>
    </row>
    <row r="1347" spans="23:25" x14ac:dyDescent="0.25">
      <c r="W1347" s="214" t="s">
        <v>232</v>
      </c>
      <c r="X1347" s="214" t="s">
        <v>1561</v>
      </c>
      <c r="Y1347" s="220">
        <v>2</v>
      </c>
    </row>
    <row r="1348" spans="23:25" x14ac:dyDescent="0.25">
      <c r="W1348" s="214" t="s">
        <v>239</v>
      </c>
      <c r="X1348" s="214" t="s">
        <v>1562</v>
      </c>
      <c r="Y1348" s="220">
        <v>2</v>
      </c>
    </row>
    <row r="1349" spans="23:25" x14ac:dyDescent="0.25">
      <c r="W1349" s="214" t="s">
        <v>232</v>
      </c>
      <c r="X1349" s="214" t="s">
        <v>1563</v>
      </c>
      <c r="Y1349" s="220">
        <v>2</v>
      </c>
    </row>
    <row r="1350" spans="23:25" x14ac:dyDescent="0.25">
      <c r="W1350" s="214" t="s">
        <v>232</v>
      </c>
      <c r="X1350" s="214" t="s">
        <v>1564</v>
      </c>
      <c r="Y1350" s="220">
        <v>2</v>
      </c>
    </row>
    <row r="1351" spans="23:25" x14ac:dyDescent="0.25">
      <c r="W1351" s="214" t="s">
        <v>232</v>
      </c>
      <c r="X1351" s="214" t="s">
        <v>1565</v>
      </c>
      <c r="Y1351" s="220">
        <v>2</v>
      </c>
    </row>
    <row r="1352" spans="23:25" x14ac:dyDescent="0.25">
      <c r="W1352" s="214" t="s">
        <v>27</v>
      </c>
      <c r="X1352" s="214" t="s">
        <v>1566</v>
      </c>
      <c r="Y1352" s="220">
        <v>2</v>
      </c>
    </row>
    <row r="1353" spans="23:25" x14ac:dyDescent="0.25">
      <c r="W1353" s="214" t="s">
        <v>232</v>
      </c>
      <c r="X1353" s="214" t="s">
        <v>1567</v>
      </c>
      <c r="Y1353" s="220">
        <v>2</v>
      </c>
    </row>
    <row r="1354" spans="23:25" x14ac:dyDescent="0.25">
      <c r="W1354" s="214" t="s">
        <v>232</v>
      </c>
      <c r="X1354" s="214" t="s">
        <v>1568</v>
      </c>
      <c r="Y1354" s="220">
        <v>2</v>
      </c>
    </row>
    <row r="1355" spans="23:25" x14ac:dyDescent="0.25">
      <c r="W1355" s="214" t="s">
        <v>232</v>
      </c>
      <c r="X1355" s="214" t="s">
        <v>1569</v>
      </c>
      <c r="Y1355" s="220">
        <v>2</v>
      </c>
    </row>
    <row r="1356" spans="23:25" x14ac:dyDescent="0.25">
      <c r="W1356" s="214" t="s">
        <v>27</v>
      </c>
      <c r="X1356" s="214" t="s">
        <v>1570</v>
      </c>
      <c r="Y1356" s="220">
        <v>2</v>
      </c>
    </row>
    <row r="1357" spans="23:25" x14ac:dyDescent="0.25">
      <c r="W1357" s="214" t="s">
        <v>232</v>
      </c>
      <c r="X1357" s="214" t="s">
        <v>1571</v>
      </c>
      <c r="Y1357" s="220">
        <v>2</v>
      </c>
    </row>
    <row r="1358" spans="23:25" x14ac:dyDescent="0.25">
      <c r="W1358" s="214" t="s">
        <v>232</v>
      </c>
      <c r="X1358" s="214" t="s">
        <v>1572</v>
      </c>
      <c r="Y1358" s="220">
        <v>2</v>
      </c>
    </row>
    <row r="1359" spans="23:25" x14ac:dyDescent="0.25">
      <c r="W1359" s="214" t="s">
        <v>239</v>
      </c>
      <c r="X1359" s="214" t="s">
        <v>1573</v>
      </c>
      <c r="Y1359" s="220">
        <v>2</v>
      </c>
    </row>
    <row r="1360" spans="23:25" x14ac:dyDescent="0.25">
      <c r="W1360" s="214" t="s">
        <v>232</v>
      </c>
      <c r="X1360" s="214" t="s">
        <v>1574</v>
      </c>
      <c r="Y1360" s="220">
        <v>2</v>
      </c>
    </row>
    <row r="1361" spans="23:25" x14ac:dyDescent="0.25">
      <c r="W1361" s="214" t="s">
        <v>232</v>
      </c>
      <c r="X1361" s="214" t="s">
        <v>1575</v>
      </c>
      <c r="Y1361" s="220">
        <v>2</v>
      </c>
    </row>
    <row r="1362" spans="23:25" x14ac:dyDescent="0.25">
      <c r="W1362" s="214" t="s">
        <v>232</v>
      </c>
      <c r="X1362" s="214" t="s">
        <v>1576</v>
      </c>
      <c r="Y1362" s="220">
        <v>2</v>
      </c>
    </row>
    <row r="1363" spans="23:25" x14ac:dyDescent="0.25">
      <c r="W1363" s="214" t="s">
        <v>239</v>
      </c>
      <c r="X1363" s="214" t="s">
        <v>1577</v>
      </c>
      <c r="Y1363" s="220">
        <v>2</v>
      </c>
    </row>
    <row r="1364" spans="23:25" x14ac:dyDescent="0.25">
      <c r="W1364" s="214" t="s">
        <v>232</v>
      </c>
      <c r="X1364" s="214" t="s">
        <v>1578</v>
      </c>
      <c r="Y1364" s="220">
        <v>2</v>
      </c>
    </row>
    <row r="1365" spans="23:25" x14ac:dyDescent="0.25">
      <c r="W1365" s="214" t="s">
        <v>232</v>
      </c>
      <c r="X1365" s="214" t="s">
        <v>1579</v>
      </c>
      <c r="Y1365" s="220">
        <v>2</v>
      </c>
    </row>
    <row r="1366" spans="23:25" x14ac:dyDescent="0.25">
      <c r="W1366" s="214" t="s">
        <v>258</v>
      </c>
      <c r="X1366" s="214" t="s">
        <v>1580</v>
      </c>
      <c r="Y1366" s="220">
        <v>3</v>
      </c>
    </row>
    <row r="1367" spans="23:25" x14ac:dyDescent="0.25">
      <c r="W1367" s="214" t="s">
        <v>232</v>
      </c>
      <c r="X1367" s="214" t="s">
        <v>1581</v>
      </c>
      <c r="Y1367" s="220">
        <v>2</v>
      </c>
    </row>
    <row r="1368" spans="23:25" x14ac:dyDescent="0.25">
      <c r="W1368" s="214" t="s">
        <v>258</v>
      </c>
      <c r="X1368" s="214" t="s">
        <v>1582</v>
      </c>
      <c r="Y1368" s="220">
        <v>3</v>
      </c>
    </row>
    <row r="1369" spans="23:25" x14ac:dyDescent="0.25">
      <c r="W1369" s="214" t="s">
        <v>232</v>
      </c>
      <c r="X1369" s="214" t="s">
        <v>1583</v>
      </c>
      <c r="Y1369" s="220">
        <v>2</v>
      </c>
    </row>
    <row r="1370" spans="23:25" x14ac:dyDescent="0.25">
      <c r="W1370" s="214" t="s">
        <v>258</v>
      </c>
      <c r="X1370" s="214" t="s">
        <v>1584</v>
      </c>
      <c r="Y1370" s="220">
        <v>3</v>
      </c>
    </row>
    <row r="1371" spans="23:25" x14ac:dyDescent="0.25">
      <c r="W1371" s="214" t="s">
        <v>258</v>
      </c>
      <c r="X1371" s="214" t="s">
        <v>1585</v>
      </c>
      <c r="Y1371" s="220">
        <v>3</v>
      </c>
    </row>
    <row r="1372" spans="23:25" x14ac:dyDescent="0.25">
      <c r="W1372" s="214" t="s">
        <v>258</v>
      </c>
      <c r="X1372" s="214" t="s">
        <v>1586</v>
      </c>
      <c r="Y1372" s="220">
        <v>2</v>
      </c>
    </row>
    <row r="1373" spans="23:25" x14ac:dyDescent="0.25">
      <c r="W1373" s="214" t="s">
        <v>258</v>
      </c>
      <c r="X1373" s="214" t="s">
        <v>1587</v>
      </c>
      <c r="Y1373" s="220">
        <v>3</v>
      </c>
    </row>
    <row r="1374" spans="23:25" x14ac:dyDescent="0.25">
      <c r="W1374" s="214" t="s">
        <v>232</v>
      </c>
      <c r="X1374" s="214" t="s">
        <v>1588</v>
      </c>
      <c r="Y1374" s="220">
        <v>2</v>
      </c>
    </row>
    <row r="1375" spans="23:25" x14ac:dyDescent="0.25">
      <c r="W1375" s="214" t="s">
        <v>232</v>
      </c>
      <c r="X1375" s="214" t="s">
        <v>5883</v>
      </c>
      <c r="Y1375" s="220">
        <v>2</v>
      </c>
    </row>
    <row r="1376" spans="23:25" x14ac:dyDescent="0.25">
      <c r="W1376" s="214" t="s">
        <v>258</v>
      </c>
      <c r="X1376" s="214" t="s">
        <v>1589</v>
      </c>
      <c r="Y1376" s="220">
        <v>3</v>
      </c>
    </row>
    <row r="1377" spans="23:25" x14ac:dyDescent="0.25">
      <c r="W1377" s="214" t="s">
        <v>232</v>
      </c>
      <c r="X1377" s="214" t="s">
        <v>1590</v>
      </c>
      <c r="Y1377" s="220">
        <v>2</v>
      </c>
    </row>
    <row r="1378" spans="23:25" x14ac:dyDescent="0.25">
      <c r="W1378" s="214" t="s">
        <v>258</v>
      </c>
      <c r="X1378" s="214" t="s">
        <v>1591</v>
      </c>
      <c r="Y1378" s="220">
        <v>3</v>
      </c>
    </row>
    <row r="1379" spans="23:25" x14ac:dyDescent="0.25">
      <c r="W1379" s="214" t="s">
        <v>258</v>
      </c>
      <c r="X1379" s="214" t="s">
        <v>1592</v>
      </c>
      <c r="Y1379" s="220">
        <v>3</v>
      </c>
    </row>
    <row r="1380" spans="23:25" x14ac:dyDescent="0.25">
      <c r="W1380" s="214" t="s">
        <v>258</v>
      </c>
      <c r="X1380" s="214" t="s">
        <v>1593</v>
      </c>
      <c r="Y1380" s="220">
        <v>3</v>
      </c>
    </row>
    <row r="1381" spans="23:25" x14ac:dyDescent="0.25">
      <c r="W1381" s="214" t="s">
        <v>258</v>
      </c>
      <c r="X1381" s="214" t="s">
        <v>1594</v>
      </c>
      <c r="Y1381" s="220">
        <v>3</v>
      </c>
    </row>
    <row r="1382" spans="23:25" x14ac:dyDescent="0.25">
      <c r="W1382" s="214" t="s">
        <v>258</v>
      </c>
      <c r="X1382" s="214" t="s">
        <v>1595</v>
      </c>
      <c r="Y1382" s="220">
        <v>3</v>
      </c>
    </row>
    <row r="1383" spans="23:25" x14ac:dyDescent="0.25">
      <c r="W1383" s="214" t="s">
        <v>258</v>
      </c>
      <c r="X1383" s="214" t="s">
        <v>1596</v>
      </c>
      <c r="Y1383" s="220">
        <v>3</v>
      </c>
    </row>
    <row r="1384" spans="23:25" x14ac:dyDescent="0.25">
      <c r="W1384" s="214" t="s">
        <v>258</v>
      </c>
      <c r="X1384" s="214" t="s">
        <v>1597</v>
      </c>
      <c r="Y1384" s="220">
        <v>3</v>
      </c>
    </row>
    <row r="1385" spans="23:25" x14ac:dyDescent="0.25">
      <c r="W1385" s="214" t="s">
        <v>258</v>
      </c>
      <c r="X1385" s="214" t="s">
        <v>1598</v>
      </c>
      <c r="Y1385" s="220">
        <v>2</v>
      </c>
    </row>
    <row r="1386" spans="23:25" x14ac:dyDescent="0.25">
      <c r="W1386" s="214" t="s">
        <v>258</v>
      </c>
      <c r="X1386" s="214" t="s">
        <v>1599</v>
      </c>
      <c r="Y1386" s="220">
        <v>3</v>
      </c>
    </row>
    <row r="1387" spans="23:25" x14ac:dyDescent="0.25">
      <c r="W1387" s="214" t="s">
        <v>258</v>
      </c>
      <c r="X1387" s="214" t="s">
        <v>1600</v>
      </c>
      <c r="Y1387" s="220">
        <v>3</v>
      </c>
    </row>
    <row r="1388" spans="23:25" x14ac:dyDescent="0.25">
      <c r="W1388" s="214" t="s">
        <v>258</v>
      </c>
      <c r="X1388" s="214" t="s">
        <v>1601</v>
      </c>
      <c r="Y1388" s="220">
        <v>3</v>
      </c>
    </row>
    <row r="1389" spans="23:25" x14ac:dyDescent="0.25">
      <c r="W1389" s="214" t="s">
        <v>258</v>
      </c>
      <c r="X1389" s="214" t="s">
        <v>1602</v>
      </c>
      <c r="Y1389" s="220">
        <v>3</v>
      </c>
    </row>
    <row r="1390" spans="23:25" x14ac:dyDescent="0.25">
      <c r="W1390" s="214" t="s">
        <v>258</v>
      </c>
      <c r="X1390" s="214" t="s">
        <v>1603</v>
      </c>
      <c r="Y1390" s="220">
        <v>3</v>
      </c>
    </row>
    <row r="1391" spans="23:25" x14ac:dyDescent="0.25">
      <c r="W1391" s="214" t="s">
        <v>258</v>
      </c>
      <c r="X1391" s="214" t="s">
        <v>1604</v>
      </c>
      <c r="Y1391" s="220">
        <v>4</v>
      </c>
    </row>
    <row r="1392" spans="23:25" x14ac:dyDescent="0.25">
      <c r="W1392" s="214" t="s">
        <v>258</v>
      </c>
      <c r="X1392" s="214" t="s">
        <v>1605</v>
      </c>
      <c r="Y1392" s="220">
        <v>3</v>
      </c>
    </row>
    <row r="1393" spans="23:25" x14ac:dyDescent="0.25">
      <c r="W1393" s="214" t="s">
        <v>258</v>
      </c>
      <c r="X1393" s="214" t="s">
        <v>1606</v>
      </c>
      <c r="Y1393" s="220">
        <v>3</v>
      </c>
    </row>
    <row r="1394" spans="23:25" x14ac:dyDescent="0.25">
      <c r="W1394" s="214" t="s">
        <v>258</v>
      </c>
      <c r="X1394" s="214" t="s">
        <v>1607</v>
      </c>
      <c r="Y1394" s="220">
        <v>3</v>
      </c>
    </row>
    <row r="1395" spans="23:25" x14ac:dyDescent="0.25">
      <c r="W1395" s="214" t="s">
        <v>258</v>
      </c>
      <c r="X1395" s="214" t="s">
        <v>1608</v>
      </c>
      <c r="Y1395" s="220">
        <v>3</v>
      </c>
    </row>
    <row r="1396" spans="23:25" x14ac:dyDescent="0.25">
      <c r="W1396" s="214" t="s">
        <v>258</v>
      </c>
      <c r="X1396" s="214" t="s">
        <v>1609</v>
      </c>
      <c r="Y1396" s="220">
        <v>4</v>
      </c>
    </row>
    <row r="1397" spans="23:25" x14ac:dyDescent="0.25">
      <c r="W1397" s="214" t="s">
        <v>258</v>
      </c>
      <c r="X1397" s="214" t="s">
        <v>1610</v>
      </c>
      <c r="Y1397" s="220">
        <v>3</v>
      </c>
    </row>
    <row r="1398" spans="23:25" x14ac:dyDescent="0.25">
      <c r="W1398" s="214" t="s">
        <v>258</v>
      </c>
      <c r="X1398" s="214" t="s">
        <v>1611</v>
      </c>
      <c r="Y1398" s="220">
        <v>3</v>
      </c>
    </row>
    <row r="1399" spans="23:25" x14ac:dyDescent="0.25">
      <c r="W1399" s="214" t="s">
        <v>258</v>
      </c>
      <c r="X1399" s="214" t="s">
        <v>1612</v>
      </c>
      <c r="Y1399" s="220">
        <v>3</v>
      </c>
    </row>
    <row r="1400" spans="23:25" x14ac:dyDescent="0.25">
      <c r="W1400" s="214" t="s">
        <v>258</v>
      </c>
      <c r="X1400" s="214" t="s">
        <v>1613</v>
      </c>
      <c r="Y1400" s="220">
        <v>3</v>
      </c>
    </row>
    <row r="1401" spans="23:25" x14ac:dyDescent="0.25">
      <c r="W1401" s="214" t="s">
        <v>258</v>
      </c>
      <c r="X1401" s="214" t="s">
        <v>1614</v>
      </c>
      <c r="Y1401" s="220">
        <v>3</v>
      </c>
    </row>
    <row r="1402" spans="23:25" x14ac:dyDescent="0.25">
      <c r="W1402" s="214" t="s">
        <v>258</v>
      </c>
      <c r="X1402" s="214" t="s">
        <v>1615</v>
      </c>
      <c r="Y1402" s="220">
        <v>3</v>
      </c>
    </row>
    <row r="1403" spans="23:25" x14ac:dyDescent="0.25">
      <c r="W1403" s="214" t="s">
        <v>258</v>
      </c>
      <c r="X1403" s="214" t="s">
        <v>1616</v>
      </c>
      <c r="Y1403" s="220">
        <v>3</v>
      </c>
    </row>
    <row r="1404" spans="23:25" x14ac:dyDescent="0.25">
      <c r="W1404" s="214" t="s">
        <v>258</v>
      </c>
      <c r="X1404" s="214" t="s">
        <v>5884</v>
      </c>
      <c r="Y1404" s="220">
        <v>3</v>
      </c>
    </row>
    <row r="1405" spans="23:25" x14ac:dyDescent="0.25">
      <c r="W1405" s="214" t="s">
        <v>258</v>
      </c>
      <c r="X1405" s="214" t="s">
        <v>1617</v>
      </c>
      <c r="Y1405" s="220">
        <v>3</v>
      </c>
    </row>
    <row r="1406" spans="23:25" x14ac:dyDescent="0.25">
      <c r="W1406" s="214" t="s">
        <v>258</v>
      </c>
      <c r="X1406" s="214" t="s">
        <v>1618</v>
      </c>
      <c r="Y1406" s="220">
        <v>3</v>
      </c>
    </row>
    <row r="1407" spans="23:25" x14ac:dyDescent="0.25">
      <c r="W1407" s="214" t="s">
        <v>258</v>
      </c>
      <c r="X1407" s="214" t="s">
        <v>1619</v>
      </c>
      <c r="Y1407" s="220">
        <v>3</v>
      </c>
    </row>
    <row r="1408" spans="23:25" x14ac:dyDescent="0.25">
      <c r="W1408" s="214" t="s">
        <v>239</v>
      </c>
      <c r="X1408" s="214" t="s">
        <v>1620</v>
      </c>
      <c r="Y1408" s="220">
        <v>3</v>
      </c>
    </row>
    <row r="1409" spans="23:25" x14ac:dyDescent="0.25">
      <c r="W1409" s="214" t="s">
        <v>258</v>
      </c>
      <c r="X1409" s="214" t="s">
        <v>1621</v>
      </c>
      <c r="Y1409" s="220">
        <v>4</v>
      </c>
    </row>
    <row r="1410" spans="23:25" x14ac:dyDescent="0.25">
      <c r="W1410" s="214" t="s">
        <v>252</v>
      </c>
      <c r="X1410" s="214" t="s">
        <v>1622</v>
      </c>
      <c r="Y1410" s="220">
        <v>8</v>
      </c>
    </row>
    <row r="1411" spans="23:25" x14ac:dyDescent="0.25">
      <c r="W1411" s="214" t="s">
        <v>252</v>
      </c>
      <c r="X1411" s="214" t="s">
        <v>1623</v>
      </c>
      <c r="Y1411" s="220">
        <v>3</v>
      </c>
    </row>
    <row r="1412" spans="23:25" x14ac:dyDescent="0.25">
      <c r="W1412" s="214" t="s">
        <v>398</v>
      </c>
      <c r="X1412" s="214" t="s">
        <v>1624</v>
      </c>
      <c r="Y1412" s="220">
        <v>8</v>
      </c>
    </row>
    <row r="1413" spans="23:25" x14ac:dyDescent="0.25">
      <c r="W1413" s="214" t="s">
        <v>252</v>
      </c>
      <c r="X1413" s="214" t="s">
        <v>5885</v>
      </c>
      <c r="Y1413" s="220">
        <v>3</v>
      </c>
    </row>
    <row r="1414" spans="23:25" x14ac:dyDescent="0.25">
      <c r="W1414" s="214" t="s">
        <v>398</v>
      </c>
      <c r="X1414" s="214" t="s">
        <v>1625</v>
      </c>
      <c r="Y1414" s="220">
        <v>8</v>
      </c>
    </row>
    <row r="1415" spans="23:25" x14ac:dyDescent="0.25">
      <c r="W1415" s="214" t="s">
        <v>398</v>
      </c>
      <c r="X1415" s="214" t="s">
        <v>1626</v>
      </c>
      <c r="Y1415" s="220">
        <v>8</v>
      </c>
    </row>
    <row r="1416" spans="23:25" x14ac:dyDescent="0.25">
      <c r="W1416" s="214" t="s">
        <v>398</v>
      </c>
      <c r="X1416" s="214" t="s">
        <v>1217</v>
      </c>
      <c r="Y1416" s="220">
        <v>8</v>
      </c>
    </row>
    <row r="1417" spans="23:25" x14ac:dyDescent="0.25">
      <c r="W1417" s="214" t="s">
        <v>244</v>
      </c>
      <c r="X1417" s="214" t="s">
        <v>1627</v>
      </c>
      <c r="Y1417" s="220">
        <v>8</v>
      </c>
    </row>
    <row r="1418" spans="23:25" x14ac:dyDescent="0.25">
      <c r="W1418" s="214" t="s">
        <v>398</v>
      </c>
      <c r="X1418" s="214" t="s">
        <v>1628</v>
      </c>
      <c r="Y1418" s="220">
        <v>8</v>
      </c>
    </row>
    <row r="1419" spans="23:25" x14ac:dyDescent="0.25">
      <c r="W1419" s="214" t="s">
        <v>398</v>
      </c>
      <c r="X1419" s="214" t="s">
        <v>1629</v>
      </c>
      <c r="Y1419" s="220">
        <v>8</v>
      </c>
    </row>
    <row r="1420" spans="23:25" x14ac:dyDescent="0.25">
      <c r="W1420" s="214" t="s">
        <v>274</v>
      </c>
      <c r="X1420" s="214" t="s">
        <v>1630</v>
      </c>
      <c r="Y1420" s="220">
        <v>3</v>
      </c>
    </row>
    <row r="1421" spans="23:25" x14ac:dyDescent="0.25">
      <c r="W1421" s="214" t="s">
        <v>274</v>
      </c>
      <c r="X1421" s="214" t="s">
        <v>1631</v>
      </c>
      <c r="Y1421" s="220">
        <v>3</v>
      </c>
    </row>
    <row r="1422" spans="23:25" x14ac:dyDescent="0.25">
      <c r="W1422" s="214" t="s">
        <v>244</v>
      </c>
      <c r="X1422" s="214" t="s">
        <v>1632</v>
      </c>
      <c r="Y1422" s="220">
        <v>8</v>
      </c>
    </row>
    <row r="1423" spans="23:25" x14ac:dyDescent="0.25">
      <c r="W1423" s="214" t="s">
        <v>244</v>
      </c>
      <c r="X1423" s="214" t="s">
        <v>1633</v>
      </c>
      <c r="Y1423" s="220">
        <v>8</v>
      </c>
    </row>
    <row r="1424" spans="23:25" x14ac:dyDescent="0.25">
      <c r="W1424" s="214" t="s">
        <v>398</v>
      </c>
      <c r="X1424" s="214" t="s">
        <v>1634</v>
      </c>
      <c r="Y1424" s="220">
        <v>8</v>
      </c>
    </row>
    <row r="1425" spans="23:25" x14ac:dyDescent="0.25">
      <c r="W1425" s="214" t="s">
        <v>398</v>
      </c>
      <c r="X1425" s="214" t="s">
        <v>1635</v>
      </c>
      <c r="Y1425" s="220">
        <v>8</v>
      </c>
    </row>
    <row r="1426" spans="23:25" x14ac:dyDescent="0.25">
      <c r="W1426" s="214" t="s">
        <v>244</v>
      </c>
      <c r="X1426" s="214" t="s">
        <v>1636</v>
      </c>
      <c r="Y1426" s="220">
        <v>8</v>
      </c>
    </row>
    <row r="1427" spans="23:25" x14ac:dyDescent="0.25">
      <c r="W1427" s="214" t="s">
        <v>244</v>
      </c>
      <c r="X1427" s="214" t="s">
        <v>1637</v>
      </c>
      <c r="Y1427" s="220">
        <v>8</v>
      </c>
    </row>
    <row r="1428" spans="23:25" x14ac:dyDescent="0.25">
      <c r="W1428" s="214" t="s">
        <v>398</v>
      </c>
      <c r="X1428" s="214" t="s">
        <v>1638</v>
      </c>
      <c r="Y1428" s="220">
        <v>5</v>
      </c>
    </row>
    <row r="1429" spans="23:25" x14ac:dyDescent="0.25">
      <c r="W1429" s="214" t="s">
        <v>244</v>
      </c>
      <c r="X1429" s="214" t="s">
        <v>1639</v>
      </c>
      <c r="Y1429" s="220">
        <v>8</v>
      </c>
    </row>
    <row r="1430" spans="23:25" x14ac:dyDescent="0.25">
      <c r="W1430" s="214" t="s">
        <v>398</v>
      </c>
      <c r="X1430" s="214" t="s">
        <v>1640</v>
      </c>
      <c r="Y1430" s="220">
        <v>8</v>
      </c>
    </row>
    <row r="1431" spans="23:25" x14ac:dyDescent="0.25">
      <c r="W1431" s="214" t="s">
        <v>398</v>
      </c>
      <c r="X1431" s="214" t="s">
        <v>1641</v>
      </c>
      <c r="Y1431" s="220">
        <v>8</v>
      </c>
    </row>
    <row r="1432" spans="23:25" x14ac:dyDescent="0.25">
      <c r="W1432" s="214" t="s">
        <v>274</v>
      </c>
      <c r="X1432" s="214" t="s">
        <v>1642</v>
      </c>
      <c r="Y1432" s="220">
        <v>5</v>
      </c>
    </row>
    <row r="1433" spans="23:25" x14ac:dyDescent="0.25">
      <c r="W1433" s="214" t="s">
        <v>274</v>
      </c>
      <c r="X1433" s="214" t="s">
        <v>1643</v>
      </c>
      <c r="Y1433" s="220">
        <v>5</v>
      </c>
    </row>
    <row r="1434" spans="23:25" x14ac:dyDescent="0.25">
      <c r="W1434" s="214" t="s">
        <v>244</v>
      </c>
      <c r="X1434" s="214" t="s">
        <v>1644</v>
      </c>
      <c r="Y1434" s="220">
        <v>8</v>
      </c>
    </row>
    <row r="1435" spans="23:25" x14ac:dyDescent="0.25">
      <c r="W1435" s="214" t="s">
        <v>242</v>
      </c>
      <c r="X1435" s="214" t="s">
        <v>1645</v>
      </c>
      <c r="Y1435" s="220">
        <v>8</v>
      </c>
    </row>
    <row r="1436" spans="23:25" x14ac:dyDescent="0.25">
      <c r="W1436" s="214" t="s">
        <v>398</v>
      </c>
      <c r="X1436" s="214" t="s">
        <v>1646</v>
      </c>
      <c r="Y1436" s="220">
        <v>8</v>
      </c>
    </row>
    <row r="1437" spans="23:25" x14ac:dyDescent="0.25">
      <c r="W1437" s="214" t="s">
        <v>398</v>
      </c>
      <c r="X1437" s="214" t="s">
        <v>1647</v>
      </c>
      <c r="Y1437" s="220">
        <v>8</v>
      </c>
    </row>
    <row r="1438" spans="23:25" x14ac:dyDescent="0.25">
      <c r="W1438" s="214" t="s">
        <v>242</v>
      </c>
      <c r="X1438" s="214" t="s">
        <v>1648</v>
      </c>
      <c r="Y1438" s="220">
        <v>8</v>
      </c>
    </row>
    <row r="1439" spans="23:25" x14ac:dyDescent="0.25">
      <c r="W1439" s="214" t="s">
        <v>398</v>
      </c>
      <c r="X1439" s="214" t="s">
        <v>1649</v>
      </c>
      <c r="Y1439" s="220">
        <v>8</v>
      </c>
    </row>
    <row r="1440" spans="23:25" x14ac:dyDescent="0.25">
      <c r="W1440" s="214" t="s">
        <v>252</v>
      </c>
      <c r="X1440" s="214" t="s">
        <v>1650</v>
      </c>
      <c r="Y1440" s="220">
        <v>3</v>
      </c>
    </row>
    <row r="1441" spans="23:25" x14ac:dyDescent="0.25">
      <c r="W1441" s="214" t="s">
        <v>398</v>
      </c>
      <c r="X1441" s="214" t="s">
        <v>1651</v>
      </c>
      <c r="Y1441" s="220">
        <v>8</v>
      </c>
    </row>
    <row r="1442" spans="23:25" x14ac:dyDescent="0.25">
      <c r="W1442" s="214" t="s">
        <v>398</v>
      </c>
      <c r="X1442" s="214" t="s">
        <v>1652</v>
      </c>
      <c r="Y1442" s="220">
        <v>8</v>
      </c>
    </row>
    <row r="1443" spans="23:25" x14ac:dyDescent="0.25">
      <c r="W1443" s="214" t="s">
        <v>398</v>
      </c>
      <c r="X1443" s="214" t="s">
        <v>1653</v>
      </c>
      <c r="Y1443" s="220">
        <v>8</v>
      </c>
    </row>
    <row r="1444" spans="23:25" x14ac:dyDescent="0.25">
      <c r="W1444" s="214" t="s">
        <v>398</v>
      </c>
      <c r="X1444" s="214" t="s">
        <v>1654</v>
      </c>
      <c r="Y1444" s="220">
        <v>8</v>
      </c>
    </row>
    <row r="1445" spans="23:25" x14ac:dyDescent="0.25">
      <c r="W1445" s="214" t="s">
        <v>398</v>
      </c>
      <c r="X1445" s="214" t="s">
        <v>1655</v>
      </c>
      <c r="Y1445" s="220">
        <v>8</v>
      </c>
    </row>
    <row r="1446" spans="23:25" x14ac:dyDescent="0.25">
      <c r="W1446" s="214" t="s">
        <v>252</v>
      </c>
      <c r="X1446" s="214" t="s">
        <v>1656</v>
      </c>
      <c r="Y1446" s="220">
        <v>5</v>
      </c>
    </row>
    <row r="1447" spans="23:25" x14ac:dyDescent="0.25">
      <c r="W1447" s="214" t="s">
        <v>274</v>
      </c>
      <c r="X1447" s="214" t="s">
        <v>1657</v>
      </c>
      <c r="Y1447" s="220">
        <v>5</v>
      </c>
    </row>
    <row r="1448" spans="23:25" x14ac:dyDescent="0.25">
      <c r="W1448" s="214" t="s">
        <v>242</v>
      </c>
      <c r="X1448" s="214" t="s">
        <v>1658</v>
      </c>
      <c r="Y1448" s="220">
        <v>8</v>
      </c>
    </row>
    <row r="1449" spans="23:25" x14ac:dyDescent="0.25">
      <c r="W1449" s="214" t="s">
        <v>252</v>
      </c>
      <c r="X1449" s="214" t="s">
        <v>1659</v>
      </c>
      <c r="Y1449" s="220">
        <v>3</v>
      </c>
    </row>
    <row r="1450" spans="23:25" x14ac:dyDescent="0.25">
      <c r="W1450" s="214" t="s">
        <v>252</v>
      </c>
      <c r="X1450" s="214" t="s">
        <v>1660</v>
      </c>
      <c r="Y1450" s="220">
        <v>3</v>
      </c>
    </row>
    <row r="1451" spans="23:25" x14ac:dyDescent="0.25">
      <c r="W1451" s="214" t="s">
        <v>398</v>
      </c>
      <c r="X1451" s="214" t="s">
        <v>1661</v>
      </c>
      <c r="Y1451" s="220">
        <v>8</v>
      </c>
    </row>
    <row r="1452" spans="23:25" x14ac:dyDescent="0.25">
      <c r="W1452" s="214" t="s">
        <v>398</v>
      </c>
      <c r="X1452" s="214" t="s">
        <v>1662</v>
      </c>
      <c r="Y1452" s="220">
        <v>8</v>
      </c>
    </row>
    <row r="1453" spans="23:25" x14ac:dyDescent="0.25">
      <c r="W1453" s="214" t="s">
        <v>274</v>
      </c>
      <c r="X1453" s="214" t="s">
        <v>1663</v>
      </c>
      <c r="Y1453" s="220">
        <v>3</v>
      </c>
    </row>
    <row r="1454" spans="23:25" x14ac:dyDescent="0.25">
      <c r="W1454" s="214" t="s">
        <v>274</v>
      </c>
      <c r="X1454" s="214" t="s">
        <v>1664</v>
      </c>
      <c r="Y1454" s="220">
        <v>5</v>
      </c>
    </row>
    <row r="1455" spans="23:25" x14ac:dyDescent="0.25">
      <c r="W1455" s="214" t="s">
        <v>274</v>
      </c>
      <c r="X1455" s="214" t="s">
        <v>1665</v>
      </c>
      <c r="Y1455" s="220">
        <v>5</v>
      </c>
    </row>
    <row r="1456" spans="23:25" x14ac:dyDescent="0.25">
      <c r="W1456" s="214" t="s">
        <v>242</v>
      </c>
      <c r="X1456" s="214" t="s">
        <v>1666</v>
      </c>
      <c r="Y1456" s="220">
        <v>8</v>
      </c>
    </row>
    <row r="1457" spans="23:25" x14ac:dyDescent="0.25">
      <c r="W1457" s="214" t="s">
        <v>1667</v>
      </c>
      <c r="X1457" s="214" t="s">
        <v>1668</v>
      </c>
      <c r="Y1457" s="220">
        <v>8</v>
      </c>
    </row>
    <row r="1458" spans="23:25" x14ac:dyDescent="0.25">
      <c r="W1458" s="214" t="s">
        <v>274</v>
      </c>
      <c r="X1458" s="214" t="s">
        <v>1669</v>
      </c>
      <c r="Y1458" s="220">
        <v>3</v>
      </c>
    </row>
    <row r="1459" spans="23:25" x14ac:dyDescent="0.25">
      <c r="W1459" s="214" t="s">
        <v>244</v>
      </c>
      <c r="X1459" s="214" t="s">
        <v>1670</v>
      </c>
      <c r="Y1459" s="220">
        <v>8</v>
      </c>
    </row>
    <row r="1460" spans="23:25" x14ac:dyDescent="0.25">
      <c r="W1460" s="214" t="s">
        <v>274</v>
      </c>
      <c r="X1460" s="214" t="s">
        <v>1671</v>
      </c>
      <c r="Y1460" s="220">
        <v>5</v>
      </c>
    </row>
    <row r="1461" spans="23:25" x14ac:dyDescent="0.25">
      <c r="W1461" s="214" t="s">
        <v>398</v>
      </c>
      <c r="X1461" s="214" t="s">
        <v>1672</v>
      </c>
      <c r="Y1461" s="220">
        <v>8</v>
      </c>
    </row>
    <row r="1462" spans="23:25" x14ac:dyDescent="0.25">
      <c r="W1462" s="214" t="s">
        <v>398</v>
      </c>
      <c r="X1462" s="214" t="s">
        <v>1673</v>
      </c>
      <c r="Y1462" s="220">
        <v>6</v>
      </c>
    </row>
    <row r="1463" spans="23:25" x14ac:dyDescent="0.25">
      <c r="W1463" s="214" t="s">
        <v>398</v>
      </c>
      <c r="X1463" s="214" t="s">
        <v>1674</v>
      </c>
      <c r="Y1463" s="220">
        <v>8</v>
      </c>
    </row>
    <row r="1464" spans="23:25" x14ac:dyDescent="0.25">
      <c r="W1464" s="214" t="s">
        <v>252</v>
      </c>
      <c r="X1464" s="214" t="s">
        <v>1675</v>
      </c>
      <c r="Y1464" s="220">
        <v>3</v>
      </c>
    </row>
    <row r="1465" spans="23:25" x14ac:dyDescent="0.25">
      <c r="W1465" s="214" t="s">
        <v>398</v>
      </c>
      <c r="X1465" s="214" t="s">
        <v>1676</v>
      </c>
      <c r="Y1465" s="220">
        <v>6</v>
      </c>
    </row>
    <row r="1466" spans="23:25" x14ac:dyDescent="0.25">
      <c r="W1466" s="214" t="s">
        <v>398</v>
      </c>
      <c r="X1466" s="214" t="s">
        <v>1677</v>
      </c>
      <c r="Y1466" s="220">
        <v>5</v>
      </c>
    </row>
    <row r="1467" spans="23:25" x14ac:dyDescent="0.25">
      <c r="W1467" s="214" t="s">
        <v>1667</v>
      </c>
      <c r="X1467" s="214" t="s">
        <v>1678</v>
      </c>
      <c r="Y1467" s="220">
        <v>8</v>
      </c>
    </row>
    <row r="1468" spans="23:25" x14ac:dyDescent="0.25">
      <c r="W1468" s="214" t="s">
        <v>244</v>
      </c>
      <c r="X1468" s="214" t="s">
        <v>1679</v>
      </c>
      <c r="Y1468" s="220">
        <v>8</v>
      </c>
    </row>
    <row r="1469" spans="23:25" x14ac:dyDescent="0.25">
      <c r="W1469" s="214" t="s">
        <v>242</v>
      </c>
      <c r="X1469" s="214" t="s">
        <v>1680</v>
      </c>
      <c r="Y1469" s="220">
        <v>8</v>
      </c>
    </row>
    <row r="1470" spans="23:25" x14ac:dyDescent="0.25">
      <c r="W1470" s="214" t="s">
        <v>242</v>
      </c>
      <c r="X1470" s="214" t="s">
        <v>1681</v>
      </c>
      <c r="Y1470" s="220">
        <v>8</v>
      </c>
    </row>
    <row r="1471" spans="23:25" x14ac:dyDescent="0.25">
      <c r="W1471" s="214" t="s">
        <v>244</v>
      </c>
      <c r="X1471" s="214" t="s">
        <v>1682</v>
      </c>
      <c r="Y1471" s="220">
        <v>8</v>
      </c>
    </row>
    <row r="1472" spans="23:25" x14ac:dyDescent="0.25">
      <c r="W1472" s="214" t="s">
        <v>244</v>
      </c>
      <c r="X1472" s="214" t="s">
        <v>1683</v>
      </c>
      <c r="Y1472" s="220">
        <v>8</v>
      </c>
    </row>
    <row r="1473" spans="23:25" x14ac:dyDescent="0.25">
      <c r="W1473" s="214" t="s">
        <v>69</v>
      </c>
      <c r="X1473" s="214" t="s">
        <v>1684</v>
      </c>
      <c r="Y1473" s="220">
        <v>8</v>
      </c>
    </row>
    <row r="1474" spans="23:25" x14ac:dyDescent="0.25">
      <c r="W1474" s="214" t="s">
        <v>398</v>
      </c>
      <c r="X1474" s="214" t="s">
        <v>1685</v>
      </c>
      <c r="Y1474" s="220">
        <v>5</v>
      </c>
    </row>
    <row r="1475" spans="23:25" x14ac:dyDescent="0.25">
      <c r="W1475" s="214" t="s">
        <v>274</v>
      </c>
      <c r="X1475" s="214" t="s">
        <v>1686</v>
      </c>
      <c r="Y1475" s="220">
        <v>5</v>
      </c>
    </row>
    <row r="1476" spans="23:25" x14ac:dyDescent="0.25">
      <c r="W1476" s="214" t="s">
        <v>274</v>
      </c>
      <c r="X1476" s="214" t="s">
        <v>1687</v>
      </c>
      <c r="Y1476" s="220">
        <v>3</v>
      </c>
    </row>
    <row r="1477" spans="23:25" x14ac:dyDescent="0.25">
      <c r="W1477" s="214" t="s">
        <v>244</v>
      </c>
      <c r="X1477" s="214" t="s">
        <v>1688</v>
      </c>
      <c r="Y1477" s="220">
        <v>5</v>
      </c>
    </row>
    <row r="1478" spans="23:25" x14ac:dyDescent="0.25">
      <c r="W1478" s="214" t="s">
        <v>398</v>
      </c>
      <c r="X1478" s="214" t="s">
        <v>1689</v>
      </c>
      <c r="Y1478" s="220">
        <v>8</v>
      </c>
    </row>
    <row r="1479" spans="23:25" x14ac:dyDescent="0.25">
      <c r="W1479" s="214" t="s">
        <v>274</v>
      </c>
      <c r="X1479" s="214" t="s">
        <v>1690</v>
      </c>
      <c r="Y1479" s="220">
        <v>3</v>
      </c>
    </row>
    <row r="1480" spans="23:25" x14ac:dyDescent="0.25">
      <c r="W1480" s="214" t="s">
        <v>244</v>
      </c>
      <c r="X1480" s="214" t="s">
        <v>1691</v>
      </c>
      <c r="Y1480" s="220">
        <v>8</v>
      </c>
    </row>
    <row r="1481" spans="23:25" x14ac:dyDescent="0.25">
      <c r="W1481" s="214" t="s">
        <v>244</v>
      </c>
      <c r="X1481" s="214" t="s">
        <v>1692</v>
      </c>
      <c r="Y1481" s="220">
        <v>5</v>
      </c>
    </row>
    <row r="1482" spans="23:25" x14ac:dyDescent="0.25">
      <c r="W1482" s="214" t="s">
        <v>244</v>
      </c>
      <c r="X1482" s="214" t="s">
        <v>1693</v>
      </c>
      <c r="Y1482" s="220">
        <v>8</v>
      </c>
    </row>
    <row r="1483" spans="23:25" x14ac:dyDescent="0.25">
      <c r="W1483" s="214" t="s">
        <v>1694</v>
      </c>
      <c r="X1483" s="214" t="s">
        <v>1695</v>
      </c>
      <c r="Y1483" s="220">
        <v>8</v>
      </c>
    </row>
    <row r="1484" spans="23:25" x14ac:dyDescent="0.25">
      <c r="W1484" s="214" t="s">
        <v>274</v>
      </c>
      <c r="X1484" s="214" t="s">
        <v>1696</v>
      </c>
      <c r="Y1484" s="220">
        <v>5</v>
      </c>
    </row>
    <row r="1485" spans="23:25" x14ac:dyDescent="0.25">
      <c r="W1485" s="214" t="s">
        <v>274</v>
      </c>
      <c r="X1485" s="214" t="s">
        <v>1697</v>
      </c>
      <c r="Y1485" s="220">
        <v>5</v>
      </c>
    </row>
    <row r="1486" spans="23:25" x14ac:dyDescent="0.25">
      <c r="W1486" s="214" t="s">
        <v>274</v>
      </c>
      <c r="X1486" s="214" t="s">
        <v>1698</v>
      </c>
      <c r="Y1486" s="220">
        <v>5</v>
      </c>
    </row>
    <row r="1487" spans="23:25" x14ac:dyDescent="0.25">
      <c r="W1487" s="214" t="s">
        <v>244</v>
      </c>
      <c r="X1487" s="214" t="s">
        <v>1699</v>
      </c>
      <c r="Y1487" s="220">
        <v>8</v>
      </c>
    </row>
    <row r="1488" spans="23:25" x14ac:dyDescent="0.25">
      <c r="W1488" s="214" t="s">
        <v>274</v>
      </c>
      <c r="X1488" s="214" t="s">
        <v>5886</v>
      </c>
      <c r="Y1488" s="220">
        <v>5</v>
      </c>
    </row>
    <row r="1489" spans="23:25" x14ac:dyDescent="0.25">
      <c r="W1489" s="214" t="s">
        <v>242</v>
      </c>
      <c r="X1489" s="214" t="s">
        <v>1700</v>
      </c>
      <c r="Y1489" s="220">
        <v>8</v>
      </c>
    </row>
    <row r="1490" spans="23:25" x14ac:dyDescent="0.25">
      <c r="W1490" s="214" t="s">
        <v>244</v>
      </c>
      <c r="X1490" s="214" t="s">
        <v>1701</v>
      </c>
      <c r="Y1490" s="220">
        <v>8</v>
      </c>
    </row>
    <row r="1491" spans="23:25" x14ac:dyDescent="0.25">
      <c r="W1491" s="214" t="s">
        <v>244</v>
      </c>
      <c r="X1491" s="214" t="s">
        <v>1702</v>
      </c>
      <c r="Y1491" s="220">
        <v>8</v>
      </c>
    </row>
    <row r="1492" spans="23:25" x14ac:dyDescent="0.25">
      <c r="W1492" s="214" t="s">
        <v>274</v>
      </c>
      <c r="X1492" s="214" t="s">
        <v>1703</v>
      </c>
      <c r="Y1492" s="220">
        <v>6</v>
      </c>
    </row>
    <row r="1493" spans="23:25" x14ac:dyDescent="0.25">
      <c r="W1493" s="214" t="s">
        <v>274</v>
      </c>
      <c r="X1493" s="214" t="s">
        <v>1704</v>
      </c>
      <c r="Y1493" s="220">
        <v>5</v>
      </c>
    </row>
    <row r="1494" spans="23:25" x14ac:dyDescent="0.25">
      <c r="W1494" s="214" t="s">
        <v>244</v>
      </c>
      <c r="X1494" s="214" t="s">
        <v>5887</v>
      </c>
      <c r="Y1494" s="220">
        <v>8</v>
      </c>
    </row>
    <row r="1495" spans="23:25" x14ac:dyDescent="0.25">
      <c r="W1495" s="214" t="s">
        <v>274</v>
      </c>
      <c r="X1495" s="214" t="s">
        <v>1705</v>
      </c>
      <c r="Y1495" s="220">
        <v>5</v>
      </c>
    </row>
    <row r="1496" spans="23:25" x14ac:dyDescent="0.25">
      <c r="W1496" s="214" t="s">
        <v>274</v>
      </c>
      <c r="X1496" s="214" t="s">
        <v>1706</v>
      </c>
      <c r="Y1496" s="220">
        <v>5</v>
      </c>
    </row>
    <row r="1497" spans="23:25" x14ac:dyDescent="0.25">
      <c r="W1497" s="214" t="s">
        <v>252</v>
      </c>
      <c r="X1497" s="214" t="s">
        <v>1707</v>
      </c>
      <c r="Y1497" s="220">
        <v>3</v>
      </c>
    </row>
    <row r="1498" spans="23:25" x14ac:dyDescent="0.25">
      <c r="W1498" s="214" t="s">
        <v>274</v>
      </c>
      <c r="X1498" s="214" t="s">
        <v>1708</v>
      </c>
      <c r="Y1498" s="220">
        <v>5</v>
      </c>
    </row>
    <row r="1499" spans="23:25" x14ac:dyDescent="0.25">
      <c r="W1499" s="214" t="s">
        <v>398</v>
      </c>
      <c r="X1499" s="214" t="s">
        <v>1709</v>
      </c>
      <c r="Y1499" s="220">
        <v>8</v>
      </c>
    </row>
    <row r="1500" spans="23:25" x14ac:dyDescent="0.25">
      <c r="W1500" s="214" t="s">
        <v>1694</v>
      </c>
      <c r="X1500" s="214" t="s">
        <v>1710</v>
      </c>
      <c r="Y1500" s="220">
        <v>8</v>
      </c>
    </row>
    <row r="1501" spans="23:25" x14ac:dyDescent="0.25">
      <c r="W1501" s="214" t="s">
        <v>274</v>
      </c>
      <c r="X1501" s="214" t="s">
        <v>1711</v>
      </c>
      <c r="Y1501" s="220">
        <v>5</v>
      </c>
    </row>
    <row r="1502" spans="23:25" x14ac:dyDescent="0.25">
      <c r="W1502" s="214" t="s">
        <v>398</v>
      </c>
      <c r="X1502" s="214" t="s">
        <v>1712</v>
      </c>
      <c r="Y1502" s="220">
        <v>8</v>
      </c>
    </row>
    <row r="1503" spans="23:25" x14ac:dyDescent="0.25">
      <c r="W1503" s="214" t="s">
        <v>398</v>
      </c>
      <c r="X1503" s="214" t="s">
        <v>5888</v>
      </c>
      <c r="Y1503" s="220">
        <v>8</v>
      </c>
    </row>
    <row r="1504" spans="23:25" x14ac:dyDescent="0.25">
      <c r="W1504" s="214" t="s">
        <v>274</v>
      </c>
      <c r="X1504" s="214" t="s">
        <v>1713</v>
      </c>
      <c r="Y1504" s="220">
        <v>5</v>
      </c>
    </row>
    <row r="1505" spans="23:25" x14ac:dyDescent="0.25">
      <c r="W1505" s="214" t="s">
        <v>274</v>
      </c>
      <c r="X1505" s="214" t="s">
        <v>1714</v>
      </c>
      <c r="Y1505" s="220">
        <v>5</v>
      </c>
    </row>
    <row r="1506" spans="23:25" x14ac:dyDescent="0.25">
      <c r="W1506" s="214" t="s">
        <v>1667</v>
      </c>
      <c r="X1506" s="214" t="s">
        <v>1715</v>
      </c>
      <c r="Y1506" s="220">
        <v>8</v>
      </c>
    </row>
    <row r="1507" spans="23:25" x14ac:dyDescent="0.25">
      <c r="W1507" s="214" t="s">
        <v>1716</v>
      </c>
      <c r="X1507" s="214" t="s">
        <v>1717</v>
      </c>
      <c r="Y1507" s="220">
        <v>8</v>
      </c>
    </row>
    <row r="1508" spans="23:25" x14ac:dyDescent="0.25">
      <c r="W1508" s="214" t="s">
        <v>274</v>
      </c>
      <c r="X1508" s="214" t="s">
        <v>1718</v>
      </c>
      <c r="Y1508" s="220">
        <v>5</v>
      </c>
    </row>
    <row r="1509" spans="23:25" x14ac:dyDescent="0.25">
      <c r="W1509" s="214" t="s">
        <v>1667</v>
      </c>
      <c r="X1509" s="214" t="s">
        <v>1719</v>
      </c>
      <c r="Y1509" s="220">
        <v>8</v>
      </c>
    </row>
    <row r="1510" spans="23:25" x14ac:dyDescent="0.25">
      <c r="W1510" s="214" t="s">
        <v>274</v>
      </c>
      <c r="X1510" s="214" t="s">
        <v>1720</v>
      </c>
      <c r="Y1510" s="220">
        <v>5</v>
      </c>
    </row>
    <row r="1511" spans="23:25" x14ac:dyDescent="0.25">
      <c r="W1511" s="214" t="s">
        <v>398</v>
      </c>
      <c r="X1511" s="214" t="s">
        <v>1721</v>
      </c>
      <c r="Y1511" s="220">
        <v>5</v>
      </c>
    </row>
    <row r="1512" spans="23:25" x14ac:dyDescent="0.25">
      <c r="W1512" s="214" t="s">
        <v>1694</v>
      </c>
      <c r="X1512" s="214" t="s">
        <v>1722</v>
      </c>
      <c r="Y1512" s="220">
        <v>8</v>
      </c>
    </row>
    <row r="1513" spans="23:25" x14ac:dyDescent="0.25">
      <c r="W1513" s="214" t="s">
        <v>398</v>
      </c>
      <c r="X1513" s="214" t="s">
        <v>1723</v>
      </c>
      <c r="Y1513" s="220">
        <v>6</v>
      </c>
    </row>
    <row r="1514" spans="23:25" x14ac:dyDescent="0.25">
      <c r="W1514" s="214" t="s">
        <v>398</v>
      </c>
      <c r="X1514" s="214" t="s">
        <v>1724</v>
      </c>
      <c r="Y1514" s="220">
        <v>5</v>
      </c>
    </row>
    <row r="1515" spans="23:25" x14ac:dyDescent="0.25">
      <c r="W1515" s="214" t="s">
        <v>398</v>
      </c>
      <c r="X1515" s="214" t="s">
        <v>1725</v>
      </c>
      <c r="Y1515" s="220">
        <v>8</v>
      </c>
    </row>
    <row r="1516" spans="23:25" x14ac:dyDescent="0.25">
      <c r="W1516" s="214" t="s">
        <v>274</v>
      </c>
      <c r="X1516" s="214" t="s">
        <v>1726</v>
      </c>
      <c r="Y1516" s="220">
        <v>5</v>
      </c>
    </row>
    <row r="1517" spans="23:25" x14ac:dyDescent="0.25">
      <c r="W1517" s="214" t="s">
        <v>274</v>
      </c>
      <c r="X1517" s="214" t="s">
        <v>1727</v>
      </c>
      <c r="Y1517" s="220">
        <v>5</v>
      </c>
    </row>
    <row r="1518" spans="23:25" x14ac:dyDescent="0.25">
      <c r="W1518" s="214" t="s">
        <v>398</v>
      </c>
      <c r="X1518" s="214" t="s">
        <v>1728</v>
      </c>
      <c r="Y1518" s="220">
        <v>8</v>
      </c>
    </row>
    <row r="1519" spans="23:25" x14ac:dyDescent="0.25">
      <c r="W1519" s="214" t="s">
        <v>274</v>
      </c>
      <c r="X1519" s="214" t="s">
        <v>1729</v>
      </c>
      <c r="Y1519" s="220">
        <v>6</v>
      </c>
    </row>
    <row r="1520" spans="23:25" x14ac:dyDescent="0.25">
      <c r="W1520" s="214" t="s">
        <v>398</v>
      </c>
      <c r="X1520" s="214" t="s">
        <v>1730</v>
      </c>
      <c r="Y1520" s="220">
        <v>8</v>
      </c>
    </row>
    <row r="1521" spans="23:25" x14ac:dyDescent="0.25">
      <c r="W1521" s="214" t="s">
        <v>274</v>
      </c>
      <c r="X1521" s="214" t="s">
        <v>1731</v>
      </c>
      <c r="Y1521" s="220">
        <v>5</v>
      </c>
    </row>
    <row r="1522" spans="23:25" x14ac:dyDescent="0.25">
      <c r="W1522" s="214" t="s">
        <v>274</v>
      </c>
      <c r="X1522" s="214" t="s">
        <v>1732</v>
      </c>
      <c r="Y1522" s="220">
        <v>5</v>
      </c>
    </row>
    <row r="1523" spans="23:25" x14ac:dyDescent="0.25">
      <c r="W1523" s="214" t="s">
        <v>244</v>
      </c>
      <c r="X1523" s="214" t="s">
        <v>1733</v>
      </c>
      <c r="Y1523" s="220">
        <v>5</v>
      </c>
    </row>
    <row r="1524" spans="23:25" x14ac:dyDescent="0.25">
      <c r="W1524" s="214" t="s">
        <v>274</v>
      </c>
      <c r="X1524" s="214" t="s">
        <v>1734</v>
      </c>
      <c r="Y1524" s="220">
        <v>5</v>
      </c>
    </row>
    <row r="1525" spans="23:25" x14ac:dyDescent="0.25">
      <c r="W1525" s="214" t="s">
        <v>398</v>
      </c>
      <c r="X1525" s="214" t="s">
        <v>1005</v>
      </c>
      <c r="Y1525" s="220">
        <v>8</v>
      </c>
    </row>
    <row r="1526" spans="23:25" x14ac:dyDescent="0.25">
      <c r="W1526" s="214" t="s">
        <v>244</v>
      </c>
      <c r="X1526" s="214" t="s">
        <v>1735</v>
      </c>
      <c r="Y1526" s="220">
        <v>8</v>
      </c>
    </row>
    <row r="1527" spans="23:25" x14ac:dyDescent="0.25">
      <c r="W1527" s="214" t="s">
        <v>398</v>
      </c>
      <c r="X1527" s="214" t="s">
        <v>1736</v>
      </c>
      <c r="Y1527" s="220">
        <v>5</v>
      </c>
    </row>
    <row r="1528" spans="23:25" x14ac:dyDescent="0.25">
      <c r="W1528" s="214" t="s">
        <v>242</v>
      </c>
      <c r="X1528" s="214" t="s">
        <v>1737</v>
      </c>
      <c r="Y1528" s="220">
        <v>8</v>
      </c>
    </row>
    <row r="1529" spans="23:25" x14ac:dyDescent="0.25">
      <c r="W1529" s="214" t="s">
        <v>398</v>
      </c>
      <c r="X1529" s="214" t="s">
        <v>1738</v>
      </c>
      <c r="Y1529" s="220">
        <v>8</v>
      </c>
    </row>
    <row r="1530" spans="23:25" x14ac:dyDescent="0.25">
      <c r="W1530" s="214" t="s">
        <v>274</v>
      </c>
      <c r="X1530" s="214" t="s">
        <v>1739</v>
      </c>
      <c r="Y1530" s="220">
        <v>5</v>
      </c>
    </row>
    <row r="1531" spans="23:25" x14ac:dyDescent="0.25">
      <c r="W1531" s="214" t="s">
        <v>1740</v>
      </c>
      <c r="X1531" s="214" t="s">
        <v>5889</v>
      </c>
      <c r="Y1531" s="220">
        <v>6</v>
      </c>
    </row>
    <row r="1532" spans="23:25" x14ac:dyDescent="0.25">
      <c r="W1532" s="214" t="s">
        <v>242</v>
      </c>
      <c r="X1532" s="214" t="s">
        <v>1741</v>
      </c>
      <c r="Y1532" s="220">
        <v>8</v>
      </c>
    </row>
    <row r="1533" spans="23:25" x14ac:dyDescent="0.25">
      <c r="W1533" s="214" t="s">
        <v>1667</v>
      </c>
      <c r="X1533" s="214" t="s">
        <v>1742</v>
      </c>
      <c r="Y1533" s="220">
        <v>8</v>
      </c>
    </row>
    <row r="1534" spans="23:25" x14ac:dyDescent="0.25">
      <c r="W1534" s="214" t="s">
        <v>274</v>
      </c>
      <c r="X1534" s="214" t="s">
        <v>1743</v>
      </c>
      <c r="Y1534" s="220">
        <v>3</v>
      </c>
    </row>
    <row r="1535" spans="23:25" x14ac:dyDescent="0.25">
      <c r="W1535" s="214" t="s">
        <v>244</v>
      </c>
      <c r="X1535" s="214" t="s">
        <v>1744</v>
      </c>
      <c r="Y1535" s="220">
        <v>8</v>
      </c>
    </row>
    <row r="1536" spans="23:25" x14ac:dyDescent="0.25">
      <c r="W1536" s="214" t="s">
        <v>274</v>
      </c>
      <c r="X1536" s="214" t="s">
        <v>1745</v>
      </c>
      <c r="Y1536" s="220">
        <v>3</v>
      </c>
    </row>
    <row r="1537" spans="23:25" x14ac:dyDescent="0.25">
      <c r="W1537" s="214" t="s">
        <v>1716</v>
      </c>
      <c r="X1537" s="214" t="s">
        <v>1746</v>
      </c>
      <c r="Y1537" s="220">
        <v>8</v>
      </c>
    </row>
    <row r="1538" spans="23:25" x14ac:dyDescent="0.25">
      <c r="W1538" s="214" t="s">
        <v>398</v>
      </c>
      <c r="X1538" s="214" t="s">
        <v>1747</v>
      </c>
      <c r="Y1538" s="220">
        <v>8</v>
      </c>
    </row>
    <row r="1539" spans="23:25" x14ac:dyDescent="0.25">
      <c r="W1539" s="214" t="s">
        <v>398</v>
      </c>
      <c r="X1539" s="214" t="s">
        <v>1748</v>
      </c>
      <c r="Y1539" s="220">
        <v>8</v>
      </c>
    </row>
    <row r="1540" spans="23:25" x14ac:dyDescent="0.25">
      <c r="W1540" s="214" t="s">
        <v>274</v>
      </c>
      <c r="X1540" s="214" t="s">
        <v>1749</v>
      </c>
      <c r="Y1540" s="220">
        <v>5</v>
      </c>
    </row>
    <row r="1541" spans="23:25" x14ac:dyDescent="0.25">
      <c r="W1541" s="214" t="s">
        <v>274</v>
      </c>
      <c r="X1541" s="214" t="s">
        <v>1750</v>
      </c>
      <c r="Y1541" s="220">
        <v>5</v>
      </c>
    </row>
    <row r="1542" spans="23:25" x14ac:dyDescent="0.25">
      <c r="W1542" s="214" t="s">
        <v>398</v>
      </c>
      <c r="X1542" s="214" t="s">
        <v>1751</v>
      </c>
      <c r="Y1542" s="220">
        <v>5</v>
      </c>
    </row>
    <row r="1543" spans="23:25" x14ac:dyDescent="0.25">
      <c r="W1543" s="214" t="s">
        <v>242</v>
      </c>
      <c r="X1543" s="214" t="s">
        <v>1752</v>
      </c>
      <c r="Y1543" s="220">
        <v>8</v>
      </c>
    </row>
    <row r="1544" spans="23:25" x14ac:dyDescent="0.25">
      <c r="W1544" s="214" t="s">
        <v>398</v>
      </c>
      <c r="X1544" s="214" t="s">
        <v>1753</v>
      </c>
      <c r="Y1544" s="220">
        <v>8</v>
      </c>
    </row>
    <row r="1545" spans="23:25" x14ac:dyDescent="0.25">
      <c r="W1545" s="214" t="s">
        <v>274</v>
      </c>
      <c r="X1545" s="214" t="s">
        <v>1754</v>
      </c>
      <c r="Y1545" s="220">
        <v>5</v>
      </c>
    </row>
    <row r="1546" spans="23:25" x14ac:dyDescent="0.25">
      <c r="W1546" s="214" t="s">
        <v>274</v>
      </c>
      <c r="X1546" s="214" t="s">
        <v>1755</v>
      </c>
      <c r="Y1546" s="220">
        <v>6</v>
      </c>
    </row>
    <row r="1547" spans="23:25" x14ac:dyDescent="0.25">
      <c r="W1547" s="214" t="s">
        <v>398</v>
      </c>
      <c r="X1547" s="214" t="s">
        <v>1756</v>
      </c>
      <c r="Y1547" s="220">
        <v>8</v>
      </c>
    </row>
    <row r="1548" spans="23:25" x14ac:dyDescent="0.25">
      <c r="W1548" s="214" t="s">
        <v>398</v>
      </c>
      <c r="X1548" s="214" t="s">
        <v>1757</v>
      </c>
      <c r="Y1548" s="220">
        <v>5</v>
      </c>
    </row>
    <row r="1549" spans="23:25" x14ac:dyDescent="0.25">
      <c r="W1549" s="214" t="s">
        <v>398</v>
      </c>
      <c r="X1549" s="214" t="s">
        <v>1758</v>
      </c>
      <c r="Y1549" s="220">
        <v>8</v>
      </c>
    </row>
    <row r="1550" spans="23:25" x14ac:dyDescent="0.25">
      <c r="W1550" s="214" t="s">
        <v>274</v>
      </c>
      <c r="X1550" s="214" t="s">
        <v>1759</v>
      </c>
      <c r="Y1550" s="220">
        <v>5</v>
      </c>
    </row>
    <row r="1551" spans="23:25" x14ac:dyDescent="0.25">
      <c r="W1551" s="214" t="s">
        <v>244</v>
      </c>
      <c r="X1551" s="214" t="s">
        <v>1760</v>
      </c>
      <c r="Y1551" s="220">
        <v>8</v>
      </c>
    </row>
    <row r="1552" spans="23:25" x14ac:dyDescent="0.25">
      <c r="W1552" s="214" t="s">
        <v>274</v>
      </c>
      <c r="X1552" s="214" t="s">
        <v>1761</v>
      </c>
      <c r="Y1552" s="220">
        <v>5</v>
      </c>
    </row>
    <row r="1553" spans="23:25" x14ac:dyDescent="0.25">
      <c r="W1553" s="214" t="s">
        <v>274</v>
      </c>
      <c r="X1553" s="214" t="s">
        <v>1762</v>
      </c>
      <c r="Y1553" s="220">
        <v>5</v>
      </c>
    </row>
    <row r="1554" spans="23:25" x14ac:dyDescent="0.25">
      <c r="W1554" s="214" t="s">
        <v>1763</v>
      </c>
      <c r="X1554" s="214" t="s">
        <v>1764</v>
      </c>
      <c r="Y1554" s="220">
        <v>8</v>
      </c>
    </row>
    <row r="1555" spans="23:25" x14ac:dyDescent="0.25">
      <c r="W1555" s="214" t="s">
        <v>1763</v>
      </c>
      <c r="X1555" s="214" t="s">
        <v>1765</v>
      </c>
      <c r="Y1555" s="220">
        <v>8</v>
      </c>
    </row>
    <row r="1556" spans="23:25" x14ac:dyDescent="0.25">
      <c r="W1556" s="214" t="s">
        <v>242</v>
      </c>
      <c r="X1556" s="214" t="s">
        <v>1766</v>
      </c>
      <c r="Y1556" s="220">
        <v>8</v>
      </c>
    </row>
    <row r="1557" spans="23:25" x14ac:dyDescent="0.25">
      <c r="W1557" s="214" t="s">
        <v>252</v>
      </c>
      <c r="X1557" s="214" t="s">
        <v>1767</v>
      </c>
      <c r="Y1557" s="220">
        <v>5</v>
      </c>
    </row>
    <row r="1558" spans="23:25" x14ac:dyDescent="0.25">
      <c r="W1558" s="214" t="s">
        <v>398</v>
      </c>
      <c r="X1558" s="214" t="s">
        <v>1768</v>
      </c>
      <c r="Y1558" s="220">
        <v>6</v>
      </c>
    </row>
    <row r="1559" spans="23:25" x14ac:dyDescent="0.25">
      <c r="W1559" s="214" t="s">
        <v>398</v>
      </c>
      <c r="X1559" s="214" t="s">
        <v>1769</v>
      </c>
      <c r="Y1559" s="220">
        <v>8</v>
      </c>
    </row>
    <row r="1560" spans="23:25" x14ac:dyDescent="0.25">
      <c r="W1560" s="214" t="s">
        <v>398</v>
      </c>
      <c r="X1560" s="214" t="s">
        <v>1770</v>
      </c>
      <c r="Y1560" s="220">
        <v>8</v>
      </c>
    </row>
    <row r="1561" spans="23:25" x14ac:dyDescent="0.25">
      <c r="W1561" s="214" t="s">
        <v>398</v>
      </c>
      <c r="X1561" s="214" t="s">
        <v>1771</v>
      </c>
      <c r="Y1561" s="220">
        <v>8</v>
      </c>
    </row>
    <row r="1562" spans="23:25" x14ac:dyDescent="0.25">
      <c r="W1562" s="214" t="s">
        <v>274</v>
      </c>
      <c r="X1562" s="214" t="s">
        <v>1772</v>
      </c>
      <c r="Y1562" s="220">
        <v>5</v>
      </c>
    </row>
    <row r="1563" spans="23:25" x14ac:dyDescent="0.25">
      <c r="W1563" s="214" t="s">
        <v>239</v>
      </c>
      <c r="X1563" s="214" t="s">
        <v>1773</v>
      </c>
      <c r="Y1563" s="220">
        <v>3</v>
      </c>
    </row>
    <row r="1564" spans="23:25" x14ac:dyDescent="0.25">
      <c r="W1564" s="214" t="s">
        <v>398</v>
      </c>
      <c r="X1564" s="214" t="s">
        <v>1774</v>
      </c>
      <c r="Y1564" s="220">
        <v>8</v>
      </c>
    </row>
    <row r="1565" spans="23:25" x14ac:dyDescent="0.25">
      <c r="W1565" s="214" t="s">
        <v>244</v>
      </c>
      <c r="X1565" s="214" t="s">
        <v>1775</v>
      </c>
      <c r="Y1565" s="220">
        <v>8</v>
      </c>
    </row>
    <row r="1566" spans="23:25" x14ac:dyDescent="0.25">
      <c r="W1566" s="214" t="s">
        <v>274</v>
      </c>
      <c r="X1566" s="214" t="s">
        <v>1776</v>
      </c>
      <c r="Y1566" s="220">
        <v>5</v>
      </c>
    </row>
    <row r="1567" spans="23:25" x14ac:dyDescent="0.25">
      <c r="W1567" s="214" t="s">
        <v>1763</v>
      </c>
      <c r="X1567" s="214" t="s">
        <v>1777</v>
      </c>
      <c r="Y1567" s="220">
        <v>8</v>
      </c>
    </row>
    <row r="1568" spans="23:25" x14ac:dyDescent="0.25">
      <c r="W1568" s="214" t="s">
        <v>27</v>
      </c>
      <c r="X1568" s="214" t="s">
        <v>1778</v>
      </c>
      <c r="Y1568" s="220">
        <v>5</v>
      </c>
    </row>
    <row r="1569" spans="23:25" x14ac:dyDescent="0.25">
      <c r="W1569" s="214" t="s">
        <v>1667</v>
      </c>
      <c r="X1569" s="214" t="s">
        <v>1286</v>
      </c>
      <c r="Y1569" s="220">
        <v>8</v>
      </c>
    </row>
    <row r="1570" spans="23:25" x14ac:dyDescent="0.25">
      <c r="W1570" s="214" t="s">
        <v>274</v>
      </c>
      <c r="X1570" s="214" t="s">
        <v>1779</v>
      </c>
      <c r="Y1570" s="220">
        <v>5</v>
      </c>
    </row>
    <row r="1571" spans="23:25" x14ac:dyDescent="0.25">
      <c r="W1571" s="214" t="s">
        <v>1716</v>
      </c>
      <c r="X1571" s="214" t="s">
        <v>1780</v>
      </c>
      <c r="Y1571" s="220">
        <v>8</v>
      </c>
    </row>
    <row r="1572" spans="23:25" x14ac:dyDescent="0.25">
      <c r="W1572" s="214" t="s">
        <v>244</v>
      </c>
      <c r="X1572" s="214" t="s">
        <v>1781</v>
      </c>
      <c r="Y1572" s="220">
        <v>8</v>
      </c>
    </row>
    <row r="1573" spans="23:25" x14ac:dyDescent="0.25">
      <c r="W1573" s="214" t="s">
        <v>398</v>
      </c>
      <c r="X1573" s="214" t="s">
        <v>1782</v>
      </c>
      <c r="Y1573" s="220">
        <v>8</v>
      </c>
    </row>
    <row r="1574" spans="23:25" x14ac:dyDescent="0.25">
      <c r="W1574" s="214" t="s">
        <v>274</v>
      </c>
      <c r="X1574" s="214" t="s">
        <v>1783</v>
      </c>
      <c r="Y1574" s="220">
        <v>5</v>
      </c>
    </row>
    <row r="1575" spans="23:25" x14ac:dyDescent="0.25">
      <c r="W1575" s="214" t="s">
        <v>398</v>
      </c>
      <c r="X1575" s="214" t="s">
        <v>1784</v>
      </c>
      <c r="Y1575" s="220">
        <v>8</v>
      </c>
    </row>
    <row r="1576" spans="23:25" x14ac:dyDescent="0.25">
      <c r="W1576" s="214" t="s">
        <v>274</v>
      </c>
      <c r="X1576" s="214" t="s">
        <v>1785</v>
      </c>
      <c r="Y1576" s="220">
        <v>5</v>
      </c>
    </row>
    <row r="1577" spans="23:25" x14ac:dyDescent="0.25">
      <c r="W1577" s="214" t="s">
        <v>398</v>
      </c>
      <c r="X1577" s="214" t="s">
        <v>1786</v>
      </c>
      <c r="Y1577" s="220">
        <v>8</v>
      </c>
    </row>
    <row r="1578" spans="23:25" x14ac:dyDescent="0.25">
      <c r="W1578" s="214" t="s">
        <v>252</v>
      </c>
      <c r="X1578" s="214" t="s">
        <v>1787</v>
      </c>
      <c r="Y1578" s="220">
        <v>8</v>
      </c>
    </row>
    <row r="1579" spans="23:25" x14ac:dyDescent="0.25">
      <c r="W1579" s="214" t="s">
        <v>398</v>
      </c>
      <c r="X1579" s="214" t="s">
        <v>1788</v>
      </c>
      <c r="Y1579" s="220">
        <v>8</v>
      </c>
    </row>
    <row r="1580" spans="23:25" x14ac:dyDescent="0.25">
      <c r="W1580" s="214" t="s">
        <v>274</v>
      </c>
      <c r="X1580" s="214" t="s">
        <v>1789</v>
      </c>
      <c r="Y1580" s="220">
        <v>5</v>
      </c>
    </row>
    <row r="1581" spans="23:25" x14ac:dyDescent="0.25">
      <c r="W1581" s="214" t="s">
        <v>398</v>
      </c>
      <c r="X1581" s="214" t="s">
        <v>1790</v>
      </c>
      <c r="Y1581" s="220">
        <v>8</v>
      </c>
    </row>
    <row r="1582" spans="23:25" x14ac:dyDescent="0.25">
      <c r="W1582" s="214" t="s">
        <v>242</v>
      </c>
      <c r="X1582" s="214" t="s">
        <v>1791</v>
      </c>
      <c r="Y1582" s="220">
        <v>8</v>
      </c>
    </row>
    <row r="1583" spans="23:25" x14ac:dyDescent="0.25">
      <c r="W1583" s="214" t="s">
        <v>274</v>
      </c>
      <c r="X1583" s="214" t="s">
        <v>1792</v>
      </c>
      <c r="Y1583" s="220">
        <v>5</v>
      </c>
    </row>
    <row r="1584" spans="23:25" x14ac:dyDescent="0.25">
      <c r="W1584" s="214" t="s">
        <v>1716</v>
      </c>
      <c r="X1584" s="214" t="s">
        <v>1793</v>
      </c>
      <c r="Y1584" s="220">
        <v>5</v>
      </c>
    </row>
    <row r="1585" spans="23:25" x14ac:dyDescent="0.25">
      <c r="W1585" s="214" t="s">
        <v>274</v>
      </c>
      <c r="X1585" s="214" t="s">
        <v>1794</v>
      </c>
      <c r="Y1585" s="220">
        <v>4</v>
      </c>
    </row>
    <row r="1586" spans="23:25" x14ac:dyDescent="0.25">
      <c r="W1586" s="214" t="s">
        <v>398</v>
      </c>
      <c r="X1586" s="214" t="s">
        <v>1795</v>
      </c>
      <c r="Y1586" s="220">
        <v>6</v>
      </c>
    </row>
    <row r="1587" spans="23:25" x14ac:dyDescent="0.25">
      <c r="W1587" s="214" t="s">
        <v>398</v>
      </c>
      <c r="X1587" s="214" t="s">
        <v>1796</v>
      </c>
      <c r="Y1587" s="220">
        <v>6</v>
      </c>
    </row>
    <row r="1588" spans="23:25" x14ac:dyDescent="0.25">
      <c r="W1588" s="214" t="s">
        <v>274</v>
      </c>
      <c r="X1588" s="214" t="s">
        <v>1797</v>
      </c>
      <c r="Y1588" s="220">
        <v>5</v>
      </c>
    </row>
    <row r="1589" spans="23:25" x14ac:dyDescent="0.25">
      <c r="W1589" s="214" t="s">
        <v>398</v>
      </c>
      <c r="X1589" s="214" t="s">
        <v>1798</v>
      </c>
      <c r="Y1589" s="220">
        <v>8</v>
      </c>
    </row>
    <row r="1590" spans="23:25" x14ac:dyDescent="0.25">
      <c r="W1590" s="214" t="s">
        <v>274</v>
      </c>
      <c r="X1590" s="214" t="s">
        <v>1799</v>
      </c>
      <c r="Y1590" s="220">
        <v>6</v>
      </c>
    </row>
    <row r="1591" spans="23:25" x14ac:dyDescent="0.25">
      <c r="W1591" s="214" t="s">
        <v>274</v>
      </c>
      <c r="X1591" s="214" t="s">
        <v>1800</v>
      </c>
      <c r="Y1591" s="220">
        <v>5</v>
      </c>
    </row>
    <row r="1592" spans="23:25" x14ac:dyDescent="0.25">
      <c r="W1592" s="214" t="s">
        <v>398</v>
      </c>
      <c r="X1592" s="214" t="s">
        <v>1801</v>
      </c>
      <c r="Y1592" s="220">
        <v>5</v>
      </c>
    </row>
    <row r="1593" spans="23:25" x14ac:dyDescent="0.25">
      <c r="W1593" s="214" t="s">
        <v>274</v>
      </c>
      <c r="X1593" s="214" t="s">
        <v>1802</v>
      </c>
      <c r="Y1593" s="220">
        <v>5</v>
      </c>
    </row>
    <row r="1594" spans="23:25" x14ac:dyDescent="0.25">
      <c r="W1594" s="214" t="s">
        <v>274</v>
      </c>
      <c r="X1594" s="214" t="s">
        <v>1803</v>
      </c>
      <c r="Y1594" s="220">
        <v>5</v>
      </c>
    </row>
    <row r="1595" spans="23:25" x14ac:dyDescent="0.25">
      <c r="W1595" s="214" t="s">
        <v>398</v>
      </c>
      <c r="X1595" s="214" t="s">
        <v>1804</v>
      </c>
      <c r="Y1595" s="220">
        <v>8</v>
      </c>
    </row>
    <row r="1596" spans="23:25" x14ac:dyDescent="0.25">
      <c r="W1596" s="214" t="s">
        <v>1763</v>
      </c>
      <c r="X1596" s="214" t="s">
        <v>911</v>
      </c>
      <c r="Y1596" s="220">
        <v>6</v>
      </c>
    </row>
    <row r="1597" spans="23:25" x14ac:dyDescent="0.25">
      <c r="W1597" s="214" t="s">
        <v>1694</v>
      </c>
      <c r="X1597" s="214" t="s">
        <v>1805</v>
      </c>
      <c r="Y1597" s="220">
        <v>8</v>
      </c>
    </row>
    <row r="1598" spans="23:25" x14ac:dyDescent="0.25">
      <c r="W1598" s="214" t="s">
        <v>242</v>
      </c>
      <c r="X1598" s="214" t="s">
        <v>1806</v>
      </c>
      <c r="Y1598" s="220">
        <v>8</v>
      </c>
    </row>
    <row r="1599" spans="23:25" x14ac:dyDescent="0.25">
      <c r="W1599" s="214" t="s">
        <v>274</v>
      </c>
      <c r="X1599" s="214" t="s">
        <v>1807</v>
      </c>
      <c r="Y1599" s="220">
        <v>5</v>
      </c>
    </row>
    <row r="1600" spans="23:25" x14ac:dyDescent="0.25">
      <c r="W1600" s="214" t="s">
        <v>252</v>
      </c>
      <c r="X1600" s="214" t="s">
        <v>1808</v>
      </c>
      <c r="Y1600" s="220">
        <v>5</v>
      </c>
    </row>
    <row r="1601" spans="23:25" x14ac:dyDescent="0.25">
      <c r="W1601" s="214" t="s">
        <v>398</v>
      </c>
      <c r="X1601" s="214" t="s">
        <v>1809</v>
      </c>
      <c r="Y1601" s="220">
        <v>8</v>
      </c>
    </row>
    <row r="1602" spans="23:25" x14ac:dyDescent="0.25">
      <c r="W1602" s="214" t="s">
        <v>274</v>
      </c>
      <c r="X1602" s="214" t="s">
        <v>1810</v>
      </c>
      <c r="Y1602" s="220">
        <v>5</v>
      </c>
    </row>
    <row r="1603" spans="23:25" x14ac:dyDescent="0.25">
      <c r="W1603" s="214" t="s">
        <v>242</v>
      </c>
      <c r="X1603" s="214" t="s">
        <v>1811</v>
      </c>
      <c r="Y1603" s="220">
        <v>8</v>
      </c>
    </row>
    <row r="1604" spans="23:25" x14ac:dyDescent="0.25">
      <c r="W1604" s="214" t="s">
        <v>244</v>
      </c>
      <c r="X1604" s="214" t="s">
        <v>1072</v>
      </c>
      <c r="Y1604" s="220">
        <v>8</v>
      </c>
    </row>
    <row r="1605" spans="23:25" x14ac:dyDescent="0.25">
      <c r="W1605" s="214" t="s">
        <v>274</v>
      </c>
      <c r="X1605" s="214" t="s">
        <v>1812</v>
      </c>
      <c r="Y1605" s="220">
        <v>5</v>
      </c>
    </row>
    <row r="1606" spans="23:25" x14ac:dyDescent="0.25">
      <c r="W1606" s="214" t="s">
        <v>398</v>
      </c>
      <c r="X1606" s="214" t="s">
        <v>1813</v>
      </c>
      <c r="Y1606" s="220">
        <v>8</v>
      </c>
    </row>
    <row r="1607" spans="23:25" x14ac:dyDescent="0.25">
      <c r="W1607" s="214" t="s">
        <v>274</v>
      </c>
      <c r="X1607" s="214" t="s">
        <v>1814</v>
      </c>
      <c r="Y1607" s="220">
        <v>4</v>
      </c>
    </row>
    <row r="1608" spans="23:25" x14ac:dyDescent="0.25">
      <c r="W1608" s="214" t="s">
        <v>398</v>
      </c>
      <c r="X1608" s="214" t="s">
        <v>1815</v>
      </c>
      <c r="Y1608" s="220">
        <v>8</v>
      </c>
    </row>
    <row r="1609" spans="23:25" x14ac:dyDescent="0.25">
      <c r="W1609" s="214" t="s">
        <v>274</v>
      </c>
      <c r="X1609" s="214" t="s">
        <v>1816</v>
      </c>
      <c r="Y1609" s="220">
        <v>5</v>
      </c>
    </row>
    <row r="1610" spans="23:25" x14ac:dyDescent="0.25">
      <c r="W1610" s="214" t="s">
        <v>398</v>
      </c>
      <c r="X1610" s="214" t="s">
        <v>1817</v>
      </c>
      <c r="Y1610" s="220">
        <v>8</v>
      </c>
    </row>
    <row r="1611" spans="23:25" x14ac:dyDescent="0.25">
      <c r="W1611" s="214" t="s">
        <v>1740</v>
      </c>
      <c r="X1611" s="214" t="s">
        <v>1818</v>
      </c>
      <c r="Y1611" s="220">
        <v>6</v>
      </c>
    </row>
    <row r="1612" spans="23:25" x14ac:dyDescent="0.25">
      <c r="W1612" s="214" t="s">
        <v>274</v>
      </c>
      <c r="X1612" s="214" t="s">
        <v>1819</v>
      </c>
      <c r="Y1612" s="220">
        <v>5</v>
      </c>
    </row>
    <row r="1613" spans="23:25" x14ac:dyDescent="0.25">
      <c r="W1613" s="214" t="s">
        <v>398</v>
      </c>
      <c r="X1613" s="214" t="s">
        <v>1820</v>
      </c>
      <c r="Y1613" s="220">
        <v>8</v>
      </c>
    </row>
    <row r="1614" spans="23:25" x14ac:dyDescent="0.25">
      <c r="W1614" s="214" t="s">
        <v>274</v>
      </c>
      <c r="X1614" s="214" t="s">
        <v>1821</v>
      </c>
      <c r="Y1614" s="220">
        <v>5</v>
      </c>
    </row>
    <row r="1615" spans="23:25" x14ac:dyDescent="0.25">
      <c r="W1615" s="214" t="s">
        <v>274</v>
      </c>
      <c r="X1615" s="214" t="s">
        <v>1822</v>
      </c>
      <c r="Y1615" s="220">
        <v>5</v>
      </c>
    </row>
    <row r="1616" spans="23:25" x14ac:dyDescent="0.25">
      <c r="W1616" s="214" t="s">
        <v>242</v>
      </c>
      <c r="X1616" s="214" t="s">
        <v>1823</v>
      </c>
      <c r="Y1616" s="220">
        <v>8</v>
      </c>
    </row>
    <row r="1617" spans="23:25" x14ac:dyDescent="0.25">
      <c r="W1617" s="214" t="s">
        <v>274</v>
      </c>
      <c r="X1617" s="214" t="s">
        <v>1824</v>
      </c>
      <c r="Y1617" s="220">
        <v>5</v>
      </c>
    </row>
    <row r="1618" spans="23:25" x14ac:dyDescent="0.25">
      <c r="W1618" s="214" t="s">
        <v>1763</v>
      </c>
      <c r="X1618" s="214" t="s">
        <v>1825</v>
      </c>
      <c r="Y1618" s="220">
        <v>7</v>
      </c>
    </row>
    <row r="1619" spans="23:25" x14ac:dyDescent="0.25">
      <c r="W1619" s="214" t="s">
        <v>274</v>
      </c>
      <c r="X1619" s="214" t="s">
        <v>1826</v>
      </c>
      <c r="Y1619" s="220">
        <v>5</v>
      </c>
    </row>
    <row r="1620" spans="23:25" x14ac:dyDescent="0.25">
      <c r="W1620" s="214" t="s">
        <v>1740</v>
      </c>
      <c r="X1620" s="214" t="s">
        <v>1827</v>
      </c>
      <c r="Y1620" s="220">
        <v>4</v>
      </c>
    </row>
    <row r="1621" spans="23:25" x14ac:dyDescent="0.25">
      <c r="W1621" s="214" t="s">
        <v>398</v>
      </c>
      <c r="X1621" s="214" t="s">
        <v>1828</v>
      </c>
      <c r="Y1621" s="220">
        <v>6</v>
      </c>
    </row>
    <row r="1622" spans="23:25" x14ac:dyDescent="0.25">
      <c r="W1622" s="214" t="s">
        <v>274</v>
      </c>
      <c r="X1622" s="214" t="s">
        <v>1829</v>
      </c>
      <c r="Y1622" s="220">
        <v>5</v>
      </c>
    </row>
    <row r="1623" spans="23:25" x14ac:dyDescent="0.25">
      <c r="W1623" s="214" t="s">
        <v>398</v>
      </c>
      <c r="X1623" s="214" t="s">
        <v>1830</v>
      </c>
      <c r="Y1623" s="220">
        <v>8</v>
      </c>
    </row>
    <row r="1624" spans="23:25" x14ac:dyDescent="0.25">
      <c r="W1624" s="214" t="s">
        <v>398</v>
      </c>
      <c r="X1624" s="214" t="s">
        <v>1831</v>
      </c>
      <c r="Y1624" s="220">
        <v>6</v>
      </c>
    </row>
    <row r="1625" spans="23:25" x14ac:dyDescent="0.25">
      <c r="W1625" s="214" t="s">
        <v>398</v>
      </c>
      <c r="X1625" s="214" t="s">
        <v>1832</v>
      </c>
      <c r="Y1625" s="220">
        <v>8</v>
      </c>
    </row>
    <row r="1626" spans="23:25" x14ac:dyDescent="0.25">
      <c r="W1626" s="214" t="s">
        <v>274</v>
      </c>
      <c r="X1626" s="214" t="s">
        <v>1833</v>
      </c>
      <c r="Y1626" s="220">
        <v>5</v>
      </c>
    </row>
    <row r="1627" spans="23:25" x14ac:dyDescent="0.25">
      <c r="W1627" s="214" t="s">
        <v>274</v>
      </c>
      <c r="X1627" s="214" t="s">
        <v>1834</v>
      </c>
      <c r="Y1627" s="220">
        <v>5</v>
      </c>
    </row>
    <row r="1628" spans="23:25" x14ac:dyDescent="0.25">
      <c r="W1628" s="214" t="s">
        <v>252</v>
      </c>
      <c r="X1628" s="214" t="s">
        <v>1835</v>
      </c>
      <c r="Y1628" s="220">
        <v>5</v>
      </c>
    </row>
    <row r="1629" spans="23:25" x14ac:dyDescent="0.25">
      <c r="W1629" s="214" t="s">
        <v>398</v>
      </c>
      <c r="X1629" s="214" t="s">
        <v>1836</v>
      </c>
      <c r="Y1629" s="220">
        <v>8</v>
      </c>
    </row>
    <row r="1630" spans="23:25" x14ac:dyDescent="0.25">
      <c r="W1630" s="214" t="s">
        <v>244</v>
      </c>
      <c r="X1630" s="214" t="s">
        <v>1837</v>
      </c>
      <c r="Y1630" s="220">
        <v>8</v>
      </c>
    </row>
    <row r="1631" spans="23:25" x14ac:dyDescent="0.25">
      <c r="W1631" s="214" t="s">
        <v>274</v>
      </c>
      <c r="X1631" s="214" t="s">
        <v>1838</v>
      </c>
      <c r="Y1631" s="220">
        <v>5</v>
      </c>
    </row>
    <row r="1632" spans="23:25" x14ac:dyDescent="0.25">
      <c r="W1632" s="214" t="s">
        <v>274</v>
      </c>
      <c r="X1632" s="214" t="s">
        <v>1839</v>
      </c>
      <c r="Y1632" s="220">
        <v>3</v>
      </c>
    </row>
    <row r="1633" spans="23:25" x14ac:dyDescent="0.25">
      <c r="W1633" s="214" t="s">
        <v>274</v>
      </c>
      <c r="X1633" s="214" t="s">
        <v>1840</v>
      </c>
      <c r="Y1633" s="220">
        <v>3</v>
      </c>
    </row>
    <row r="1634" spans="23:25" x14ac:dyDescent="0.25">
      <c r="W1634" s="214" t="s">
        <v>398</v>
      </c>
      <c r="X1634" s="214" t="s">
        <v>1841</v>
      </c>
      <c r="Y1634" s="220">
        <v>8</v>
      </c>
    </row>
    <row r="1635" spans="23:25" x14ac:dyDescent="0.25">
      <c r="W1635" s="214" t="s">
        <v>398</v>
      </c>
      <c r="X1635" s="214" t="s">
        <v>1842</v>
      </c>
      <c r="Y1635" s="220">
        <v>8</v>
      </c>
    </row>
    <row r="1636" spans="23:25" x14ac:dyDescent="0.25">
      <c r="W1636" s="214" t="s">
        <v>398</v>
      </c>
      <c r="X1636" s="214" t="s">
        <v>1843</v>
      </c>
      <c r="Y1636" s="220">
        <v>5</v>
      </c>
    </row>
    <row r="1637" spans="23:25" x14ac:dyDescent="0.25">
      <c r="W1637" s="214" t="s">
        <v>398</v>
      </c>
      <c r="X1637" s="214" t="s">
        <v>1844</v>
      </c>
      <c r="Y1637" s="220">
        <v>5</v>
      </c>
    </row>
    <row r="1638" spans="23:25" x14ac:dyDescent="0.25">
      <c r="W1638" s="214" t="s">
        <v>398</v>
      </c>
      <c r="X1638" s="214" t="s">
        <v>1845</v>
      </c>
      <c r="Y1638" s="220">
        <v>6</v>
      </c>
    </row>
    <row r="1639" spans="23:25" x14ac:dyDescent="0.25">
      <c r="W1639" s="214" t="s">
        <v>274</v>
      </c>
      <c r="X1639" s="214" t="s">
        <v>1846</v>
      </c>
      <c r="Y1639" s="220">
        <v>3</v>
      </c>
    </row>
    <row r="1640" spans="23:25" x14ac:dyDescent="0.25">
      <c r="W1640" s="214" t="s">
        <v>274</v>
      </c>
      <c r="X1640" s="214" t="s">
        <v>1847</v>
      </c>
      <c r="Y1640" s="220">
        <v>3</v>
      </c>
    </row>
    <row r="1641" spans="23:25" x14ac:dyDescent="0.25">
      <c r="W1641" s="214" t="s">
        <v>274</v>
      </c>
      <c r="X1641" s="214" t="s">
        <v>1848</v>
      </c>
      <c r="Y1641" s="220">
        <v>3</v>
      </c>
    </row>
    <row r="1642" spans="23:25" x14ac:dyDescent="0.25">
      <c r="W1642" s="214" t="s">
        <v>274</v>
      </c>
      <c r="X1642" s="214" t="s">
        <v>1849</v>
      </c>
      <c r="Y1642" s="220">
        <v>5</v>
      </c>
    </row>
    <row r="1643" spans="23:25" x14ac:dyDescent="0.25">
      <c r="W1643" s="214" t="s">
        <v>398</v>
      </c>
      <c r="X1643" s="214" t="s">
        <v>1850</v>
      </c>
      <c r="Y1643" s="220">
        <v>8</v>
      </c>
    </row>
    <row r="1644" spans="23:25" x14ac:dyDescent="0.25">
      <c r="W1644" s="214" t="s">
        <v>398</v>
      </c>
      <c r="X1644" s="214" t="s">
        <v>1851</v>
      </c>
      <c r="Y1644" s="220">
        <v>8</v>
      </c>
    </row>
    <row r="1645" spans="23:25" x14ac:dyDescent="0.25">
      <c r="W1645" s="214" t="s">
        <v>398</v>
      </c>
      <c r="X1645" s="214" t="s">
        <v>1852</v>
      </c>
      <c r="Y1645" s="220">
        <v>8</v>
      </c>
    </row>
    <row r="1646" spans="23:25" x14ac:dyDescent="0.25">
      <c r="W1646" s="214" t="s">
        <v>274</v>
      </c>
      <c r="X1646" s="214" t="s">
        <v>1853</v>
      </c>
      <c r="Y1646" s="220">
        <v>3</v>
      </c>
    </row>
    <row r="1647" spans="23:25" x14ac:dyDescent="0.25">
      <c r="W1647" s="214" t="s">
        <v>398</v>
      </c>
      <c r="X1647" s="214" t="s">
        <v>1854</v>
      </c>
      <c r="Y1647" s="220">
        <v>8</v>
      </c>
    </row>
    <row r="1648" spans="23:25" x14ac:dyDescent="0.25">
      <c r="W1648" s="214" t="s">
        <v>398</v>
      </c>
      <c r="X1648" s="214" t="s">
        <v>1855</v>
      </c>
      <c r="Y1648" s="220">
        <v>8</v>
      </c>
    </row>
    <row r="1649" spans="23:25" x14ac:dyDescent="0.25">
      <c r="W1649" s="214" t="s">
        <v>274</v>
      </c>
      <c r="X1649" s="214" t="s">
        <v>1856</v>
      </c>
      <c r="Y1649" s="220">
        <v>3</v>
      </c>
    </row>
    <row r="1650" spans="23:25" x14ac:dyDescent="0.25">
      <c r="W1650" s="214" t="s">
        <v>1763</v>
      </c>
      <c r="X1650" s="214" t="s">
        <v>1857</v>
      </c>
      <c r="Y1650" s="220">
        <v>8</v>
      </c>
    </row>
    <row r="1651" spans="23:25" x14ac:dyDescent="0.25">
      <c r="W1651" s="214" t="s">
        <v>274</v>
      </c>
      <c r="X1651" s="214" t="s">
        <v>1858</v>
      </c>
      <c r="Y1651" s="220">
        <v>4</v>
      </c>
    </row>
    <row r="1652" spans="23:25" x14ac:dyDescent="0.25">
      <c r="W1652" s="214" t="s">
        <v>1763</v>
      </c>
      <c r="X1652" s="214" t="s">
        <v>1859</v>
      </c>
      <c r="Y1652" s="220">
        <v>7</v>
      </c>
    </row>
    <row r="1653" spans="23:25" x14ac:dyDescent="0.25">
      <c r="W1653" s="214" t="s">
        <v>242</v>
      </c>
      <c r="X1653" s="214" t="s">
        <v>1314</v>
      </c>
      <c r="Y1653" s="220">
        <v>7</v>
      </c>
    </row>
    <row r="1654" spans="23:25" x14ac:dyDescent="0.25">
      <c r="W1654" s="214" t="s">
        <v>274</v>
      </c>
      <c r="X1654" s="214" t="s">
        <v>1860</v>
      </c>
      <c r="Y1654" s="220">
        <v>5</v>
      </c>
    </row>
    <row r="1655" spans="23:25" x14ac:dyDescent="0.25">
      <c r="W1655" s="214" t="s">
        <v>398</v>
      </c>
      <c r="X1655" s="214" t="s">
        <v>1861</v>
      </c>
      <c r="Y1655" s="220">
        <v>8</v>
      </c>
    </row>
    <row r="1656" spans="23:25" x14ac:dyDescent="0.25">
      <c r="W1656" s="214" t="s">
        <v>274</v>
      </c>
      <c r="X1656" s="214" t="s">
        <v>5890</v>
      </c>
      <c r="Y1656" s="220">
        <v>3</v>
      </c>
    </row>
    <row r="1657" spans="23:25" x14ac:dyDescent="0.25">
      <c r="W1657" s="214" t="s">
        <v>274</v>
      </c>
      <c r="X1657" s="214" t="s">
        <v>1862</v>
      </c>
      <c r="Y1657" s="220">
        <v>3</v>
      </c>
    </row>
    <row r="1658" spans="23:25" x14ac:dyDescent="0.25">
      <c r="W1658" s="214" t="s">
        <v>398</v>
      </c>
      <c r="X1658" s="214" t="s">
        <v>1863</v>
      </c>
      <c r="Y1658" s="220">
        <v>8</v>
      </c>
    </row>
    <row r="1659" spans="23:25" x14ac:dyDescent="0.25">
      <c r="W1659" s="214" t="s">
        <v>274</v>
      </c>
      <c r="X1659" s="214" t="s">
        <v>1864</v>
      </c>
      <c r="Y1659" s="220">
        <v>3</v>
      </c>
    </row>
    <row r="1660" spans="23:25" x14ac:dyDescent="0.25">
      <c r="W1660" s="214" t="s">
        <v>398</v>
      </c>
      <c r="X1660" s="214" t="s">
        <v>1865</v>
      </c>
      <c r="Y1660" s="220">
        <v>8</v>
      </c>
    </row>
    <row r="1661" spans="23:25" x14ac:dyDescent="0.25">
      <c r="W1661" s="214" t="s">
        <v>398</v>
      </c>
      <c r="X1661" s="214" t="s">
        <v>1866</v>
      </c>
      <c r="Y1661" s="220">
        <v>8</v>
      </c>
    </row>
    <row r="1662" spans="23:25" x14ac:dyDescent="0.25">
      <c r="W1662" s="214" t="s">
        <v>398</v>
      </c>
      <c r="X1662" s="214" t="s">
        <v>1867</v>
      </c>
      <c r="Y1662" s="220">
        <v>5</v>
      </c>
    </row>
    <row r="1663" spans="23:25" x14ac:dyDescent="0.25">
      <c r="W1663" s="214" t="s">
        <v>274</v>
      </c>
      <c r="X1663" s="214" t="s">
        <v>1868</v>
      </c>
      <c r="Y1663" s="220">
        <v>3</v>
      </c>
    </row>
    <row r="1664" spans="23:25" x14ac:dyDescent="0.25">
      <c r="W1664" s="214" t="s">
        <v>398</v>
      </c>
      <c r="X1664" s="214" t="s">
        <v>1869</v>
      </c>
      <c r="Y1664" s="220">
        <v>8</v>
      </c>
    </row>
    <row r="1665" spans="23:25" x14ac:dyDescent="0.25">
      <c r="W1665" s="214" t="s">
        <v>398</v>
      </c>
      <c r="X1665" s="214" t="s">
        <v>1870</v>
      </c>
      <c r="Y1665" s="220">
        <v>8</v>
      </c>
    </row>
    <row r="1666" spans="23:25" x14ac:dyDescent="0.25">
      <c r="W1666" s="214" t="s">
        <v>274</v>
      </c>
      <c r="X1666" s="214" t="s">
        <v>1871</v>
      </c>
      <c r="Y1666" s="220">
        <v>5</v>
      </c>
    </row>
    <row r="1667" spans="23:25" x14ac:dyDescent="0.25">
      <c r="W1667" s="214" t="s">
        <v>274</v>
      </c>
      <c r="X1667" s="214" t="s">
        <v>1872</v>
      </c>
      <c r="Y1667" s="220">
        <v>5</v>
      </c>
    </row>
    <row r="1668" spans="23:25" x14ac:dyDescent="0.25">
      <c r="W1668" s="214" t="s">
        <v>398</v>
      </c>
      <c r="X1668" s="214" t="s">
        <v>1873</v>
      </c>
      <c r="Y1668" s="220">
        <v>8</v>
      </c>
    </row>
    <row r="1669" spans="23:25" x14ac:dyDescent="0.25">
      <c r="W1669" s="214" t="s">
        <v>398</v>
      </c>
      <c r="X1669" s="214" t="s">
        <v>1874</v>
      </c>
      <c r="Y1669" s="220">
        <v>8</v>
      </c>
    </row>
    <row r="1670" spans="23:25" x14ac:dyDescent="0.25">
      <c r="W1670" s="214" t="s">
        <v>398</v>
      </c>
      <c r="X1670" s="214" t="s">
        <v>1875</v>
      </c>
      <c r="Y1670" s="220">
        <v>5</v>
      </c>
    </row>
    <row r="1671" spans="23:25" x14ac:dyDescent="0.25">
      <c r="W1671" s="214" t="s">
        <v>398</v>
      </c>
      <c r="X1671" s="214" t="s">
        <v>1876</v>
      </c>
      <c r="Y1671" s="220">
        <v>8</v>
      </c>
    </row>
    <row r="1672" spans="23:25" x14ac:dyDescent="0.25">
      <c r="W1672" s="214" t="s">
        <v>244</v>
      </c>
      <c r="X1672" s="214" t="s">
        <v>1877</v>
      </c>
      <c r="Y1672" s="220">
        <v>8</v>
      </c>
    </row>
    <row r="1673" spans="23:25" x14ac:dyDescent="0.25">
      <c r="W1673" s="214" t="s">
        <v>1763</v>
      </c>
      <c r="X1673" s="214" t="s">
        <v>1878</v>
      </c>
      <c r="Y1673" s="220">
        <v>7</v>
      </c>
    </row>
    <row r="1674" spans="23:25" x14ac:dyDescent="0.25">
      <c r="W1674" s="214" t="s">
        <v>398</v>
      </c>
      <c r="X1674" s="214" t="s">
        <v>1879</v>
      </c>
      <c r="Y1674" s="220">
        <v>5</v>
      </c>
    </row>
    <row r="1675" spans="23:25" x14ac:dyDescent="0.25">
      <c r="W1675" s="214" t="s">
        <v>274</v>
      </c>
      <c r="X1675" s="214" t="s">
        <v>1880</v>
      </c>
      <c r="Y1675" s="220">
        <v>3</v>
      </c>
    </row>
    <row r="1676" spans="23:25" x14ac:dyDescent="0.25">
      <c r="W1676" s="214" t="s">
        <v>398</v>
      </c>
      <c r="X1676" s="214" t="s">
        <v>1881</v>
      </c>
      <c r="Y1676" s="220">
        <v>8</v>
      </c>
    </row>
    <row r="1677" spans="23:25" x14ac:dyDescent="0.25">
      <c r="W1677" s="214" t="s">
        <v>274</v>
      </c>
      <c r="X1677" s="214" t="s">
        <v>1882</v>
      </c>
      <c r="Y1677" s="220">
        <v>3</v>
      </c>
    </row>
    <row r="1678" spans="23:25" x14ac:dyDescent="0.25">
      <c r="W1678" s="214" t="s">
        <v>274</v>
      </c>
      <c r="X1678" s="214" t="s">
        <v>1883</v>
      </c>
      <c r="Y1678" s="220">
        <v>3</v>
      </c>
    </row>
    <row r="1679" spans="23:25" x14ac:dyDescent="0.25">
      <c r="W1679" s="214" t="s">
        <v>398</v>
      </c>
      <c r="X1679" s="214" t="s">
        <v>1884</v>
      </c>
      <c r="Y1679" s="220">
        <v>8</v>
      </c>
    </row>
    <row r="1680" spans="23:25" x14ac:dyDescent="0.25">
      <c r="W1680" s="214" t="s">
        <v>274</v>
      </c>
      <c r="X1680" s="214" t="s">
        <v>1885</v>
      </c>
      <c r="Y1680" s="220">
        <v>3</v>
      </c>
    </row>
    <row r="1681" spans="23:25" x14ac:dyDescent="0.25">
      <c r="W1681" s="214" t="s">
        <v>274</v>
      </c>
      <c r="X1681" s="214" t="s">
        <v>1886</v>
      </c>
      <c r="Y1681" s="220">
        <v>6</v>
      </c>
    </row>
    <row r="1682" spans="23:25" x14ac:dyDescent="0.25">
      <c r="W1682" s="214" t="s">
        <v>274</v>
      </c>
      <c r="X1682" s="214" t="s">
        <v>1887</v>
      </c>
      <c r="Y1682" s="220">
        <v>4</v>
      </c>
    </row>
    <row r="1683" spans="23:25" x14ac:dyDescent="0.25">
      <c r="W1683" s="214" t="s">
        <v>1763</v>
      </c>
      <c r="X1683" s="214" t="s">
        <v>1888</v>
      </c>
      <c r="Y1683" s="220">
        <v>8</v>
      </c>
    </row>
    <row r="1684" spans="23:25" x14ac:dyDescent="0.25">
      <c r="W1684" s="214" t="s">
        <v>398</v>
      </c>
      <c r="X1684" s="214" t="s">
        <v>1889</v>
      </c>
      <c r="Y1684" s="220">
        <v>5</v>
      </c>
    </row>
    <row r="1685" spans="23:25" x14ac:dyDescent="0.25">
      <c r="W1685" s="214" t="s">
        <v>398</v>
      </c>
      <c r="X1685" s="214" t="s">
        <v>1890</v>
      </c>
      <c r="Y1685" s="220">
        <v>5</v>
      </c>
    </row>
    <row r="1686" spans="23:25" x14ac:dyDescent="0.25">
      <c r="W1686" s="214" t="s">
        <v>398</v>
      </c>
      <c r="X1686" s="214" t="s">
        <v>1891</v>
      </c>
      <c r="Y1686" s="220">
        <v>8</v>
      </c>
    </row>
    <row r="1687" spans="23:25" x14ac:dyDescent="0.25">
      <c r="W1687" s="214" t="s">
        <v>1740</v>
      </c>
      <c r="X1687" s="214" t="s">
        <v>1892</v>
      </c>
      <c r="Y1687" s="220">
        <v>6</v>
      </c>
    </row>
    <row r="1688" spans="23:25" x14ac:dyDescent="0.25">
      <c r="W1688" s="214" t="s">
        <v>1763</v>
      </c>
      <c r="X1688" s="214" t="s">
        <v>1893</v>
      </c>
      <c r="Y1688" s="220">
        <v>8</v>
      </c>
    </row>
    <row r="1689" spans="23:25" x14ac:dyDescent="0.25">
      <c r="W1689" s="214" t="s">
        <v>252</v>
      </c>
      <c r="X1689" s="214" t="s">
        <v>1894</v>
      </c>
      <c r="Y1689" s="220">
        <v>5</v>
      </c>
    </row>
    <row r="1690" spans="23:25" x14ac:dyDescent="0.25">
      <c r="W1690" s="214" t="s">
        <v>398</v>
      </c>
      <c r="X1690" s="214" t="s">
        <v>1895</v>
      </c>
      <c r="Y1690" s="220">
        <v>8</v>
      </c>
    </row>
    <row r="1691" spans="23:25" x14ac:dyDescent="0.25">
      <c r="W1691" s="214" t="s">
        <v>398</v>
      </c>
      <c r="X1691" s="214" t="s">
        <v>1896</v>
      </c>
      <c r="Y1691" s="220">
        <v>5</v>
      </c>
    </row>
    <row r="1692" spans="23:25" x14ac:dyDescent="0.25">
      <c r="W1692" s="214" t="s">
        <v>274</v>
      </c>
      <c r="X1692" s="214" t="s">
        <v>1897</v>
      </c>
      <c r="Y1692" s="220">
        <v>3</v>
      </c>
    </row>
    <row r="1693" spans="23:25" x14ac:dyDescent="0.25">
      <c r="W1693" s="214" t="s">
        <v>398</v>
      </c>
      <c r="X1693" s="214" t="s">
        <v>1898</v>
      </c>
      <c r="Y1693" s="220">
        <v>8</v>
      </c>
    </row>
    <row r="1694" spans="23:25" x14ac:dyDescent="0.25">
      <c r="W1694" s="214" t="s">
        <v>274</v>
      </c>
      <c r="X1694" s="214" t="s">
        <v>1899</v>
      </c>
      <c r="Y1694" s="220">
        <v>3</v>
      </c>
    </row>
    <row r="1695" spans="23:25" x14ac:dyDescent="0.25">
      <c r="W1695" s="214" t="s">
        <v>398</v>
      </c>
      <c r="X1695" s="214" t="s">
        <v>1900</v>
      </c>
      <c r="Y1695" s="220">
        <v>8</v>
      </c>
    </row>
    <row r="1696" spans="23:25" x14ac:dyDescent="0.25">
      <c r="W1696" s="214" t="s">
        <v>274</v>
      </c>
      <c r="X1696" s="214" t="s">
        <v>1901</v>
      </c>
      <c r="Y1696" s="220">
        <v>3</v>
      </c>
    </row>
    <row r="1697" spans="23:25" x14ac:dyDescent="0.25">
      <c r="W1697" s="214" t="s">
        <v>398</v>
      </c>
      <c r="X1697" s="214" t="s">
        <v>1902</v>
      </c>
      <c r="Y1697" s="220">
        <v>5</v>
      </c>
    </row>
    <row r="1698" spans="23:25" x14ac:dyDescent="0.25">
      <c r="W1698" s="214" t="s">
        <v>274</v>
      </c>
      <c r="X1698" s="214" t="s">
        <v>1903</v>
      </c>
      <c r="Y1698" s="220">
        <v>3</v>
      </c>
    </row>
    <row r="1699" spans="23:25" x14ac:dyDescent="0.25">
      <c r="W1699" s="214" t="s">
        <v>244</v>
      </c>
      <c r="X1699" s="214" t="s">
        <v>1904</v>
      </c>
      <c r="Y1699" s="220">
        <v>5</v>
      </c>
    </row>
    <row r="1700" spans="23:25" x14ac:dyDescent="0.25">
      <c r="W1700" s="214" t="s">
        <v>274</v>
      </c>
      <c r="X1700" s="214" t="s">
        <v>1905</v>
      </c>
      <c r="Y1700" s="220">
        <v>3</v>
      </c>
    </row>
    <row r="1701" spans="23:25" x14ac:dyDescent="0.25">
      <c r="W1701" s="214" t="s">
        <v>398</v>
      </c>
      <c r="X1701" s="214" t="s">
        <v>1906</v>
      </c>
      <c r="Y1701" s="220">
        <v>8</v>
      </c>
    </row>
    <row r="1702" spans="23:25" x14ac:dyDescent="0.25">
      <c r="W1702" s="214" t="s">
        <v>242</v>
      </c>
      <c r="X1702" s="214" t="s">
        <v>1907</v>
      </c>
      <c r="Y1702" s="220">
        <v>8</v>
      </c>
    </row>
    <row r="1703" spans="23:25" x14ac:dyDescent="0.25">
      <c r="W1703" s="214" t="s">
        <v>398</v>
      </c>
      <c r="X1703" s="214" t="s">
        <v>1908</v>
      </c>
      <c r="Y1703" s="220">
        <v>8</v>
      </c>
    </row>
    <row r="1704" spans="23:25" x14ac:dyDescent="0.25">
      <c r="W1704" s="214" t="s">
        <v>274</v>
      </c>
      <c r="X1704" s="214" t="s">
        <v>1909</v>
      </c>
      <c r="Y1704" s="220">
        <v>3</v>
      </c>
    </row>
    <row r="1705" spans="23:25" x14ac:dyDescent="0.25">
      <c r="W1705" s="214" t="s">
        <v>398</v>
      </c>
      <c r="X1705" s="214" t="s">
        <v>1910</v>
      </c>
      <c r="Y1705" s="220">
        <v>5</v>
      </c>
    </row>
    <row r="1706" spans="23:25" x14ac:dyDescent="0.25">
      <c r="W1706" s="214" t="s">
        <v>1667</v>
      </c>
      <c r="X1706" s="214" t="s">
        <v>1911</v>
      </c>
      <c r="Y1706" s="220">
        <v>8</v>
      </c>
    </row>
    <row r="1707" spans="23:25" x14ac:dyDescent="0.25">
      <c r="W1707" s="214" t="s">
        <v>274</v>
      </c>
      <c r="X1707" s="214" t="s">
        <v>1912</v>
      </c>
      <c r="Y1707" s="220">
        <v>2</v>
      </c>
    </row>
    <row r="1708" spans="23:25" x14ac:dyDescent="0.25">
      <c r="W1708" s="214" t="s">
        <v>1740</v>
      </c>
      <c r="X1708" s="214" t="s">
        <v>1913</v>
      </c>
      <c r="Y1708" s="220">
        <v>4</v>
      </c>
    </row>
    <row r="1709" spans="23:25" x14ac:dyDescent="0.25">
      <c r="W1709" s="214" t="s">
        <v>274</v>
      </c>
      <c r="X1709" s="214" t="s">
        <v>1914</v>
      </c>
      <c r="Y1709" s="220">
        <v>4</v>
      </c>
    </row>
    <row r="1710" spans="23:25" x14ac:dyDescent="0.25">
      <c r="W1710" s="214" t="s">
        <v>1740</v>
      </c>
      <c r="X1710" s="214" t="s">
        <v>1915</v>
      </c>
      <c r="Y1710" s="220">
        <v>6</v>
      </c>
    </row>
    <row r="1711" spans="23:25" x14ac:dyDescent="0.25">
      <c r="W1711" s="214" t="s">
        <v>274</v>
      </c>
      <c r="X1711" s="214" t="s">
        <v>1916</v>
      </c>
      <c r="Y1711" s="220">
        <v>3</v>
      </c>
    </row>
    <row r="1712" spans="23:25" x14ac:dyDescent="0.25">
      <c r="W1712" s="214" t="s">
        <v>398</v>
      </c>
      <c r="X1712" s="214" t="s">
        <v>1917</v>
      </c>
      <c r="Y1712" s="220">
        <v>8</v>
      </c>
    </row>
    <row r="1713" spans="23:25" x14ac:dyDescent="0.25">
      <c r="W1713" s="214" t="s">
        <v>398</v>
      </c>
      <c r="X1713" s="214" t="s">
        <v>1918</v>
      </c>
      <c r="Y1713" s="220">
        <v>8</v>
      </c>
    </row>
    <row r="1714" spans="23:25" x14ac:dyDescent="0.25">
      <c r="W1714" s="214" t="s">
        <v>398</v>
      </c>
      <c r="X1714" s="214" t="s">
        <v>1919</v>
      </c>
      <c r="Y1714" s="220">
        <v>8</v>
      </c>
    </row>
    <row r="1715" spans="23:25" x14ac:dyDescent="0.25">
      <c r="W1715" s="214" t="s">
        <v>274</v>
      </c>
      <c r="X1715" s="214" t="s">
        <v>1920</v>
      </c>
      <c r="Y1715" s="220">
        <v>5</v>
      </c>
    </row>
    <row r="1716" spans="23:25" x14ac:dyDescent="0.25">
      <c r="W1716" s="214" t="s">
        <v>1763</v>
      </c>
      <c r="X1716" s="214" t="s">
        <v>1921</v>
      </c>
      <c r="Y1716" s="220">
        <v>7</v>
      </c>
    </row>
    <row r="1717" spans="23:25" x14ac:dyDescent="0.25">
      <c r="W1717" s="214" t="s">
        <v>398</v>
      </c>
      <c r="X1717" s="214" t="s">
        <v>1922</v>
      </c>
      <c r="Y1717" s="220">
        <v>8</v>
      </c>
    </row>
    <row r="1718" spans="23:25" x14ac:dyDescent="0.25">
      <c r="W1718" s="214" t="s">
        <v>274</v>
      </c>
      <c r="X1718" s="214" t="s">
        <v>1923</v>
      </c>
      <c r="Y1718" s="220">
        <v>5</v>
      </c>
    </row>
    <row r="1719" spans="23:25" x14ac:dyDescent="0.25">
      <c r="W1719" s="214" t="s">
        <v>274</v>
      </c>
      <c r="X1719" s="214" t="s">
        <v>1924</v>
      </c>
      <c r="Y1719" s="220">
        <v>4</v>
      </c>
    </row>
    <row r="1720" spans="23:25" x14ac:dyDescent="0.25">
      <c r="W1720" s="214" t="s">
        <v>242</v>
      </c>
      <c r="X1720" s="214" t="s">
        <v>1925</v>
      </c>
      <c r="Y1720" s="220">
        <v>8</v>
      </c>
    </row>
    <row r="1721" spans="23:25" x14ac:dyDescent="0.25">
      <c r="W1721" s="214" t="s">
        <v>274</v>
      </c>
      <c r="X1721" s="214" t="s">
        <v>1926</v>
      </c>
      <c r="Y1721" s="220">
        <v>3</v>
      </c>
    </row>
    <row r="1722" spans="23:25" x14ac:dyDescent="0.25">
      <c r="W1722" s="214" t="s">
        <v>1740</v>
      </c>
      <c r="X1722" s="214" t="s">
        <v>1927</v>
      </c>
      <c r="Y1722" s="220">
        <v>6</v>
      </c>
    </row>
    <row r="1723" spans="23:25" x14ac:dyDescent="0.25">
      <c r="W1723" s="214" t="s">
        <v>274</v>
      </c>
      <c r="X1723" s="214" t="s">
        <v>1928</v>
      </c>
      <c r="Y1723" s="220">
        <v>2</v>
      </c>
    </row>
    <row r="1724" spans="23:25" x14ac:dyDescent="0.25">
      <c r="W1724" s="214" t="s">
        <v>274</v>
      </c>
      <c r="X1724" s="214" t="s">
        <v>1929</v>
      </c>
      <c r="Y1724" s="220">
        <v>6</v>
      </c>
    </row>
    <row r="1725" spans="23:25" x14ac:dyDescent="0.25">
      <c r="W1725" s="214" t="s">
        <v>398</v>
      </c>
      <c r="X1725" s="214" t="s">
        <v>1930</v>
      </c>
      <c r="Y1725" s="220">
        <v>8</v>
      </c>
    </row>
    <row r="1726" spans="23:25" x14ac:dyDescent="0.25">
      <c r="W1726" s="214" t="s">
        <v>274</v>
      </c>
      <c r="X1726" s="214" t="s">
        <v>1931</v>
      </c>
      <c r="Y1726" s="220">
        <v>4</v>
      </c>
    </row>
    <row r="1727" spans="23:25" x14ac:dyDescent="0.25">
      <c r="W1727" s="214" t="s">
        <v>398</v>
      </c>
      <c r="X1727" s="214" t="s">
        <v>1932</v>
      </c>
      <c r="Y1727" s="220">
        <v>5</v>
      </c>
    </row>
    <row r="1728" spans="23:25" x14ac:dyDescent="0.25">
      <c r="W1728" s="214" t="s">
        <v>274</v>
      </c>
      <c r="X1728" s="214" t="s">
        <v>1933</v>
      </c>
      <c r="Y1728" s="220">
        <v>4</v>
      </c>
    </row>
    <row r="1729" spans="23:25" x14ac:dyDescent="0.25">
      <c r="W1729" s="214" t="s">
        <v>398</v>
      </c>
      <c r="X1729" s="214" t="s">
        <v>1934</v>
      </c>
      <c r="Y1729" s="220">
        <v>8</v>
      </c>
    </row>
    <row r="1730" spans="23:25" x14ac:dyDescent="0.25">
      <c r="W1730" s="214" t="s">
        <v>398</v>
      </c>
      <c r="X1730" s="214" t="s">
        <v>1935</v>
      </c>
      <c r="Y1730" s="220">
        <v>8</v>
      </c>
    </row>
    <row r="1731" spans="23:25" x14ac:dyDescent="0.25">
      <c r="W1731" s="214" t="s">
        <v>274</v>
      </c>
      <c r="X1731" s="214" t="s">
        <v>1936</v>
      </c>
      <c r="Y1731" s="220">
        <v>3</v>
      </c>
    </row>
    <row r="1732" spans="23:25" x14ac:dyDescent="0.25">
      <c r="W1732" s="214" t="s">
        <v>1763</v>
      </c>
      <c r="X1732" s="214" t="s">
        <v>1937</v>
      </c>
      <c r="Y1732" s="220">
        <v>7</v>
      </c>
    </row>
    <row r="1733" spans="23:25" x14ac:dyDescent="0.25">
      <c r="W1733" s="214" t="s">
        <v>274</v>
      </c>
      <c r="X1733" s="214" t="s">
        <v>1938</v>
      </c>
      <c r="Y1733" s="220">
        <v>3</v>
      </c>
    </row>
    <row r="1734" spans="23:25" x14ac:dyDescent="0.25">
      <c r="W1734" s="214" t="s">
        <v>1763</v>
      </c>
      <c r="X1734" s="214" t="s">
        <v>1939</v>
      </c>
      <c r="Y1734" s="220">
        <v>8</v>
      </c>
    </row>
    <row r="1735" spans="23:25" x14ac:dyDescent="0.25">
      <c r="W1735" s="214" t="s">
        <v>274</v>
      </c>
      <c r="X1735" s="214" t="s">
        <v>1940</v>
      </c>
      <c r="Y1735" s="220">
        <v>3</v>
      </c>
    </row>
    <row r="1736" spans="23:25" x14ac:dyDescent="0.25">
      <c r="W1736" s="214" t="s">
        <v>274</v>
      </c>
      <c r="X1736" s="214" t="s">
        <v>1941</v>
      </c>
      <c r="Y1736" s="220">
        <v>3</v>
      </c>
    </row>
    <row r="1737" spans="23:25" x14ac:dyDescent="0.25">
      <c r="W1737" s="214" t="s">
        <v>1763</v>
      </c>
      <c r="X1737" s="214" t="s">
        <v>1942</v>
      </c>
      <c r="Y1737" s="220">
        <v>8</v>
      </c>
    </row>
    <row r="1738" spans="23:25" x14ac:dyDescent="0.25">
      <c r="W1738" s="214" t="s">
        <v>1943</v>
      </c>
      <c r="X1738" s="214" t="s">
        <v>1944</v>
      </c>
      <c r="Y1738" s="220">
        <v>7</v>
      </c>
    </row>
    <row r="1739" spans="23:25" x14ac:dyDescent="0.25">
      <c r="W1739" s="214" t="s">
        <v>242</v>
      </c>
      <c r="X1739" s="214" t="s">
        <v>1945</v>
      </c>
      <c r="Y1739" s="220">
        <v>8</v>
      </c>
    </row>
    <row r="1740" spans="23:25" x14ac:dyDescent="0.25">
      <c r="W1740" s="214" t="s">
        <v>274</v>
      </c>
      <c r="X1740" s="214" t="s">
        <v>1946</v>
      </c>
      <c r="Y1740" s="220">
        <v>6</v>
      </c>
    </row>
    <row r="1741" spans="23:25" x14ac:dyDescent="0.25">
      <c r="W1741" s="214" t="s">
        <v>398</v>
      </c>
      <c r="X1741" s="214" t="s">
        <v>1947</v>
      </c>
      <c r="Y1741" s="220">
        <v>5</v>
      </c>
    </row>
    <row r="1742" spans="23:25" x14ac:dyDescent="0.25">
      <c r="W1742" s="214" t="s">
        <v>1763</v>
      </c>
      <c r="X1742" s="214" t="s">
        <v>1948</v>
      </c>
      <c r="Y1742" s="220">
        <v>8</v>
      </c>
    </row>
    <row r="1743" spans="23:25" x14ac:dyDescent="0.25">
      <c r="W1743" s="214" t="s">
        <v>398</v>
      </c>
      <c r="X1743" s="214" t="s">
        <v>1949</v>
      </c>
      <c r="Y1743" s="220">
        <v>8</v>
      </c>
    </row>
    <row r="1744" spans="23:25" x14ac:dyDescent="0.25">
      <c r="W1744" s="214" t="s">
        <v>1763</v>
      </c>
      <c r="X1744" s="214" t="s">
        <v>1950</v>
      </c>
      <c r="Y1744" s="220">
        <v>8</v>
      </c>
    </row>
    <row r="1745" spans="23:25" x14ac:dyDescent="0.25">
      <c r="W1745" s="214" t="s">
        <v>274</v>
      </c>
      <c r="X1745" s="214" t="s">
        <v>1951</v>
      </c>
      <c r="Y1745" s="220">
        <v>6</v>
      </c>
    </row>
    <row r="1746" spans="23:25" x14ac:dyDescent="0.25">
      <c r="W1746" s="214" t="s">
        <v>274</v>
      </c>
      <c r="X1746" s="214" t="s">
        <v>1952</v>
      </c>
      <c r="Y1746" s="220">
        <v>3</v>
      </c>
    </row>
    <row r="1747" spans="23:25" x14ac:dyDescent="0.25">
      <c r="W1747" s="214" t="s">
        <v>1763</v>
      </c>
      <c r="X1747" s="214" t="s">
        <v>1953</v>
      </c>
      <c r="Y1747" s="220">
        <v>7</v>
      </c>
    </row>
    <row r="1748" spans="23:25" x14ac:dyDescent="0.25">
      <c r="W1748" s="214" t="s">
        <v>274</v>
      </c>
      <c r="X1748" s="214" t="s">
        <v>1954</v>
      </c>
      <c r="Y1748" s="220">
        <v>3</v>
      </c>
    </row>
    <row r="1749" spans="23:25" x14ac:dyDescent="0.25">
      <c r="W1749" s="214" t="s">
        <v>1763</v>
      </c>
      <c r="X1749" s="214" t="s">
        <v>1955</v>
      </c>
      <c r="Y1749" s="220">
        <v>8</v>
      </c>
    </row>
    <row r="1750" spans="23:25" x14ac:dyDescent="0.25">
      <c r="W1750" s="214" t="s">
        <v>274</v>
      </c>
      <c r="X1750" s="214" t="s">
        <v>1956</v>
      </c>
      <c r="Y1750" s="220">
        <v>3</v>
      </c>
    </row>
    <row r="1751" spans="23:25" x14ac:dyDescent="0.25">
      <c r="W1751" s="214" t="s">
        <v>398</v>
      </c>
      <c r="X1751" s="214" t="s">
        <v>1957</v>
      </c>
      <c r="Y1751" s="220">
        <v>8</v>
      </c>
    </row>
    <row r="1752" spans="23:25" x14ac:dyDescent="0.25">
      <c r="W1752" s="214" t="s">
        <v>398</v>
      </c>
      <c r="X1752" s="214" t="s">
        <v>1958</v>
      </c>
      <c r="Y1752" s="220">
        <v>8</v>
      </c>
    </row>
    <row r="1753" spans="23:25" x14ac:dyDescent="0.25">
      <c r="W1753" s="214" t="s">
        <v>1763</v>
      </c>
      <c r="X1753" s="214" t="s">
        <v>1959</v>
      </c>
      <c r="Y1753" s="220">
        <v>7</v>
      </c>
    </row>
    <row r="1754" spans="23:25" x14ac:dyDescent="0.25">
      <c r="W1754" s="214" t="s">
        <v>274</v>
      </c>
      <c r="X1754" s="214" t="s">
        <v>5891</v>
      </c>
      <c r="Y1754" s="220">
        <v>3</v>
      </c>
    </row>
    <row r="1755" spans="23:25" x14ac:dyDescent="0.25">
      <c r="W1755" s="214" t="s">
        <v>1763</v>
      </c>
      <c r="X1755" s="214" t="s">
        <v>1960</v>
      </c>
      <c r="Y1755" s="220">
        <v>8</v>
      </c>
    </row>
    <row r="1756" spans="23:25" x14ac:dyDescent="0.25">
      <c r="W1756" s="214" t="s">
        <v>398</v>
      </c>
      <c r="X1756" s="214" t="s">
        <v>1961</v>
      </c>
      <c r="Y1756" s="220">
        <v>8</v>
      </c>
    </row>
    <row r="1757" spans="23:25" x14ac:dyDescent="0.25">
      <c r="W1757" s="214" t="s">
        <v>1943</v>
      </c>
      <c r="X1757" s="214" t="s">
        <v>1962</v>
      </c>
      <c r="Y1757" s="220">
        <v>7</v>
      </c>
    </row>
    <row r="1758" spans="23:25" x14ac:dyDescent="0.25">
      <c r="W1758" s="214" t="s">
        <v>398</v>
      </c>
      <c r="X1758" s="214" t="s">
        <v>1963</v>
      </c>
      <c r="Y1758" s="220">
        <v>8</v>
      </c>
    </row>
    <row r="1759" spans="23:25" x14ac:dyDescent="0.25">
      <c r="W1759" s="214" t="s">
        <v>1763</v>
      </c>
      <c r="X1759" s="214" t="s">
        <v>1964</v>
      </c>
      <c r="Y1759" s="220">
        <v>8</v>
      </c>
    </row>
    <row r="1760" spans="23:25" x14ac:dyDescent="0.25">
      <c r="W1760" s="214" t="s">
        <v>1763</v>
      </c>
      <c r="X1760" s="214" t="s">
        <v>1965</v>
      </c>
      <c r="Y1760" s="220">
        <v>8</v>
      </c>
    </row>
    <row r="1761" spans="23:25" x14ac:dyDescent="0.25">
      <c r="W1761" s="214" t="s">
        <v>1763</v>
      </c>
      <c r="X1761" s="214" t="s">
        <v>1966</v>
      </c>
      <c r="Y1761" s="220">
        <v>8</v>
      </c>
    </row>
    <row r="1762" spans="23:25" x14ac:dyDescent="0.25">
      <c r="W1762" s="214" t="s">
        <v>1763</v>
      </c>
      <c r="X1762" s="214" t="s">
        <v>1967</v>
      </c>
      <c r="Y1762" s="220">
        <v>8</v>
      </c>
    </row>
    <row r="1763" spans="23:25" x14ac:dyDescent="0.25">
      <c r="W1763" s="214" t="s">
        <v>398</v>
      </c>
      <c r="X1763" s="214" t="s">
        <v>1446</v>
      </c>
      <c r="Y1763" s="220">
        <v>8</v>
      </c>
    </row>
    <row r="1764" spans="23:25" x14ac:dyDescent="0.25">
      <c r="W1764" s="214" t="s">
        <v>274</v>
      </c>
      <c r="X1764" s="214" t="s">
        <v>1968</v>
      </c>
      <c r="Y1764" s="220">
        <v>2</v>
      </c>
    </row>
    <row r="1765" spans="23:25" x14ac:dyDescent="0.25">
      <c r="W1765" s="214" t="s">
        <v>274</v>
      </c>
      <c r="X1765" s="214" t="s">
        <v>1969</v>
      </c>
      <c r="Y1765" s="220">
        <v>4</v>
      </c>
    </row>
    <row r="1766" spans="23:25" x14ac:dyDescent="0.25">
      <c r="W1766" s="214" t="s">
        <v>274</v>
      </c>
      <c r="X1766" s="214" t="s">
        <v>1689</v>
      </c>
      <c r="Y1766" s="220">
        <v>3</v>
      </c>
    </row>
    <row r="1767" spans="23:25" x14ac:dyDescent="0.25">
      <c r="W1767" s="214" t="s">
        <v>1740</v>
      </c>
      <c r="X1767" s="214" t="s">
        <v>1970</v>
      </c>
      <c r="Y1767" s="220">
        <v>6</v>
      </c>
    </row>
    <row r="1768" spans="23:25" x14ac:dyDescent="0.25">
      <c r="W1768" s="214" t="s">
        <v>239</v>
      </c>
      <c r="X1768" s="214" t="s">
        <v>1971</v>
      </c>
      <c r="Y1768" s="220">
        <v>2</v>
      </c>
    </row>
    <row r="1769" spans="23:25" x14ac:dyDescent="0.25">
      <c r="W1769" s="214" t="s">
        <v>398</v>
      </c>
      <c r="X1769" s="214" t="s">
        <v>1972</v>
      </c>
      <c r="Y1769" s="220">
        <v>8</v>
      </c>
    </row>
    <row r="1770" spans="23:25" x14ac:dyDescent="0.25">
      <c r="W1770" s="214" t="s">
        <v>398</v>
      </c>
      <c r="X1770" s="214" t="s">
        <v>1973</v>
      </c>
      <c r="Y1770" s="220">
        <v>5</v>
      </c>
    </row>
    <row r="1771" spans="23:25" x14ac:dyDescent="0.25">
      <c r="W1771" s="214" t="s">
        <v>274</v>
      </c>
      <c r="X1771" s="214" t="s">
        <v>1974</v>
      </c>
      <c r="Y1771" s="220">
        <v>3</v>
      </c>
    </row>
    <row r="1772" spans="23:25" x14ac:dyDescent="0.25">
      <c r="W1772" s="214" t="s">
        <v>274</v>
      </c>
      <c r="X1772" s="214" t="s">
        <v>1975</v>
      </c>
      <c r="Y1772" s="220">
        <v>3</v>
      </c>
    </row>
    <row r="1773" spans="23:25" x14ac:dyDescent="0.25">
      <c r="W1773" s="214" t="s">
        <v>1976</v>
      </c>
      <c r="X1773" s="214" t="s">
        <v>1977</v>
      </c>
      <c r="Y1773" s="220">
        <v>7</v>
      </c>
    </row>
    <row r="1774" spans="23:25" x14ac:dyDescent="0.25">
      <c r="W1774" s="214" t="s">
        <v>1978</v>
      </c>
      <c r="X1774" s="214" t="s">
        <v>1979</v>
      </c>
      <c r="Y1774" s="220">
        <v>6</v>
      </c>
    </row>
    <row r="1775" spans="23:25" x14ac:dyDescent="0.25">
      <c r="W1775" s="214" t="s">
        <v>1763</v>
      </c>
      <c r="X1775" s="214" t="s">
        <v>1980</v>
      </c>
      <c r="Y1775" s="220">
        <v>8</v>
      </c>
    </row>
    <row r="1776" spans="23:25" x14ac:dyDescent="0.25">
      <c r="W1776" s="214" t="s">
        <v>398</v>
      </c>
      <c r="X1776" s="214" t="s">
        <v>1981</v>
      </c>
      <c r="Y1776" s="220">
        <v>8</v>
      </c>
    </row>
    <row r="1777" spans="23:25" x14ac:dyDescent="0.25">
      <c r="W1777" s="214" t="s">
        <v>398</v>
      </c>
      <c r="X1777" s="214" t="s">
        <v>1982</v>
      </c>
      <c r="Y1777" s="220">
        <v>8</v>
      </c>
    </row>
    <row r="1778" spans="23:25" x14ac:dyDescent="0.25">
      <c r="W1778" s="214" t="s">
        <v>274</v>
      </c>
      <c r="X1778" s="214" t="s">
        <v>1983</v>
      </c>
      <c r="Y1778" s="220">
        <v>4</v>
      </c>
    </row>
    <row r="1779" spans="23:25" x14ac:dyDescent="0.25">
      <c r="W1779" s="214" t="s">
        <v>398</v>
      </c>
      <c r="X1779" s="214" t="s">
        <v>1984</v>
      </c>
      <c r="Y1779" s="220">
        <v>5</v>
      </c>
    </row>
    <row r="1780" spans="23:25" x14ac:dyDescent="0.25">
      <c r="W1780" s="214" t="s">
        <v>1740</v>
      </c>
      <c r="X1780" s="214" t="s">
        <v>1985</v>
      </c>
      <c r="Y1780" s="220">
        <v>6</v>
      </c>
    </row>
    <row r="1781" spans="23:25" x14ac:dyDescent="0.25">
      <c r="W1781" s="214" t="s">
        <v>398</v>
      </c>
      <c r="X1781" s="214" t="s">
        <v>1986</v>
      </c>
      <c r="Y1781" s="220">
        <v>5</v>
      </c>
    </row>
    <row r="1782" spans="23:25" x14ac:dyDescent="0.25">
      <c r="W1782" s="214" t="s">
        <v>1763</v>
      </c>
      <c r="X1782" s="214" t="s">
        <v>1987</v>
      </c>
      <c r="Y1782" s="220">
        <v>8</v>
      </c>
    </row>
    <row r="1783" spans="23:25" x14ac:dyDescent="0.25">
      <c r="W1783" s="214" t="s">
        <v>398</v>
      </c>
      <c r="X1783" s="214" t="s">
        <v>1988</v>
      </c>
      <c r="Y1783" s="220">
        <v>5</v>
      </c>
    </row>
    <row r="1784" spans="23:25" x14ac:dyDescent="0.25">
      <c r="W1784" s="214" t="s">
        <v>274</v>
      </c>
      <c r="X1784" s="214" t="s">
        <v>1989</v>
      </c>
      <c r="Y1784" s="220">
        <v>5</v>
      </c>
    </row>
    <row r="1785" spans="23:25" x14ac:dyDescent="0.25">
      <c r="W1785" s="214" t="s">
        <v>1763</v>
      </c>
      <c r="X1785" s="214" t="s">
        <v>1990</v>
      </c>
      <c r="Y1785" s="220">
        <v>6</v>
      </c>
    </row>
    <row r="1786" spans="23:25" x14ac:dyDescent="0.25">
      <c r="W1786" s="214" t="s">
        <v>1763</v>
      </c>
      <c r="X1786" s="214" t="s">
        <v>1991</v>
      </c>
      <c r="Y1786" s="220">
        <v>8</v>
      </c>
    </row>
    <row r="1787" spans="23:25" x14ac:dyDescent="0.25">
      <c r="W1787" s="214" t="s">
        <v>1667</v>
      </c>
      <c r="X1787" s="214" t="s">
        <v>1992</v>
      </c>
      <c r="Y1787" s="220">
        <v>8</v>
      </c>
    </row>
    <row r="1788" spans="23:25" x14ac:dyDescent="0.25">
      <c r="W1788" s="214" t="s">
        <v>1763</v>
      </c>
      <c r="X1788" s="214" t="s">
        <v>28</v>
      </c>
      <c r="Y1788" s="220">
        <v>8</v>
      </c>
    </row>
    <row r="1789" spans="23:25" x14ac:dyDescent="0.25">
      <c r="W1789" s="214" t="s">
        <v>398</v>
      </c>
      <c r="X1789" s="214" t="s">
        <v>1993</v>
      </c>
      <c r="Y1789" s="220">
        <v>8</v>
      </c>
    </row>
    <row r="1790" spans="23:25" x14ac:dyDescent="0.25">
      <c r="W1790" s="214" t="s">
        <v>398</v>
      </c>
      <c r="X1790" s="214" t="s">
        <v>1994</v>
      </c>
      <c r="Y1790" s="220">
        <v>8</v>
      </c>
    </row>
    <row r="1791" spans="23:25" x14ac:dyDescent="0.25">
      <c r="W1791" s="214" t="s">
        <v>398</v>
      </c>
      <c r="X1791" s="214" t="s">
        <v>1995</v>
      </c>
      <c r="Y1791" s="220">
        <v>8</v>
      </c>
    </row>
    <row r="1792" spans="23:25" x14ac:dyDescent="0.25">
      <c r="W1792" s="214" t="s">
        <v>274</v>
      </c>
      <c r="X1792" s="214" t="s">
        <v>1996</v>
      </c>
      <c r="Y1792" s="220">
        <v>2</v>
      </c>
    </row>
    <row r="1793" spans="23:25" x14ac:dyDescent="0.25">
      <c r="W1793" s="214" t="s">
        <v>398</v>
      </c>
      <c r="X1793" s="214" t="s">
        <v>1997</v>
      </c>
      <c r="Y1793" s="220">
        <v>8</v>
      </c>
    </row>
    <row r="1794" spans="23:25" x14ac:dyDescent="0.25">
      <c r="W1794" s="214" t="s">
        <v>398</v>
      </c>
      <c r="X1794" s="214" t="s">
        <v>1998</v>
      </c>
      <c r="Y1794" s="220">
        <v>8</v>
      </c>
    </row>
    <row r="1795" spans="23:25" x14ac:dyDescent="0.25">
      <c r="W1795" s="214" t="s">
        <v>1763</v>
      </c>
      <c r="X1795" s="214" t="s">
        <v>1999</v>
      </c>
      <c r="Y1795" s="220">
        <v>7</v>
      </c>
    </row>
    <row r="1796" spans="23:25" x14ac:dyDescent="0.25">
      <c r="W1796" s="214" t="s">
        <v>1976</v>
      </c>
      <c r="X1796" s="214" t="s">
        <v>2000</v>
      </c>
      <c r="Y1796" s="220">
        <v>7</v>
      </c>
    </row>
    <row r="1797" spans="23:25" x14ac:dyDescent="0.25">
      <c r="W1797" s="214" t="s">
        <v>398</v>
      </c>
      <c r="X1797" s="214" t="s">
        <v>2001</v>
      </c>
      <c r="Y1797" s="220">
        <v>8</v>
      </c>
    </row>
    <row r="1798" spans="23:25" x14ac:dyDescent="0.25">
      <c r="W1798" s="214" t="s">
        <v>398</v>
      </c>
      <c r="X1798" s="214" t="s">
        <v>2002</v>
      </c>
      <c r="Y1798" s="220">
        <v>8</v>
      </c>
    </row>
    <row r="1799" spans="23:25" x14ac:dyDescent="0.25">
      <c r="W1799" s="214" t="s">
        <v>274</v>
      </c>
      <c r="X1799" s="214" t="s">
        <v>2003</v>
      </c>
      <c r="Y1799" s="220">
        <v>3</v>
      </c>
    </row>
    <row r="1800" spans="23:25" x14ac:dyDescent="0.25">
      <c r="W1800" s="214" t="s">
        <v>1763</v>
      </c>
      <c r="X1800" s="214" t="s">
        <v>2004</v>
      </c>
      <c r="Y1800" s="220">
        <v>8</v>
      </c>
    </row>
    <row r="1801" spans="23:25" x14ac:dyDescent="0.25">
      <c r="W1801" s="214" t="s">
        <v>1763</v>
      </c>
      <c r="X1801" s="214" t="s">
        <v>2005</v>
      </c>
      <c r="Y1801" s="220">
        <v>6</v>
      </c>
    </row>
    <row r="1802" spans="23:25" x14ac:dyDescent="0.25">
      <c r="W1802" s="214" t="s">
        <v>1763</v>
      </c>
      <c r="X1802" s="214" t="s">
        <v>1165</v>
      </c>
      <c r="Y1802" s="220">
        <v>8</v>
      </c>
    </row>
    <row r="1803" spans="23:25" x14ac:dyDescent="0.25">
      <c r="W1803" s="214" t="s">
        <v>1763</v>
      </c>
      <c r="X1803" s="214" t="s">
        <v>2006</v>
      </c>
      <c r="Y1803" s="220">
        <v>8</v>
      </c>
    </row>
    <row r="1804" spans="23:25" x14ac:dyDescent="0.25">
      <c r="W1804" s="214" t="s">
        <v>398</v>
      </c>
      <c r="X1804" s="214" t="s">
        <v>2007</v>
      </c>
      <c r="Y1804" s="220">
        <v>7</v>
      </c>
    </row>
    <row r="1805" spans="23:25" x14ac:dyDescent="0.25">
      <c r="W1805" s="214" t="s">
        <v>398</v>
      </c>
      <c r="X1805" s="214" t="s">
        <v>2008</v>
      </c>
      <c r="Y1805" s="220">
        <v>8</v>
      </c>
    </row>
    <row r="1806" spans="23:25" x14ac:dyDescent="0.25">
      <c r="W1806" s="214" t="s">
        <v>398</v>
      </c>
      <c r="X1806" s="214" t="s">
        <v>2009</v>
      </c>
      <c r="Y1806" s="220">
        <v>8</v>
      </c>
    </row>
    <row r="1807" spans="23:25" x14ac:dyDescent="0.25">
      <c r="W1807" s="214" t="s">
        <v>1763</v>
      </c>
      <c r="X1807" s="214" t="s">
        <v>2010</v>
      </c>
      <c r="Y1807" s="220">
        <v>8</v>
      </c>
    </row>
    <row r="1808" spans="23:25" x14ac:dyDescent="0.25">
      <c r="W1808" s="214" t="s">
        <v>24</v>
      </c>
      <c r="X1808" s="214" t="s">
        <v>23</v>
      </c>
      <c r="Y1808" s="220">
        <v>4</v>
      </c>
    </row>
    <row r="1809" spans="23:25" x14ac:dyDescent="0.25">
      <c r="W1809" s="214" t="s">
        <v>398</v>
      </c>
      <c r="X1809" s="214" t="s">
        <v>2011</v>
      </c>
      <c r="Y1809" s="220">
        <v>8</v>
      </c>
    </row>
    <row r="1810" spans="23:25" x14ac:dyDescent="0.25">
      <c r="W1810" s="214" t="s">
        <v>1763</v>
      </c>
      <c r="X1810" s="214" t="s">
        <v>2012</v>
      </c>
      <c r="Y1810" s="220">
        <v>8</v>
      </c>
    </row>
    <row r="1811" spans="23:25" x14ac:dyDescent="0.25">
      <c r="W1811" s="214" t="s">
        <v>398</v>
      </c>
      <c r="X1811" s="214" t="s">
        <v>2013</v>
      </c>
      <c r="Y1811" s="220">
        <v>8</v>
      </c>
    </row>
    <row r="1812" spans="23:25" x14ac:dyDescent="0.25">
      <c r="W1812" s="214" t="s">
        <v>1763</v>
      </c>
      <c r="X1812" s="214" t="s">
        <v>2014</v>
      </c>
      <c r="Y1812" s="220">
        <v>8</v>
      </c>
    </row>
    <row r="1813" spans="23:25" x14ac:dyDescent="0.25">
      <c r="W1813" s="214" t="s">
        <v>274</v>
      </c>
      <c r="X1813" s="214" t="s">
        <v>2015</v>
      </c>
      <c r="Y1813" s="220">
        <v>3</v>
      </c>
    </row>
    <row r="1814" spans="23:25" x14ac:dyDescent="0.25">
      <c r="W1814" s="214" t="s">
        <v>274</v>
      </c>
      <c r="X1814" s="214" t="s">
        <v>2016</v>
      </c>
      <c r="Y1814" s="220">
        <v>2</v>
      </c>
    </row>
    <row r="1815" spans="23:25" x14ac:dyDescent="0.25">
      <c r="W1815" s="214" t="s">
        <v>274</v>
      </c>
      <c r="X1815" s="214" t="s">
        <v>2017</v>
      </c>
      <c r="Y1815" s="220">
        <v>3</v>
      </c>
    </row>
    <row r="1816" spans="23:25" x14ac:dyDescent="0.25">
      <c r="W1816" s="214" t="s">
        <v>1763</v>
      </c>
      <c r="X1816" s="214" t="s">
        <v>2018</v>
      </c>
      <c r="Y1816" s="220">
        <v>8</v>
      </c>
    </row>
    <row r="1817" spans="23:25" x14ac:dyDescent="0.25">
      <c r="W1817" s="214" t="s">
        <v>398</v>
      </c>
      <c r="X1817" s="214" t="s">
        <v>2019</v>
      </c>
      <c r="Y1817" s="220">
        <v>8</v>
      </c>
    </row>
    <row r="1818" spans="23:25" x14ac:dyDescent="0.25">
      <c r="W1818" s="214" t="s">
        <v>1763</v>
      </c>
      <c r="X1818" s="214" t="s">
        <v>2020</v>
      </c>
      <c r="Y1818" s="220">
        <v>8</v>
      </c>
    </row>
    <row r="1819" spans="23:25" x14ac:dyDescent="0.25">
      <c r="W1819" s="214" t="s">
        <v>274</v>
      </c>
      <c r="X1819" s="214" t="s">
        <v>2021</v>
      </c>
      <c r="Y1819" s="220">
        <v>2</v>
      </c>
    </row>
    <row r="1820" spans="23:25" x14ac:dyDescent="0.25">
      <c r="W1820" s="214" t="s">
        <v>274</v>
      </c>
      <c r="X1820" s="214" t="s">
        <v>2022</v>
      </c>
      <c r="Y1820" s="220">
        <v>3</v>
      </c>
    </row>
    <row r="1821" spans="23:25" x14ac:dyDescent="0.25">
      <c r="W1821" s="214" t="s">
        <v>1716</v>
      </c>
      <c r="X1821" s="214" t="s">
        <v>2023</v>
      </c>
      <c r="Y1821" s="220">
        <v>5</v>
      </c>
    </row>
    <row r="1822" spans="23:25" x14ac:dyDescent="0.25">
      <c r="W1822" s="214" t="s">
        <v>242</v>
      </c>
      <c r="X1822" s="214" t="s">
        <v>2024</v>
      </c>
      <c r="Y1822" s="220">
        <v>8</v>
      </c>
    </row>
    <row r="1823" spans="23:25" x14ac:dyDescent="0.25">
      <c r="W1823" s="214" t="s">
        <v>398</v>
      </c>
      <c r="X1823" s="214" t="s">
        <v>2025</v>
      </c>
      <c r="Y1823" s="220">
        <v>8</v>
      </c>
    </row>
    <row r="1824" spans="23:25" x14ac:dyDescent="0.25">
      <c r="W1824" s="214" t="s">
        <v>274</v>
      </c>
      <c r="X1824" s="214" t="s">
        <v>2026</v>
      </c>
      <c r="Y1824" s="220">
        <v>3</v>
      </c>
    </row>
    <row r="1825" spans="23:25" x14ac:dyDescent="0.25">
      <c r="W1825" s="214" t="s">
        <v>1763</v>
      </c>
      <c r="X1825" s="214" t="s">
        <v>261</v>
      </c>
      <c r="Y1825" s="220">
        <v>8</v>
      </c>
    </row>
    <row r="1826" spans="23:25" x14ac:dyDescent="0.25">
      <c r="W1826" s="214" t="s">
        <v>1763</v>
      </c>
      <c r="X1826" s="214" t="s">
        <v>2027</v>
      </c>
      <c r="Y1826" s="220">
        <v>8</v>
      </c>
    </row>
    <row r="1827" spans="23:25" x14ac:dyDescent="0.25">
      <c r="W1827" s="214" t="s">
        <v>1763</v>
      </c>
      <c r="X1827" s="214" t="s">
        <v>2028</v>
      </c>
      <c r="Y1827" s="220">
        <v>8</v>
      </c>
    </row>
    <row r="1828" spans="23:25" x14ac:dyDescent="0.25">
      <c r="W1828" s="214" t="s">
        <v>274</v>
      </c>
      <c r="X1828" s="214" t="s">
        <v>2029</v>
      </c>
      <c r="Y1828" s="220">
        <v>6</v>
      </c>
    </row>
    <row r="1829" spans="23:25" x14ac:dyDescent="0.25">
      <c r="W1829" s="214" t="s">
        <v>242</v>
      </c>
      <c r="X1829" s="214" t="s">
        <v>2030</v>
      </c>
      <c r="Y1829" s="220">
        <v>8</v>
      </c>
    </row>
    <row r="1830" spans="23:25" x14ac:dyDescent="0.25">
      <c r="W1830" s="214" t="s">
        <v>1763</v>
      </c>
      <c r="X1830" s="214" t="s">
        <v>2031</v>
      </c>
      <c r="Y1830" s="220">
        <v>8</v>
      </c>
    </row>
    <row r="1831" spans="23:25" x14ac:dyDescent="0.25">
      <c r="W1831" s="214" t="s">
        <v>242</v>
      </c>
      <c r="X1831" s="214" t="s">
        <v>2032</v>
      </c>
      <c r="Y1831" s="220">
        <v>8</v>
      </c>
    </row>
    <row r="1832" spans="23:25" x14ac:dyDescent="0.25">
      <c r="W1832" s="214" t="s">
        <v>258</v>
      </c>
      <c r="X1832" s="214" t="s">
        <v>2033</v>
      </c>
      <c r="Y1832" s="220">
        <v>4</v>
      </c>
    </row>
    <row r="1833" spans="23:25" x14ac:dyDescent="0.25">
      <c r="W1833" s="214" t="s">
        <v>398</v>
      </c>
      <c r="X1833" s="214" t="s">
        <v>2034</v>
      </c>
      <c r="Y1833" s="220">
        <v>5</v>
      </c>
    </row>
    <row r="1834" spans="23:25" x14ac:dyDescent="0.25">
      <c r="W1834" s="214" t="s">
        <v>398</v>
      </c>
      <c r="X1834" s="214" t="s">
        <v>2035</v>
      </c>
      <c r="Y1834" s="220">
        <v>5</v>
      </c>
    </row>
    <row r="1835" spans="23:25" x14ac:dyDescent="0.25">
      <c r="W1835" s="214" t="s">
        <v>1763</v>
      </c>
      <c r="X1835" s="214" t="s">
        <v>2036</v>
      </c>
      <c r="Y1835" s="220">
        <v>8</v>
      </c>
    </row>
    <row r="1836" spans="23:25" x14ac:dyDescent="0.25">
      <c r="W1836" s="214" t="s">
        <v>1943</v>
      </c>
      <c r="X1836" s="214" t="s">
        <v>2037</v>
      </c>
      <c r="Y1836" s="220">
        <v>7</v>
      </c>
    </row>
    <row r="1837" spans="23:25" x14ac:dyDescent="0.25">
      <c r="W1837" s="214" t="s">
        <v>398</v>
      </c>
      <c r="X1837" s="214" t="s">
        <v>2038</v>
      </c>
      <c r="Y1837" s="220">
        <v>8</v>
      </c>
    </row>
    <row r="1838" spans="23:25" x14ac:dyDescent="0.25">
      <c r="W1838" s="214" t="s">
        <v>1763</v>
      </c>
      <c r="X1838" s="214" t="s">
        <v>2039</v>
      </c>
      <c r="Y1838" s="220">
        <v>8</v>
      </c>
    </row>
    <row r="1839" spans="23:25" x14ac:dyDescent="0.25">
      <c r="W1839" s="214" t="s">
        <v>274</v>
      </c>
      <c r="X1839" s="214" t="s">
        <v>2040</v>
      </c>
      <c r="Y1839" s="220">
        <v>2</v>
      </c>
    </row>
    <row r="1840" spans="23:25" x14ac:dyDescent="0.25">
      <c r="W1840" s="214" t="s">
        <v>1763</v>
      </c>
      <c r="X1840" s="214" t="s">
        <v>2041</v>
      </c>
      <c r="Y1840" s="220">
        <v>8</v>
      </c>
    </row>
    <row r="1841" spans="23:25" x14ac:dyDescent="0.25">
      <c r="W1841" s="214" t="s">
        <v>1667</v>
      </c>
      <c r="X1841" s="214" t="s">
        <v>2042</v>
      </c>
      <c r="Y1841" s="220">
        <v>8</v>
      </c>
    </row>
    <row r="1842" spans="23:25" x14ac:dyDescent="0.25">
      <c r="W1842" s="214" t="s">
        <v>1667</v>
      </c>
      <c r="X1842" s="214" t="s">
        <v>2043</v>
      </c>
      <c r="Y1842" s="220">
        <v>8</v>
      </c>
    </row>
    <row r="1843" spans="23:25" x14ac:dyDescent="0.25">
      <c r="W1843" s="214" t="s">
        <v>1763</v>
      </c>
      <c r="X1843" s="214" t="s">
        <v>2044</v>
      </c>
      <c r="Y1843" s="220">
        <v>6</v>
      </c>
    </row>
    <row r="1844" spans="23:25" x14ac:dyDescent="0.25">
      <c r="W1844" s="214" t="s">
        <v>274</v>
      </c>
      <c r="X1844" s="214" t="s">
        <v>2045</v>
      </c>
      <c r="Y1844" s="220">
        <v>3</v>
      </c>
    </row>
    <row r="1845" spans="23:25" x14ac:dyDescent="0.25">
      <c r="W1845" s="214" t="s">
        <v>1763</v>
      </c>
      <c r="X1845" s="214" t="s">
        <v>2046</v>
      </c>
      <c r="Y1845" s="220">
        <v>8</v>
      </c>
    </row>
    <row r="1846" spans="23:25" x14ac:dyDescent="0.25">
      <c r="W1846" s="214" t="s">
        <v>1763</v>
      </c>
      <c r="X1846" s="214" t="s">
        <v>2047</v>
      </c>
      <c r="Y1846" s="220">
        <v>8</v>
      </c>
    </row>
    <row r="1847" spans="23:25" x14ac:dyDescent="0.25">
      <c r="W1847" s="214" t="s">
        <v>1763</v>
      </c>
      <c r="X1847" s="214" t="s">
        <v>2048</v>
      </c>
      <c r="Y1847" s="220">
        <v>8</v>
      </c>
    </row>
    <row r="1848" spans="23:25" x14ac:dyDescent="0.25">
      <c r="W1848" s="214" t="s">
        <v>1763</v>
      </c>
      <c r="X1848" s="214" t="s">
        <v>2049</v>
      </c>
      <c r="Y1848" s="220">
        <v>8</v>
      </c>
    </row>
    <row r="1849" spans="23:25" x14ac:dyDescent="0.25">
      <c r="W1849" s="214" t="s">
        <v>1716</v>
      </c>
      <c r="X1849" s="214" t="s">
        <v>2050</v>
      </c>
      <c r="Y1849" s="220">
        <v>8</v>
      </c>
    </row>
    <row r="1850" spans="23:25" x14ac:dyDescent="0.25">
      <c r="W1850" s="214" t="s">
        <v>398</v>
      </c>
      <c r="X1850" s="214" t="s">
        <v>2051</v>
      </c>
      <c r="Y1850" s="220">
        <v>8</v>
      </c>
    </row>
    <row r="1851" spans="23:25" x14ac:dyDescent="0.25">
      <c r="W1851" s="214" t="s">
        <v>1667</v>
      </c>
      <c r="X1851" s="214" t="s">
        <v>2052</v>
      </c>
      <c r="Y1851" s="220">
        <v>7</v>
      </c>
    </row>
    <row r="1852" spans="23:25" x14ac:dyDescent="0.25">
      <c r="W1852" s="214" t="s">
        <v>239</v>
      </c>
      <c r="X1852" s="214" t="s">
        <v>2053</v>
      </c>
      <c r="Y1852" s="220">
        <v>3</v>
      </c>
    </row>
    <row r="1853" spans="23:25" x14ac:dyDescent="0.25">
      <c r="W1853" s="214" t="s">
        <v>398</v>
      </c>
      <c r="X1853" s="214" t="s">
        <v>2054</v>
      </c>
      <c r="Y1853" s="220">
        <v>5</v>
      </c>
    </row>
    <row r="1854" spans="23:25" x14ac:dyDescent="0.25">
      <c r="W1854" s="214" t="s">
        <v>398</v>
      </c>
      <c r="X1854" s="214" t="s">
        <v>2055</v>
      </c>
      <c r="Y1854" s="220">
        <v>8</v>
      </c>
    </row>
    <row r="1855" spans="23:25" x14ac:dyDescent="0.25">
      <c r="W1855" s="214" t="s">
        <v>1763</v>
      </c>
      <c r="X1855" s="214" t="s">
        <v>2056</v>
      </c>
      <c r="Y1855" s="220">
        <v>8</v>
      </c>
    </row>
    <row r="1856" spans="23:25" x14ac:dyDescent="0.25">
      <c r="W1856" s="214" t="s">
        <v>1763</v>
      </c>
      <c r="X1856" s="214" t="s">
        <v>2057</v>
      </c>
      <c r="Y1856" s="220">
        <v>8</v>
      </c>
    </row>
    <row r="1857" spans="23:25" x14ac:dyDescent="0.25">
      <c r="W1857" s="214" t="s">
        <v>398</v>
      </c>
      <c r="X1857" s="214" t="s">
        <v>2058</v>
      </c>
      <c r="Y1857" s="220">
        <v>8</v>
      </c>
    </row>
    <row r="1858" spans="23:25" x14ac:dyDescent="0.25">
      <c r="W1858" s="214" t="s">
        <v>1763</v>
      </c>
      <c r="X1858" s="214" t="s">
        <v>2059</v>
      </c>
      <c r="Y1858" s="220">
        <v>8</v>
      </c>
    </row>
    <row r="1859" spans="23:25" x14ac:dyDescent="0.25">
      <c r="W1859" s="214" t="s">
        <v>398</v>
      </c>
      <c r="X1859" s="214" t="s">
        <v>2060</v>
      </c>
      <c r="Y1859" s="220">
        <v>8</v>
      </c>
    </row>
    <row r="1860" spans="23:25" x14ac:dyDescent="0.25">
      <c r="W1860" s="214" t="s">
        <v>1763</v>
      </c>
      <c r="X1860" s="214" t="s">
        <v>2061</v>
      </c>
      <c r="Y1860" s="220">
        <v>5</v>
      </c>
    </row>
    <row r="1861" spans="23:25" x14ac:dyDescent="0.25">
      <c r="W1861" s="214" t="s">
        <v>398</v>
      </c>
      <c r="X1861" s="214" t="s">
        <v>2062</v>
      </c>
      <c r="Y1861" s="220">
        <v>8</v>
      </c>
    </row>
    <row r="1862" spans="23:25" x14ac:dyDescent="0.25">
      <c r="W1862" s="214" t="s">
        <v>1763</v>
      </c>
      <c r="X1862" s="214" t="s">
        <v>2063</v>
      </c>
      <c r="Y1862" s="220">
        <v>8</v>
      </c>
    </row>
    <row r="1863" spans="23:25" x14ac:dyDescent="0.25">
      <c r="W1863" s="214" t="s">
        <v>398</v>
      </c>
      <c r="X1863" s="214" t="s">
        <v>2064</v>
      </c>
      <c r="Y1863" s="220">
        <v>8</v>
      </c>
    </row>
    <row r="1864" spans="23:25" x14ac:dyDescent="0.25">
      <c r="W1864" s="214" t="s">
        <v>398</v>
      </c>
      <c r="X1864" s="214" t="s">
        <v>2065</v>
      </c>
      <c r="Y1864" s="220">
        <v>8</v>
      </c>
    </row>
    <row r="1865" spans="23:25" x14ac:dyDescent="0.25">
      <c r="W1865" s="214" t="s">
        <v>1763</v>
      </c>
      <c r="X1865" s="214" t="s">
        <v>2066</v>
      </c>
      <c r="Y1865" s="220">
        <v>8</v>
      </c>
    </row>
    <row r="1866" spans="23:25" x14ac:dyDescent="0.25">
      <c r="W1866" s="214" t="s">
        <v>274</v>
      </c>
      <c r="X1866" s="214" t="s">
        <v>2067</v>
      </c>
      <c r="Y1866" s="220">
        <v>6</v>
      </c>
    </row>
    <row r="1867" spans="23:25" x14ac:dyDescent="0.25">
      <c r="W1867" s="214" t="s">
        <v>1763</v>
      </c>
      <c r="X1867" s="214" t="s">
        <v>1791</v>
      </c>
      <c r="Y1867" s="220">
        <v>8</v>
      </c>
    </row>
    <row r="1868" spans="23:25" x14ac:dyDescent="0.25">
      <c r="W1868" s="214" t="s">
        <v>274</v>
      </c>
      <c r="X1868" s="214" t="s">
        <v>2068</v>
      </c>
      <c r="Y1868" s="220">
        <v>2</v>
      </c>
    </row>
    <row r="1869" spans="23:25" x14ac:dyDescent="0.25">
      <c r="W1869" s="214" t="s">
        <v>398</v>
      </c>
      <c r="X1869" s="214" t="s">
        <v>2069</v>
      </c>
      <c r="Y1869" s="220">
        <v>8</v>
      </c>
    </row>
    <row r="1870" spans="23:25" x14ac:dyDescent="0.25">
      <c r="W1870" s="214" t="s">
        <v>398</v>
      </c>
      <c r="X1870" s="214" t="s">
        <v>2070</v>
      </c>
      <c r="Y1870" s="220">
        <v>8</v>
      </c>
    </row>
    <row r="1871" spans="23:25" x14ac:dyDescent="0.25">
      <c r="W1871" s="214" t="s">
        <v>1763</v>
      </c>
      <c r="X1871" s="214" t="s">
        <v>2071</v>
      </c>
      <c r="Y1871" s="220">
        <v>8</v>
      </c>
    </row>
    <row r="1872" spans="23:25" x14ac:dyDescent="0.25">
      <c r="W1872" s="214" t="s">
        <v>274</v>
      </c>
      <c r="X1872" s="214" t="s">
        <v>2072</v>
      </c>
      <c r="Y1872" s="220">
        <v>3</v>
      </c>
    </row>
    <row r="1873" spans="23:25" x14ac:dyDescent="0.25">
      <c r="W1873" s="214" t="s">
        <v>1763</v>
      </c>
      <c r="X1873" s="214" t="s">
        <v>2073</v>
      </c>
      <c r="Y1873" s="220">
        <v>8</v>
      </c>
    </row>
    <row r="1874" spans="23:25" x14ac:dyDescent="0.25">
      <c r="W1874" s="214" t="s">
        <v>398</v>
      </c>
      <c r="X1874" s="214" t="s">
        <v>2074</v>
      </c>
      <c r="Y1874" s="220">
        <v>8</v>
      </c>
    </row>
    <row r="1875" spans="23:25" x14ac:dyDescent="0.25">
      <c r="W1875" s="214" t="s">
        <v>398</v>
      </c>
      <c r="X1875" s="214" t="s">
        <v>2075</v>
      </c>
      <c r="Y1875" s="220">
        <v>8</v>
      </c>
    </row>
    <row r="1876" spans="23:25" x14ac:dyDescent="0.25">
      <c r="W1876" s="214" t="s">
        <v>1763</v>
      </c>
      <c r="X1876" s="214" t="s">
        <v>2076</v>
      </c>
      <c r="Y1876" s="220">
        <v>8</v>
      </c>
    </row>
    <row r="1877" spans="23:25" x14ac:dyDescent="0.25">
      <c r="W1877" s="214" t="s">
        <v>274</v>
      </c>
      <c r="X1877" s="214" t="s">
        <v>2077</v>
      </c>
      <c r="Y1877" s="220">
        <v>6</v>
      </c>
    </row>
    <row r="1878" spans="23:25" x14ac:dyDescent="0.25">
      <c r="W1878" s="214" t="s">
        <v>398</v>
      </c>
      <c r="X1878" s="214" t="s">
        <v>2078</v>
      </c>
      <c r="Y1878" s="220">
        <v>8</v>
      </c>
    </row>
    <row r="1879" spans="23:25" x14ac:dyDescent="0.25">
      <c r="W1879" s="214" t="s">
        <v>242</v>
      </c>
      <c r="X1879" s="214" t="s">
        <v>2079</v>
      </c>
      <c r="Y1879" s="220">
        <v>6</v>
      </c>
    </row>
    <row r="1880" spans="23:25" x14ac:dyDescent="0.25">
      <c r="W1880" s="214" t="s">
        <v>398</v>
      </c>
      <c r="X1880" s="214" t="s">
        <v>2080</v>
      </c>
      <c r="Y1880" s="220">
        <v>8</v>
      </c>
    </row>
    <row r="1881" spans="23:25" x14ac:dyDescent="0.25">
      <c r="W1881" s="214" t="s">
        <v>1763</v>
      </c>
      <c r="X1881" s="214" t="s">
        <v>2081</v>
      </c>
      <c r="Y1881" s="220">
        <v>8</v>
      </c>
    </row>
    <row r="1882" spans="23:25" x14ac:dyDescent="0.25">
      <c r="W1882" s="214" t="s">
        <v>274</v>
      </c>
      <c r="X1882" s="214" t="s">
        <v>2082</v>
      </c>
      <c r="Y1882" s="220">
        <v>3</v>
      </c>
    </row>
    <row r="1883" spans="23:25" x14ac:dyDescent="0.25">
      <c r="W1883" s="214" t="s">
        <v>1740</v>
      </c>
      <c r="X1883" s="214" t="s">
        <v>2083</v>
      </c>
      <c r="Y1883" s="220">
        <v>6</v>
      </c>
    </row>
    <row r="1884" spans="23:25" x14ac:dyDescent="0.25">
      <c r="W1884" s="214" t="s">
        <v>1740</v>
      </c>
      <c r="X1884" s="214" t="s">
        <v>2084</v>
      </c>
      <c r="Y1884" s="220">
        <v>6</v>
      </c>
    </row>
    <row r="1885" spans="23:25" x14ac:dyDescent="0.25">
      <c r="W1885" s="214" t="s">
        <v>1763</v>
      </c>
      <c r="X1885" s="214" t="s">
        <v>2085</v>
      </c>
      <c r="Y1885" s="220">
        <v>8</v>
      </c>
    </row>
    <row r="1886" spans="23:25" x14ac:dyDescent="0.25">
      <c r="W1886" s="214" t="s">
        <v>398</v>
      </c>
      <c r="X1886" s="214" t="s">
        <v>2086</v>
      </c>
      <c r="Y1886" s="220">
        <v>8</v>
      </c>
    </row>
    <row r="1887" spans="23:25" x14ac:dyDescent="0.25">
      <c r="W1887" s="214" t="s">
        <v>1763</v>
      </c>
      <c r="X1887" s="214" t="s">
        <v>2087</v>
      </c>
      <c r="Y1887" s="220">
        <v>8</v>
      </c>
    </row>
    <row r="1888" spans="23:25" x14ac:dyDescent="0.25">
      <c r="W1888" s="214" t="s">
        <v>1763</v>
      </c>
      <c r="X1888" s="214" t="s">
        <v>2088</v>
      </c>
      <c r="Y1888" s="220">
        <v>8</v>
      </c>
    </row>
    <row r="1889" spans="23:25" x14ac:dyDescent="0.25">
      <c r="W1889" s="214" t="s">
        <v>398</v>
      </c>
      <c r="X1889" s="214" t="s">
        <v>2089</v>
      </c>
      <c r="Y1889" s="220">
        <v>8</v>
      </c>
    </row>
    <row r="1890" spans="23:25" x14ac:dyDescent="0.25">
      <c r="W1890" s="214" t="s">
        <v>1763</v>
      </c>
      <c r="X1890" s="214" t="s">
        <v>2090</v>
      </c>
      <c r="Y1890" s="220">
        <v>8</v>
      </c>
    </row>
    <row r="1891" spans="23:25" x14ac:dyDescent="0.25">
      <c r="W1891" s="214" t="s">
        <v>1763</v>
      </c>
      <c r="X1891" s="214" t="s">
        <v>2091</v>
      </c>
      <c r="Y1891" s="220">
        <v>8</v>
      </c>
    </row>
    <row r="1892" spans="23:25" x14ac:dyDescent="0.25">
      <c r="W1892" s="214" t="s">
        <v>1763</v>
      </c>
      <c r="X1892" s="214" t="s">
        <v>2092</v>
      </c>
      <c r="Y1892" s="220">
        <v>8</v>
      </c>
    </row>
    <row r="1893" spans="23:25" x14ac:dyDescent="0.25">
      <c r="W1893" s="214" t="s">
        <v>1763</v>
      </c>
      <c r="X1893" s="214" t="s">
        <v>2093</v>
      </c>
      <c r="Y1893" s="220">
        <v>8</v>
      </c>
    </row>
    <row r="1894" spans="23:25" x14ac:dyDescent="0.25">
      <c r="W1894" s="214" t="s">
        <v>1763</v>
      </c>
      <c r="X1894" s="214" t="s">
        <v>2094</v>
      </c>
      <c r="Y1894" s="220">
        <v>5</v>
      </c>
    </row>
    <row r="1895" spans="23:25" x14ac:dyDescent="0.25">
      <c r="W1895" s="214" t="s">
        <v>398</v>
      </c>
      <c r="X1895" s="214" t="s">
        <v>2053</v>
      </c>
      <c r="Y1895" s="220">
        <v>8</v>
      </c>
    </row>
    <row r="1896" spans="23:25" x14ac:dyDescent="0.25">
      <c r="W1896" s="214" t="s">
        <v>274</v>
      </c>
      <c r="X1896" s="214" t="s">
        <v>2095</v>
      </c>
      <c r="Y1896" s="220">
        <v>3</v>
      </c>
    </row>
    <row r="1897" spans="23:25" x14ac:dyDescent="0.25">
      <c r="W1897" s="214" t="s">
        <v>1943</v>
      </c>
      <c r="X1897" s="214" t="s">
        <v>2096</v>
      </c>
      <c r="Y1897" s="220">
        <v>7</v>
      </c>
    </row>
    <row r="1898" spans="23:25" x14ac:dyDescent="0.25">
      <c r="W1898" s="214" t="s">
        <v>1943</v>
      </c>
      <c r="X1898" s="214" t="s">
        <v>2097</v>
      </c>
      <c r="Y1898" s="220">
        <v>7</v>
      </c>
    </row>
    <row r="1899" spans="23:25" x14ac:dyDescent="0.25">
      <c r="W1899" s="214" t="s">
        <v>1763</v>
      </c>
      <c r="X1899" s="214" t="s">
        <v>2098</v>
      </c>
      <c r="Y1899" s="220">
        <v>8</v>
      </c>
    </row>
    <row r="1900" spans="23:25" x14ac:dyDescent="0.25">
      <c r="W1900" s="214" t="s">
        <v>1763</v>
      </c>
      <c r="X1900" s="214" t="s">
        <v>1391</v>
      </c>
      <c r="Y1900" s="220">
        <v>8</v>
      </c>
    </row>
    <row r="1901" spans="23:25" x14ac:dyDescent="0.25">
      <c r="W1901" s="214" t="s">
        <v>1763</v>
      </c>
      <c r="X1901" s="214" t="s">
        <v>2099</v>
      </c>
      <c r="Y1901" s="220">
        <v>8</v>
      </c>
    </row>
    <row r="1902" spans="23:25" x14ac:dyDescent="0.25">
      <c r="W1902" s="214" t="s">
        <v>1763</v>
      </c>
      <c r="X1902" s="214" t="s">
        <v>2100</v>
      </c>
      <c r="Y1902" s="220">
        <v>8</v>
      </c>
    </row>
    <row r="1903" spans="23:25" x14ac:dyDescent="0.25">
      <c r="W1903" s="214" t="s">
        <v>398</v>
      </c>
      <c r="X1903" s="214" t="s">
        <v>2101</v>
      </c>
      <c r="Y1903" s="220">
        <v>5</v>
      </c>
    </row>
    <row r="1904" spans="23:25" x14ac:dyDescent="0.25">
      <c r="W1904" s="214" t="s">
        <v>398</v>
      </c>
      <c r="X1904" s="214" t="s">
        <v>2102</v>
      </c>
      <c r="Y1904" s="220">
        <v>5</v>
      </c>
    </row>
    <row r="1905" spans="23:25" x14ac:dyDescent="0.25">
      <c r="W1905" s="214" t="s">
        <v>398</v>
      </c>
      <c r="X1905" s="214" t="s">
        <v>2103</v>
      </c>
      <c r="Y1905" s="220">
        <v>8</v>
      </c>
    </row>
    <row r="1906" spans="23:25" x14ac:dyDescent="0.25">
      <c r="W1906" s="214" t="s">
        <v>1763</v>
      </c>
      <c r="X1906" s="214" t="s">
        <v>2104</v>
      </c>
      <c r="Y1906" s="220">
        <v>8</v>
      </c>
    </row>
    <row r="1907" spans="23:25" x14ac:dyDescent="0.25">
      <c r="W1907" s="214" t="s">
        <v>1763</v>
      </c>
      <c r="X1907" s="214" t="s">
        <v>2105</v>
      </c>
      <c r="Y1907" s="220">
        <v>8</v>
      </c>
    </row>
    <row r="1908" spans="23:25" x14ac:dyDescent="0.25">
      <c r="W1908" s="214" t="s">
        <v>398</v>
      </c>
      <c r="X1908" s="214" t="s">
        <v>2106</v>
      </c>
      <c r="Y1908" s="220">
        <v>8</v>
      </c>
    </row>
    <row r="1909" spans="23:25" x14ac:dyDescent="0.25">
      <c r="W1909" s="214" t="s">
        <v>1763</v>
      </c>
      <c r="X1909" s="214" t="s">
        <v>2107</v>
      </c>
      <c r="Y1909" s="220">
        <v>6</v>
      </c>
    </row>
    <row r="1910" spans="23:25" x14ac:dyDescent="0.25">
      <c r="W1910" s="214" t="s">
        <v>398</v>
      </c>
      <c r="X1910" s="214" t="s">
        <v>2108</v>
      </c>
      <c r="Y1910" s="220">
        <v>8</v>
      </c>
    </row>
    <row r="1911" spans="23:25" x14ac:dyDescent="0.25">
      <c r="W1911" s="214" t="s">
        <v>1763</v>
      </c>
      <c r="X1911" s="214" t="s">
        <v>1891</v>
      </c>
      <c r="Y1911" s="220">
        <v>8</v>
      </c>
    </row>
    <row r="1912" spans="23:25" x14ac:dyDescent="0.25">
      <c r="W1912" s="214" t="s">
        <v>1763</v>
      </c>
      <c r="X1912" s="214" t="s">
        <v>2109</v>
      </c>
      <c r="Y1912" s="220">
        <v>8</v>
      </c>
    </row>
    <row r="1913" spans="23:25" x14ac:dyDescent="0.25">
      <c r="W1913" s="214" t="s">
        <v>1763</v>
      </c>
      <c r="X1913" s="214" t="s">
        <v>2110</v>
      </c>
      <c r="Y1913" s="220">
        <v>8</v>
      </c>
    </row>
    <row r="1914" spans="23:25" x14ac:dyDescent="0.25">
      <c r="W1914" s="214" t="s">
        <v>1763</v>
      </c>
      <c r="X1914" s="214" t="s">
        <v>2111</v>
      </c>
      <c r="Y1914" s="220">
        <v>8</v>
      </c>
    </row>
    <row r="1915" spans="23:25" x14ac:dyDescent="0.25">
      <c r="W1915" s="214" t="s">
        <v>274</v>
      </c>
      <c r="X1915" s="214" t="s">
        <v>2112</v>
      </c>
      <c r="Y1915" s="220">
        <v>2</v>
      </c>
    </row>
    <row r="1916" spans="23:25" x14ac:dyDescent="0.25">
      <c r="W1916" s="214" t="s">
        <v>398</v>
      </c>
      <c r="X1916" s="214" t="s">
        <v>2113</v>
      </c>
      <c r="Y1916" s="220">
        <v>5</v>
      </c>
    </row>
    <row r="1917" spans="23:25" x14ac:dyDescent="0.25">
      <c r="W1917" s="214" t="s">
        <v>1763</v>
      </c>
      <c r="X1917" s="214" t="s">
        <v>2114</v>
      </c>
      <c r="Y1917" s="220">
        <v>8</v>
      </c>
    </row>
    <row r="1918" spans="23:25" x14ac:dyDescent="0.25">
      <c r="W1918" s="214" t="s">
        <v>1763</v>
      </c>
      <c r="X1918" s="214" t="s">
        <v>2115</v>
      </c>
      <c r="Y1918" s="220">
        <v>8</v>
      </c>
    </row>
    <row r="1919" spans="23:25" x14ac:dyDescent="0.25">
      <c r="W1919" s="214" t="s">
        <v>398</v>
      </c>
      <c r="X1919" s="214" t="s">
        <v>2116</v>
      </c>
      <c r="Y1919" s="220">
        <v>8</v>
      </c>
    </row>
    <row r="1920" spans="23:25" x14ac:dyDescent="0.25">
      <c r="W1920" s="214" t="s">
        <v>274</v>
      </c>
      <c r="X1920" s="214" t="s">
        <v>2117</v>
      </c>
      <c r="Y1920" s="220">
        <v>2</v>
      </c>
    </row>
    <row r="1921" spans="23:25" x14ac:dyDescent="0.25">
      <c r="W1921" s="214" t="s">
        <v>274</v>
      </c>
      <c r="X1921" s="214" t="s">
        <v>2118</v>
      </c>
      <c r="Y1921" s="220">
        <v>3</v>
      </c>
    </row>
    <row r="1922" spans="23:25" x14ac:dyDescent="0.25">
      <c r="W1922" s="214" t="s">
        <v>398</v>
      </c>
      <c r="X1922" s="214" t="s">
        <v>1312</v>
      </c>
      <c r="Y1922" s="220">
        <v>8</v>
      </c>
    </row>
    <row r="1923" spans="23:25" x14ac:dyDescent="0.25">
      <c r="W1923" s="214" t="s">
        <v>242</v>
      </c>
      <c r="X1923" s="214" t="s">
        <v>1092</v>
      </c>
      <c r="Y1923" s="220">
        <v>8</v>
      </c>
    </row>
    <row r="1924" spans="23:25" x14ac:dyDescent="0.25">
      <c r="W1924" s="214" t="s">
        <v>398</v>
      </c>
      <c r="X1924" s="214" t="s">
        <v>2119</v>
      </c>
      <c r="Y1924" s="220">
        <v>8</v>
      </c>
    </row>
    <row r="1925" spans="23:25" x14ac:dyDescent="0.25">
      <c r="W1925" s="214" t="s">
        <v>1763</v>
      </c>
      <c r="X1925" s="214" t="s">
        <v>2120</v>
      </c>
      <c r="Y1925" s="220">
        <v>8</v>
      </c>
    </row>
    <row r="1926" spans="23:25" x14ac:dyDescent="0.25">
      <c r="W1926" s="214" t="s">
        <v>398</v>
      </c>
      <c r="X1926" s="214" t="s">
        <v>2121</v>
      </c>
      <c r="Y1926" s="220">
        <v>8</v>
      </c>
    </row>
    <row r="1927" spans="23:25" x14ac:dyDescent="0.25">
      <c r="W1927" s="214" t="s">
        <v>274</v>
      </c>
      <c r="X1927" s="214" t="s">
        <v>2122</v>
      </c>
      <c r="Y1927" s="220">
        <v>3</v>
      </c>
    </row>
    <row r="1928" spans="23:25" x14ac:dyDescent="0.25">
      <c r="W1928" s="214" t="s">
        <v>1978</v>
      </c>
      <c r="X1928" s="214" t="s">
        <v>2123</v>
      </c>
      <c r="Y1928" s="220">
        <v>6</v>
      </c>
    </row>
    <row r="1929" spans="23:25" x14ac:dyDescent="0.25">
      <c r="W1929" s="214" t="s">
        <v>1763</v>
      </c>
      <c r="X1929" s="214" t="s">
        <v>2124</v>
      </c>
      <c r="Y1929" s="220">
        <v>8</v>
      </c>
    </row>
    <row r="1930" spans="23:25" x14ac:dyDescent="0.25">
      <c r="W1930" s="214" t="s">
        <v>1763</v>
      </c>
      <c r="X1930" s="214" t="s">
        <v>5892</v>
      </c>
      <c r="Y1930" s="220">
        <v>8</v>
      </c>
    </row>
    <row r="1931" spans="23:25" x14ac:dyDescent="0.25">
      <c r="W1931" s="214" t="s">
        <v>398</v>
      </c>
      <c r="X1931" s="214" t="s">
        <v>2125</v>
      </c>
      <c r="Y1931" s="220">
        <v>8</v>
      </c>
    </row>
    <row r="1932" spans="23:25" x14ac:dyDescent="0.25">
      <c r="W1932" s="214" t="s">
        <v>1763</v>
      </c>
      <c r="X1932" s="214" t="s">
        <v>2126</v>
      </c>
      <c r="Y1932" s="220">
        <v>8</v>
      </c>
    </row>
    <row r="1933" spans="23:25" x14ac:dyDescent="0.25">
      <c r="W1933" s="214" t="s">
        <v>242</v>
      </c>
      <c r="X1933" s="214" t="s">
        <v>2127</v>
      </c>
      <c r="Y1933" s="220">
        <v>8</v>
      </c>
    </row>
    <row r="1934" spans="23:25" x14ac:dyDescent="0.25">
      <c r="W1934" s="214" t="s">
        <v>398</v>
      </c>
      <c r="X1934" s="214" t="s">
        <v>2128</v>
      </c>
      <c r="Y1934" s="220">
        <v>8</v>
      </c>
    </row>
    <row r="1935" spans="23:25" x14ac:dyDescent="0.25">
      <c r="W1935" s="214" t="s">
        <v>1763</v>
      </c>
      <c r="X1935" s="214" t="s">
        <v>2129</v>
      </c>
      <c r="Y1935" s="220">
        <v>6</v>
      </c>
    </row>
    <row r="1936" spans="23:25" x14ac:dyDescent="0.25">
      <c r="W1936" s="214" t="s">
        <v>398</v>
      </c>
      <c r="X1936" s="214" t="s">
        <v>2130</v>
      </c>
      <c r="Y1936" s="220">
        <v>5</v>
      </c>
    </row>
    <row r="1937" spans="23:25" x14ac:dyDescent="0.25">
      <c r="W1937" s="214" t="s">
        <v>1763</v>
      </c>
      <c r="X1937" s="214" t="s">
        <v>2131</v>
      </c>
      <c r="Y1937" s="220">
        <v>8</v>
      </c>
    </row>
    <row r="1938" spans="23:25" x14ac:dyDescent="0.25">
      <c r="W1938" s="214" t="s">
        <v>1763</v>
      </c>
      <c r="X1938" s="214" t="s">
        <v>2132</v>
      </c>
      <c r="Y1938" s="220">
        <v>8</v>
      </c>
    </row>
    <row r="1939" spans="23:25" x14ac:dyDescent="0.25">
      <c r="W1939" s="214" t="s">
        <v>398</v>
      </c>
      <c r="X1939" s="214" t="s">
        <v>2133</v>
      </c>
      <c r="Y1939" s="220">
        <v>8</v>
      </c>
    </row>
    <row r="1940" spans="23:25" x14ac:dyDescent="0.25">
      <c r="W1940" s="214" t="s">
        <v>398</v>
      </c>
      <c r="X1940" s="214" t="s">
        <v>2134</v>
      </c>
      <c r="Y1940" s="220">
        <v>8</v>
      </c>
    </row>
    <row r="1941" spans="23:25" x14ac:dyDescent="0.25">
      <c r="W1941" s="214" t="s">
        <v>398</v>
      </c>
      <c r="X1941" s="214" t="s">
        <v>2135</v>
      </c>
      <c r="Y1941" s="220">
        <v>8</v>
      </c>
    </row>
    <row r="1942" spans="23:25" x14ac:dyDescent="0.25">
      <c r="W1942" s="214" t="s">
        <v>398</v>
      </c>
      <c r="X1942" s="214" t="s">
        <v>2136</v>
      </c>
      <c r="Y1942" s="220">
        <v>8</v>
      </c>
    </row>
    <row r="1943" spans="23:25" x14ac:dyDescent="0.25">
      <c r="W1943" s="214" t="s">
        <v>398</v>
      </c>
      <c r="X1943" s="214" t="s">
        <v>2137</v>
      </c>
      <c r="Y1943" s="220">
        <v>8</v>
      </c>
    </row>
    <row r="1944" spans="23:25" x14ac:dyDescent="0.25">
      <c r="W1944" s="214" t="s">
        <v>1740</v>
      </c>
      <c r="X1944" s="214" t="s">
        <v>2138</v>
      </c>
      <c r="Y1944" s="220">
        <v>6</v>
      </c>
    </row>
    <row r="1945" spans="23:25" x14ac:dyDescent="0.25">
      <c r="W1945" s="214" t="s">
        <v>274</v>
      </c>
      <c r="X1945" s="214" t="s">
        <v>2139</v>
      </c>
      <c r="Y1945" s="220">
        <v>2</v>
      </c>
    </row>
    <row r="1946" spans="23:25" x14ac:dyDescent="0.25">
      <c r="W1946" s="214" t="s">
        <v>1740</v>
      </c>
      <c r="X1946" s="214" t="s">
        <v>2140</v>
      </c>
      <c r="Y1946" s="220">
        <v>6</v>
      </c>
    </row>
    <row r="1947" spans="23:25" x14ac:dyDescent="0.25">
      <c r="W1947" s="214" t="s">
        <v>398</v>
      </c>
      <c r="X1947" s="214" t="s">
        <v>2141</v>
      </c>
      <c r="Y1947" s="220">
        <v>8</v>
      </c>
    </row>
    <row r="1948" spans="23:25" x14ac:dyDescent="0.25">
      <c r="W1948" s="214" t="s">
        <v>1943</v>
      </c>
      <c r="X1948" s="214" t="s">
        <v>2142</v>
      </c>
      <c r="Y1948" s="220">
        <v>5</v>
      </c>
    </row>
    <row r="1949" spans="23:25" x14ac:dyDescent="0.25">
      <c r="W1949" s="214" t="s">
        <v>1978</v>
      </c>
      <c r="X1949" s="214" t="s">
        <v>2143</v>
      </c>
      <c r="Y1949" s="220">
        <v>6</v>
      </c>
    </row>
    <row r="1950" spans="23:25" x14ac:dyDescent="0.25">
      <c r="W1950" s="214" t="s">
        <v>1740</v>
      </c>
      <c r="X1950" s="214" t="s">
        <v>2144</v>
      </c>
      <c r="Y1950" s="220">
        <v>6</v>
      </c>
    </row>
    <row r="1951" spans="23:25" x14ac:dyDescent="0.25">
      <c r="W1951" s="214" t="s">
        <v>274</v>
      </c>
      <c r="X1951" s="214" t="s">
        <v>2145</v>
      </c>
      <c r="Y1951" s="220">
        <v>2</v>
      </c>
    </row>
    <row r="1952" spans="23:25" x14ac:dyDescent="0.25">
      <c r="W1952" s="214" t="s">
        <v>398</v>
      </c>
      <c r="X1952" s="214" t="s">
        <v>2146</v>
      </c>
      <c r="Y1952" s="220">
        <v>8</v>
      </c>
    </row>
    <row r="1953" spans="23:25" x14ac:dyDescent="0.25">
      <c r="W1953" s="214" t="s">
        <v>274</v>
      </c>
      <c r="X1953" s="214" t="s">
        <v>2147</v>
      </c>
      <c r="Y1953" s="220">
        <v>6</v>
      </c>
    </row>
    <row r="1954" spans="23:25" x14ac:dyDescent="0.25">
      <c r="W1954" s="214" t="s">
        <v>398</v>
      </c>
      <c r="X1954" s="214" t="s">
        <v>2148</v>
      </c>
      <c r="Y1954" s="220">
        <v>8</v>
      </c>
    </row>
    <row r="1955" spans="23:25" x14ac:dyDescent="0.25">
      <c r="W1955" s="214" t="s">
        <v>398</v>
      </c>
      <c r="X1955" s="214" t="s">
        <v>2149</v>
      </c>
      <c r="Y1955" s="220">
        <v>8</v>
      </c>
    </row>
    <row r="1956" spans="23:25" x14ac:dyDescent="0.25">
      <c r="W1956" s="214" t="s">
        <v>1740</v>
      </c>
      <c r="X1956" s="214" t="s">
        <v>2150</v>
      </c>
      <c r="Y1956" s="220">
        <v>6</v>
      </c>
    </row>
    <row r="1957" spans="23:25" x14ac:dyDescent="0.25">
      <c r="W1957" s="214" t="s">
        <v>1943</v>
      </c>
      <c r="X1957" s="214" t="s">
        <v>2151</v>
      </c>
      <c r="Y1957" s="220">
        <v>8</v>
      </c>
    </row>
    <row r="1958" spans="23:25" x14ac:dyDescent="0.25">
      <c r="W1958" s="214" t="s">
        <v>274</v>
      </c>
      <c r="X1958" s="214" t="s">
        <v>2152</v>
      </c>
      <c r="Y1958" s="220">
        <v>2</v>
      </c>
    </row>
    <row r="1959" spans="23:25" x14ac:dyDescent="0.25">
      <c r="W1959" s="214" t="s">
        <v>258</v>
      </c>
      <c r="X1959" s="214" t="s">
        <v>2153</v>
      </c>
      <c r="Y1959" s="220">
        <v>4</v>
      </c>
    </row>
    <row r="1960" spans="23:25" x14ac:dyDescent="0.25">
      <c r="W1960" s="214" t="s">
        <v>274</v>
      </c>
      <c r="X1960" s="214" t="s">
        <v>2154</v>
      </c>
      <c r="Y1960" s="220">
        <v>3</v>
      </c>
    </row>
    <row r="1961" spans="23:25" x14ac:dyDescent="0.25">
      <c r="W1961" s="214" t="s">
        <v>1740</v>
      </c>
      <c r="X1961" s="214" t="s">
        <v>2155</v>
      </c>
      <c r="Y1961" s="220">
        <v>6</v>
      </c>
    </row>
    <row r="1962" spans="23:25" x14ac:dyDescent="0.25">
      <c r="W1962" s="214" t="s">
        <v>1740</v>
      </c>
      <c r="X1962" s="214" t="s">
        <v>2156</v>
      </c>
      <c r="Y1962" s="220">
        <v>6</v>
      </c>
    </row>
    <row r="1963" spans="23:25" x14ac:dyDescent="0.25">
      <c r="W1963" s="214" t="s">
        <v>1943</v>
      </c>
      <c r="X1963" s="214" t="s">
        <v>2157</v>
      </c>
      <c r="Y1963" s="220">
        <v>5</v>
      </c>
    </row>
    <row r="1964" spans="23:25" x14ac:dyDescent="0.25">
      <c r="W1964" s="214" t="s">
        <v>1943</v>
      </c>
      <c r="X1964" s="214" t="s">
        <v>2158</v>
      </c>
      <c r="Y1964" s="220">
        <v>5</v>
      </c>
    </row>
    <row r="1965" spans="23:25" x14ac:dyDescent="0.25">
      <c r="W1965" s="214" t="s">
        <v>1978</v>
      </c>
      <c r="X1965" s="214" t="s">
        <v>2159</v>
      </c>
      <c r="Y1965" s="220">
        <v>6</v>
      </c>
    </row>
    <row r="1966" spans="23:25" x14ac:dyDescent="0.25">
      <c r="W1966" s="214" t="s">
        <v>274</v>
      </c>
      <c r="X1966" s="214" t="s">
        <v>2160</v>
      </c>
      <c r="Y1966" s="220">
        <v>2</v>
      </c>
    </row>
    <row r="1967" spans="23:25" x14ac:dyDescent="0.25">
      <c r="W1967" s="214" t="s">
        <v>1740</v>
      </c>
      <c r="X1967" s="214" t="s">
        <v>2161</v>
      </c>
      <c r="Y1967" s="220">
        <v>6</v>
      </c>
    </row>
    <row r="1968" spans="23:25" x14ac:dyDescent="0.25">
      <c r="W1968" s="214" t="s">
        <v>274</v>
      </c>
      <c r="X1968" s="214" t="s">
        <v>2162</v>
      </c>
      <c r="Y1968" s="220">
        <v>4</v>
      </c>
    </row>
    <row r="1969" spans="23:25" x14ac:dyDescent="0.25">
      <c r="W1969" s="214" t="s">
        <v>1763</v>
      </c>
      <c r="X1969" s="214" t="s">
        <v>2163</v>
      </c>
      <c r="Y1969" s="220">
        <v>8</v>
      </c>
    </row>
    <row r="1970" spans="23:25" x14ac:dyDescent="0.25">
      <c r="W1970" s="214" t="s">
        <v>1978</v>
      </c>
      <c r="X1970" s="214" t="s">
        <v>2164</v>
      </c>
      <c r="Y1970" s="220">
        <v>6</v>
      </c>
    </row>
    <row r="1971" spans="23:25" x14ac:dyDescent="0.25">
      <c r="W1971" s="214" t="s">
        <v>252</v>
      </c>
      <c r="X1971" s="214" t="s">
        <v>2165</v>
      </c>
      <c r="Y1971" s="220">
        <v>3</v>
      </c>
    </row>
    <row r="1972" spans="23:25" x14ac:dyDescent="0.25">
      <c r="W1972" s="214" t="s">
        <v>1763</v>
      </c>
      <c r="X1972" s="214" t="s">
        <v>2166</v>
      </c>
      <c r="Y1972" s="220">
        <v>7</v>
      </c>
    </row>
    <row r="1973" spans="23:25" x14ac:dyDescent="0.25">
      <c r="W1973" s="214" t="s">
        <v>398</v>
      </c>
      <c r="X1973" s="214" t="s">
        <v>2167</v>
      </c>
      <c r="Y1973" s="220">
        <v>8</v>
      </c>
    </row>
    <row r="1974" spans="23:25" x14ac:dyDescent="0.25">
      <c r="W1974" s="214" t="s">
        <v>398</v>
      </c>
      <c r="X1974" s="214" t="s">
        <v>2168</v>
      </c>
      <c r="Y1974" s="220">
        <v>8</v>
      </c>
    </row>
    <row r="1975" spans="23:25" x14ac:dyDescent="0.25">
      <c r="W1975" s="214" t="s">
        <v>398</v>
      </c>
      <c r="X1975" s="214" t="s">
        <v>2169</v>
      </c>
      <c r="Y1975" s="220">
        <v>8</v>
      </c>
    </row>
    <row r="1976" spans="23:25" x14ac:dyDescent="0.25">
      <c r="W1976" s="214" t="s">
        <v>274</v>
      </c>
      <c r="X1976" s="214" t="s">
        <v>2170</v>
      </c>
      <c r="Y1976" s="220">
        <v>4</v>
      </c>
    </row>
    <row r="1977" spans="23:25" x14ac:dyDescent="0.25">
      <c r="W1977" s="214" t="s">
        <v>1943</v>
      </c>
      <c r="X1977" s="214" t="s">
        <v>2171</v>
      </c>
      <c r="Y1977" s="220">
        <v>5</v>
      </c>
    </row>
    <row r="1978" spans="23:25" x14ac:dyDescent="0.25">
      <c r="W1978" s="214" t="s">
        <v>398</v>
      </c>
      <c r="X1978" s="214" t="s">
        <v>2172</v>
      </c>
      <c r="Y1978" s="220">
        <v>8</v>
      </c>
    </row>
    <row r="1979" spans="23:25" x14ac:dyDescent="0.25">
      <c r="W1979" s="214" t="s">
        <v>1943</v>
      </c>
      <c r="X1979" s="214" t="s">
        <v>2173</v>
      </c>
      <c r="Y1979" s="220">
        <v>5</v>
      </c>
    </row>
    <row r="1980" spans="23:25" x14ac:dyDescent="0.25">
      <c r="W1980" s="214" t="s">
        <v>1978</v>
      </c>
      <c r="X1980" s="214" t="s">
        <v>2174</v>
      </c>
      <c r="Y1980" s="220">
        <v>6</v>
      </c>
    </row>
    <row r="1981" spans="23:25" x14ac:dyDescent="0.25">
      <c r="W1981" s="214" t="s">
        <v>1740</v>
      </c>
      <c r="X1981" s="214" t="s">
        <v>2175</v>
      </c>
      <c r="Y1981" s="220">
        <v>6</v>
      </c>
    </row>
    <row r="1982" spans="23:25" x14ac:dyDescent="0.25">
      <c r="W1982" s="214" t="s">
        <v>274</v>
      </c>
      <c r="X1982" s="214" t="s">
        <v>2176</v>
      </c>
      <c r="Y1982" s="220">
        <v>2</v>
      </c>
    </row>
    <row r="1983" spans="23:25" x14ac:dyDescent="0.25">
      <c r="W1983" s="214" t="s">
        <v>398</v>
      </c>
      <c r="X1983" s="214" t="s">
        <v>2177</v>
      </c>
      <c r="Y1983" s="220">
        <v>7</v>
      </c>
    </row>
    <row r="1984" spans="23:25" x14ac:dyDescent="0.25">
      <c r="W1984" s="214" t="s">
        <v>1978</v>
      </c>
      <c r="X1984" s="214" t="s">
        <v>2178</v>
      </c>
      <c r="Y1984" s="220">
        <v>6</v>
      </c>
    </row>
    <row r="1985" spans="23:25" x14ac:dyDescent="0.25">
      <c r="W1985" s="214" t="s">
        <v>1740</v>
      </c>
      <c r="X1985" s="214" t="s">
        <v>2179</v>
      </c>
      <c r="Y1985" s="220">
        <v>6</v>
      </c>
    </row>
    <row r="1986" spans="23:25" x14ac:dyDescent="0.25">
      <c r="W1986" s="214" t="s">
        <v>1763</v>
      </c>
      <c r="X1986" s="214" t="s">
        <v>2180</v>
      </c>
      <c r="Y1986" s="220">
        <v>7</v>
      </c>
    </row>
    <row r="1987" spans="23:25" x14ac:dyDescent="0.25">
      <c r="W1987" s="214" t="s">
        <v>1978</v>
      </c>
      <c r="X1987" s="214" t="s">
        <v>2181</v>
      </c>
      <c r="Y1987" s="220">
        <v>6</v>
      </c>
    </row>
    <row r="1988" spans="23:25" x14ac:dyDescent="0.25">
      <c r="W1988" s="214" t="s">
        <v>398</v>
      </c>
      <c r="X1988" s="214" t="s">
        <v>2182</v>
      </c>
      <c r="Y1988" s="220">
        <v>7</v>
      </c>
    </row>
    <row r="1989" spans="23:25" x14ac:dyDescent="0.25">
      <c r="W1989" s="214" t="s">
        <v>242</v>
      </c>
      <c r="X1989" s="214" t="s">
        <v>2183</v>
      </c>
      <c r="Y1989" s="220">
        <v>8</v>
      </c>
    </row>
    <row r="1990" spans="23:25" x14ac:dyDescent="0.25">
      <c r="W1990" s="214" t="s">
        <v>1740</v>
      </c>
      <c r="X1990" s="214" t="s">
        <v>2184</v>
      </c>
      <c r="Y1990" s="220">
        <v>6</v>
      </c>
    </row>
    <row r="1991" spans="23:25" x14ac:dyDescent="0.25">
      <c r="W1991" s="214" t="s">
        <v>2185</v>
      </c>
      <c r="X1991" s="214" t="s">
        <v>2186</v>
      </c>
      <c r="Y1991" s="220">
        <v>5</v>
      </c>
    </row>
    <row r="1992" spans="23:25" x14ac:dyDescent="0.25">
      <c r="W1992" s="214" t="s">
        <v>274</v>
      </c>
      <c r="X1992" s="214" t="s">
        <v>2187</v>
      </c>
      <c r="Y1992" s="220">
        <v>3</v>
      </c>
    </row>
    <row r="1993" spans="23:25" x14ac:dyDescent="0.25">
      <c r="W1993" s="214" t="s">
        <v>1740</v>
      </c>
      <c r="X1993" s="214" t="s">
        <v>2188</v>
      </c>
      <c r="Y1993" s="220">
        <v>6</v>
      </c>
    </row>
    <row r="1994" spans="23:25" x14ac:dyDescent="0.25">
      <c r="W1994" s="214" t="s">
        <v>1740</v>
      </c>
      <c r="X1994" s="214" t="s">
        <v>2189</v>
      </c>
      <c r="Y1994" s="220">
        <v>6</v>
      </c>
    </row>
    <row r="1995" spans="23:25" x14ac:dyDescent="0.25">
      <c r="W1995" s="214" t="s">
        <v>398</v>
      </c>
      <c r="X1995" s="214" t="s">
        <v>2190</v>
      </c>
      <c r="Y1995" s="220">
        <v>5</v>
      </c>
    </row>
    <row r="1996" spans="23:25" x14ac:dyDescent="0.25">
      <c r="W1996" s="214" t="s">
        <v>398</v>
      </c>
      <c r="X1996" s="214" t="s">
        <v>2191</v>
      </c>
      <c r="Y1996" s="220">
        <v>7</v>
      </c>
    </row>
    <row r="1997" spans="23:25" x14ac:dyDescent="0.25">
      <c r="W1997" s="214" t="s">
        <v>1763</v>
      </c>
      <c r="X1997" s="214" t="s">
        <v>2192</v>
      </c>
      <c r="Y1997" s="220">
        <v>7</v>
      </c>
    </row>
    <row r="1998" spans="23:25" x14ac:dyDescent="0.25">
      <c r="W1998" s="214" t="s">
        <v>1740</v>
      </c>
      <c r="X1998" s="214" t="s">
        <v>2193</v>
      </c>
      <c r="Y1998" s="220">
        <v>6</v>
      </c>
    </row>
    <row r="1999" spans="23:25" x14ac:dyDescent="0.25">
      <c r="W1999" s="214" t="s">
        <v>242</v>
      </c>
      <c r="X1999" s="214" t="s">
        <v>2194</v>
      </c>
      <c r="Y1999" s="220">
        <v>8</v>
      </c>
    </row>
    <row r="2000" spans="23:25" x14ac:dyDescent="0.25">
      <c r="W2000" s="214" t="s">
        <v>242</v>
      </c>
      <c r="X2000" s="214" t="s">
        <v>2195</v>
      </c>
      <c r="Y2000" s="220">
        <v>8</v>
      </c>
    </row>
    <row r="2001" spans="23:25" x14ac:dyDescent="0.25">
      <c r="W2001" s="214" t="s">
        <v>258</v>
      </c>
      <c r="X2001" s="214" t="s">
        <v>2196</v>
      </c>
      <c r="Y2001" s="220">
        <v>6</v>
      </c>
    </row>
    <row r="2002" spans="23:25" x14ac:dyDescent="0.25">
      <c r="W2002" s="214" t="s">
        <v>1740</v>
      </c>
      <c r="X2002" s="214" t="s">
        <v>2197</v>
      </c>
      <c r="Y2002" s="220">
        <v>6</v>
      </c>
    </row>
    <row r="2003" spans="23:25" x14ac:dyDescent="0.25">
      <c r="W2003" s="214" t="s">
        <v>2198</v>
      </c>
      <c r="X2003" s="214" t="s">
        <v>2199</v>
      </c>
      <c r="Y2003" s="220">
        <v>8</v>
      </c>
    </row>
    <row r="2004" spans="23:25" x14ac:dyDescent="0.25">
      <c r="W2004" s="214" t="s">
        <v>1740</v>
      </c>
      <c r="X2004" s="214" t="s">
        <v>2200</v>
      </c>
      <c r="Y2004" s="220">
        <v>6</v>
      </c>
    </row>
    <row r="2005" spans="23:25" x14ac:dyDescent="0.25">
      <c r="W2005" s="214" t="s">
        <v>2185</v>
      </c>
      <c r="X2005" s="214" t="s">
        <v>2201</v>
      </c>
      <c r="Y2005" s="220">
        <v>6</v>
      </c>
    </row>
    <row r="2006" spans="23:25" x14ac:dyDescent="0.25">
      <c r="W2006" s="214" t="s">
        <v>398</v>
      </c>
      <c r="X2006" s="214" t="s">
        <v>2202</v>
      </c>
      <c r="Y2006" s="220">
        <v>8</v>
      </c>
    </row>
    <row r="2007" spans="23:25" x14ac:dyDescent="0.25">
      <c r="W2007" s="214" t="s">
        <v>274</v>
      </c>
      <c r="X2007" s="214" t="s">
        <v>2203</v>
      </c>
      <c r="Y2007" s="220">
        <v>2</v>
      </c>
    </row>
    <row r="2008" spans="23:25" x14ac:dyDescent="0.25">
      <c r="W2008" s="214" t="s">
        <v>242</v>
      </c>
      <c r="X2008" s="214" t="s">
        <v>2204</v>
      </c>
      <c r="Y2008" s="220">
        <v>8</v>
      </c>
    </row>
    <row r="2009" spans="23:25" x14ac:dyDescent="0.25">
      <c r="W2009" s="214" t="s">
        <v>398</v>
      </c>
      <c r="X2009" s="214" t="s">
        <v>2205</v>
      </c>
      <c r="Y2009" s="220">
        <v>7</v>
      </c>
    </row>
    <row r="2010" spans="23:25" x14ac:dyDescent="0.25">
      <c r="W2010" s="214" t="s">
        <v>1740</v>
      </c>
      <c r="X2010" s="214" t="s">
        <v>2206</v>
      </c>
      <c r="Y2010" s="220">
        <v>6</v>
      </c>
    </row>
    <row r="2011" spans="23:25" x14ac:dyDescent="0.25">
      <c r="W2011" s="214" t="s">
        <v>242</v>
      </c>
      <c r="X2011" s="214" t="s">
        <v>606</v>
      </c>
      <c r="Y2011" s="220">
        <v>8</v>
      </c>
    </row>
    <row r="2012" spans="23:25" x14ac:dyDescent="0.25">
      <c r="W2012" s="214" t="s">
        <v>2185</v>
      </c>
      <c r="X2012" s="214" t="s">
        <v>2207</v>
      </c>
      <c r="Y2012" s="220">
        <v>6</v>
      </c>
    </row>
    <row r="2013" spans="23:25" x14ac:dyDescent="0.25">
      <c r="W2013" s="214" t="s">
        <v>2185</v>
      </c>
      <c r="X2013" s="214" t="s">
        <v>5893</v>
      </c>
      <c r="Y2013" s="220">
        <v>5</v>
      </c>
    </row>
    <row r="2014" spans="23:25" x14ac:dyDescent="0.25">
      <c r="W2014" s="214" t="s">
        <v>274</v>
      </c>
      <c r="X2014" s="214" t="s">
        <v>2208</v>
      </c>
      <c r="Y2014" s="220">
        <v>3</v>
      </c>
    </row>
    <row r="2015" spans="23:25" x14ac:dyDescent="0.25">
      <c r="W2015" s="214" t="s">
        <v>1763</v>
      </c>
      <c r="X2015" s="214" t="s">
        <v>2209</v>
      </c>
      <c r="Y2015" s="220">
        <v>6</v>
      </c>
    </row>
    <row r="2016" spans="23:25" x14ac:dyDescent="0.25">
      <c r="W2016" s="214" t="s">
        <v>242</v>
      </c>
      <c r="X2016" s="214" t="s">
        <v>2210</v>
      </c>
      <c r="Y2016" s="220">
        <v>8</v>
      </c>
    </row>
    <row r="2017" spans="23:25" x14ac:dyDescent="0.25">
      <c r="W2017" s="214" t="s">
        <v>1978</v>
      </c>
      <c r="X2017" s="214" t="s">
        <v>2211</v>
      </c>
      <c r="Y2017" s="220">
        <v>6</v>
      </c>
    </row>
    <row r="2018" spans="23:25" x14ac:dyDescent="0.25">
      <c r="W2018" s="214" t="s">
        <v>1978</v>
      </c>
      <c r="X2018" s="214" t="s">
        <v>2212</v>
      </c>
      <c r="Y2018" s="220">
        <v>6</v>
      </c>
    </row>
    <row r="2019" spans="23:25" x14ac:dyDescent="0.25">
      <c r="W2019" s="214" t="s">
        <v>1978</v>
      </c>
      <c r="X2019" s="214" t="s">
        <v>2213</v>
      </c>
      <c r="Y2019" s="220">
        <v>5</v>
      </c>
    </row>
    <row r="2020" spans="23:25" x14ac:dyDescent="0.25">
      <c r="W2020" s="214" t="s">
        <v>2185</v>
      </c>
      <c r="X2020" s="214" t="s">
        <v>2214</v>
      </c>
      <c r="Y2020" s="220">
        <v>5</v>
      </c>
    </row>
    <row r="2021" spans="23:25" x14ac:dyDescent="0.25">
      <c r="W2021" s="214" t="s">
        <v>1978</v>
      </c>
      <c r="X2021" s="214" t="s">
        <v>2215</v>
      </c>
      <c r="Y2021" s="220">
        <v>5</v>
      </c>
    </row>
    <row r="2022" spans="23:25" x14ac:dyDescent="0.25">
      <c r="W2022" s="214" t="s">
        <v>398</v>
      </c>
      <c r="X2022" s="214" t="s">
        <v>2216</v>
      </c>
      <c r="Y2022" s="220">
        <v>5</v>
      </c>
    </row>
    <row r="2023" spans="23:25" x14ac:dyDescent="0.25">
      <c r="W2023" s="214" t="s">
        <v>2185</v>
      </c>
      <c r="X2023" s="214" t="s">
        <v>2217</v>
      </c>
      <c r="Y2023" s="220">
        <v>6</v>
      </c>
    </row>
    <row r="2024" spans="23:25" x14ac:dyDescent="0.25">
      <c r="W2024" s="214" t="s">
        <v>1740</v>
      </c>
      <c r="X2024" s="214" t="s">
        <v>2218</v>
      </c>
      <c r="Y2024" s="220">
        <v>6</v>
      </c>
    </row>
    <row r="2025" spans="23:25" x14ac:dyDescent="0.25">
      <c r="W2025" s="214" t="s">
        <v>274</v>
      </c>
      <c r="X2025" s="214" t="s">
        <v>2219</v>
      </c>
      <c r="Y2025" s="220">
        <v>2</v>
      </c>
    </row>
    <row r="2026" spans="23:25" x14ac:dyDescent="0.25">
      <c r="W2026" s="214" t="s">
        <v>2198</v>
      </c>
      <c r="X2026" s="214" t="s">
        <v>2220</v>
      </c>
      <c r="Y2026" s="220">
        <v>8</v>
      </c>
    </row>
    <row r="2027" spans="23:25" x14ac:dyDescent="0.25">
      <c r="W2027" s="214" t="s">
        <v>1978</v>
      </c>
      <c r="X2027" s="214" t="s">
        <v>2221</v>
      </c>
      <c r="Y2027" s="220">
        <v>6</v>
      </c>
    </row>
    <row r="2028" spans="23:25" x14ac:dyDescent="0.25">
      <c r="W2028" s="214" t="s">
        <v>2185</v>
      </c>
      <c r="X2028" s="214" t="s">
        <v>2222</v>
      </c>
      <c r="Y2028" s="220">
        <v>5</v>
      </c>
    </row>
    <row r="2029" spans="23:25" x14ac:dyDescent="0.25">
      <c r="W2029" s="214" t="s">
        <v>242</v>
      </c>
      <c r="X2029" s="214" t="s">
        <v>2223</v>
      </c>
      <c r="Y2029" s="220">
        <v>7</v>
      </c>
    </row>
    <row r="2030" spans="23:25" x14ac:dyDescent="0.25">
      <c r="W2030" s="214" t="s">
        <v>242</v>
      </c>
      <c r="X2030" s="214" t="s">
        <v>2224</v>
      </c>
      <c r="Y2030" s="220">
        <v>5</v>
      </c>
    </row>
    <row r="2031" spans="23:25" x14ac:dyDescent="0.25">
      <c r="W2031" s="214" t="s">
        <v>2198</v>
      </c>
      <c r="X2031" s="214" t="s">
        <v>2225</v>
      </c>
      <c r="Y2031" s="220">
        <v>8</v>
      </c>
    </row>
    <row r="2032" spans="23:25" x14ac:dyDescent="0.25">
      <c r="W2032" s="214" t="s">
        <v>2185</v>
      </c>
      <c r="X2032" s="214" t="s">
        <v>2226</v>
      </c>
      <c r="Y2032" s="220">
        <v>5</v>
      </c>
    </row>
    <row r="2033" spans="23:25" x14ac:dyDescent="0.25">
      <c r="W2033" s="214" t="s">
        <v>2185</v>
      </c>
      <c r="X2033" s="214" t="s">
        <v>2227</v>
      </c>
      <c r="Y2033" s="220">
        <v>6</v>
      </c>
    </row>
    <row r="2034" spans="23:25" x14ac:dyDescent="0.25">
      <c r="W2034" s="214" t="s">
        <v>2185</v>
      </c>
      <c r="X2034" s="214" t="s">
        <v>2228</v>
      </c>
      <c r="Y2034" s="220">
        <v>6</v>
      </c>
    </row>
    <row r="2035" spans="23:25" x14ac:dyDescent="0.25">
      <c r="W2035" s="214" t="s">
        <v>2185</v>
      </c>
      <c r="X2035" s="214" t="s">
        <v>2229</v>
      </c>
      <c r="Y2035" s="220">
        <v>6</v>
      </c>
    </row>
    <row r="2036" spans="23:25" x14ac:dyDescent="0.25">
      <c r="W2036" s="214" t="s">
        <v>1740</v>
      </c>
      <c r="X2036" s="214" t="s">
        <v>2230</v>
      </c>
      <c r="Y2036" s="220">
        <v>6</v>
      </c>
    </row>
    <row r="2037" spans="23:25" x14ac:dyDescent="0.25">
      <c r="W2037" s="214" t="s">
        <v>398</v>
      </c>
      <c r="X2037" s="214" t="s">
        <v>2231</v>
      </c>
      <c r="Y2037" s="220">
        <v>5</v>
      </c>
    </row>
    <row r="2038" spans="23:25" x14ac:dyDescent="0.25">
      <c r="W2038" s="214" t="s">
        <v>1716</v>
      </c>
      <c r="X2038" s="214" t="s">
        <v>2232</v>
      </c>
      <c r="Y2038" s="220">
        <v>8</v>
      </c>
    </row>
    <row r="2039" spans="23:25" x14ac:dyDescent="0.25">
      <c r="W2039" s="214" t="s">
        <v>244</v>
      </c>
      <c r="X2039" s="214" t="s">
        <v>2233</v>
      </c>
      <c r="Y2039" s="220">
        <v>8</v>
      </c>
    </row>
    <row r="2040" spans="23:25" x14ac:dyDescent="0.25">
      <c r="W2040" s="214" t="s">
        <v>244</v>
      </c>
      <c r="X2040" s="214" t="s">
        <v>2234</v>
      </c>
      <c r="Y2040" s="220">
        <v>8</v>
      </c>
    </row>
    <row r="2041" spans="23:25" x14ac:dyDescent="0.25">
      <c r="W2041" s="214" t="s">
        <v>242</v>
      </c>
      <c r="X2041" s="214" t="s">
        <v>2235</v>
      </c>
      <c r="Y2041" s="220">
        <v>8</v>
      </c>
    </row>
    <row r="2042" spans="23:25" x14ac:dyDescent="0.25">
      <c r="W2042" s="214" t="s">
        <v>244</v>
      </c>
      <c r="X2042" s="214" t="s">
        <v>2236</v>
      </c>
      <c r="Y2042" s="220">
        <v>8</v>
      </c>
    </row>
    <row r="2043" spans="23:25" x14ac:dyDescent="0.25">
      <c r="W2043" s="214" t="s">
        <v>244</v>
      </c>
      <c r="X2043" s="214" t="s">
        <v>2237</v>
      </c>
      <c r="Y2043" s="220">
        <v>8</v>
      </c>
    </row>
    <row r="2044" spans="23:25" x14ac:dyDescent="0.25">
      <c r="W2044" s="214" t="s">
        <v>244</v>
      </c>
      <c r="X2044" s="214" t="s">
        <v>419</v>
      </c>
      <c r="Y2044" s="220">
        <v>8</v>
      </c>
    </row>
    <row r="2045" spans="23:25" x14ac:dyDescent="0.25">
      <c r="W2045" s="214" t="s">
        <v>242</v>
      </c>
      <c r="X2045" s="214" t="s">
        <v>2238</v>
      </c>
      <c r="Y2045" s="220">
        <v>8</v>
      </c>
    </row>
    <row r="2046" spans="23:25" x14ac:dyDescent="0.25">
      <c r="W2046" s="214" t="s">
        <v>1716</v>
      </c>
      <c r="X2046" s="214" t="s">
        <v>2239</v>
      </c>
      <c r="Y2046" s="220">
        <v>8</v>
      </c>
    </row>
    <row r="2047" spans="23:25" x14ac:dyDescent="0.25">
      <c r="W2047" s="214" t="s">
        <v>244</v>
      </c>
      <c r="X2047" s="214" t="s">
        <v>2240</v>
      </c>
      <c r="Y2047" s="220">
        <v>8</v>
      </c>
    </row>
    <row r="2048" spans="23:25" x14ac:dyDescent="0.25">
      <c r="W2048" s="214" t="s">
        <v>242</v>
      </c>
      <c r="X2048" s="214" t="s">
        <v>2241</v>
      </c>
      <c r="Y2048" s="220">
        <v>8</v>
      </c>
    </row>
    <row r="2049" spans="23:25" x14ac:dyDescent="0.25">
      <c r="W2049" s="214" t="s">
        <v>242</v>
      </c>
      <c r="X2049" s="214" t="s">
        <v>2242</v>
      </c>
      <c r="Y2049" s="220">
        <v>8</v>
      </c>
    </row>
    <row r="2050" spans="23:25" x14ac:dyDescent="0.25">
      <c r="W2050" s="214" t="s">
        <v>244</v>
      </c>
      <c r="X2050" s="214" t="s">
        <v>2243</v>
      </c>
      <c r="Y2050" s="220">
        <v>8</v>
      </c>
    </row>
    <row r="2051" spans="23:25" x14ac:dyDescent="0.25">
      <c r="W2051" s="214" t="s">
        <v>398</v>
      </c>
      <c r="X2051" s="214" t="s">
        <v>2244</v>
      </c>
      <c r="Y2051" s="220">
        <v>6</v>
      </c>
    </row>
    <row r="2052" spans="23:25" x14ac:dyDescent="0.25">
      <c r="W2052" s="214" t="s">
        <v>242</v>
      </c>
      <c r="X2052" s="214" t="s">
        <v>1946</v>
      </c>
      <c r="Y2052" s="220">
        <v>7</v>
      </c>
    </row>
    <row r="2053" spans="23:25" x14ac:dyDescent="0.25">
      <c r="W2053" s="214" t="s">
        <v>1716</v>
      </c>
      <c r="X2053" s="214" t="s">
        <v>2245</v>
      </c>
      <c r="Y2053" s="220">
        <v>8</v>
      </c>
    </row>
    <row r="2054" spans="23:25" x14ac:dyDescent="0.25">
      <c r="W2054" s="214" t="s">
        <v>242</v>
      </c>
      <c r="X2054" s="214" t="s">
        <v>2246</v>
      </c>
      <c r="Y2054" s="220">
        <v>8</v>
      </c>
    </row>
    <row r="2055" spans="23:25" x14ac:dyDescent="0.25">
      <c r="W2055" s="214" t="s">
        <v>242</v>
      </c>
      <c r="X2055" s="214" t="s">
        <v>2247</v>
      </c>
      <c r="Y2055" s="220">
        <v>8</v>
      </c>
    </row>
    <row r="2056" spans="23:25" x14ac:dyDescent="0.25">
      <c r="W2056" s="214" t="s">
        <v>242</v>
      </c>
      <c r="X2056" s="214" t="s">
        <v>2248</v>
      </c>
      <c r="Y2056" s="220">
        <v>8</v>
      </c>
    </row>
    <row r="2057" spans="23:25" x14ac:dyDescent="0.25">
      <c r="W2057" s="214" t="s">
        <v>1716</v>
      </c>
      <c r="X2057" s="214" t="s">
        <v>2249</v>
      </c>
      <c r="Y2057" s="220">
        <v>8</v>
      </c>
    </row>
    <row r="2058" spans="23:25" x14ac:dyDescent="0.25">
      <c r="W2058" s="214" t="s">
        <v>242</v>
      </c>
      <c r="X2058" s="214" t="s">
        <v>2250</v>
      </c>
      <c r="Y2058" s="220">
        <v>8</v>
      </c>
    </row>
    <row r="2059" spans="23:25" x14ac:dyDescent="0.25">
      <c r="W2059" s="214" t="s">
        <v>398</v>
      </c>
      <c r="X2059" s="214" t="s">
        <v>2251</v>
      </c>
      <c r="Y2059" s="220">
        <v>5</v>
      </c>
    </row>
    <row r="2060" spans="23:25" x14ac:dyDescent="0.25">
      <c r="W2060" s="214" t="s">
        <v>274</v>
      </c>
      <c r="X2060" s="214" t="s">
        <v>2252</v>
      </c>
      <c r="Y2060" s="220">
        <v>5</v>
      </c>
    </row>
    <row r="2061" spans="23:25" x14ac:dyDescent="0.25">
      <c r="W2061" s="214" t="s">
        <v>242</v>
      </c>
      <c r="X2061" s="214" t="s">
        <v>2253</v>
      </c>
      <c r="Y2061" s="220">
        <v>7</v>
      </c>
    </row>
    <row r="2062" spans="23:25" x14ac:dyDescent="0.25">
      <c r="W2062" s="214" t="s">
        <v>398</v>
      </c>
      <c r="X2062" s="214" t="s">
        <v>2254</v>
      </c>
      <c r="Y2062" s="220">
        <v>5</v>
      </c>
    </row>
    <row r="2063" spans="23:25" x14ac:dyDescent="0.25">
      <c r="W2063" s="214" t="s">
        <v>1716</v>
      </c>
      <c r="X2063" s="214" t="s">
        <v>2255</v>
      </c>
      <c r="Y2063" s="220">
        <v>8</v>
      </c>
    </row>
    <row r="2064" spans="23:25" x14ac:dyDescent="0.25">
      <c r="W2064" s="214" t="s">
        <v>398</v>
      </c>
      <c r="X2064" s="214" t="s">
        <v>2256</v>
      </c>
      <c r="Y2064" s="220">
        <v>8</v>
      </c>
    </row>
    <row r="2065" spans="23:25" x14ac:dyDescent="0.25">
      <c r="W2065" s="214" t="s">
        <v>398</v>
      </c>
      <c r="X2065" s="214" t="s">
        <v>2257</v>
      </c>
      <c r="Y2065" s="220">
        <v>5</v>
      </c>
    </row>
    <row r="2066" spans="23:25" x14ac:dyDescent="0.25">
      <c r="W2066" s="214" t="s">
        <v>398</v>
      </c>
      <c r="X2066" s="214" t="s">
        <v>2258</v>
      </c>
      <c r="Y2066" s="220">
        <v>5</v>
      </c>
    </row>
    <row r="2067" spans="23:25" x14ac:dyDescent="0.25">
      <c r="W2067" s="214" t="s">
        <v>242</v>
      </c>
      <c r="X2067" s="214" t="s">
        <v>2259</v>
      </c>
      <c r="Y2067" s="220">
        <v>8</v>
      </c>
    </row>
    <row r="2068" spans="23:25" x14ac:dyDescent="0.25">
      <c r="W2068" s="214" t="s">
        <v>1716</v>
      </c>
      <c r="X2068" s="214" t="s">
        <v>2260</v>
      </c>
      <c r="Y2068" s="220">
        <v>8</v>
      </c>
    </row>
    <row r="2069" spans="23:25" x14ac:dyDescent="0.25">
      <c r="W2069" s="214" t="s">
        <v>1716</v>
      </c>
      <c r="X2069" s="214" t="s">
        <v>28</v>
      </c>
      <c r="Y2069" s="220">
        <v>8</v>
      </c>
    </row>
    <row r="2070" spans="23:25" x14ac:dyDescent="0.25">
      <c r="W2070" s="214" t="s">
        <v>258</v>
      </c>
      <c r="X2070" s="214" t="s">
        <v>2261</v>
      </c>
      <c r="Y2070" s="220">
        <v>3</v>
      </c>
    </row>
    <row r="2071" spans="23:25" x14ac:dyDescent="0.25">
      <c r="W2071" s="214" t="s">
        <v>1716</v>
      </c>
      <c r="X2071" s="214" t="s">
        <v>2262</v>
      </c>
      <c r="Y2071" s="220">
        <v>8</v>
      </c>
    </row>
    <row r="2072" spans="23:25" x14ac:dyDescent="0.25">
      <c r="W2072" s="214" t="s">
        <v>242</v>
      </c>
      <c r="X2072" s="214" t="s">
        <v>2263</v>
      </c>
      <c r="Y2072" s="220">
        <v>8</v>
      </c>
    </row>
    <row r="2073" spans="23:25" x14ac:dyDescent="0.25">
      <c r="W2073" s="214" t="s">
        <v>242</v>
      </c>
      <c r="X2073" s="214" t="s">
        <v>2264</v>
      </c>
      <c r="Y2073" s="220">
        <v>8</v>
      </c>
    </row>
    <row r="2074" spans="23:25" x14ac:dyDescent="0.25">
      <c r="W2074" s="214" t="s">
        <v>242</v>
      </c>
      <c r="X2074" s="214" t="s">
        <v>2265</v>
      </c>
      <c r="Y2074" s="220">
        <v>8</v>
      </c>
    </row>
    <row r="2075" spans="23:25" x14ac:dyDescent="0.25">
      <c r="W2075" s="214" t="s">
        <v>242</v>
      </c>
      <c r="X2075" s="214" t="s">
        <v>2266</v>
      </c>
      <c r="Y2075" s="220">
        <v>8</v>
      </c>
    </row>
    <row r="2076" spans="23:25" x14ac:dyDescent="0.25">
      <c r="W2076" s="214" t="s">
        <v>398</v>
      </c>
      <c r="X2076" s="214" t="s">
        <v>2267</v>
      </c>
      <c r="Y2076" s="220">
        <v>7</v>
      </c>
    </row>
    <row r="2077" spans="23:25" x14ac:dyDescent="0.25">
      <c r="W2077" s="214" t="s">
        <v>398</v>
      </c>
      <c r="X2077" s="214" t="s">
        <v>2268</v>
      </c>
      <c r="Y2077" s="220">
        <v>5</v>
      </c>
    </row>
    <row r="2078" spans="23:25" x14ac:dyDescent="0.25">
      <c r="W2078" s="214" t="s">
        <v>242</v>
      </c>
      <c r="X2078" s="214" t="s">
        <v>2269</v>
      </c>
      <c r="Y2078" s="220">
        <v>8</v>
      </c>
    </row>
    <row r="2079" spans="23:25" x14ac:dyDescent="0.25">
      <c r="W2079" s="214" t="s">
        <v>398</v>
      </c>
      <c r="X2079" s="214" t="s">
        <v>2270</v>
      </c>
      <c r="Y2079" s="220">
        <v>5</v>
      </c>
    </row>
    <row r="2080" spans="23:25" x14ac:dyDescent="0.25">
      <c r="W2080" s="214" t="s">
        <v>242</v>
      </c>
      <c r="X2080" s="214" t="s">
        <v>2271</v>
      </c>
      <c r="Y2080" s="220">
        <v>8</v>
      </c>
    </row>
    <row r="2081" spans="23:25" x14ac:dyDescent="0.25">
      <c r="W2081" s="214" t="s">
        <v>398</v>
      </c>
      <c r="X2081" s="214" t="s">
        <v>2272</v>
      </c>
      <c r="Y2081" s="220">
        <v>5</v>
      </c>
    </row>
    <row r="2082" spans="23:25" x14ac:dyDescent="0.25">
      <c r="W2082" s="214" t="s">
        <v>398</v>
      </c>
      <c r="X2082" s="214" t="s">
        <v>2273</v>
      </c>
      <c r="Y2082" s="220">
        <v>5</v>
      </c>
    </row>
    <row r="2083" spans="23:25" x14ac:dyDescent="0.25">
      <c r="W2083" s="214" t="s">
        <v>242</v>
      </c>
      <c r="X2083" s="214" t="s">
        <v>2274</v>
      </c>
      <c r="Y2083" s="220">
        <v>8</v>
      </c>
    </row>
    <row r="2084" spans="23:25" x14ac:dyDescent="0.25">
      <c r="W2084" s="214" t="s">
        <v>242</v>
      </c>
      <c r="X2084" s="214" t="s">
        <v>2275</v>
      </c>
      <c r="Y2084" s="220">
        <v>8</v>
      </c>
    </row>
    <row r="2085" spans="23:25" x14ac:dyDescent="0.25">
      <c r="W2085" s="214" t="s">
        <v>242</v>
      </c>
      <c r="X2085" s="214" t="s">
        <v>1843</v>
      </c>
      <c r="Y2085" s="220">
        <v>8</v>
      </c>
    </row>
    <row r="2086" spans="23:25" x14ac:dyDescent="0.25">
      <c r="W2086" s="214" t="s">
        <v>242</v>
      </c>
      <c r="X2086" s="214" t="s">
        <v>2276</v>
      </c>
      <c r="Y2086" s="220">
        <v>8</v>
      </c>
    </row>
    <row r="2087" spans="23:25" x14ac:dyDescent="0.25">
      <c r="W2087" s="214" t="s">
        <v>398</v>
      </c>
      <c r="X2087" s="214" t="s">
        <v>2277</v>
      </c>
      <c r="Y2087" s="220">
        <v>6</v>
      </c>
    </row>
    <row r="2088" spans="23:25" x14ac:dyDescent="0.25">
      <c r="W2088" s="214" t="s">
        <v>398</v>
      </c>
      <c r="X2088" s="214" t="s">
        <v>2278</v>
      </c>
      <c r="Y2088" s="220">
        <v>6</v>
      </c>
    </row>
    <row r="2089" spans="23:25" x14ac:dyDescent="0.25">
      <c r="W2089" s="214" t="s">
        <v>398</v>
      </c>
      <c r="X2089" s="214" t="s">
        <v>2279</v>
      </c>
      <c r="Y2089" s="220">
        <v>8</v>
      </c>
    </row>
    <row r="2090" spans="23:25" x14ac:dyDescent="0.25">
      <c r="W2090" s="214" t="s">
        <v>1763</v>
      </c>
      <c r="X2090" s="214" t="s">
        <v>2280</v>
      </c>
      <c r="Y2090" s="220">
        <v>8</v>
      </c>
    </row>
    <row r="2091" spans="23:25" x14ac:dyDescent="0.25">
      <c r="W2091" s="214" t="s">
        <v>242</v>
      </c>
      <c r="X2091" s="214" t="s">
        <v>2281</v>
      </c>
      <c r="Y2091" s="220">
        <v>8</v>
      </c>
    </row>
    <row r="2092" spans="23:25" x14ac:dyDescent="0.25">
      <c r="W2092" s="214" t="s">
        <v>398</v>
      </c>
      <c r="X2092" s="214" t="s">
        <v>2282</v>
      </c>
      <c r="Y2092" s="220">
        <v>5</v>
      </c>
    </row>
    <row r="2093" spans="23:25" x14ac:dyDescent="0.25">
      <c r="W2093" s="214" t="s">
        <v>274</v>
      </c>
      <c r="X2093" s="214" t="s">
        <v>2283</v>
      </c>
      <c r="Y2093" s="220">
        <v>5</v>
      </c>
    </row>
    <row r="2094" spans="23:25" x14ac:dyDescent="0.25">
      <c r="W2094" s="214" t="s">
        <v>242</v>
      </c>
      <c r="X2094" s="214" t="s">
        <v>2284</v>
      </c>
      <c r="Y2094" s="220">
        <v>8</v>
      </c>
    </row>
    <row r="2095" spans="23:25" x14ac:dyDescent="0.25">
      <c r="W2095" s="214" t="s">
        <v>244</v>
      </c>
      <c r="X2095" s="214" t="s">
        <v>2285</v>
      </c>
      <c r="Y2095" s="220">
        <v>8</v>
      </c>
    </row>
    <row r="2096" spans="23:25" x14ac:dyDescent="0.25">
      <c r="W2096" s="214" t="s">
        <v>244</v>
      </c>
      <c r="X2096" s="214" t="s">
        <v>2286</v>
      </c>
      <c r="Y2096" s="220">
        <v>8</v>
      </c>
    </row>
    <row r="2097" spans="23:25" x14ac:dyDescent="0.25">
      <c r="W2097" s="214" t="s">
        <v>242</v>
      </c>
      <c r="X2097" s="214" t="s">
        <v>2287</v>
      </c>
      <c r="Y2097" s="220">
        <v>8</v>
      </c>
    </row>
    <row r="2098" spans="23:25" x14ac:dyDescent="0.25">
      <c r="W2098" s="214" t="s">
        <v>242</v>
      </c>
      <c r="X2098" s="214" t="s">
        <v>2288</v>
      </c>
      <c r="Y2098" s="220">
        <v>7</v>
      </c>
    </row>
    <row r="2099" spans="23:25" x14ac:dyDescent="0.25">
      <c r="W2099" s="214" t="s">
        <v>242</v>
      </c>
      <c r="X2099" s="214" t="s">
        <v>2289</v>
      </c>
      <c r="Y2099" s="220">
        <v>8</v>
      </c>
    </row>
    <row r="2100" spans="23:25" x14ac:dyDescent="0.25">
      <c r="W2100" s="214" t="s">
        <v>398</v>
      </c>
      <c r="X2100" s="214" t="s">
        <v>2290</v>
      </c>
      <c r="Y2100" s="220">
        <v>5</v>
      </c>
    </row>
    <row r="2101" spans="23:25" x14ac:dyDescent="0.25">
      <c r="W2101" s="214" t="s">
        <v>398</v>
      </c>
      <c r="X2101" s="214" t="s">
        <v>2291</v>
      </c>
      <c r="Y2101" s="220">
        <v>8</v>
      </c>
    </row>
    <row r="2102" spans="23:25" x14ac:dyDescent="0.25">
      <c r="W2102" s="214" t="s">
        <v>398</v>
      </c>
      <c r="X2102" s="214" t="s">
        <v>2292</v>
      </c>
      <c r="Y2102" s="220">
        <v>5</v>
      </c>
    </row>
    <row r="2103" spans="23:25" x14ac:dyDescent="0.25">
      <c r="W2103" s="214" t="s">
        <v>274</v>
      </c>
      <c r="X2103" s="214" t="s">
        <v>2293</v>
      </c>
      <c r="Y2103" s="220">
        <v>5</v>
      </c>
    </row>
    <row r="2104" spans="23:25" x14ac:dyDescent="0.25">
      <c r="W2104" s="214" t="s">
        <v>398</v>
      </c>
      <c r="X2104" s="214" t="s">
        <v>2294</v>
      </c>
      <c r="Y2104" s="220">
        <v>5</v>
      </c>
    </row>
    <row r="2105" spans="23:25" x14ac:dyDescent="0.25">
      <c r="W2105" s="214" t="s">
        <v>398</v>
      </c>
      <c r="X2105" s="214" t="s">
        <v>2295</v>
      </c>
      <c r="Y2105" s="220">
        <v>8</v>
      </c>
    </row>
    <row r="2106" spans="23:25" x14ac:dyDescent="0.25">
      <c r="W2106" s="214" t="s">
        <v>242</v>
      </c>
      <c r="X2106" s="214" t="s">
        <v>2296</v>
      </c>
      <c r="Y2106" s="220">
        <v>8</v>
      </c>
    </row>
    <row r="2107" spans="23:25" x14ac:dyDescent="0.25">
      <c r="W2107" s="214" t="s">
        <v>242</v>
      </c>
      <c r="X2107" s="214" t="s">
        <v>2297</v>
      </c>
      <c r="Y2107" s="220">
        <v>8</v>
      </c>
    </row>
    <row r="2108" spans="23:25" x14ac:dyDescent="0.25">
      <c r="W2108" s="214" t="s">
        <v>242</v>
      </c>
      <c r="X2108" s="214" t="s">
        <v>1270</v>
      </c>
      <c r="Y2108" s="220">
        <v>6</v>
      </c>
    </row>
    <row r="2109" spans="23:25" x14ac:dyDescent="0.25">
      <c r="W2109" s="214" t="s">
        <v>398</v>
      </c>
      <c r="X2109" s="214" t="s">
        <v>2298</v>
      </c>
      <c r="Y2109" s="220">
        <v>8</v>
      </c>
    </row>
    <row r="2110" spans="23:25" x14ac:dyDescent="0.25">
      <c r="W2110" s="214" t="s">
        <v>242</v>
      </c>
      <c r="X2110" s="214" t="s">
        <v>2299</v>
      </c>
      <c r="Y2110" s="220">
        <v>8</v>
      </c>
    </row>
    <row r="2111" spans="23:25" x14ac:dyDescent="0.25">
      <c r="W2111" s="214" t="s">
        <v>69</v>
      </c>
      <c r="X2111" s="214" t="s">
        <v>2300</v>
      </c>
      <c r="Y2111" s="220">
        <v>8</v>
      </c>
    </row>
    <row r="2112" spans="23:25" x14ac:dyDescent="0.25">
      <c r="W2112" s="214" t="s">
        <v>242</v>
      </c>
      <c r="X2112" s="214" t="s">
        <v>360</v>
      </c>
      <c r="Y2112" s="220">
        <v>8</v>
      </c>
    </row>
    <row r="2113" spans="23:25" x14ac:dyDescent="0.25">
      <c r="W2113" s="214" t="s">
        <v>398</v>
      </c>
      <c r="X2113" s="214" t="s">
        <v>2301</v>
      </c>
      <c r="Y2113" s="220">
        <v>8</v>
      </c>
    </row>
    <row r="2114" spans="23:25" x14ac:dyDescent="0.25">
      <c r="W2114" s="214" t="s">
        <v>274</v>
      </c>
      <c r="X2114" s="214" t="s">
        <v>2302</v>
      </c>
      <c r="Y2114" s="220">
        <v>5</v>
      </c>
    </row>
    <row r="2115" spans="23:25" x14ac:dyDescent="0.25">
      <c r="W2115" s="214" t="s">
        <v>242</v>
      </c>
      <c r="X2115" s="214" t="s">
        <v>2303</v>
      </c>
      <c r="Y2115" s="220">
        <v>8</v>
      </c>
    </row>
    <row r="2116" spans="23:25" x14ac:dyDescent="0.25">
      <c r="W2116" s="214" t="s">
        <v>244</v>
      </c>
      <c r="X2116" s="214" t="s">
        <v>2304</v>
      </c>
      <c r="Y2116" s="220">
        <v>8</v>
      </c>
    </row>
    <row r="2117" spans="23:25" x14ac:dyDescent="0.25">
      <c r="W2117" s="214" t="s">
        <v>242</v>
      </c>
      <c r="X2117" s="214" t="s">
        <v>2305</v>
      </c>
      <c r="Y2117" s="220">
        <v>7</v>
      </c>
    </row>
    <row r="2118" spans="23:25" x14ac:dyDescent="0.25">
      <c r="W2118" s="214" t="s">
        <v>274</v>
      </c>
      <c r="X2118" s="214" t="s">
        <v>2306</v>
      </c>
      <c r="Y2118" s="220">
        <v>3</v>
      </c>
    </row>
    <row r="2119" spans="23:25" x14ac:dyDescent="0.25">
      <c r="W2119" s="214" t="s">
        <v>69</v>
      </c>
      <c r="X2119" s="214" t="s">
        <v>2307</v>
      </c>
      <c r="Y2119" s="220">
        <v>8</v>
      </c>
    </row>
    <row r="2120" spans="23:25" x14ac:dyDescent="0.25">
      <c r="W2120" s="214" t="s">
        <v>242</v>
      </c>
      <c r="X2120" s="214" t="s">
        <v>2308</v>
      </c>
      <c r="Y2120" s="220">
        <v>8</v>
      </c>
    </row>
    <row r="2121" spans="23:25" x14ac:dyDescent="0.25">
      <c r="W2121" s="214" t="s">
        <v>242</v>
      </c>
      <c r="X2121" s="214" t="s">
        <v>2309</v>
      </c>
      <c r="Y2121" s="220">
        <v>6</v>
      </c>
    </row>
    <row r="2122" spans="23:25" x14ac:dyDescent="0.25">
      <c r="W2122" s="214" t="s">
        <v>242</v>
      </c>
      <c r="X2122" s="214" t="s">
        <v>2310</v>
      </c>
      <c r="Y2122" s="220">
        <v>8</v>
      </c>
    </row>
    <row r="2123" spans="23:25" x14ac:dyDescent="0.25">
      <c r="W2123" s="214" t="s">
        <v>242</v>
      </c>
      <c r="X2123" s="214" t="s">
        <v>2311</v>
      </c>
      <c r="Y2123" s="220">
        <v>7</v>
      </c>
    </row>
    <row r="2124" spans="23:25" x14ac:dyDescent="0.25">
      <c r="W2124" s="214" t="s">
        <v>242</v>
      </c>
      <c r="X2124" s="214" t="s">
        <v>2312</v>
      </c>
      <c r="Y2124" s="220">
        <v>7</v>
      </c>
    </row>
    <row r="2125" spans="23:25" x14ac:dyDescent="0.25">
      <c r="W2125" s="214" t="s">
        <v>69</v>
      </c>
      <c r="X2125" s="214" t="s">
        <v>2313</v>
      </c>
      <c r="Y2125" s="220">
        <v>8</v>
      </c>
    </row>
    <row r="2126" spans="23:25" x14ac:dyDescent="0.25">
      <c r="W2126" s="214" t="s">
        <v>242</v>
      </c>
      <c r="X2126" s="214" t="s">
        <v>2314</v>
      </c>
      <c r="Y2126" s="220">
        <v>8</v>
      </c>
    </row>
    <row r="2127" spans="23:25" x14ac:dyDescent="0.25">
      <c r="W2127" s="214" t="s">
        <v>242</v>
      </c>
      <c r="X2127" s="214" t="s">
        <v>2315</v>
      </c>
      <c r="Y2127" s="220">
        <v>7</v>
      </c>
    </row>
    <row r="2128" spans="23:25" x14ac:dyDescent="0.25">
      <c r="W2128" s="214" t="s">
        <v>242</v>
      </c>
      <c r="X2128" s="214" t="s">
        <v>2316</v>
      </c>
      <c r="Y2128" s="220">
        <v>7</v>
      </c>
    </row>
    <row r="2129" spans="23:25" x14ac:dyDescent="0.25">
      <c r="W2129" s="214" t="s">
        <v>242</v>
      </c>
      <c r="X2129" s="214" t="s">
        <v>2317</v>
      </c>
      <c r="Y2129" s="220">
        <v>8</v>
      </c>
    </row>
    <row r="2130" spans="23:25" x14ac:dyDescent="0.25">
      <c r="W2130" s="214" t="s">
        <v>398</v>
      </c>
      <c r="X2130" s="214" t="s">
        <v>2318</v>
      </c>
      <c r="Y2130" s="220">
        <v>8</v>
      </c>
    </row>
    <row r="2131" spans="23:25" x14ac:dyDescent="0.25">
      <c r="W2131" s="214" t="s">
        <v>274</v>
      </c>
      <c r="X2131" s="214" t="s">
        <v>2319</v>
      </c>
      <c r="Y2131" s="220">
        <v>3</v>
      </c>
    </row>
    <row r="2132" spans="23:25" x14ac:dyDescent="0.25">
      <c r="W2132" s="214" t="s">
        <v>398</v>
      </c>
      <c r="X2132" s="214" t="s">
        <v>2320</v>
      </c>
      <c r="Y2132" s="220">
        <v>5</v>
      </c>
    </row>
    <row r="2133" spans="23:25" x14ac:dyDescent="0.25">
      <c r="W2133" s="214" t="s">
        <v>274</v>
      </c>
      <c r="X2133" s="214" t="s">
        <v>2321</v>
      </c>
      <c r="Y2133" s="220">
        <v>3</v>
      </c>
    </row>
    <row r="2134" spans="23:25" x14ac:dyDescent="0.25">
      <c r="W2134" s="214" t="s">
        <v>69</v>
      </c>
      <c r="X2134" s="214" t="s">
        <v>2322</v>
      </c>
      <c r="Y2134" s="220">
        <v>8</v>
      </c>
    </row>
    <row r="2135" spans="23:25" x14ac:dyDescent="0.25">
      <c r="W2135" s="214" t="s">
        <v>242</v>
      </c>
      <c r="X2135" s="214" t="s">
        <v>2323</v>
      </c>
      <c r="Y2135" s="220">
        <v>7</v>
      </c>
    </row>
    <row r="2136" spans="23:25" x14ac:dyDescent="0.25">
      <c r="W2136" s="214" t="s">
        <v>242</v>
      </c>
      <c r="X2136" s="214" t="s">
        <v>2324</v>
      </c>
      <c r="Y2136" s="220">
        <v>7</v>
      </c>
    </row>
    <row r="2137" spans="23:25" x14ac:dyDescent="0.25">
      <c r="W2137" s="214" t="s">
        <v>69</v>
      </c>
      <c r="X2137" s="214" t="s">
        <v>1312</v>
      </c>
      <c r="Y2137" s="220">
        <v>8</v>
      </c>
    </row>
    <row r="2138" spans="23:25" x14ac:dyDescent="0.25">
      <c r="W2138" s="214" t="s">
        <v>69</v>
      </c>
      <c r="X2138" s="214" t="s">
        <v>2325</v>
      </c>
      <c r="Y2138" s="220">
        <v>8</v>
      </c>
    </row>
    <row r="2139" spans="23:25" x14ac:dyDescent="0.25">
      <c r="W2139" s="214" t="s">
        <v>398</v>
      </c>
      <c r="X2139" s="214" t="s">
        <v>2326</v>
      </c>
      <c r="Y2139" s="220">
        <v>6</v>
      </c>
    </row>
    <row r="2140" spans="23:25" x14ac:dyDescent="0.25">
      <c r="W2140" s="214" t="s">
        <v>69</v>
      </c>
      <c r="X2140" s="214" t="s">
        <v>2327</v>
      </c>
      <c r="Y2140" s="220">
        <v>8</v>
      </c>
    </row>
    <row r="2141" spans="23:25" x14ac:dyDescent="0.25">
      <c r="W2141" s="214" t="s">
        <v>69</v>
      </c>
      <c r="X2141" s="214" t="s">
        <v>2328</v>
      </c>
      <c r="Y2141" s="220">
        <v>8</v>
      </c>
    </row>
    <row r="2142" spans="23:25" x14ac:dyDescent="0.25">
      <c r="W2142" s="214" t="s">
        <v>69</v>
      </c>
      <c r="X2142" s="214" t="s">
        <v>2329</v>
      </c>
      <c r="Y2142" s="220">
        <v>8</v>
      </c>
    </row>
    <row r="2143" spans="23:25" x14ac:dyDescent="0.25">
      <c r="W2143" s="214" t="s">
        <v>69</v>
      </c>
      <c r="X2143" s="214" t="s">
        <v>2330</v>
      </c>
      <c r="Y2143" s="220">
        <v>8</v>
      </c>
    </row>
    <row r="2144" spans="23:25" x14ac:dyDescent="0.25">
      <c r="W2144" s="214" t="s">
        <v>69</v>
      </c>
      <c r="X2144" s="214" t="s">
        <v>2331</v>
      </c>
      <c r="Y2144" s="220">
        <v>8</v>
      </c>
    </row>
    <row r="2145" spans="23:25" x14ac:dyDescent="0.25">
      <c r="W2145" s="214" t="s">
        <v>1740</v>
      </c>
      <c r="X2145" s="214" t="s">
        <v>2332</v>
      </c>
      <c r="Y2145" s="220">
        <v>6</v>
      </c>
    </row>
    <row r="2146" spans="23:25" x14ac:dyDescent="0.25">
      <c r="W2146" s="214" t="s">
        <v>69</v>
      </c>
      <c r="X2146" s="214" t="s">
        <v>2333</v>
      </c>
      <c r="Y2146" s="220">
        <v>8</v>
      </c>
    </row>
    <row r="2147" spans="23:25" x14ac:dyDescent="0.25">
      <c r="W2147" s="214" t="s">
        <v>69</v>
      </c>
      <c r="X2147" s="214" t="s">
        <v>2334</v>
      </c>
      <c r="Y2147" s="220">
        <v>8</v>
      </c>
    </row>
    <row r="2148" spans="23:25" x14ac:dyDescent="0.25">
      <c r="W2148" s="214" t="s">
        <v>274</v>
      </c>
      <c r="X2148" s="214" t="s">
        <v>2335</v>
      </c>
      <c r="Y2148" s="220">
        <v>3</v>
      </c>
    </row>
    <row r="2149" spans="23:25" x14ac:dyDescent="0.25">
      <c r="W2149" s="214" t="s">
        <v>274</v>
      </c>
      <c r="X2149" s="214" t="s">
        <v>2336</v>
      </c>
      <c r="Y2149" s="220">
        <v>3</v>
      </c>
    </row>
    <row r="2150" spans="23:25" x14ac:dyDescent="0.25">
      <c r="W2150" s="214" t="s">
        <v>242</v>
      </c>
      <c r="X2150" s="214" t="s">
        <v>2337</v>
      </c>
      <c r="Y2150" s="220">
        <v>7</v>
      </c>
    </row>
    <row r="2151" spans="23:25" x14ac:dyDescent="0.25">
      <c r="W2151" s="214" t="s">
        <v>69</v>
      </c>
      <c r="X2151" s="214" t="s">
        <v>2338</v>
      </c>
      <c r="Y2151" s="220">
        <v>8</v>
      </c>
    </row>
    <row r="2152" spans="23:25" x14ac:dyDescent="0.25">
      <c r="W2152" s="214" t="s">
        <v>242</v>
      </c>
      <c r="X2152" s="214" t="s">
        <v>2339</v>
      </c>
      <c r="Y2152" s="220">
        <v>6</v>
      </c>
    </row>
    <row r="2153" spans="23:25" x14ac:dyDescent="0.25">
      <c r="W2153" s="214" t="s">
        <v>69</v>
      </c>
      <c r="X2153" s="214" t="s">
        <v>2340</v>
      </c>
      <c r="Y2153" s="220">
        <v>8</v>
      </c>
    </row>
    <row r="2154" spans="23:25" x14ac:dyDescent="0.25">
      <c r="W2154" s="214" t="s">
        <v>274</v>
      </c>
      <c r="X2154" s="214" t="s">
        <v>2341</v>
      </c>
      <c r="Y2154" s="220">
        <v>5</v>
      </c>
    </row>
    <row r="2155" spans="23:25" x14ac:dyDescent="0.25">
      <c r="W2155" s="214" t="s">
        <v>274</v>
      </c>
      <c r="X2155" s="214" t="s">
        <v>2342</v>
      </c>
      <c r="Y2155" s="220">
        <v>5</v>
      </c>
    </row>
    <row r="2156" spans="23:25" x14ac:dyDescent="0.25">
      <c r="W2156" s="214" t="s">
        <v>242</v>
      </c>
      <c r="X2156" s="214" t="s">
        <v>2343</v>
      </c>
      <c r="Y2156" s="220">
        <v>6</v>
      </c>
    </row>
    <row r="2157" spans="23:25" x14ac:dyDescent="0.25">
      <c r="W2157" s="214" t="s">
        <v>274</v>
      </c>
      <c r="X2157" s="214" t="s">
        <v>2344</v>
      </c>
      <c r="Y2157" s="220">
        <v>3</v>
      </c>
    </row>
    <row r="2158" spans="23:25" x14ac:dyDescent="0.25">
      <c r="W2158" s="214" t="s">
        <v>242</v>
      </c>
      <c r="X2158" s="214" t="s">
        <v>2345</v>
      </c>
      <c r="Y2158" s="220">
        <v>7</v>
      </c>
    </row>
    <row r="2159" spans="23:25" x14ac:dyDescent="0.25">
      <c r="W2159" s="214" t="s">
        <v>398</v>
      </c>
      <c r="X2159" s="214" t="s">
        <v>2346</v>
      </c>
      <c r="Y2159" s="220">
        <v>6</v>
      </c>
    </row>
    <row r="2160" spans="23:25" x14ac:dyDescent="0.25">
      <c r="W2160" s="214" t="s">
        <v>242</v>
      </c>
      <c r="X2160" s="214" t="s">
        <v>2347</v>
      </c>
      <c r="Y2160" s="220">
        <v>6</v>
      </c>
    </row>
    <row r="2161" spans="23:25" x14ac:dyDescent="0.25">
      <c r="W2161" s="214" t="s">
        <v>242</v>
      </c>
      <c r="X2161" s="214" t="s">
        <v>2348</v>
      </c>
      <c r="Y2161" s="220">
        <v>7</v>
      </c>
    </row>
    <row r="2162" spans="23:25" x14ac:dyDescent="0.25">
      <c r="W2162" s="214" t="s">
        <v>398</v>
      </c>
      <c r="X2162" s="214" t="s">
        <v>2349</v>
      </c>
      <c r="Y2162" s="220">
        <v>5</v>
      </c>
    </row>
    <row r="2163" spans="23:25" x14ac:dyDescent="0.25">
      <c r="W2163" s="214" t="s">
        <v>244</v>
      </c>
      <c r="X2163" s="214" t="s">
        <v>2350</v>
      </c>
      <c r="Y2163" s="220">
        <v>8</v>
      </c>
    </row>
    <row r="2164" spans="23:25" x14ac:dyDescent="0.25">
      <c r="W2164" s="214" t="s">
        <v>69</v>
      </c>
      <c r="X2164" s="214" t="s">
        <v>2351</v>
      </c>
      <c r="Y2164" s="220">
        <v>8</v>
      </c>
    </row>
    <row r="2165" spans="23:25" x14ac:dyDescent="0.25">
      <c r="W2165" s="214" t="s">
        <v>398</v>
      </c>
      <c r="X2165" s="214" t="s">
        <v>2352</v>
      </c>
      <c r="Y2165" s="220">
        <v>6</v>
      </c>
    </row>
    <row r="2166" spans="23:25" x14ac:dyDescent="0.25">
      <c r="W2166" s="214" t="s">
        <v>274</v>
      </c>
      <c r="X2166" s="214" t="s">
        <v>2353</v>
      </c>
      <c r="Y2166" s="220">
        <v>5</v>
      </c>
    </row>
    <row r="2167" spans="23:25" x14ac:dyDescent="0.25">
      <c r="W2167" s="214" t="s">
        <v>1716</v>
      </c>
      <c r="X2167" s="214" t="s">
        <v>2354</v>
      </c>
      <c r="Y2167" s="220">
        <v>8</v>
      </c>
    </row>
    <row r="2168" spans="23:25" x14ac:dyDescent="0.25">
      <c r="W2168" s="214" t="s">
        <v>1978</v>
      </c>
      <c r="X2168" s="214" t="s">
        <v>2355</v>
      </c>
      <c r="Y2168" s="220">
        <v>8</v>
      </c>
    </row>
    <row r="2169" spans="23:25" x14ac:dyDescent="0.25">
      <c r="W2169" s="214" t="s">
        <v>69</v>
      </c>
      <c r="X2169" s="214" t="s">
        <v>2356</v>
      </c>
      <c r="Y2169" s="220">
        <v>8</v>
      </c>
    </row>
    <row r="2170" spans="23:25" x14ac:dyDescent="0.25">
      <c r="W2170" s="214" t="s">
        <v>242</v>
      </c>
      <c r="X2170" s="214" t="s">
        <v>2357</v>
      </c>
      <c r="Y2170" s="220">
        <v>7</v>
      </c>
    </row>
    <row r="2171" spans="23:25" x14ac:dyDescent="0.25">
      <c r="W2171" s="214" t="s">
        <v>398</v>
      </c>
      <c r="X2171" s="214" t="s">
        <v>2358</v>
      </c>
      <c r="Y2171" s="220">
        <v>5</v>
      </c>
    </row>
    <row r="2172" spans="23:25" x14ac:dyDescent="0.25">
      <c r="W2172" s="214" t="s">
        <v>1740</v>
      </c>
      <c r="X2172" s="214" t="s">
        <v>2359</v>
      </c>
      <c r="Y2172" s="220">
        <v>6</v>
      </c>
    </row>
    <row r="2173" spans="23:25" x14ac:dyDescent="0.25">
      <c r="W2173" s="214" t="s">
        <v>2185</v>
      </c>
      <c r="X2173" s="214" t="s">
        <v>2360</v>
      </c>
      <c r="Y2173" s="220">
        <v>6</v>
      </c>
    </row>
    <row r="2174" spans="23:25" x14ac:dyDescent="0.25">
      <c r="W2174" s="214" t="s">
        <v>274</v>
      </c>
      <c r="X2174" s="214" t="s">
        <v>2361</v>
      </c>
      <c r="Y2174" s="220">
        <v>3</v>
      </c>
    </row>
    <row r="2175" spans="23:25" x14ac:dyDescent="0.25">
      <c r="W2175" s="214" t="s">
        <v>242</v>
      </c>
      <c r="X2175" s="214" t="s">
        <v>2362</v>
      </c>
      <c r="Y2175" s="220">
        <v>6</v>
      </c>
    </row>
    <row r="2176" spans="23:25" x14ac:dyDescent="0.25">
      <c r="W2176" s="214" t="s">
        <v>274</v>
      </c>
      <c r="X2176" s="214" t="s">
        <v>2363</v>
      </c>
      <c r="Y2176" s="220">
        <v>5</v>
      </c>
    </row>
    <row r="2177" spans="23:25" x14ac:dyDescent="0.25">
      <c r="W2177" s="214" t="s">
        <v>274</v>
      </c>
      <c r="X2177" s="214" t="s">
        <v>2364</v>
      </c>
      <c r="Y2177" s="220">
        <v>5</v>
      </c>
    </row>
    <row r="2178" spans="23:25" x14ac:dyDescent="0.25">
      <c r="W2178" s="214" t="s">
        <v>69</v>
      </c>
      <c r="X2178" s="214" t="s">
        <v>2365</v>
      </c>
      <c r="Y2178" s="220">
        <v>8</v>
      </c>
    </row>
    <row r="2179" spans="23:25" x14ac:dyDescent="0.25">
      <c r="W2179" s="214" t="s">
        <v>244</v>
      </c>
      <c r="X2179" s="214" t="s">
        <v>2366</v>
      </c>
      <c r="Y2179" s="220">
        <v>8</v>
      </c>
    </row>
    <row r="2180" spans="23:25" x14ac:dyDescent="0.25">
      <c r="W2180" s="214" t="s">
        <v>242</v>
      </c>
      <c r="X2180" s="214" t="s">
        <v>1855</v>
      </c>
      <c r="Y2180" s="220">
        <v>7</v>
      </c>
    </row>
    <row r="2181" spans="23:25" x14ac:dyDescent="0.25">
      <c r="W2181" s="214" t="s">
        <v>398</v>
      </c>
      <c r="X2181" s="214" t="s">
        <v>2367</v>
      </c>
      <c r="Y2181" s="220">
        <v>8</v>
      </c>
    </row>
    <row r="2182" spans="23:25" x14ac:dyDescent="0.25">
      <c r="W2182" s="214" t="s">
        <v>274</v>
      </c>
      <c r="X2182" s="214" t="s">
        <v>2368</v>
      </c>
      <c r="Y2182" s="220">
        <v>5</v>
      </c>
    </row>
    <row r="2183" spans="23:25" x14ac:dyDescent="0.25">
      <c r="W2183" s="214" t="s">
        <v>274</v>
      </c>
      <c r="X2183" s="214" t="s">
        <v>2369</v>
      </c>
      <c r="Y2183" s="220">
        <v>5</v>
      </c>
    </row>
    <row r="2184" spans="23:25" x14ac:dyDescent="0.25">
      <c r="W2184" s="214" t="s">
        <v>69</v>
      </c>
      <c r="X2184" s="214" t="s">
        <v>2370</v>
      </c>
      <c r="Y2184" s="220">
        <v>8</v>
      </c>
    </row>
    <row r="2185" spans="23:25" x14ac:dyDescent="0.25">
      <c r="W2185" s="214" t="s">
        <v>69</v>
      </c>
      <c r="X2185" s="214" t="s">
        <v>2371</v>
      </c>
      <c r="Y2185" s="220">
        <v>8</v>
      </c>
    </row>
    <row r="2186" spans="23:25" x14ac:dyDescent="0.25">
      <c r="W2186" s="214" t="s">
        <v>274</v>
      </c>
      <c r="X2186" s="214" t="s">
        <v>2372</v>
      </c>
      <c r="Y2186" s="220">
        <v>5</v>
      </c>
    </row>
    <row r="2187" spans="23:25" x14ac:dyDescent="0.25">
      <c r="W2187" s="214" t="s">
        <v>274</v>
      </c>
      <c r="X2187" s="214" t="s">
        <v>2373</v>
      </c>
      <c r="Y2187" s="220">
        <v>5</v>
      </c>
    </row>
    <row r="2188" spans="23:25" x14ac:dyDescent="0.25">
      <c r="W2188" s="214" t="s">
        <v>1716</v>
      </c>
      <c r="X2188" s="214" t="s">
        <v>1060</v>
      </c>
      <c r="Y2188" s="220">
        <v>8</v>
      </c>
    </row>
    <row r="2189" spans="23:25" x14ac:dyDescent="0.25">
      <c r="W2189" s="214" t="s">
        <v>69</v>
      </c>
      <c r="X2189" s="214" t="s">
        <v>2374</v>
      </c>
      <c r="Y2189" s="220">
        <v>8</v>
      </c>
    </row>
    <row r="2190" spans="23:25" x14ac:dyDescent="0.25">
      <c r="W2190" s="214" t="s">
        <v>398</v>
      </c>
      <c r="X2190" s="214" t="s">
        <v>2375</v>
      </c>
      <c r="Y2190" s="220">
        <v>5</v>
      </c>
    </row>
    <row r="2191" spans="23:25" x14ac:dyDescent="0.25">
      <c r="W2191" s="214" t="s">
        <v>242</v>
      </c>
      <c r="X2191" s="214" t="s">
        <v>2376</v>
      </c>
      <c r="Y2191" s="220">
        <v>7</v>
      </c>
    </row>
    <row r="2192" spans="23:25" x14ac:dyDescent="0.25">
      <c r="W2192" s="214" t="s">
        <v>398</v>
      </c>
      <c r="X2192" s="214" t="s">
        <v>2377</v>
      </c>
      <c r="Y2192" s="220">
        <v>8</v>
      </c>
    </row>
    <row r="2193" spans="23:25" x14ac:dyDescent="0.25">
      <c r="W2193" s="214" t="s">
        <v>69</v>
      </c>
      <c r="X2193" s="214" t="s">
        <v>2378</v>
      </c>
      <c r="Y2193" s="220">
        <v>8</v>
      </c>
    </row>
    <row r="2194" spans="23:25" x14ac:dyDescent="0.25">
      <c r="W2194" s="214" t="s">
        <v>398</v>
      </c>
      <c r="X2194" s="214" t="s">
        <v>2379</v>
      </c>
      <c r="Y2194" s="220">
        <v>6</v>
      </c>
    </row>
    <row r="2195" spans="23:25" x14ac:dyDescent="0.25">
      <c r="W2195" s="214" t="s">
        <v>1716</v>
      </c>
      <c r="X2195" s="214" t="s">
        <v>2380</v>
      </c>
      <c r="Y2195" s="220">
        <v>8</v>
      </c>
    </row>
    <row r="2196" spans="23:25" x14ac:dyDescent="0.25">
      <c r="W2196" s="214" t="s">
        <v>274</v>
      </c>
      <c r="X2196" s="214" t="s">
        <v>2381</v>
      </c>
      <c r="Y2196" s="220">
        <v>5</v>
      </c>
    </row>
    <row r="2197" spans="23:25" x14ac:dyDescent="0.25">
      <c r="W2197" s="214" t="s">
        <v>1716</v>
      </c>
      <c r="X2197" s="214" t="s">
        <v>2382</v>
      </c>
      <c r="Y2197" s="220">
        <v>8</v>
      </c>
    </row>
    <row r="2198" spans="23:25" x14ac:dyDescent="0.25">
      <c r="W2198" s="214" t="s">
        <v>274</v>
      </c>
      <c r="X2198" s="214" t="s">
        <v>2383</v>
      </c>
      <c r="Y2198" s="220">
        <v>5</v>
      </c>
    </row>
    <row r="2199" spans="23:25" x14ac:dyDescent="0.25">
      <c r="W2199" s="214" t="s">
        <v>242</v>
      </c>
      <c r="X2199" s="214" t="s">
        <v>2384</v>
      </c>
      <c r="Y2199" s="220">
        <v>8</v>
      </c>
    </row>
    <row r="2200" spans="23:25" x14ac:dyDescent="0.25">
      <c r="W2200" s="214" t="s">
        <v>1716</v>
      </c>
      <c r="X2200" s="214" t="s">
        <v>2385</v>
      </c>
      <c r="Y2200" s="220">
        <v>8</v>
      </c>
    </row>
    <row r="2201" spans="23:25" x14ac:dyDescent="0.25">
      <c r="W2201" s="214" t="s">
        <v>1716</v>
      </c>
      <c r="X2201" s="214" t="s">
        <v>2386</v>
      </c>
      <c r="Y2201" s="220">
        <v>8</v>
      </c>
    </row>
    <row r="2202" spans="23:25" x14ac:dyDescent="0.25">
      <c r="W2202" s="214" t="s">
        <v>69</v>
      </c>
      <c r="X2202" s="214" t="s">
        <v>2387</v>
      </c>
      <c r="Y2202" s="220">
        <v>8</v>
      </c>
    </row>
    <row r="2203" spans="23:25" x14ac:dyDescent="0.25">
      <c r="W2203" s="214" t="s">
        <v>398</v>
      </c>
      <c r="X2203" s="214" t="s">
        <v>2388</v>
      </c>
      <c r="Y2203" s="220">
        <v>5</v>
      </c>
    </row>
    <row r="2204" spans="23:25" x14ac:dyDescent="0.25">
      <c r="W2204" s="214" t="s">
        <v>1716</v>
      </c>
      <c r="X2204" s="214" t="s">
        <v>2389</v>
      </c>
      <c r="Y2204" s="220">
        <v>8</v>
      </c>
    </row>
    <row r="2205" spans="23:25" x14ac:dyDescent="0.25">
      <c r="W2205" s="214" t="s">
        <v>1716</v>
      </c>
      <c r="X2205" s="214" t="s">
        <v>2390</v>
      </c>
      <c r="Y2205" s="220">
        <v>8</v>
      </c>
    </row>
    <row r="2206" spans="23:25" x14ac:dyDescent="0.25">
      <c r="W2206" s="214" t="s">
        <v>398</v>
      </c>
      <c r="X2206" s="214" t="s">
        <v>2391</v>
      </c>
      <c r="Y2206" s="220">
        <v>6</v>
      </c>
    </row>
    <row r="2207" spans="23:25" x14ac:dyDescent="0.25">
      <c r="W2207" s="214" t="s">
        <v>1716</v>
      </c>
      <c r="X2207" s="214" t="s">
        <v>2392</v>
      </c>
      <c r="Y2207" s="220">
        <v>8</v>
      </c>
    </row>
    <row r="2208" spans="23:25" x14ac:dyDescent="0.25">
      <c r="W2208" s="214" t="s">
        <v>1716</v>
      </c>
      <c r="X2208" s="214" t="s">
        <v>2393</v>
      </c>
      <c r="Y2208" s="220">
        <v>8</v>
      </c>
    </row>
    <row r="2209" spans="23:25" x14ac:dyDescent="0.25">
      <c r="W2209" s="214" t="s">
        <v>274</v>
      </c>
      <c r="X2209" s="214" t="s">
        <v>2394</v>
      </c>
      <c r="Y2209" s="220">
        <v>6</v>
      </c>
    </row>
    <row r="2210" spans="23:25" x14ac:dyDescent="0.25">
      <c r="W2210" s="214" t="s">
        <v>69</v>
      </c>
      <c r="X2210" s="214" t="s">
        <v>2395</v>
      </c>
      <c r="Y2210" s="220">
        <v>8</v>
      </c>
    </row>
    <row r="2211" spans="23:25" x14ac:dyDescent="0.25">
      <c r="W2211" s="214" t="s">
        <v>1716</v>
      </c>
      <c r="X2211" s="214" t="s">
        <v>2396</v>
      </c>
      <c r="Y2211" s="220">
        <v>8</v>
      </c>
    </row>
    <row r="2212" spans="23:25" x14ac:dyDescent="0.25">
      <c r="W2212" s="214" t="s">
        <v>1716</v>
      </c>
      <c r="X2212" s="214" t="s">
        <v>2397</v>
      </c>
      <c r="Y2212" s="220">
        <v>8</v>
      </c>
    </row>
    <row r="2213" spans="23:25" x14ac:dyDescent="0.25">
      <c r="W2213" s="214" t="s">
        <v>242</v>
      </c>
      <c r="X2213" s="214" t="s">
        <v>2398</v>
      </c>
      <c r="Y2213" s="220">
        <v>7</v>
      </c>
    </row>
    <row r="2214" spans="23:25" x14ac:dyDescent="0.25">
      <c r="W2214" s="214" t="s">
        <v>274</v>
      </c>
      <c r="X2214" s="214" t="s">
        <v>2399</v>
      </c>
      <c r="Y2214" s="220">
        <v>5</v>
      </c>
    </row>
    <row r="2215" spans="23:25" x14ac:dyDescent="0.25">
      <c r="W2215" s="214" t="s">
        <v>1763</v>
      </c>
      <c r="X2215" s="214" t="s">
        <v>2400</v>
      </c>
      <c r="Y2215" s="220">
        <v>7</v>
      </c>
    </row>
    <row r="2216" spans="23:25" x14ac:dyDescent="0.25">
      <c r="W2216" s="214" t="s">
        <v>242</v>
      </c>
      <c r="X2216" s="214" t="s">
        <v>2401</v>
      </c>
      <c r="Y2216" s="220">
        <v>6</v>
      </c>
    </row>
    <row r="2217" spans="23:25" x14ac:dyDescent="0.25">
      <c r="W2217" s="214" t="s">
        <v>1763</v>
      </c>
      <c r="X2217" s="214" t="s">
        <v>2402</v>
      </c>
      <c r="Y2217" s="220">
        <v>7</v>
      </c>
    </row>
    <row r="2218" spans="23:25" x14ac:dyDescent="0.25">
      <c r="W2218" s="214" t="s">
        <v>1740</v>
      </c>
      <c r="X2218" s="214" t="s">
        <v>2403</v>
      </c>
      <c r="Y2218" s="220">
        <v>7</v>
      </c>
    </row>
    <row r="2219" spans="23:25" x14ac:dyDescent="0.25">
      <c r="W2219" s="214" t="s">
        <v>1943</v>
      </c>
      <c r="X2219" s="214" t="s">
        <v>2404</v>
      </c>
      <c r="Y2219" s="220">
        <v>7</v>
      </c>
    </row>
    <row r="2220" spans="23:25" x14ac:dyDescent="0.25">
      <c r="W2220" s="214" t="s">
        <v>1740</v>
      </c>
      <c r="X2220" s="214" t="s">
        <v>2405</v>
      </c>
      <c r="Y2220" s="220">
        <v>6</v>
      </c>
    </row>
    <row r="2221" spans="23:25" x14ac:dyDescent="0.25">
      <c r="W2221" s="214" t="s">
        <v>244</v>
      </c>
      <c r="X2221" s="214" t="s">
        <v>2406</v>
      </c>
      <c r="Y2221" s="220">
        <v>8</v>
      </c>
    </row>
    <row r="2222" spans="23:25" x14ac:dyDescent="0.25">
      <c r="W2222" s="214" t="s">
        <v>274</v>
      </c>
      <c r="X2222" s="214" t="s">
        <v>2407</v>
      </c>
      <c r="Y2222" s="220">
        <v>5</v>
      </c>
    </row>
    <row r="2223" spans="23:25" x14ac:dyDescent="0.25">
      <c r="W2223" s="214" t="s">
        <v>398</v>
      </c>
      <c r="X2223" s="214" t="s">
        <v>2408</v>
      </c>
      <c r="Y2223" s="220">
        <v>5</v>
      </c>
    </row>
    <row r="2224" spans="23:25" x14ac:dyDescent="0.25">
      <c r="W2224" s="214" t="s">
        <v>398</v>
      </c>
      <c r="X2224" s="214" t="s">
        <v>2409</v>
      </c>
      <c r="Y2224" s="220">
        <v>6</v>
      </c>
    </row>
    <row r="2225" spans="23:25" x14ac:dyDescent="0.25">
      <c r="W2225" s="214" t="s">
        <v>1763</v>
      </c>
      <c r="X2225" s="214" t="s">
        <v>2410</v>
      </c>
      <c r="Y2225" s="220">
        <v>6</v>
      </c>
    </row>
    <row r="2226" spans="23:25" x14ac:dyDescent="0.25">
      <c r="W2226" s="214" t="s">
        <v>1716</v>
      </c>
      <c r="X2226" s="214" t="s">
        <v>2411</v>
      </c>
      <c r="Y2226" s="220">
        <v>8</v>
      </c>
    </row>
    <row r="2227" spans="23:25" x14ac:dyDescent="0.25">
      <c r="W2227" s="214" t="s">
        <v>1716</v>
      </c>
      <c r="X2227" s="214" t="s">
        <v>537</v>
      </c>
      <c r="Y2227" s="220">
        <v>8</v>
      </c>
    </row>
    <row r="2228" spans="23:25" x14ac:dyDescent="0.25">
      <c r="W2228" s="214" t="s">
        <v>274</v>
      </c>
      <c r="X2228" s="214" t="s">
        <v>2412</v>
      </c>
      <c r="Y2228" s="220">
        <v>3</v>
      </c>
    </row>
    <row r="2229" spans="23:25" x14ac:dyDescent="0.25">
      <c r="W2229" s="214" t="s">
        <v>274</v>
      </c>
      <c r="X2229" s="214" t="s">
        <v>2413</v>
      </c>
      <c r="Y2229" s="220">
        <v>5</v>
      </c>
    </row>
    <row r="2230" spans="23:25" x14ac:dyDescent="0.25">
      <c r="W2230" s="214" t="s">
        <v>398</v>
      </c>
      <c r="X2230" s="214" t="s">
        <v>2414</v>
      </c>
      <c r="Y2230" s="220">
        <v>6</v>
      </c>
    </row>
    <row r="2231" spans="23:25" x14ac:dyDescent="0.25">
      <c r="W2231" s="214" t="s">
        <v>1716</v>
      </c>
      <c r="X2231" s="214" t="s">
        <v>2415</v>
      </c>
      <c r="Y2231" s="220">
        <v>8</v>
      </c>
    </row>
    <row r="2232" spans="23:25" x14ac:dyDescent="0.25">
      <c r="W2232" s="214" t="s">
        <v>1716</v>
      </c>
      <c r="X2232" s="214" t="s">
        <v>2416</v>
      </c>
      <c r="Y2232" s="220">
        <v>8</v>
      </c>
    </row>
    <row r="2233" spans="23:25" x14ac:dyDescent="0.25">
      <c r="W2233" s="214" t="s">
        <v>1740</v>
      </c>
      <c r="X2233" s="214" t="s">
        <v>2417</v>
      </c>
      <c r="Y2233" s="220">
        <v>6</v>
      </c>
    </row>
    <row r="2234" spans="23:25" x14ac:dyDescent="0.25">
      <c r="W2234" s="214" t="s">
        <v>239</v>
      </c>
      <c r="X2234" s="214" t="s">
        <v>2418</v>
      </c>
      <c r="Y2234" s="220">
        <v>3</v>
      </c>
    </row>
    <row r="2235" spans="23:25" x14ac:dyDescent="0.25">
      <c r="W2235" s="214" t="s">
        <v>1716</v>
      </c>
      <c r="X2235" s="214" t="s">
        <v>372</v>
      </c>
      <c r="Y2235" s="220">
        <v>8</v>
      </c>
    </row>
    <row r="2236" spans="23:25" x14ac:dyDescent="0.25">
      <c r="W2236" s="214" t="s">
        <v>398</v>
      </c>
      <c r="X2236" s="214" t="s">
        <v>2419</v>
      </c>
      <c r="Y2236" s="220">
        <v>6</v>
      </c>
    </row>
    <row r="2237" spans="23:25" x14ac:dyDescent="0.25">
      <c r="W2237" s="214" t="s">
        <v>274</v>
      </c>
      <c r="X2237" s="214" t="s">
        <v>2420</v>
      </c>
      <c r="Y2237" s="220">
        <v>5</v>
      </c>
    </row>
    <row r="2238" spans="23:25" x14ac:dyDescent="0.25">
      <c r="W2238" s="214" t="s">
        <v>1716</v>
      </c>
      <c r="X2238" s="214" t="s">
        <v>2421</v>
      </c>
      <c r="Y2238" s="220">
        <v>8</v>
      </c>
    </row>
    <row r="2239" spans="23:25" x14ac:dyDescent="0.25">
      <c r="W2239" s="214" t="s">
        <v>1716</v>
      </c>
      <c r="X2239" s="214" t="s">
        <v>2422</v>
      </c>
      <c r="Y2239" s="220">
        <v>8</v>
      </c>
    </row>
    <row r="2240" spans="23:25" x14ac:dyDescent="0.25">
      <c r="W2240" s="214" t="s">
        <v>398</v>
      </c>
      <c r="X2240" s="214" t="s">
        <v>2423</v>
      </c>
      <c r="Y2240" s="220">
        <v>6</v>
      </c>
    </row>
    <row r="2241" spans="23:25" x14ac:dyDescent="0.25">
      <c r="W2241" s="214" t="s">
        <v>1716</v>
      </c>
      <c r="X2241" s="214" t="s">
        <v>2424</v>
      </c>
      <c r="Y2241" s="220">
        <v>8</v>
      </c>
    </row>
    <row r="2242" spans="23:25" x14ac:dyDescent="0.25">
      <c r="W2242" s="214" t="s">
        <v>1716</v>
      </c>
      <c r="X2242" s="214" t="s">
        <v>2425</v>
      </c>
      <c r="Y2242" s="220">
        <v>8</v>
      </c>
    </row>
    <row r="2243" spans="23:25" x14ac:dyDescent="0.25">
      <c r="W2243" s="214" t="s">
        <v>1716</v>
      </c>
      <c r="X2243" s="214" t="s">
        <v>2426</v>
      </c>
      <c r="Y2243" s="220">
        <v>8</v>
      </c>
    </row>
    <row r="2244" spans="23:25" x14ac:dyDescent="0.25">
      <c r="W2244" s="214" t="s">
        <v>1716</v>
      </c>
      <c r="X2244" s="214" t="s">
        <v>2427</v>
      </c>
      <c r="Y2244" s="220">
        <v>8</v>
      </c>
    </row>
    <row r="2245" spans="23:25" x14ac:dyDescent="0.25">
      <c r="W2245" s="214" t="s">
        <v>1740</v>
      </c>
      <c r="X2245" s="214" t="s">
        <v>2428</v>
      </c>
      <c r="Y2245" s="220">
        <v>6</v>
      </c>
    </row>
    <row r="2246" spans="23:25" x14ac:dyDescent="0.25">
      <c r="W2246" s="214" t="s">
        <v>1740</v>
      </c>
      <c r="X2246" s="214" t="s">
        <v>2429</v>
      </c>
      <c r="Y2246" s="220">
        <v>6</v>
      </c>
    </row>
    <row r="2247" spans="23:25" x14ac:dyDescent="0.25">
      <c r="W2247" s="214" t="s">
        <v>1716</v>
      </c>
      <c r="X2247" s="214" t="s">
        <v>2430</v>
      </c>
      <c r="Y2247" s="220">
        <v>8</v>
      </c>
    </row>
    <row r="2248" spans="23:25" x14ac:dyDescent="0.25">
      <c r="W2248" s="214" t="s">
        <v>398</v>
      </c>
      <c r="X2248" s="214" t="s">
        <v>2431</v>
      </c>
      <c r="Y2248" s="220">
        <v>6</v>
      </c>
    </row>
    <row r="2249" spans="23:25" x14ac:dyDescent="0.25">
      <c r="W2249" s="214" t="s">
        <v>398</v>
      </c>
      <c r="X2249" s="214" t="s">
        <v>2432</v>
      </c>
      <c r="Y2249" s="220">
        <v>8</v>
      </c>
    </row>
    <row r="2250" spans="23:25" x14ac:dyDescent="0.25">
      <c r="W2250" s="214" t="s">
        <v>274</v>
      </c>
      <c r="X2250" s="214" t="s">
        <v>2433</v>
      </c>
      <c r="Y2250" s="220">
        <v>4</v>
      </c>
    </row>
    <row r="2251" spans="23:25" x14ac:dyDescent="0.25">
      <c r="W2251" s="214" t="s">
        <v>274</v>
      </c>
      <c r="X2251" s="214" t="s">
        <v>2434</v>
      </c>
      <c r="Y2251" s="220">
        <v>3</v>
      </c>
    </row>
    <row r="2252" spans="23:25" x14ac:dyDescent="0.25">
      <c r="W2252" s="214" t="s">
        <v>1716</v>
      </c>
      <c r="X2252" s="214" t="s">
        <v>2435</v>
      </c>
      <c r="Y2252" s="220">
        <v>8</v>
      </c>
    </row>
    <row r="2253" spans="23:25" x14ac:dyDescent="0.25">
      <c r="W2253" s="214" t="s">
        <v>274</v>
      </c>
      <c r="X2253" s="214" t="s">
        <v>2436</v>
      </c>
      <c r="Y2253" s="220">
        <v>3</v>
      </c>
    </row>
    <row r="2254" spans="23:25" x14ac:dyDescent="0.25">
      <c r="W2254" s="214" t="s">
        <v>1716</v>
      </c>
      <c r="X2254" s="214" t="s">
        <v>2437</v>
      </c>
      <c r="Y2254" s="220">
        <v>8</v>
      </c>
    </row>
    <row r="2255" spans="23:25" x14ac:dyDescent="0.25">
      <c r="W2255" s="214" t="s">
        <v>274</v>
      </c>
      <c r="X2255" s="214" t="s">
        <v>2438</v>
      </c>
      <c r="Y2255" s="220">
        <v>3</v>
      </c>
    </row>
    <row r="2256" spans="23:25" x14ac:dyDescent="0.25">
      <c r="W2256" s="214" t="s">
        <v>1716</v>
      </c>
      <c r="X2256" s="214" t="s">
        <v>2439</v>
      </c>
      <c r="Y2256" s="220">
        <v>8</v>
      </c>
    </row>
    <row r="2257" spans="23:25" x14ac:dyDescent="0.25">
      <c r="W2257" s="214" t="s">
        <v>274</v>
      </c>
      <c r="X2257" s="214" t="s">
        <v>2440</v>
      </c>
      <c r="Y2257" s="220">
        <v>5</v>
      </c>
    </row>
    <row r="2258" spans="23:25" x14ac:dyDescent="0.25">
      <c r="W2258" s="214" t="s">
        <v>274</v>
      </c>
      <c r="X2258" s="214" t="s">
        <v>2441</v>
      </c>
      <c r="Y2258" s="220">
        <v>6</v>
      </c>
    </row>
    <row r="2259" spans="23:25" x14ac:dyDescent="0.25">
      <c r="W2259" s="214" t="s">
        <v>398</v>
      </c>
      <c r="X2259" s="214" t="s">
        <v>939</v>
      </c>
      <c r="Y2259" s="220">
        <v>5</v>
      </c>
    </row>
    <row r="2260" spans="23:25" x14ac:dyDescent="0.25">
      <c r="W2260" s="214" t="s">
        <v>398</v>
      </c>
      <c r="X2260" s="214" t="s">
        <v>2442</v>
      </c>
      <c r="Y2260" s="220">
        <v>6</v>
      </c>
    </row>
    <row r="2261" spans="23:25" x14ac:dyDescent="0.25">
      <c r="W2261" s="214" t="s">
        <v>274</v>
      </c>
      <c r="X2261" s="214" t="s">
        <v>2443</v>
      </c>
      <c r="Y2261" s="220">
        <v>6</v>
      </c>
    </row>
    <row r="2262" spans="23:25" x14ac:dyDescent="0.25">
      <c r="W2262" s="214" t="s">
        <v>274</v>
      </c>
      <c r="X2262" s="214" t="s">
        <v>2444</v>
      </c>
      <c r="Y2262" s="220">
        <v>3</v>
      </c>
    </row>
    <row r="2263" spans="23:25" x14ac:dyDescent="0.25">
      <c r="W2263" s="214" t="s">
        <v>398</v>
      </c>
      <c r="X2263" s="214" t="s">
        <v>2445</v>
      </c>
      <c r="Y2263" s="220">
        <v>8</v>
      </c>
    </row>
    <row r="2264" spans="23:25" x14ac:dyDescent="0.25">
      <c r="W2264" s="214" t="s">
        <v>398</v>
      </c>
      <c r="X2264" s="214" t="s">
        <v>2446</v>
      </c>
      <c r="Y2264" s="220">
        <v>6</v>
      </c>
    </row>
    <row r="2265" spans="23:25" x14ac:dyDescent="0.25">
      <c r="W2265" s="214" t="s">
        <v>1740</v>
      </c>
      <c r="X2265" s="214" t="s">
        <v>2447</v>
      </c>
      <c r="Y2265" s="220">
        <v>6</v>
      </c>
    </row>
    <row r="2266" spans="23:25" x14ac:dyDescent="0.25">
      <c r="W2266" s="214" t="s">
        <v>1716</v>
      </c>
      <c r="X2266" s="214" t="s">
        <v>2448</v>
      </c>
      <c r="Y2266" s="220">
        <v>8</v>
      </c>
    </row>
    <row r="2267" spans="23:25" x14ac:dyDescent="0.25">
      <c r="W2267" s="214" t="s">
        <v>1716</v>
      </c>
      <c r="X2267" s="214" t="s">
        <v>2449</v>
      </c>
      <c r="Y2267" s="220">
        <v>5</v>
      </c>
    </row>
    <row r="2268" spans="23:25" x14ac:dyDescent="0.25">
      <c r="W2268" s="214" t="s">
        <v>1740</v>
      </c>
      <c r="X2268" s="214" t="s">
        <v>2450</v>
      </c>
      <c r="Y2268" s="220">
        <v>4</v>
      </c>
    </row>
    <row r="2269" spans="23:25" x14ac:dyDescent="0.25">
      <c r="W2269" s="214" t="s">
        <v>398</v>
      </c>
      <c r="X2269" s="214" t="s">
        <v>2451</v>
      </c>
      <c r="Y2269" s="220">
        <v>5</v>
      </c>
    </row>
    <row r="2270" spans="23:25" x14ac:dyDescent="0.25">
      <c r="W2270" s="214" t="s">
        <v>398</v>
      </c>
      <c r="X2270" s="214" t="s">
        <v>2452</v>
      </c>
      <c r="Y2270" s="220">
        <v>6</v>
      </c>
    </row>
    <row r="2271" spans="23:25" x14ac:dyDescent="0.25">
      <c r="W2271" s="214" t="s">
        <v>274</v>
      </c>
      <c r="X2271" s="214" t="s">
        <v>2453</v>
      </c>
      <c r="Y2271" s="220">
        <v>5</v>
      </c>
    </row>
    <row r="2272" spans="23:25" x14ac:dyDescent="0.25">
      <c r="W2272" s="214" t="s">
        <v>242</v>
      </c>
      <c r="X2272" s="214" t="s">
        <v>2454</v>
      </c>
      <c r="Y2272" s="220">
        <v>7</v>
      </c>
    </row>
    <row r="2273" spans="23:25" x14ac:dyDescent="0.25">
      <c r="W2273" s="214" t="s">
        <v>1740</v>
      </c>
      <c r="X2273" s="214" t="s">
        <v>2455</v>
      </c>
      <c r="Y2273" s="220">
        <v>6</v>
      </c>
    </row>
    <row r="2274" spans="23:25" x14ac:dyDescent="0.25">
      <c r="W2274" s="214" t="s">
        <v>274</v>
      </c>
      <c r="X2274" s="214" t="s">
        <v>2456</v>
      </c>
      <c r="Y2274" s="220">
        <v>3</v>
      </c>
    </row>
    <row r="2275" spans="23:25" x14ac:dyDescent="0.25">
      <c r="W2275" s="214" t="s">
        <v>1763</v>
      </c>
      <c r="X2275" s="214" t="s">
        <v>2457</v>
      </c>
      <c r="Y2275" s="220">
        <v>6</v>
      </c>
    </row>
    <row r="2276" spans="23:25" x14ac:dyDescent="0.25">
      <c r="W2276" s="214" t="s">
        <v>274</v>
      </c>
      <c r="X2276" s="214" t="s">
        <v>2458</v>
      </c>
      <c r="Y2276" s="220">
        <v>6</v>
      </c>
    </row>
    <row r="2277" spans="23:25" x14ac:dyDescent="0.25">
      <c r="W2277" s="214" t="s">
        <v>274</v>
      </c>
      <c r="X2277" s="214" t="s">
        <v>2459</v>
      </c>
      <c r="Y2277" s="220">
        <v>4</v>
      </c>
    </row>
    <row r="2278" spans="23:25" x14ac:dyDescent="0.25">
      <c r="W2278" s="214" t="s">
        <v>398</v>
      </c>
      <c r="X2278" s="214" t="s">
        <v>2460</v>
      </c>
      <c r="Y2278" s="220">
        <v>8</v>
      </c>
    </row>
    <row r="2279" spans="23:25" x14ac:dyDescent="0.25">
      <c r="W2279" s="214" t="s">
        <v>1740</v>
      </c>
      <c r="X2279" s="214" t="s">
        <v>2461</v>
      </c>
      <c r="Y2279" s="220">
        <v>6</v>
      </c>
    </row>
    <row r="2280" spans="23:25" x14ac:dyDescent="0.25">
      <c r="W2280" s="214" t="s">
        <v>2198</v>
      </c>
      <c r="X2280" s="214" t="s">
        <v>2462</v>
      </c>
      <c r="Y2280" s="220">
        <v>8</v>
      </c>
    </row>
    <row r="2281" spans="23:25" x14ac:dyDescent="0.25">
      <c r="W2281" s="214" t="s">
        <v>274</v>
      </c>
      <c r="X2281" s="214" t="s">
        <v>2463</v>
      </c>
      <c r="Y2281" s="220">
        <v>3</v>
      </c>
    </row>
    <row r="2282" spans="23:25" x14ac:dyDescent="0.25">
      <c r="W2282" s="214" t="s">
        <v>274</v>
      </c>
      <c r="X2282" s="214" t="s">
        <v>2464</v>
      </c>
      <c r="Y2282" s="220">
        <v>5</v>
      </c>
    </row>
    <row r="2283" spans="23:25" x14ac:dyDescent="0.25">
      <c r="W2283" s="214" t="s">
        <v>274</v>
      </c>
      <c r="X2283" s="214" t="s">
        <v>2465</v>
      </c>
      <c r="Y2283" s="220">
        <v>3</v>
      </c>
    </row>
    <row r="2284" spans="23:25" x14ac:dyDescent="0.25">
      <c r="W2284" s="214" t="s">
        <v>274</v>
      </c>
      <c r="X2284" s="214" t="s">
        <v>2466</v>
      </c>
      <c r="Y2284" s="220">
        <v>3</v>
      </c>
    </row>
    <row r="2285" spans="23:25" x14ac:dyDescent="0.25">
      <c r="W2285" s="214" t="s">
        <v>398</v>
      </c>
      <c r="X2285" s="214" t="s">
        <v>1581</v>
      </c>
      <c r="Y2285" s="220">
        <v>6</v>
      </c>
    </row>
    <row r="2286" spans="23:25" x14ac:dyDescent="0.25">
      <c r="W2286" s="214" t="s">
        <v>398</v>
      </c>
      <c r="X2286" s="214" t="s">
        <v>2467</v>
      </c>
      <c r="Y2286" s="220">
        <v>6</v>
      </c>
    </row>
    <row r="2287" spans="23:25" x14ac:dyDescent="0.25">
      <c r="W2287" s="214" t="s">
        <v>398</v>
      </c>
      <c r="X2287" s="214" t="s">
        <v>2468</v>
      </c>
      <c r="Y2287" s="220">
        <v>6</v>
      </c>
    </row>
    <row r="2288" spans="23:25" x14ac:dyDescent="0.25">
      <c r="W2288" s="214" t="s">
        <v>398</v>
      </c>
      <c r="X2288" s="214" t="s">
        <v>2469</v>
      </c>
      <c r="Y2288" s="220">
        <v>6</v>
      </c>
    </row>
    <row r="2289" spans="23:25" x14ac:dyDescent="0.25">
      <c r="W2289" s="214" t="s">
        <v>274</v>
      </c>
      <c r="X2289" s="214" t="s">
        <v>2470</v>
      </c>
      <c r="Y2289" s="220">
        <v>6</v>
      </c>
    </row>
    <row r="2290" spans="23:25" x14ac:dyDescent="0.25">
      <c r="W2290" s="214" t="s">
        <v>1740</v>
      </c>
      <c r="X2290" s="214" t="s">
        <v>2471</v>
      </c>
      <c r="Y2290" s="220">
        <v>6</v>
      </c>
    </row>
    <row r="2291" spans="23:25" x14ac:dyDescent="0.25">
      <c r="W2291" s="214" t="s">
        <v>1740</v>
      </c>
      <c r="X2291" s="214" t="s">
        <v>2472</v>
      </c>
      <c r="Y2291" s="220">
        <v>6</v>
      </c>
    </row>
    <row r="2292" spans="23:25" x14ac:dyDescent="0.25">
      <c r="W2292" s="214" t="s">
        <v>398</v>
      </c>
      <c r="X2292" s="214" t="s">
        <v>2473</v>
      </c>
      <c r="Y2292" s="220">
        <v>6</v>
      </c>
    </row>
    <row r="2293" spans="23:25" x14ac:dyDescent="0.25">
      <c r="W2293" s="214" t="s">
        <v>274</v>
      </c>
      <c r="X2293" s="214" t="s">
        <v>2474</v>
      </c>
      <c r="Y2293" s="220">
        <v>6</v>
      </c>
    </row>
    <row r="2294" spans="23:25" x14ac:dyDescent="0.25">
      <c r="W2294" s="214" t="s">
        <v>398</v>
      </c>
      <c r="X2294" s="214" t="s">
        <v>2475</v>
      </c>
      <c r="Y2294" s="220">
        <v>6</v>
      </c>
    </row>
    <row r="2295" spans="23:25" x14ac:dyDescent="0.25">
      <c r="W2295" s="214" t="s">
        <v>398</v>
      </c>
      <c r="X2295" s="214" t="s">
        <v>2476</v>
      </c>
      <c r="Y2295" s="220">
        <v>6</v>
      </c>
    </row>
    <row r="2296" spans="23:25" x14ac:dyDescent="0.25">
      <c r="W2296" s="214" t="s">
        <v>398</v>
      </c>
      <c r="X2296" s="214" t="s">
        <v>2477</v>
      </c>
      <c r="Y2296" s="220">
        <v>6</v>
      </c>
    </row>
    <row r="2297" spans="23:25" x14ac:dyDescent="0.25">
      <c r="W2297" s="214" t="s">
        <v>274</v>
      </c>
      <c r="X2297" s="214" t="s">
        <v>2478</v>
      </c>
      <c r="Y2297" s="220">
        <v>3</v>
      </c>
    </row>
    <row r="2298" spans="23:25" x14ac:dyDescent="0.25">
      <c r="W2298" s="214" t="s">
        <v>1740</v>
      </c>
      <c r="X2298" s="214" t="s">
        <v>2479</v>
      </c>
      <c r="Y2298" s="220">
        <v>6</v>
      </c>
    </row>
    <row r="2299" spans="23:25" x14ac:dyDescent="0.25">
      <c r="W2299" s="214" t="s">
        <v>274</v>
      </c>
      <c r="X2299" s="214" t="s">
        <v>2480</v>
      </c>
      <c r="Y2299" s="220">
        <v>3</v>
      </c>
    </row>
    <row r="2300" spans="23:25" x14ac:dyDescent="0.25">
      <c r="W2300" s="214" t="s">
        <v>274</v>
      </c>
      <c r="X2300" s="214" t="s">
        <v>2481</v>
      </c>
      <c r="Y2300" s="220">
        <v>5</v>
      </c>
    </row>
    <row r="2301" spans="23:25" x14ac:dyDescent="0.25">
      <c r="W2301" s="214" t="s">
        <v>242</v>
      </c>
      <c r="X2301" s="214" t="s">
        <v>2482</v>
      </c>
      <c r="Y2301" s="220">
        <v>6</v>
      </c>
    </row>
    <row r="2302" spans="23:25" x14ac:dyDescent="0.25">
      <c r="W2302" s="214" t="s">
        <v>1740</v>
      </c>
      <c r="X2302" s="214" t="s">
        <v>2483</v>
      </c>
      <c r="Y2302" s="220">
        <v>6</v>
      </c>
    </row>
    <row r="2303" spans="23:25" x14ac:dyDescent="0.25">
      <c r="W2303" s="214" t="s">
        <v>274</v>
      </c>
      <c r="X2303" s="214" t="s">
        <v>2484</v>
      </c>
      <c r="Y2303" s="220">
        <v>3</v>
      </c>
    </row>
    <row r="2304" spans="23:25" x14ac:dyDescent="0.25">
      <c r="W2304" s="214" t="s">
        <v>1740</v>
      </c>
      <c r="X2304" s="214" t="s">
        <v>2485</v>
      </c>
      <c r="Y2304" s="220">
        <v>6</v>
      </c>
    </row>
    <row r="2305" spans="23:25" x14ac:dyDescent="0.25">
      <c r="W2305" s="214" t="s">
        <v>274</v>
      </c>
      <c r="X2305" s="214" t="s">
        <v>2486</v>
      </c>
      <c r="Y2305" s="220">
        <v>3</v>
      </c>
    </row>
    <row r="2306" spans="23:25" x14ac:dyDescent="0.25">
      <c r="W2306" s="214" t="s">
        <v>1740</v>
      </c>
      <c r="X2306" s="214" t="s">
        <v>2487</v>
      </c>
      <c r="Y2306" s="220">
        <v>6</v>
      </c>
    </row>
    <row r="2307" spans="23:25" x14ac:dyDescent="0.25">
      <c r="W2307" s="214" t="s">
        <v>1763</v>
      </c>
      <c r="X2307" s="214" t="s">
        <v>2488</v>
      </c>
      <c r="Y2307" s="220">
        <v>7</v>
      </c>
    </row>
    <row r="2308" spans="23:25" x14ac:dyDescent="0.25">
      <c r="W2308" s="214" t="s">
        <v>398</v>
      </c>
      <c r="X2308" s="214" t="s">
        <v>2489</v>
      </c>
      <c r="Y2308" s="220">
        <v>5</v>
      </c>
    </row>
    <row r="2309" spans="23:25" x14ac:dyDescent="0.25">
      <c r="W2309" s="214" t="s">
        <v>1740</v>
      </c>
      <c r="X2309" s="214" t="s">
        <v>2490</v>
      </c>
      <c r="Y2309" s="220">
        <v>6</v>
      </c>
    </row>
    <row r="2310" spans="23:25" x14ac:dyDescent="0.25">
      <c r="W2310" s="214" t="s">
        <v>242</v>
      </c>
      <c r="X2310" s="214" t="s">
        <v>2087</v>
      </c>
      <c r="Y2310" s="220">
        <v>8</v>
      </c>
    </row>
    <row r="2311" spans="23:25" x14ac:dyDescent="0.25">
      <c r="W2311" s="214" t="s">
        <v>242</v>
      </c>
      <c r="X2311" s="214" t="s">
        <v>2491</v>
      </c>
      <c r="Y2311" s="220">
        <v>8</v>
      </c>
    </row>
    <row r="2312" spans="23:25" x14ac:dyDescent="0.25">
      <c r="W2312" s="214" t="s">
        <v>274</v>
      </c>
      <c r="X2312" s="214" t="s">
        <v>2492</v>
      </c>
      <c r="Y2312" s="220">
        <v>5</v>
      </c>
    </row>
    <row r="2313" spans="23:25" x14ac:dyDescent="0.25">
      <c r="W2313" s="214" t="s">
        <v>258</v>
      </c>
      <c r="X2313" s="214" t="s">
        <v>1438</v>
      </c>
      <c r="Y2313" s="220">
        <v>3</v>
      </c>
    </row>
    <row r="2314" spans="23:25" x14ac:dyDescent="0.25">
      <c r="W2314" s="214" t="s">
        <v>274</v>
      </c>
      <c r="X2314" s="214" t="s">
        <v>1592</v>
      </c>
      <c r="Y2314" s="220">
        <v>3</v>
      </c>
    </row>
    <row r="2315" spans="23:25" x14ac:dyDescent="0.25">
      <c r="W2315" s="214" t="s">
        <v>274</v>
      </c>
      <c r="X2315" s="214" t="s">
        <v>2493</v>
      </c>
      <c r="Y2315" s="220">
        <v>6</v>
      </c>
    </row>
    <row r="2316" spans="23:25" x14ac:dyDescent="0.25">
      <c r="W2316" s="214" t="s">
        <v>274</v>
      </c>
      <c r="X2316" s="214" t="s">
        <v>2494</v>
      </c>
      <c r="Y2316" s="220">
        <v>6</v>
      </c>
    </row>
    <row r="2317" spans="23:25" x14ac:dyDescent="0.25">
      <c r="W2317" s="214" t="s">
        <v>274</v>
      </c>
      <c r="X2317" s="214" t="s">
        <v>2495</v>
      </c>
      <c r="Y2317" s="220">
        <v>6</v>
      </c>
    </row>
    <row r="2318" spans="23:25" x14ac:dyDescent="0.25">
      <c r="W2318" s="214" t="s">
        <v>1740</v>
      </c>
      <c r="X2318" s="214" t="s">
        <v>2496</v>
      </c>
      <c r="Y2318" s="220">
        <v>6</v>
      </c>
    </row>
    <row r="2319" spans="23:25" x14ac:dyDescent="0.25">
      <c r="W2319" s="214" t="s">
        <v>398</v>
      </c>
      <c r="X2319" s="214" t="s">
        <v>2497</v>
      </c>
      <c r="Y2319" s="220">
        <v>6</v>
      </c>
    </row>
    <row r="2320" spans="23:25" x14ac:dyDescent="0.25">
      <c r="W2320" s="214" t="s">
        <v>274</v>
      </c>
      <c r="X2320" s="214" t="s">
        <v>2498</v>
      </c>
      <c r="Y2320" s="220">
        <v>6</v>
      </c>
    </row>
    <row r="2321" spans="23:25" x14ac:dyDescent="0.25">
      <c r="W2321" s="214" t="s">
        <v>274</v>
      </c>
      <c r="X2321" s="214" t="s">
        <v>2499</v>
      </c>
      <c r="Y2321" s="220">
        <v>5</v>
      </c>
    </row>
    <row r="2322" spans="23:25" x14ac:dyDescent="0.25">
      <c r="W2322" s="214" t="s">
        <v>274</v>
      </c>
      <c r="X2322" s="214" t="s">
        <v>2500</v>
      </c>
      <c r="Y2322" s="220">
        <v>3</v>
      </c>
    </row>
    <row r="2323" spans="23:25" x14ac:dyDescent="0.25">
      <c r="W2323" s="214" t="s">
        <v>398</v>
      </c>
      <c r="X2323" s="214" t="s">
        <v>2501</v>
      </c>
      <c r="Y2323" s="220">
        <v>6</v>
      </c>
    </row>
    <row r="2324" spans="23:25" x14ac:dyDescent="0.25">
      <c r="W2324" s="214" t="s">
        <v>274</v>
      </c>
      <c r="X2324" s="214" t="s">
        <v>2502</v>
      </c>
      <c r="Y2324" s="220">
        <v>5</v>
      </c>
    </row>
    <row r="2325" spans="23:25" x14ac:dyDescent="0.25">
      <c r="W2325" s="214" t="s">
        <v>274</v>
      </c>
      <c r="X2325" s="214" t="s">
        <v>2503</v>
      </c>
      <c r="Y2325" s="220">
        <v>5</v>
      </c>
    </row>
    <row r="2326" spans="23:25" x14ac:dyDescent="0.25">
      <c r="W2326" s="214" t="s">
        <v>1740</v>
      </c>
      <c r="X2326" s="214" t="s">
        <v>2504</v>
      </c>
      <c r="Y2326" s="220">
        <v>6</v>
      </c>
    </row>
    <row r="2327" spans="23:25" x14ac:dyDescent="0.25">
      <c r="W2327" s="214" t="s">
        <v>274</v>
      </c>
      <c r="X2327" s="214" t="s">
        <v>2505</v>
      </c>
      <c r="Y2327" s="220">
        <v>3</v>
      </c>
    </row>
    <row r="2328" spans="23:25" x14ac:dyDescent="0.25">
      <c r="W2328" s="214" t="s">
        <v>274</v>
      </c>
      <c r="X2328" s="214" t="s">
        <v>2506</v>
      </c>
      <c r="Y2328" s="220">
        <v>5</v>
      </c>
    </row>
    <row r="2329" spans="23:25" x14ac:dyDescent="0.25">
      <c r="W2329" s="214" t="s">
        <v>274</v>
      </c>
      <c r="X2329" s="214" t="s">
        <v>2507</v>
      </c>
      <c r="Y2329" s="220">
        <v>5</v>
      </c>
    </row>
    <row r="2330" spans="23:25" x14ac:dyDescent="0.25">
      <c r="W2330" s="214" t="s">
        <v>1740</v>
      </c>
      <c r="X2330" s="214" t="s">
        <v>2508</v>
      </c>
      <c r="Y2330" s="220">
        <v>6</v>
      </c>
    </row>
    <row r="2331" spans="23:25" x14ac:dyDescent="0.25">
      <c r="W2331" s="214" t="s">
        <v>274</v>
      </c>
      <c r="X2331" s="214" t="s">
        <v>2509</v>
      </c>
      <c r="Y2331" s="220">
        <v>4</v>
      </c>
    </row>
    <row r="2332" spans="23:25" x14ac:dyDescent="0.25">
      <c r="W2332" s="214" t="s">
        <v>274</v>
      </c>
      <c r="X2332" s="214" t="s">
        <v>2510</v>
      </c>
      <c r="Y2332" s="220">
        <v>4</v>
      </c>
    </row>
    <row r="2333" spans="23:25" x14ac:dyDescent="0.25">
      <c r="W2333" s="214" t="s">
        <v>398</v>
      </c>
      <c r="X2333" s="214" t="s">
        <v>2511</v>
      </c>
      <c r="Y2333" s="220">
        <v>6</v>
      </c>
    </row>
    <row r="2334" spans="23:25" x14ac:dyDescent="0.25">
      <c r="W2334" s="214" t="s">
        <v>274</v>
      </c>
      <c r="X2334" s="214" t="s">
        <v>2512</v>
      </c>
      <c r="Y2334" s="220">
        <v>3</v>
      </c>
    </row>
    <row r="2335" spans="23:25" x14ac:dyDescent="0.25">
      <c r="W2335" s="214" t="s">
        <v>1716</v>
      </c>
      <c r="X2335" s="214" t="s">
        <v>2513</v>
      </c>
      <c r="Y2335" s="220">
        <v>8</v>
      </c>
    </row>
    <row r="2336" spans="23:25" x14ac:dyDescent="0.25">
      <c r="W2336" s="214" t="s">
        <v>274</v>
      </c>
      <c r="X2336" s="214" t="s">
        <v>2514</v>
      </c>
      <c r="Y2336" s="220">
        <v>3</v>
      </c>
    </row>
    <row r="2337" spans="23:25" x14ac:dyDescent="0.25">
      <c r="W2337" s="214" t="s">
        <v>1740</v>
      </c>
      <c r="X2337" s="214" t="s">
        <v>2515</v>
      </c>
      <c r="Y2337" s="220">
        <v>6</v>
      </c>
    </row>
    <row r="2338" spans="23:25" x14ac:dyDescent="0.25">
      <c r="W2338" s="214" t="s">
        <v>1740</v>
      </c>
      <c r="X2338" s="214" t="s">
        <v>2516</v>
      </c>
      <c r="Y2338" s="220">
        <v>4</v>
      </c>
    </row>
    <row r="2339" spans="23:25" x14ac:dyDescent="0.25">
      <c r="W2339" s="214" t="s">
        <v>398</v>
      </c>
      <c r="X2339" s="214" t="s">
        <v>2517</v>
      </c>
      <c r="Y2339" s="220">
        <v>5</v>
      </c>
    </row>
    <row r="2340" spans="23:25" x14ac:dyDescent="0.25">
      <c r="W2340" s="214" t="s">
        <v>1763</v>
      </c>
      <c r="X2340" s="214" t="s">
        <v>2518</v>
      </c>
      <c r="Y2340" s="220">
        <v>8</v>
      </c>
    </row>
    <row r="2341" spans="23:25" x14ac:dyDescent="0.25">
      <c r="W2341" s="214" t="s">
        <v>1740</v>
      </c>
      <c r="X2341" s="214" t="s">
        <v>2519</v>
      </c>
      <c r="Y2341" s="220">
        <v>6</v>
      </c>
    </row>
    <row r="2342" spans="23:25" x14ac:dyDescent="0.25">
      <c r="W2342" s="214" t="s">
        <v>1740</v>
      </c>
      <c r="X2342" s="214" t="s">
        <v>2520</v>
      </c>
      <c r="Y2342" s="220">
        <v>6</v>
      </c>
    </row>
    <row r="2343" spans="23:25" x14ac:dyDescent="0.25">
      <c r="W2343" s="214" t="s">
        <v>274</v>
      </c>
      <c r="X2343" s="214" t="s">
        <v>2521</v>
      </c>
      <c r="Y2343" s="220">
        <v>5</v>
      </c>
    </row>
    <row r="2344" spans="23:25" x14ac:dyDescent="0.25">
      <c r="W2344" s="214" t="s">
        <v>1740</v>
      </c>
      <c r="X2344" s="214" t="s">
        <v>2522</v>
      </c>
      <c r="Y2344" s="220">
        <v>6</v>
      </c>
    </row>
    <row r="2345" spans="23:25" x14ac:dyDescent="0.25">
      <c r="W2345" s="214" t="s">
        <v>398</v>
      </c>
      <c r="X2345" s="214" t="s">
        <v>2523</v>
      </c>
      <c r="Y2345" s="220">
        <v>6</v>
      </c>
    </row>
    <row r="2346" spans="23:25" x14ac:dyDescent="0.25">
      <c r="W2346" s="214" t="s">
        <v>274</v>
      </c>
      <c r="X2346" s="214" t="s">
        <v>2524</v>
      </c>
      <c r="Y2346" s="220">
        <v>3</v>
      </c>
    </row>
    <row r="2347" spans="23:25" x14ac:dyDescent="0.25">
      <c r="W2347" s="214" t="s">
        <v>274</v>
      </c>
      <c r="X2347" s="214" t="s">
        <v>2525</v>
      </c>
      <c r="Y2347" s="220">
        <v>3</v>
      </c>
    </row>
    <row r="2348" spans="23:25" x14ac:dyDescent="0.25">
      <c r="W2348" s="214" t="s">
        <v>2198</v>
      </c>
      <c r="X2348" s="214" t="s">
        <v>2526</v>
      </c>
      <c r="Y2348" s="220">
        <v>8</v>
      </c>
    </row>
    <row r="2349" spans="23:25" x14ac:dyDescent="0.25">
      <c r="W2349" s="214" t="s">
        <v>1740</v>
      </c>
      <c r="X2349" s="214" t="s">
        <v>2527</v>
      </c>
      <c r="Y2349" s="220">
        <v>6</v>
      </c>
    </row>
    <row r="2350" spans="23:25" x14ac:dyDescent="0.25">
      <c r="W2350" s="214" t="s">
        <v>1740</v>
      </c>
      <c r="X2350" s="214" t="s">
        <v>2528</v>
      </c>
      <c r="Y2350" s="220">
        <v>6</v>
      </c>
    </row>
    <row r="2351" spans="23:25" x14ac:dyDescent="0.25">
      <c r="W2351" s="214" t="s">
        <v>274</v>
      </c>
      <c r="X2351" s="214" t="s">
        <v>2529</v>
      </c>
      <c r="Y2351" s="220">
        <v>3</v>
      </c>
    </row>
    <row r="2352" spans="23:25" x14ac:dyDescent="0.25">
      <c r="W2352" s="214" t="s">
        <v>398</v>
      </c>
      <c r="X2352" s="214" t="s">
        <v>2530</v>
      </c>
      <c r="Y2352" s="220">
        <v>5</v>
      </c>
    </row>
    <row r="2353" spans="23:25" x14ac:dyDescent="0.25">
      <c r="W2353" s="214" t="s">
        <v>1740</v>
      </c>
      <c r="X2353" s="214" t="s">
        <v>2531</v>
      </c>
      <c r="Y2353" s="220">
        <v>6</v>
      </c>
    </row>
    <row r="2354" spans="23:25" x14ac:dyDescent="0.25">
      <c r="W2354" s="214" t="s">
        <v>1943</v>
      </c>
      <c r="X2354" s="214" t="s">
        <v>2532</v>
      </c>
      <c r="Y2354" s="220">
        <v>7</v>
      </c>
    </row>
    <row r="2355" spans="23:25" x14ac:dyDescent="0.25">
      <c r="W2355" s="214" t="s">
        <v>1740</v>
      </c>
      <c r="X2355" s="214" t="s">
        <v>2533</v>
      </c>
      <c r="Y2355" s="220">
        <v>6</v>
      </c>
    </row>
    <row r="2356" spans="23:25" x14ac:dyDescent="0.25">
      <c r="W2356" s="214" t="s">
        <v>1740</v>
      </c>
      <c r="X2356" s="214" t="s">
        <v>2534</v>
      </c>
      <c r="Y2356" s="220">
        <v>6</v>
      </c>
    </row>
    <row r="2357" spans="23:25" x14ac:dyDescent="0.25">
      <c r="W2357" s="214" t="s">
        <v>1740</v>
      </c>
      <c r="X2357" s="214" t="s">
        <v>2535</v>
      </c>
      <c r="Y2357" s="220">
        <v>6</v>
      </c>
    </row>
    <row r="2358" spans="23:25" x14ac:dyDescent="0.25">
      <c r="W2358" s="214" t="s">
        <v>1716</v>
      </c>
      <c r="X2358" s="214" t="s">
        <v>2536</v>
      </c>
      <c r="Y2358" s="220">
        <v>8</v>
      </c>
    </row>
    <row r="2359" spans="23:25" x14ac:dyDescent="0.25">
      <c r="W2359" s="214" t="s">
        <v>274</v>
      </c>
      <c r="X2359" s="214" t="s">
        <v>2537</v>
      </c>
      <c r="Y2359" s="220">
        <v>6</v>
      </c>
    </row>
    <row r="2360" spans="23:25" x14ac:dyDescent="0.25">
      <c r="W2360" s="214" t="s">
        <v>274</v>
      </c>
      <c r="X2360" s="214" t="s">
        <v>2538</v>
      </c>
      <c r="Y2360" s="220">
        <v>2</v>
      </c>
    </row>
    <row r="2361" spans="23:25" x14ac:dyDescent="0.25">
      <c r="W2361" s="214" t="s">
        <v>398</v>
      </c>
      <c r="X2361" s="214" t="s">
        <v>2539</v>
      </c>
      <c r="Y2361" s="220">
        <v>6</v>
      </c>
    </row>
    <row r="2362" spans="23:25" x14ac:dyDescent="0.25">
      <c r="W2362" s="214" t="s">
        <v>1740</v>
      </c>
      <c r="X2362" s="214" t="s">
        <v>2540</v>
      </c>
      <c r="Y2362" s="220">
        <v>6</v>
      </c>
    </row>
    <row r="2363" spans="23:25" x14ac:dyDescent="0.25">
      <c r="W2363" s="214" t="s">
        <v>1740</v>
      </c>
      <c r="X2363" s="214" t="s">
        <v>2541</v>
      </c>
      <c r="Y2363" s="220">
        <v>6</v>
      </c>
    </row>
    <row r="2364" spans="23:25" x14ac:dyDescent="0.25">
      <c r="W2364" s="214" t="s">
        <v>274</v>
      </c>
      <c r="X2364" s="214" t="s">
        <v>2542</v>
      </c>
      <c r="Y2364" s="220">
        <v>5</v>
      </c>
    </row>
    <row r="2365" spans="23:25" x14ac:dyDescent="0.25">
      <c r="W2365" s="214" t="s">
        <v>274</v>
      </c>
      <c r="X2365" s="214" t="s">
        <v>2543</v>
      </c>
      <c r="Y2365" s="220">
        <v>3</v>
      </c>
    </row>
    <row r="2366" spans="23:25" x14ac:dyDescent="0.25">
      <c r="W2366" s="214" t="s">
        <v>1740</v>
      </c>
      <c r="X2366" s="214" t="s">
        <v>2544</v>
      </c>
      <c r="Y2366" s="220">
        <v>6</v>
      </c>
    </row>
    <row r="2367" spans="23:25" x14ac:dyDescent="0.25">
      <c r="W2367" s="214" t="s">
        <v>1763</v>
      </c>
      <c r="X2367" s="214" t="s">
        <v>2023</v>
      </c>
      <c r="Y2367" s="220">
        <v>6</v>
      </c>
    </row>
    <row r="2368" spans="23:25" x14ac:dyDescent="0.25">
      <c r="W2368" s="214" t="s">
        <v>1740</v>
      </c>
      <c r="X2368" s="214" t="s">
        <v>2545</v>
      </c>
      <c r="Y2368" s="220">
        <v>6</v>
      </c>
    </row>
    <row r="2369" spans="23:25" x14ac:dyDescent="0.25">
      <c r="W2369" s="214" t="s">
        <v>274</v>
      </c>
      <c r="X2369" s="214" t="s">
        <v>2546</v>
      </c>
      <c r="Y2369" s="220">
        <v>6</v>
      </c>
    </row>
    <row r="2370" spans="23:25" x14ac:dyDescent="0.25">
      <c r="W2370" s="214" t="s">
        <v>274</v>
      </c>
      <c r="X2370" s="214" t="s">
        <v>2547</v>
      </c>
      <c r="Y2370" s="220">
        <v>3</v>
      </c>
    </row>
    <row r="2371" spans="23:25" x14ac:dyDescent="0.25">
      <c r="W2371" s="214" t="s">
        <v>398</v>
      </c>
      <c r="X2371" s="214" t="s">
        <v>2548</v>
      </c>
      <c r="Y2371" s="220">
        <v>7</v>
      </c>
    </row>
    <row r="2372" spans="23:25" x14ac:dyDescent="0.25">
      <c r="W2372" s="214" t="s">
        <v>274</v>
      </c>
      <c r="X2372" s="214" t="s">
        <v>2549</v>
      </c>
      <c r="Y2372" s="220">
        <v>3</v>
      </c>
    </row>
    <row r="2373" spans="23:25" x14ac:dyDescent="0.25">
      <c r="W2373" s="214" t="s">
        <v>274</v>
      </c>
      <c r="X2373" s="214" t="s">
        <v>2550</v>
      </c>
      <c r="Y2373" s="220">
        <v>4</v>
      </c>
    </row>
    <row r="2374" spans="23:25" x14ac:dyDescent="0.25">
      <c r="W2374" s="214" t="s">
        <v>1740</v>
      </c>
      <c r="X2374" s="214" t="s">
        <v>2551</v>
      </c>
      <c r="Y2374" s="220">
        <v>6</v>
      </c>
    </row>
    <row r="2375" spans="23:25" x14ac:dyDescent="0.25">
      <c r="W2375" s="214" t="s">
        <v>242</v>
      </c>
      <c r="X2375" s="214" t="s">
        <v>2552</v>
      </c>
      <c r="Y2375" s="220">
        <v>8</v>
      </c>
    </row>
    <row r="2376" spans="23:25" x14ac:dyDescent="0.25">
      <c r="W2376" s="214" t="s">
        <v>274</v>
      </c>
      <c r="X2376" s="214" t="s">
        <v>2553</v>
      </c>
      <c r="Y2376" s="220">
        <v>4</v>
      </c>
    </row>
    <row r="2377" spans="23:25" x14ac:dyDescent="0.25">
      <c r="W2377" s="214" t="s">
        <v>274</v>
      </c>
      <c r="X2377" s="214" t="s">
        <v>2554</v>
      </c>
      <c r="Y2377" s="220">
        <v>4</v>
      </c>
    </row>
    <row r="2378" spans="23:25" x14ac:dyDescent="0.25">
      <c r="W2378" s="214" t="s">
        <v>1740</v>
      </c>
      <c r="X2378" s="214" t="s">
        <v>2555</v>
      </c>
      <c r="Y2378" s="220">
        <v>6</v>
      </c>
    </row>
    <row r="2379" spans="23:25" x14ac:dyDescent="0.25">
      <c r="W2379" s="214" t="s">
        <v>1978</v>
      </c>
      <c r="X2379" s="214" t="s">
        <v>1843</v>
      </c>
      <c r="Y2379" s="220">
        <v>5</v>
      </c>
    </row>
    <row r="2380" spans="23:25" x14ac:dyDescent="0.25">
      <c r="W2380" s="214" t="s">
        <v>398</v>
      </c>
      <c r="X2380" s="214" t="s">
        <v>2556</v>
      </c>
      <c r="Y2380" s="220">
        <v>6</v>
      </c>
    </row>
    <row r="2381" spans="23:25" x14ac:dyDescent="0.25">
      <c r="W2381" s="214" t="s">
        <v>258</v>
      </c>
      <c r="X2381" s="214" t="s">
        <v>2557</v>
      </c>
      <c r="Y2381" s="220">
        <v>3</v>
      </c>
    </row>
    <row r="2382" spans="23:25" x14ac:dyDescent="0.25">
      <c r="W2382" s="214" t="s">
        <v>274</v>
      </c>
      <c r="X2382" s="214" t="s">
        <v>2558</v>
      </c>
      <c r="Y2382" s="220">
        <v>6</v>
      </c>
    </row>
    <row r="2383" spans="23:25" x14ac:dyDescent="0.25">
      <c r="W2383" s="214" t="s">
        <v>274</v>
      </c>
      <c r="X2383" s="214" t="s">
        <v>2559</v>
      </c>
      <c r="Y2383" s="220">
        <v>2</v>
      </c>
    </row>
    <row r="2384" spans="23:25" x14ac:dyDescent="0.25">
      <c r="W2384" s="214" t="s">
        <v>274</v>
      </c>
      <c r="X2384" s="214" t="s">
        <v>2560</v>
      </c>
      <c r="Y2384" s="220">
        <v>4</v>
      </c>
    </row>
    <row r="2385" spans="23:25" x14ac:dyDescent="0.25">
      <c r="W2385" s="214" t="s">
        <v>398</v>
      </c>
      <c r="X2385" s="214" t="s">
        <v>2561</v>
      </c>
      <c r="Y2385" s="220">
        <v>6</v>
      </c>
    </row>
    <row r="2386" spans="23:25" x14ac:dyDescent="0.25">
      <c r="W2386" s="214" t="s">
        <v>274</v>
      </c>
      <c r="X2386" s="214" t="s">
        <v>2562</v>
      </c>
      <c r="Y2386" s="220">
        <v>4</v>
      </c>
    </row>
    <row r="2387" spans="23:25" x14ac:dyDescent="0.25">
      <c r="W2387" s="214" t="s">
        <v>1740</v>
      </c>
      <c r="X2387" s="214" t="s">
        <v>2563</v>
      </c>
      <c r="Y2387" s="220">
        <v>6</v>
      </c>
    </row>
    <row r="2388" spans="23:25" x14ac:dyDescent="0.25">
      <c r="W2388" s="214" t="s">
        <v>258</v>
      </c>
      <c r="X2388" s="214" t="s">
        <v>2564</v>
      </c>
      <c r="Y2388" s="220">
        <v>4</v>
      </c>
    </row>
    <row r="2389" spans="23:25" x14ac:dyDescent="0.25">
      <c r="W2389" s="214" t="s">
        <v>274</v>
      </c>
      <c r="X2389" s="214" t="s">
        <v>2565</v>
      </c>
      <c r="Y2389" s="220">
        <v>5</v>
      </c>
    </row>
    <row r="2390" spans="23:25" x14ac:dyDescent="0.25">
      <c r="W2390" s="214" t="s">
        <v>1740</v>
      </c>
      <c r="X2390" s="214" t="s">
        <v>2566</v>
      </c>
      <c r="Y2390" s="220">
        <v>6</v>
      </c>
    </row>
    <row r="2391" spans="23:25" x14ac:dyDescent="0.25">
      <c r="W2391" s="214" t="s">
        <v>274</v>
      </c>
      <c r="X2391" s="214" t="s">
        <v>2567</v>
      </c>
      <c r="Y2391" s="220">
        <v>3</v>
      </c>
    </row>
    <row r="2392" spans="23:25" x14ac:dyDescent="0.25">
      <c r="W2392" s="214" t="s">
        <v>1740</v>
      </c>
      <c r="X2392" s="214" t="s">
        <v>2568</v>
      </c>
      <c r="Y2392" s="220">
        <v>6</v>
      </c>
    </row>
    <row r="2393" spans="23:25" x14ac:dyDescent="0.25">
      <c r="W2393" s="214" t="s">
        <v>1740</v>
      </c>
      <c r="X2393" s="214" t="s">
        <v>2569</v>
      </c>
      <c r="Y2393" s="220">
        <v>6</v>
      </c>
    </row>
    <row r="2394" spans="23:25" x14ac:dyDescent="0.25">
      <c r="W2394" s="214" t="s">
        <v>274</v>
      </c>
      <c r="X2394" s="214" t="s">
        <v>2570</v>
      </c>
      <c r="Y2394" s="220">
        <v>5</v>
      </c>
    </row>
    <row r="2395" spans="23:25" x14ac:dyDescent="0.25">
      <c r="W2395" s="214" t="s">
        <v>274</v>
      </c>
      <c r="X2395" s="214" t="s">
        <v>2571</v>
      </c>
      <c r="Y2395" s="220">
        <v>4</v>
      </c>
    </row>
    <row r="2396" spans="23:25" x14ac:dyDescent="0.25">
      <c r="W2396" s="214" t="s">
        <v>274</v>
      </c>
      <c r="X2396" s="214" t="s">
        <v>2572</v>
      </c>
      <c r="Y2396" s="220">
        <v>5</v>
      </c>
    </row>
    <row r="2397" spans="23:25" x14ac:dyDescent="0.25">
      <c r="W2397" s="214" t="s">
        <v>1740</v>
      </c>
      <c r="X2397" s="214" t="s">
        <v>2573</v>
      </c>
      <c r="Y2397" s="220">
        <v>6</v>
      </c>
    </row>
    <row r="2398" spans="23:25" x14ac:dyDescent="0.25">
      <c r="W2398" s="214" t="s">
        <v>398</v>
      </c>
      <c r="X2398" s="214" t="s">
        <v>2574</v>
      </c>
      <c r="Y2398" s="220">
        <v>6</v>
      </c>
    </row>
    <row r="2399" spans="23:25" x14ac:dyDescent="0.25">
      <c r="W2399" s="214" t="s">
        <v>1740</v>
      </c>
      <c r="X2399" s="214" t="s">
        <v>2575</v>
      </c>
      <c r="Y2399" s="220">
        <v>6</v>
      </c>
    </row>
    <row r="2400" spans="23:25" x14ac:dyDescent="0.25">
      <c r="W2400" s="214" t="s">
        <v>274</v>
      </c>
      <c r="X2400" s="214" t="s">
        <v>2576</v>
      </c>
      <c r="Y2400" s="220">
        <v>6</v>
      </c>
    </row>
    <row r="2401" spans="23:25" x14ac:dyDescent="0.25">
      <c r="W2401" s="214" t="s">
        <v>274</v>
      </c>
      <c r="X2401" s="214" t="s">
        <v>2577</v>
      </c>
      <c r="Y2401" s="220">
        <v>6</v>
      </c>
    </row>
    <row r="2402" spans="23:25" x14ac:dyDescent="0.25">
      <c r="W2402" s="214" t="s">
        <v>258</v>
      </c>
      <c r="X2402" s="214" t="s">
        <v>2578</v>
      </c>
      <c r="Y2402" s="220">
        <v>6</v>
      </c>
    </row>
    <row r="2403" spans="23:25" x14ac:dyDescent="0.25">
      <c r="W2403" s="214" t="s">
        <v>274</v>
      </c>
      <c r="X2403" s="214" t="s">
        <v>2579</v>
      </c>
      <c r="Y2403" s="220">
        <v>5</v>
      </c>
    </row>
    <row r="2404" spans="23:25" x14ac:dyDescent="0.25">
      <c r="W2404" s="214" t="s">
        <v>1740</v>
      </c>
      <c r="X2404" s="214" t="s">
        <v>2580</v>
      </c>
      <c r="Y2404" s="220">
        <v>6</v>
      </c>
    </row>
    <row r="2405" spans="23:25" x14ac:dyDescent="0.25">
      <c r="W2405" s="214" t="s">
        <v>242</v>
      </c>
      <c r="X2405" s="214" t="s">
        <v>2581</v>
      </c>
      <c r="Y2405" s="220">
        <v>6</v>
      </c>
    </row>
    <row r="2406" spans="23:25" x14ac:dyDescent="0.25">
      <c r="W2406" s="214" t="s">
        <v>1740</v>
      </c>
      <c r="X2406" s="214" t="s">
        <v>2582</v>
      </c>
      <c r="Y2406" s="220">
        <v>6</v>
      </c>
    </row>
    <row r="2407" spans="23:25" x14ac:dyDescent="0.25">
      <c r="W2407" s="214" t="s">
        <v>274</v>
      </c>
      <c r="X2407" s="214" t="s">
        <v>2583</v>
      </c>
      <c r="Y2407" s="220">
        <v>3</v>
      </c>
    </row>
    <row r="2408" spans="23:25" x14ac:dyDescent="0.25">
      <c r="W2408" s="214" t="s">
        <v>274</v>
      </c>
      <c r="X2408" s="214" t="s">
        <v>2584</v>
      </c>
      <c r="Y2408" s="220">
        <v>3</v>
      </c>
    </row>
    <row r="2409" spans="23:25" x14ac:dyDescent="0.25">
      <c r="W2409" s="214" t="s">
        <v>1740</v>
      </c>
      <c r="X2409" s="214" t="s">
        <v>2585</v>
      </c>
      <c r="Y2409" s="220">
        <v>6</v>
      </c>
    </row>
    <row r="2410" spans="23:25" x14ac:dyDescent="0.25">
      <c r="W2410" s="214" t="s">
        <v>1740</v>
      </c>
      <c r="X2410" s="214" t="s">
        <v>2586</v>
      </c>
      <c r="Y2410" s="220">
        <v>6</v>
      </c>
    </row>
    <row r="2411" spans="23:25" x14ac:dyDescent="0.25">
      <c r="W2411" s="214" t="s">
        <v>274</v>
      </c>
      <c r="X2411" s="214" t="s">
        <v>2587</v>
      </c>
      <c r="Y2411" s="220">
        <v>3</v>
      </c>
    </row>
    <row r="2412" spans="23:25" x14ac:dyDescent="0.25">
      <c r="W2412" s="214" t="s">
        <v>1740</v>
      </c>
      <c r="X2412" s="214" t="s">
        <v>2588</v>
      </c>
      <c r="Y2412" s="220">
        <v>6</v>
      </c>
    </row>
    <row r="2413" spans="23:25" x14ac:dyDescent="0.25">
      <c r="W2413" s="214" t="s">
        <v>1740</v>
      </c>
      <c r="X2413" s="214" t="s">
        <v>2589</v>
      </c>
      <c r="Y2413" s="220">
        <v>4</v>
      </c>
    </row>
    <row r="2414" spans="23:25" x14ac:dyDescent="0.25">
      <c r="W2414" s="214" t="s">
        <v>242</v>
      </c>
      <c r="X2414" s="214" t="s">
        <v>2590</v>
      </c>
      <c r="Y2414" s="220">
        <v>8</v>
      </c>
    </row>
    <row r="2415" spans="23:25" x14ac:dyDescent="0.25">
      <c r="W2415" s="214" t="s">
        <v>274</v>
      </c>
      <c r="X2415" s="214" t="s">
        <v>2591</v>
      </c>
      <c r="Y2415" s="220">
        <v>2</v>
      </c>
    </row>
    <row r="2416" spans="23:25" x14ac:dyDescent="0.25">
      <c r="W2416" s="214" t="s">
        <v>274</v>
      </c>
      <c r="X2416" s="214" t="s">
        <v>2592</v>
      </c>
      <c r="Y2416" s="220">
        <v>5</v>
      </c>
    </row>
    <row r="2417" spans="23:25" x14ac:dyDescent="0.25">
      <c r="W2417" s="214" t="s">
        <v>1740</v>
      </c>
      <c r="X2417" s="214" t="s">
        <v>2593</v>
      </c>
      <c r="Y2417" s="220">
        <v>4</v>
      </c>
    </row>
    <row r="2418" spans="23:25" x14ac:dyDescent="0.25">
      <c r="W2418" s="214" t="s">
        <v>1740</v>
      </c>
      <c r="X2418" s="214" t="s">
        <v>2594</v>
      </c>
      <c r="Y2418" s="220">
        <v>6</v>
      </c>
    </row>
    <row r="2419" spans="23:25" x14ac:dyDescent="0.25">
      <c r="W2419" s="214" t="s">
        <v>274</v>
      </c>
      <c r="X2419" s="214" t="s">
        <v>2594</v>
      </c>
      <c r="Y2419" s="220">
        <v>6</v>
      </c>
    </row>
    <row r="2420" spans="23:25" x14ac:dyDescent="0.25">
      <c r="W2420" s="214" t="s">
        <v>1740</v>
      </c>
      <c r="X2420" s="214" t="s">
        <v>2595</v>
      </c>
      <c r="Y2420" s="220">
        <v>6</v>
      </c>
    </row>
    <row r="2421" spans="23:25" x14ac:dyDescent="0.25">
      <c r="W2421" s="214" t="s">
        <v>1740</v>
      </c>
      <c r="X2421" s="214" t="s">
        <v>2596</v>
      </c>
      <c r="Y2421" s="220">
        <v>6</v>
      </c>
    </row>
    <row r="2422" spans="23:25" x14ac:dyDescent="0.25">
      <c r="W2422" s="214" t="s">
        <v>1740</v>
      </c>
      <c r="X2422" s="214" t="s">
        <v>2597</v>
      </c>
      <c r="Y2422" s="220">
        <v>6</v>
      </c>
    </row>
    <row r="2423" spans="23:25" x14ac:dyDescent="0.25">
      <c r="W2423" s="214" t="s">
        <v>258</v>
      </c>
      <c r="X2423" s="214" t="s">
        <v>2598</v>
      </c>
      <c r="Y2423" s="220">
        <v>4</v>
      </c>
    </row>
    <row r="2424" spans="23:25" x14ac:dyDescent="0.25">
      <c r="W2424" s="214" t="s">
        <v>1740</v>
      </c>
      <c r="X2424" s="214" t="s">
        <v>2599</v>
      </c>
      <c r="Y2424" s="220">
        <v>6</v>
      </c>
    </row>
    <row r="2425" spans="23:25" x14ac:dyDescent="0.25">
      <c r="W2425" s="214" t="s">
        <v>2185</v>
      </c>
      <c r="X2425" s="214" t="s">
        <v>2600</v>
      </c>
      <c r="Y2425" s="220">
        <v>8</v>
      </c>
    </row>
    <row r="2426" spans="23:25" x14ac:dyDescent="0.25">
      <c r="W2426" s="214" t="s">
        <v>1716</v>
      </c>
      <c r="X2426" s="214" t="s">
        <v>2601</v>
      </c>
      <c r="Y2426" s="220">
        <v>8</v>
      </c>
    </row>
    <row r="2427" spans="23:25" x14ac:dyDescent="0.25">
      <c r="W2427" s="214" t="s">
        <v>274</v>
      </c>
      <c r="X2427" s="214" t="s">
        <v>2602</v>
      </c>
      <c r="Y2427" s="220">
        <v>3</v>
      </c>
    </row>
    <row r="2428" spans="23:25" x14ac:dyDescent="0.25">
      <c r="W2428" s="214" t="s">
        <v>274</v>
      </c>
      <c r="X2428" s="214" t="s">
        <v>2603</v>
      </c>
      <c r="Y2428" s="220">
        <v>3</v>
      </c>
    </row>
    <row r="2429" spans="23:25" x14ac:dyDescent="0.25">
      <c r="W2429" s="214" t="s">
        <v>1740</v>
      </c>
      <c r="X2429" s="214" t="s">
        <v>2604</v>
      </c>
      <c r="Y2429" s="220">
        <v>6</v>
      </c>
    </row>
    <row r="2430" spans="23:25" x14ac:dyDescent="0.25">
      <c r="W2430" s="214" t="s">
        <v>274</v>
      </c>
      <c r="X2430" s="214" t="s">
        <v>2605</v>
      </c>
      <c r="Y2430" s="220">
        <v>3</v>
      </c>
    </row>
    <row r="2431" spans="23:25" x14ac:dyDescent="0.25">
      <c r="W2431" s="214" t="s">
        <v>258</v>
      </c>
      <c r="X2431" s="214" t="s">
        <v>2606</v>
      </c>
      <c r="Y2431" s="220">
        <v>6</v>
      </c>
    </row>
    <row r="2432" spans="23:25" x14ac:dyDescent="0.25">
      <c r="W2432" s="214" t="s">
        <v>1740</v>
      </c>
      <c r="X2432" s="214" t="s">
        <v>2607</v>
      </c>
      <c r="Y2432" s="220">
        <v>4</v>
      </c>
    </row>
    <row r="2433" spans="23:25" x14ac:dyDescent="0.25">
      <c r="W2433" s="214" t="s">
        <v>1740</v>
      </c>
      <c r="X2433" s="214" t="s">
        <v>2608</v>
      </c>
      <c r="Y2433" s="220">
        <v>4</v>
      </c>
    </row>
    <row r="2434" spans="23:25" x14ac:dyDescent="0.25">
      <c r="W2434" s="214" t="s">
        <v>1740</v>
      </c>
      <c r="X2434" s="214" t="s">
        <v>2609</v>
      </c>
      <c r="Y2434" s="220">
        <v>6</v>
      </c>
    </row>
    <row r="2435" spans="23:25" x14ac:dyDescent="0.25">
      <c r="W2435" s="214" t="s">
        <v>1740</v>
      </c>
      <c r="X2435" s="214" t="s">
        <v>2610</v>
      </c>
      <c r="Y2435" s="220">
        <v>6</v>
      </c>
    </row>
    <row r="2436" spans="23:25" x14ac:dyDescent="0.25">
      <c r="W2436" s="214" t="s">
        <v>1740</v>
      </c>
      <c r="X2436" s="214" t="s">
        <v>2611</v>
      </c>
      <c r="Y2436" s="220">
        <v>6</v>
      </c>
    </row>
    <row r="2437" spans="23:25" x14ac:dyDescent="0.25">
      <c r="W2437" s="214" t="s">
        <v>1740</v>
      </c>
      <c r="X2437" s="214" t="s">
        <v>2612</v>
      </c>
      <c r="Y2437" s="220">
        <v>6</v>
      </c>
    </row>
    <row r="2438" spans="23:25" x14ac:dyDescent="0.25">
      <c r="W2438" s="214" t="s">
        <v>1740</v>
      </c>
      <c r="X2438" s="214" t="s">
        <v>2613</v>
      </c>
      <c r="Y2438" s="220">
        <v>6</v>
      </c>
    </row>
    <row r="2439" spans="23:25" x14ac:dyDescent="0.25">
      <c r="W2439" s="214" t="s">
        <v>1740</v>
      </c>
      <c r="X2439" s="214" t="s">
        <v>2614</v>
      </c>
      <c r="Y2439" s="220">
        <v>6</v>
      </c>
    </row>
    <row r="2440" spans="23:25" x14ac:dyDescent="0.25">
      <c r="W2440" s="214" t="s">
        <v>258</v>
      </c>
      <c r="X2440" s="214" t="s">
        <v>2615</v>
      </c>
      <c r="Y2440" s="220">
        <v>4</v>
      </c>
    </row>
    <row r="2441" spans="23:25" x14ac:dyDescent="0.25">
      <c r="W2441" s="214" t="s">
        <v>1740</v>
      </c>
      <c r="X2441" s="214" t="s">
        <v>2616</v>
      </c>
      <c r="Y2441" s="220">
        <v>7</v>
      </c>
    </row>
    <row r="2442" spans="23:25" x14ac:dyDescent="0.25">
      <c r="W2442" s="214" t="s">
        <v>1740</v>
      </c>
      <c r="X2442" s="214" t="s">
        <v>2617</v>
      </c>
      <c r="Y2442" s="220">
        <v>6</v>
      </c>
    </row>
    <row r="2443" spans="23:25" x14ac:dyDescent="0.25">
      <c r="W2443" s="214" t="s">
        <v>274</v>
      </c>
      <c r="X2443" s="214" t="s">
        <v>2618</v>
      </c>
      <c r="Y2443" s="220">
        <v>6</v>
      </c>
    </row>
    <row r="2444" spans="23:25" x14ac:dyDescent="0.25">
      <c r="W2444" s="214" t="s">
        <v>274</v>
      </c>
      <c r="X2444" s="214" t="s">
        <v>2619</v>
      </c>
      <c r="Y2444" s="220">
        <v>6</v>
      </c>
    </row>
    <row r="2445" spans="23:25" x14ac:dyDescent="0.25">
      <c r="W2445" s="214" t="s">
        <v>274</v>
      </c>
      <c r="X2445" s="214" t="s">
        <v>2620</v>
      </c>
      <c r="Y2445" s="220">
        <v>6</v>
      </c>
    </row>
    <row r="2446" spans="23:25" x14ac:dyDescent="0.25">
      <c r="W2446" s="214" t="s">
        <v>1740</v>
      </c>
      <c r="X2446" s="214" t="s">
        <v>2621</v>
      </c>
      <c r="Y2446" s="220">
        <v>6</v>
      </c>
    </row>
    <row r="2447" spans="23:25" x14ac:dyDescent="0.25">
      <c r="W2447" s="214" t="s">
        <v>1740</v>
      </c>
      <c r="X2447" s="214" t="s">
        <v>2622</v>
      </c>
      <c r="Y2447" s="220">
        <v>6</v>
      </c>
    </row>
    <row r="2448" spans="23:25" x14ac:dyDescent="0.25">
      <c r="W2448" s="214" t="s">
        <v>1740</v>
      </c>
      <c r="X2448" s="214" t="s">
        <v>2623</v>
      </c>
      <c r="Y2448" s="220">
        <v>6</v>
      </c>
    </row>
    <row r="2449" spans="23:25" x14ac:dyDescent="0.25">
      <c r="W2449" s="214" t="s">
        <v>274</v>
      </c>
      <c r="X2449" s="214" t="s">
        <v>2624</v>
      </c>
      <c r="Y2449" s="220">
        <v>4</v>
      </c>
    </row>
    <row r="2450" spans="23:25" x14ac:dyDescent="0.25">
      <c r="W2450" s="214" t="s">
        <v>1978</v>
      </c>
      <c r="X2450" s="214" t="s">
        <v>2625</v>
      </c>
      <c r="Y2450" s="220">
        <v>6</v>
      </c>
    </row>
    <row r="2451" spans="23:25" x14ac:dyDescent="0.25">
      <c r="W2451" s="214" t="s">
        <v>1740</v>
      </c>
      <c r="X2451" s="214" t="s">
        <v>2626</v>
      </c>
      <c r="Y2451" s="220">
        <v>6</v>
      </c>
    </row>
    <row r="2452" spans="23:25" x14ac:dyDescent="0.25">
      <c r="W2452" s="214" t="s">
        <v>274</v>
      </c>
      <c r="X2452" s="214" t="s">
        <v>2627</v>
      </c>
      <c r="Y2452" s="220">
        <v>4</v>
      </c>
    </row>
    <row r="2453" spans="23:25" x14ac:dyDescent="0.25">
      <c r="W2453" s="214" t="s">
        <v>274</v>
      </c>
      <c r="X2453" s="214" t="s">
        <v>2628</v>
      </c>
      <c r="Y2453" s="220">
        <v>3</v>
      </c>
    </row>
    <row r="2454" spans="23:25" x14ac:dyDescent="0.25">
      <c r="W2454" s="214" t="s">
        <v>274</v>
      </c>
      <c r="X2454" s="214" t="s">
        <v>2629</v>
      </c>
      <c r="Y2454" s="220">
        <v>4</v>
      </c>
    </row>
    <row r="2455" spans="23:25" x14ac:dyDescent="0.25">
      <c r="W2455" s="214" t="s">
        <v>274</v>
      </c>
      <c r="X2455" s="214" t="s">
        <v>2630</v>
      </c>
      <c r="Y2455" s="220">
        <v>4</v>
      </c>
    </row>
    <row r="2456" spans="23:25" x14ac:dyDescent="0.25">
      <c r="W2456" s="214" t="s">
        <v>1740</v>
      </c>
      <c r="X2456" s="214" t="s">
        <v>2631</v>
      </c>
      <c r="Y2456" s="220">
        <v>6</v>
      </c>
    </row>
    <row r="2457" spans="23:25" x14ac:dyDescent="0.25">
      <c r="W2457" s="214" t="s">
        <v>242</v>
      </c>
      <c r="X2457" s="214" t="s">
        <v>2632</v>
      </c>
      <c r="Y2457" s="220">
        <v>8</v>
      </c>
    </row>
    <row r="2458" spans="23:25" x14ac:dyDescent="0.25">
      <c r="W2458" s="214" t="s">
        <v>274</v>
      </c>
      <c r="X2458" s="214" t="s">
        <v>2633</v>
      </c>
      <c r="Y2458" s="220">
        <v>6</v>
      </c>
    </row>
    <row r="2459" spans="23:25" x14ac:dyDescent="0.25">
      <c r="W2459" s="214" t="s">
        <v>1740</v>
      </c>
      <c r="X2459" s="214" t="s">
        <v>2634</v>
      </c>
      <c r="Y2459" s="220">
        <v>6</v>
      </c>
    </row>
    <row r="2460" spans="23:25" x14ac:dyDescent="0.25">
      <c r="W2460" s="214" t="s">
        <v>274</v>
      </c>
      <c r="X2460" s="214" t="s">
        <v>2635</v>
      </c>
      <c r="Y2460" s="220">
        <v>4</v>
      </c>
    </row>
    <row r="2461" spans="23:25" x14ac:dyDescent="0.25">
      <c r="W2461" s="214" t="s">
        <v>258</v>
      </c>
      <c r="X2461" s="214" t="s">
        <v>2636</v>
      </c>
      <c r="Y2461" s="220">
        <v>4</v>
      </c>
    </row>
    <row r="2462" spans="23:25" x14ac:dyDescent="0.25">
      <c r="W2462" s="214" t="s">
        <v>274</v>
      </c>
      <c r="X2462" s="214" t="s">
        <v>2637</v>
      </c>
      <c r="Y2462" s="220">
        <v>2</v>
      </c>
    </row>
    <row r="2463" spans="23:25" x14ac:dyDescent="0.25">
      <c r="W2463" s="214" t="s">
        <v>258</v>
      </c>
      <c r="X2463" s="214" t="s">
        <v>2638</v>
      </c>
      <c r="Y2463" s="220">
        <v>6</v>
      </c>
    </row>
    <row r="2464" spans="23:25" x14ac:dyDescent="0.25">
      <c r="W2464" s="214" t="s">
        <v>274</v>
      </c>
      <c r="X2464" s="214" t="s">
        <v>2639</v>
      </c>
      <c r="Y2464" s="220">
        <v>4</v>
      </c>
    </row>
    <row r="2465" spans="23:25" x14ac:dyDescent="0.25">
      <c r="W2465" s="214" t="s">
        <v>1740</v>
      </c>
      <c r="X2465" s="214" t="s">
        <v>2640</v>
      </c>
      <c r="Y2465" s="220">
        <v>7</v>
      </c>
    </row>
    <row r="2466" spans="23:25" x14ac:dyDescent="0.25">
      <c r="W2466" s="214" t="s">
        <v>258</v>
      </c>
      <c r="X2466" s="214" t="s">
        <v>2641</v>
      </c>
      <c r="Y2466" s="220">
        <v>3</v>
      </c>
    </row>
    <row r="2467" spans="23:25" x14ac:dyDescent="0.25">
      <c r="W2467" s="214" t="s">
        <v>274</v>
      </c>
      <c r="X2467" s="214" t="s">
        <v>2642</v>
      </c>
      <c r="Y2467" s="220">
        <v>3</v>
      </c>
    </row>
    <row r="2468" spans="23:25" x14ac:dyDescent="0.25">
      <c r="W2468" s="214" t="s">
        <v>274</v>
      </c>
      <c r="X2468" s="214" t="s">
        <v>2643</v>
      </c>
      <c r="Y2468" s="220">
        <v>3</v>
      </c>
    </row>
    <row r="2469" spans="23:25" x14ac:dyDescent="0.25">
      <c r="W2469" s="214" t="s">
        <v>274</v>
      </c>
      <c r="X2469" s="214" t="s">
        <v>2644</v>
      </c>
      <c r="Y2469" s="220">
        <v>4</v>
      </c>
    </row>
    <row r="2470" spans="23:25" x14ac:dyDescent="0.25">
      <c r="W2470" s="214" t="s">
        <v>1740</v>
      </c>
      <c r="X2470" s="214" t="s">
        <v>2645</v>
      </c>
      <c r="Y2470" s="220">
        <v>6</v>
      </c>
    </row>
    <row r="2471" spans="23:25" x14ac:dyDescent="0.25">
      <c r="W2471" s="214" t="s">
        <v>1740</v>
      </c>
      <c r="X2471" s="214" t="s">
        <v>2646</v>
      </c>
      <c r="Y2471" s="220">
        <v>6</v>
      </c>
    </row>
    <row r="2472" spans="23:25" x14ac:dyDescent="0.25">
      <c r="W2472" s="214" t="s">
        <v>274</v>
      </c>
      <c r="X2472" s="214" t="s">
        <v>2647</v>
      </c>
      <c r="Y2472" s="220">
        <v>3</v>
      </c>
    </row>
    <row r="2473" spans="23:25" x14ac:dyDescent="0.25">
      <c r="W2473" s="214" t="s">
        <v>1740</v>
      </c>
      <c r="X2473" s="214" t="s">
        <v>2648</v>
      </c>
      <c r="Y2473" s="220">
        <v>7</v>
      </c>
    </row>
    <row r="2474" spans="23:25" x14ac:dyDescent="0.25">
      <c r="W2474" s="214" t="s">
        <v>398</v>
      </c>
      <c r="X2474" s="214" t="s">
        <v>2649</v>
      </c>
      <c r="Y2474" s="220">
        <v>6</v>
      </c>
    </row>
    <row r="2475" spans="23:25" x14ac:dyDescent="0.25">
      <c r="W2475" s="214" t="s">
        <v>1740</v>
      </c>
      <c r="X2475" s="214" t="s">
        <v>2650</v>
      </c>
      <c r="Y2475" s="220">
        <v>6</v>
      </c>
    </row>
    <row r="2476" spans="23:25" x14ac:dyDescent="0.25">
      <c r="W2476" s="214" t="s">
        <v>242</v>
      </c>
      <c r="X2476" s="214" t="s">
        <v>2651</v>
      </c>
      <c r="Y2476" s="220">
        <v>7</v>
      </c>
    </row>
    <row r="2477" spans="23:25" x14ac:dyDescent="0.25">
      <c r="W2477" s="214" t="s">
        <v>1740</v>
      </c>
      <c r="X2477" s="214" t="s">
        <v>2652</v>
      </c>
      <c r="Y2477" s="220">
        <v>6</v>
      </c>
    </row>
    <row r="2478" spans="23:25" x14ac:dyDescent="0.25">
      <c r="W2478" s="214" t="s">
        <v>1740</v>
      </c>
      <c r="X2478" s="214" t="s">
        <v>2653</v>
      </c>
      <c r="Y2478" s="220">
        <v>6</v>
      </c>
    </row>
    <row r="2479" spans="23:25" x14ac:dyDescent="0.25">
      <c r="W2479" s="214" t="s">
        <v>242</v>
      </c>
      <c r="X2479" s="214" t="s">
        <v>2654</v>
      </c>
      <c r="Y2479" s="220">
        <v>8</v>
      </c>
    </row>
    <row r="2480" spans="23:25" x14ac:dyDescent="0.25">
      <c r="W2480" s="214" t="s">
        <v>274</v>
      </c>
      <c r="X2480" s="214" t="s">
        <v>2655</v>
      </c>
      <c r="Y2480" s="220">
        <v>5</v>
      </c>
    </row>
    <row r="2481" spans="23:25" x14ac:dyDescent="0.25">
      <c r="W2481" s="214" t="s">
        <v>1740</v>
      </c>
      <c r="X2481" s="214" t="s">
        <v>2656</v>
      </c>
      <c r="Y2481" s="220">
        <v>6</v>
      </c>
    </row>
    <row r="2482" spans="23:25" x14ac:dyDescent="0.25">
      <c r="W2482" s="214" t="s">
        <v>1740</v>
      </c>
      <c r="X2482" s="214" t="s">
        <v>2657</v>
      </c>
      <c r="Y2482" s="220">
        <v>6</v>
      </c>
    </row>
    <row r="2483" spans="23:25" x14ac:dyDescent="0.25">
      <c r="W2483" s="214" t="s">
        <v>274</v>
      </c>
      <c r="X2483" s="214" t="s">
        <v>2658</v>
      </c>
      <c r="Y2483" s="220">
        <v>6</v>
      </c>
    </row>
    <row r="2484" spans="23:25" x14ac:dyDescent="0.25">
      <c r="W2484" s="214" t="s">
        <v>1740</v>
      </c>
      <c r="X2484" s="214" t="s">
        <v>2659</v>
      </c>
      <c r="Y2484" s="220">
        <v>6</v>
      </c>
    </row>
    <row r="2485" spans="23:25" x14ac:dyDescent="0.25">
      <c r="W2485" s="214" t="s">
        <v>274</v>
      </c>
      <c r="X2485" s="214" t="s">
        <v>2660</v>
      </c>
      <c r="Y2485" s="220">
        <v>4</v>
      </c>
    </row>
    <row r="2486" spans="23:25" x14ac:dyDescent="0.25">
      <c r="W2486" s="214" t="s">
        <v>1740</v>
      </c>
      <c r="X2486" s="214" t="s">
        <v>298</v>
      </c>
      <c r="Y2486" s="220">
        <v>6</v>
      </c>
    </row>
    <row r="2487" spans="23:25" x14ac:dyDescent="0.25">
      <c r="W2487" s="214" t="s">
        <v>274</v>
      </c>
      <c r="X2487" s="214" t="s">
        <v>2661</v>
      </c>
      <c r="Y2487" s="220">
        <v>4</v>
      </c>
    </row>
    <row r="2488" spans="23:25" x14ac:dyDescent="0.25">
      <c r="W2488" s="214" t="s">
        <v>274</v>
      </c>
      <c r="X2488" s="214" t="s">
        <v>2662</v>
      </c>
      <c r="Y2488" s="220">
        <v>6</v>
      </c>
    </row>
    <row r="2489" spans="23:25" x14ac:dyDescent="0.25">
      <c r="W2489" s="214" t="s">
        <v>274</v>
      </c>
      <c r="X2489" s="214" t="s">
        <v>2663</v>
      </c>
      <c r="Y2489" s="220">
        <v>4</v>
      </c>
    </row>
    <row r="2490" spans="23:25" x14ac:dyDescent="0.25">
      <c r="W2490" s="214" t="s">
        <v>274</v>
      </c>
      <c r="X2490" s="214" t="s">
        <v>2664</v>
      </c>
      <c r="Y2490" s="220">
        <v>3</v>
      </c>
    </row>
    <row r="2491" spans="23:25" x14ac:dyDescent="0.25">
      <c r="W2491" s="214" t="s">
        <v>258</v>
      </c>
      <c r="X2491" s="214" t="s">
        <v>2665</v>
      </c>
      <c r="Y2491" s="220">
        <v>6</v>
      </c>
    </row>
    <row r="2492" spans="23:25" x14ac:dyDescent="0.25">
      <c r="W2492" s="214" t="s">
        <v>1740</v>
      </c>
      <c r="X2492" s="214" t="s">
        <v>2666</v>
      </c>
      <c r="Y2492" s="220">
        <v>6</v>
      </c>
    </row>
    <row r="2493" spans="23:25" x14ac:dyDescent="0.25">
      <c r="W2493" s="214" t="s">
        <v>2185</v>
      </c>
      <c r="X2493" s="214" t="s">
        <v>2667</v>
      </c>
      <c r="Y2493" s="220">
        <v>6</v>
      </c>
    </row>
    <row r="2494" spans="23:25" x14ac:dyDescent="0.25">
      <c r="W2494" s="214" t="s">
        <v>258</v>
      </c>
      <c r="X2494" s="214" t="s">
        <v>2668</v>
      </c>
      <c r="Y2494" s="220">
        <v>4</v>
      </c>
    </row>
    <row r="2495" spans="23:25" x14ac:dyDescent="0.25">
      <c r="W2495" s="214" t="s">
        <v>1740</v>
      </c>
      <c r="X2495" s="214" t="s">
        <v>2669</v>
      </c>
      <c r="Y2495" s="220">
        <v>6</v>
      </c>
    </row>
    <row r="2496" spans="23:25" x14ac:dyDescent="0.25">
      <c r="W2496" s="214" t="s">
        <v>1740</v>
      </c>
      <c r="X2496" s="214" t="s">
        <v>2670</v>
      </c>
      <c r="Y2496" s="220">
        <v>6</v>
      </c>
    </row>
    <row r="2497" spans="23:25" x14ac:dyDescent="0.25">
      <c r="W2497" s="214" t="s">
        <v>1740</v>
      </c>
      <c r="X2497" s="214" t="s">
        <v>2671</v>
      </c>
      <c r="Y2497" s="220">
        <v>6</v>
      </c>
    </row>
    <row r="2498" spans="23:25" x14ac:dyDescent="0.25">
      <c r="W2498" s="214" t="s">
        <v>274</v>
      </c>
      <c r="X2498" s="214" t="s">
        <v>2672</v>
      </c>
      <c r="Y2498" s="220">
        <v>5</v>
      </c>
    </row>
    <row r="2499" spans="23:25" x14ac:dyDescent="0.25">
      <c r="W2499" s="214" t="s">
        <v>1740</v>
      </c>
      <c r="X2499" s="214" t="s">
        <v>2673</v>
      </c>
      <c r="Y2499" s="220">
        <v>6</v>
      </c>
    </row>
    <row r="2500" spans="23:25" x14ac:dyDescent="0.25">
      <c r="W2500" s="214" t="s">
        <v>274</v>
      </c>
      <c r="X2500" s="214" t="s">
        <v>2674</v>
      </c>
      <c r="Y2500" s="220">
        <v>5</v>
      </c>
    </row>
    <row r="2501" spans="23:25" x14ac:dyDescent="0.25">
      <c r="W2501" s="214" t="s">
        <v>274</v>
      </c>
      <c r="X2501" s="214" t="s">
        <v>2675</v>
      </c>
      <c r="Y2501" s="220">
        <v>4</v>
      </c>
    </row>
    <row r="2502" spans="23:25" x14ac:dyDescent="0.25">
      <c r="W2502" s="214" t="s">
        <v>242</v>
      </c>
      <c r="X2502" s="214" t="s">
        <v>2676</v>
      </c>
      <c r="Y2502" s="220">
        <v>8</v>
      </c>
    </row>
    <row r="2503" spans="23:25" x14ac:dyDescent="0.25">
      <c r="W2503" s="214" t="s">
        <v>274</v>
      </c>
      <c r="X2503" s="214" t="s">
        <v>2677</v>
      </c>
      <c r="Y2503" s="220">
        <v>4</v>
      </c>
    </row>
    <row r="2504" spans="23:25" x14ac:dyDescent="0.25">
      <c r="W2504" s="214" t="s">
        <v>274</v>
      </c>
      <c r="X2504" s="214" t="s">
        <v>2678</v>
      </c>
      <c r="Y2504" s="220">
        <v>3</v>
      </c>
    </row>
    <row r="2505" spans="23:25" x14ac:dyDescent="0.25">
      <c r="W2505" s="214" t="s">
        <v>1740</v>
      </c>
      <c r="X2505" s="214" t="s">
        <v>2679</v>
      </c>
      <c r="Y2505" s="220">
        <v>6</v>
      </c>
    </row>
    <row r="2506" spans="23:25" x14ac:dyDescent="0.25">
      <c r="W2506" s="214" t="s">
        <v>274</v>
      </c>
      <c r="X2506" s="214" t="s">
        <v>2680</v>
      </c>
      <c r="Y2506" s="220">
        <v>6</v>
      </c>
    </row>
    <row r="2507" spans="23:25" x14ac:dyDescent="0.25">
      <c r="W2507" s="214" t="s">
        <v>274</v>
      </c>
      <c r="X2507" s="214" t="s">
        <v>2681</v>
      </c>
      <c r="Y2507" s="220">
        <v>2</v>
      </c>
    </row>
    <row r="2508" spans="23:25" x14ac:dyDescent="0.25">
      <c r="W2508" s="214" t="s">
        <v>274</v>
      </c>
      <c r="X2508" s="214" t="s">
        <v>2682</v>
      </c>
      <c r="Y2508" s="220">
        <v>6</v>
      </c>
    </row>
    <row r="2509" spans="23:25" x14ac:dyDescent="0.25">
      <c r="W2509" s="214" t="s">
        <v>1716</v>
      </c>
      <c r="X2509" s="214" t="s">
        <v>2683</v>
      </c>
      <c r="Y2509" s="220">
        <v>8</v>
      </c>
    </row>
    <row r="2510" spans="23:25" x14ac:dyDescent="0.25">
      <c r="W2510" s="214" t="s">
        <v>242</v>
      </c>
      <c r="X2510" s="214" t="s">
        <v>2684</v>
      </c>
      <c r="Y2510" s="220">
        <v>8</v>
      </c>
    </row>
    <row r="2511" spans="23:25" x14ac:dyDescent="0.25">
      <c r="W2511" s="214" t="s">
        <v>1740</v>
      </c>
      <c r="X2511" s="214" t="s">
        <v>2685</v>
      </c>
      <c r="Y2511" s="220">
        <v>6</v>
      </c>
    </row>
    <row r="2512" spans="23:25" x14ac:dyDescent="0.25">
      <c r="W2512" s="214" t="s">
        <v>1740</v>
      </c>
      <c r="X2512" s="214" t="s">
        <v>2686</v>
      </c>
      <c r="Y2512" s="220">
        <v>6</v>
      </c>
    </row>
    <row r="2513" spans="23:25" x14ac:dyDescent="0.25">
      <c r="W2513" s="214" t="s">
        <v>1740</v>
      </c>
      <c r="X2513" s="214" t="s">
        <v>2687</v>
      </c>
      <c r="Y2513" s="220">
        <v>6</v>
      </c>
    </row>
    <row r="2514" spans="23:25" x14ac:dyDescent="0.25">
      <c r="W2514" s="214" t="s">
        <v>274</v>
      </c>
      <c r="X2514" s="214" t="s">
        <v>2688</v>
      </c>
      <c r="Y2514" s="220">
        <v>4</v>
      </c>
    </row>
    <row r="2515" spans="23:25" x14ac:dyDescent="0.25">
      <c r="W2515" s="214" t="s">
        <v>1740</v>
      </c>
      <c r="X2515" s="214" t="s">
        <v>2689</v>
      </c>
      <c r="Y2515" s="220">
        <v>6</v>
      </c>
    </row>
    <row r="2516" spans="23:25" x14ac:dyDescent="0.25">
      <c r="W2516" s="214" t="s">
        <v>274</v>
      </c>
      <c r="X2516" s="214" t="s">
        <v>2690</v>
      </c>
      <c r="Y2516" s="220">
        <v>4</v>
      </c>
    </row>
    <row r="2517" spans="23:25" x14ac:dyDescent="0.25">
      <c r="W2517" s="214" t="s">
        <v>274</v>
      </c>
      <c r="X2517" s="214" t="s">
        <v>2691</v>
      </c>
      <c r="Y2517" s="220">
        <v>4</v>
      </c>
    </row>
    <row r="2518" spans="23:25" x14ac:dyDescent="0.25">
      <c r="W2518" s="214" t="s">
        <v>274</v>
      </c>
      <c r="X2518" s="214" t="s">
        <v>2692</v>
      </c>
      <c r="Y2518" s="220">
        <v>4</v>
      </c>
    </row>
    <row r="2519" spans="23:25" x14ac:dyDescent="0.25">
      <c r="W2519" s="214" t="s">
        <v>274</v>
      </c>
      <c r="X2519" s="214" t="s">
        <v>2693</v>
      </c>
      <c r="Y2519" s="220">
        <v>5</v>
      </c>
    </row>
    <row r="2520" spans="23:25" x14ac:dyDescent="0.25">
      <c r="W2520" s="214" t="s">
        <v>1740</v>
      </c>
      <c r="X2520" s="214" t="s">
        <v>2694</v>
      </c>
      <c r="Y2520" s="220">
        <v>6</v>
      </c>
    </row>
    <row r="2521" spans="23:25" x14ac:dyDescent="0.25">
      <c r="W2521" s="214" t="s">
        <v>1740</v>
      </c>
      <c r="X2521" s="214" t="s">
        <v>2695</v>
      </c>
      <c r="Y2521" s="220">
        <v>6</v>
      </c>
    </row>
    <row r="2522" spans="23:25" x14ac:dyDescent="0.25">
      <c r="W2522" s="214" t="s">
        <v>242</v>
      </c>
      <c r="X2522" s="214" t="s">
        <v>2696</v>
      </c>
      <c r="Y2522" s="220">
        <v>6</v>
      </c>
    </row>
    <row r="2523" spans="23:25" x14ac:dyDescent="0.25">
      <c r="W2523" s="214" t="s">
        <v>274</v>
      </c>
      <c r="X2523" s="214" t="s">
        <v>2697</v>
      </c>
      <c r="Y2523" s="220">
        <v>4</v>
      </c>
    </row>
    <row r="2524" spans="23:25" x14ac:dyDescent="0.25">
      <c r="W2524" s="214" t="s">
        <v>274</v>
      </c>
      <c r="X2524" s="214" t="s">
        <v>2698</v>
      </c>
      <c r="Y2524" s="220">
        <v>4</v>
      </c>
    </row>
    <row r="2525" spans="23:25" x14ac:dyDescent="0.25">
      <c r="W2525" s="214" t="s">
        <v>274</v>
      </c>
      <c r="X2525" s="214" t="s">
        <v>2699</v>
      </c>
      <c r="Y2525" s="220">
        <v>3</v>
      </c>
    </row>
    <row r="2526" spans="23:25" x14ac:dyDescent="0.25">
      <c r="W2526" s="214" t="s">
        <v>258</v>
      </c>
      <c r="X2526" s="214" t="s">
        <v>2700</v>
      </c>
      <c r="Y2526" s="220">
        <v>6</v>
      </c>
    </row>
    <row r="2527" spans="23:25" x14ac:dyDescent="0.25">
      <c r="W2527" s="214" t="s">
        <v>1740</v>
      </c>
      <c r="X2527" s="214" t="s">
        <v>2701</v>
      </c>
      <c r="Y2527" s="220">
        <v>6</v>
      </c>
    </row>
    <row r="2528" spans="23:25" x14ac:dyDescent="0.25">
      <c r="W2528" s="214" t="s">
        <v>1740</v>
      </c>
      <c r="X2528" s="214" t="s">
        <v>2702</v>
      </c>
      <c r="Y2528" s="220">
        <v>6</v>
      </c>
    </row>
    <row r="2529" spans="23:25" x14ac:dyDescent="0.25">
      <c r="W2529" s="214" t="s">
        <v>274</v>
      </c>
      <c r="X2529" s="214" t="s">
        <v>2703</v>
      </c>
      <c r="Y2529" s="220">
        <v>4</v>
      </c>
    </row>
    <row r="2530" spans="23:25" x14ac:dyDescent="0.25">
      <c r="W2530" s="214" t="s">
        <v>1740</v>
      </c>
      <c r="X2530" s="214" t="s">
        <v>2704</v>
      </c>
      <c r="Y2530" s="220">
        <v>4</v>
      </c>
    </row>
    <row r="2531" spans="23:25" x14ac:dyDescent="0.25">
      <c r="W2531" s="214" t="s">
        <v>274</v>
      </c>
      <c r="X2531" s="214" t="s">
        <v>2705</v>
      </c>
      <c r="Y2531" s="220">
        <v>4</v>
      </c>
    </row>
    <row r="2532" spans="23:25" x14ac:dyDescent="0.25">
      <c r="W2532" s="214" t="s">
        <v>1740</v>
      </c>
      <c r="X2532" s="214" t="s">
        <v>2706</v>
      </c>
      <c r="Y2532" s="220">
        <v>6</v>
      </c>
    </row>
    <row r="2533" spans="23:25" x14ac:dyDescent="0.25">
      <c r="W2533" s="214" t="s">
        <v>1740</v>
      </c>
      <c r="X2533" s="214" t="s">
        <v>2707</v>
      </c>
      <c r="Y2533" s="220">
        <v>6</v>
      </c>
    </row>
    <row r="2534" spans="23:25" x14ac:dyDescent="0.25">
      <c r="W2534" s="214" t="s">
        <v>258</v>
      </c>
      <c r="X2534" s="214" t="s">
        <v>2708</v>
      </c>
      <c r="Y2534" s="220">
        <v>6</v>
      </c>
    </row>
    <row r="2535" spans="23:25" x14ac:dyDescent="0.25">
      <c r="W2535" s="214" t="s">
        <v>274</v>
      </c>
      <c r="X2535" s="214" t="s">
        <v>2709</v>
      </c>
      <c r="Y2535" s="220">
        <v>6</v>
      </c>
    </row>
    <row r="2536" spans="23:25" x14ac:dyDescent="0.25">
      <c r="W2536" s="214" t="s">
        <v>1740</v>
      </c>
      <c r="X2536" s="214" t="s">
        <v>2710</v>
      </c>
      <c r="Y2536" s="220">
        <v>6</v>
      </c>
    </row>
    <row r="2537" spans="23:25" x14ac:dyDescent="0.25">
      <c r="W2537" s="214" t="s">
        <v>274</v>
      </c>
      <c r="X2537" s="214" t="s">
        <v>2711</v>
      </c>
      <c r="Y2537" s="220">
        <v>6</v>
      </c>
    </row>
    <row r="2538" spans="23:25" x14ac:dyDescent="0.25">
      <c r="W2538" s="214" t="s">
        <v>274</v>
      </c>
      <c r="X2538" s="214" t="s">
        <v>2712</v>
      </c>
      <c r="Y2538" s="220">
        <v>4</v>
      </c>
    </row>
    <row r="2539" spans="23:25" x14ac:dyDescent="0.25">
      <c r="W2539" s="214" t="s">
        <v>1740</v>
      </c>
      <c r="X2539" s="214" t="s">
        <v>2713</v>
      </c>
      <c r="Y2539" s="220">
        <v>6</v>
      </c>
    </row>
    <row r="2540" spans="23:25" x14ac:dyDescent="0.25">
      <c r="W2540" s="214" t="s">
        <v>1740</v>
      </c>
      <c r="X2540" s="214" t="s">
        <v>2714</v>
      </c>
      <c r="Y2540" s="220">
        <v>6</v>
      </c>
    </row>
    <row r="2541" spans="23:25" x14ac:dyDescent="0.25">
      <c r="W2541" s="214" t="s">
        <v>1740</v>
      </c>
      <c r="X2541" s="214" t="s">
        <v>2715</v>
      </c>
      <c r="Y2541" s="220">
        <v>6</v>
      </c>
    </row>
    <row r="2542" spans="23:25" x14ac:dyDescent="0.25">
      <c r="W2542" s="214" t="s">
        <v>258</v>
      </c>
      <c r="X2542" s="214" t="s">
        <v>2716</v>
      </c>
      <c r="Y2542" s="220">
        <v>3</v>
      </c>
    </row>
    <row r="2543" spans="23:25" x14ac:dyDescent="0.25">
      <c r="W2543" s="214" t="s">
        <v>1740</v>
      </c>
      <c r="X2543" s="214" t="s">
        <v>2717</v>
      </c>
      <c r="Y2543" s="220">
        <v>6</v>
      </c>
    </row>
    <row r="2544" spans="23:25" x14ac:dyDescent="0.25">
      <c r="W2544" s="214" t="s">
        <v>274</v>
      </c>
      <c r="X2544" s="214" t="s">
        <v>2718</v>
      </c>
      <c r="Y2544" s="220">
        <v>4</v>
      </c>
    </row>
    <row r="2545" spans="23:25" x14ac:dyDescent="0.25">
      <c r="W2545" s="214" t="s">
        <v>398</v>
      </c>
      <c r="X2545" s="214" t="s">
        <v>2719</v>
      </c>
      <c r="Y2545" s="220">
        <v>6</v>
      </c>
    </row>
    <row r="2546" spans="23:25" x14ac:dyDescent="0.25">
      <c r="W2546" s="214" t="s">
        <v>274</v>
      </c>
      <c r="X2546" s="214" t="s">
        <v>2720</v>
      </c>
      <c r="Y2546" s="220">
        <v>3</v>
      </c>
    </row>
    <row r="2547" spans="23:25" x14ac:dyDescent="0.25">
      <c r="W2547" s="214" t="s">
        <v>1740</v>
      </c>
      <c r="X2547" s="214" t="s">
        <v>2721</v>
      </c>
      <c r="Y2547" s="220">
        <v>4</v>
      </c>
    </row>
    <row r="2548" spans="23:25" x14ac:dyDescent="0.25">
      <c r="W2548" s="214" t="s">
        <v>1978</v>
      </c>
      <c r="X2548" s="214" t="s">
        <v>2722</v>
      </c>
      <c r="Y2548" s="220">
        <v>6</v>
      </c>
    </row>
    <row r="2549" spans="23:25" x14ac:dyDescent="0.25">
      <c r="W2549" s="214" t="s">
        <v>1740</v>
      </c>
      <c r="X2549" s="214" t="s">
        <v>2723</v>
      </c>
      <c r="Y2549" s="220">
        <v>6</v>
      </c>
    </row>
    <row r="2550" spans="23:25" x14ac:dyDescent="0.25">
      <c r="W2550" s="214" t="s">
        <v>1740</v>
      </c>
      <c r="X2550" s="214" t="s">
        <v>2724</v>
      </c>
      <c r="Y2550" s="220">
        <v>6</v>
      </c>
    </row>
    <row r="2551" spans="23:25" x14ac:dyDescent="0.25">
      <c r="W2551" s="214" t="s">
        <v>258</v>
      </c>
      <c r="X2551" s="214" t="s">
        <v>2725</v>
      </c>
      <c r="Y2551" s="220">
        <v>4</v>
      </c>
    </row>
    <row r="2552" spans="23:25" x14ac:dyDescent="0.25">
      <c r="W2552" s="214" t="s">
        <v>274</v>
      </c>
      <c r="X2552" s="214" t="s">
        <v>2726</v>
      </c>
      <c r="Y2552" s="220">
        <v>3</v>
      </c>
    </row>
    <row r="2553" spans="23:25" x14ac:dyDescent="0.25">
      <c r="W2553" s="214" t="s">
        <v>274</v>
      </c>
      <c r="X2553" s="214" t="s">
        <v>2727</v>
      </c>
      <c r="Y2553" s="220">
        <v>4</v>
      </c>
    </row>
    <row r="2554" spans="23:25" x14ac:dyDescent="0.25">
      <c r="W2554" s="214" t="s">
        <v>1740</v>
      </c>
      <c r="X2554" s="214" t="s">
        <v>2728</v>
      </c>
      <c r="Y2554" s="220">
        <v>6</v>
      </c>
    </row>
    <row r="2555" spans="23:25" x14ac:dyDescent="0.25">
      <c r="W2555" s="214" t="s">
        <v>1740</v>
      </c>
      <c r="X2555" s="214" t="s">
        <v>2729</v>
      </c>
      <c r="Y2555" s="220">
        <v>6</v>
      </c>
    </row>
    <row r="2556" spans="23:25" x14ac:dyDescent="0.25">
      <c r="W2556" s="214" t="s">
        <v>398</v>
      </c>
      <c r="X2556" s="214" t="s">
        <v>2730</v>
      </c>
      <c r="Y2556" s="220">
        <v>6</v>
      </c>
    </row>
    <row r="2557" spans="23:25" x14ac:dyDescent="0.25">
      <c r="W2557" s="214" t="s">
        <v>274</v>
      </c>
      <c r="X2557" s="214" t="s">
        <v>2731</v>
      </c>
      <c r="Y2557" s="220">
        <v>4</v>
      </c>
    </row>
    <row r="2558" spans="23:25" x14ac:dyDescent="0.25">
      <c r="W2558" s="214" t="s">
        <v>274</v>
      </c>
      <c r="X2558" s="214" t="s">
        <v>2732</v>
      </c>
      <c r="Y2558" s="220">
        <v>4</v>
      </c>
    </row>
    <row r="2559" spans="23:25" x14ac:dyDescent="0.25">
      <c r="W2559" s="214" t="s">
        <v>1740</v>
      </c>
      <c r="X2559" s="214" t="s">
        <v>2733</v>
      </c>
      <c r="Y2559" s="220">
        <v>6</v>
      </c>
    </row>
    <row r="2560" spans="23:25" x14ac:dyDescent="0.25">
      <c r="W2560" s="214" t="s">
        <v>1740</v>
      </c>
      <c r="X2560" s="214" t="s">
        <v>2734</v>
      </c>
      <c r="Y2560" s="220">
        <v>6</v>
      </c>
    </row>
    <row r="2561" spans="23:25" x14ac:dyDescent="0.25">
      <c r="W2561" s="214" t="s">
        <v>258</v>
      </c>
      <c r="X2561" s="214" t="s">
        <v>2735</v>
      </c>
      <c r="Y2561" s="220">
        <v>4</v>
      </c>
    </row>
    <row r="2562" spans="23:25" x14ac:dyDescent="0.25">
      <c r="W2562" s="214" t="s">
        <v>1740</v>
      </c>
      <c r="X2562" s="214" t="s">
        <v>2736</v>
      </c>
      <c r="Y2562" s="220">
        <v>6</v>
      </c>
    </row>
    <row r="2563" spans="23:25" x14ac:dyDescent="0.25">
      <c r="W2563" s="214" t="s">
        <v>274</v>
      </c>
      <c r="X2563" s="214" t="s">
        <v>2737</v>
      </c>
      <c r="Y2563" s="220">
        <v>3</v>
      </c>
    </row>
    <row r="2564" spans="23:25" x14ac:dyDescent="0.25">
      <c r="W2564" s="214" t="s">
        <v>274</v>
      </c>
      <c r="X2564" s="214" t="s">
        <v>2738</v>
      </c>
      <c r="Y2564" s="220">
        <v>4</v>
      </c>
    </row>
    <row r="2565" spans="23:25" x14ac:dyDescent="0.25">
      <c r="W2565" s="214" t="s">
        <v>1740</v>
      </c>
      <c r="X2565" s="214" t="s">
        <v>2739</v>
      </c>
      <c r="Y2565" s="220">
        <v>6</v>
      </c>
    </row>
    <row r="2566" spans="23:25" x14ac:dyDescent="0.25">
      <c r="W2566" s="214" t="s">
        <v>1740</v>
      </c>
      <c r="X2566" s="214" t="s">
        <v>2740</v>
      </c>
      <c r="Y2566" s="220">
        <v>6</v>
      </c>
    </row>
    <row r="2567" spans="23:25" x14ac:dyDescent="0.25">
      <c r="W2567" s="214" t="s">
        <v>1740</v>
      </c>
      <c r="X2567" s="214" t="s">
        <v>2741</v>
      </c>
      <c r="Y2567" s="220">
        <v>6</v>
      </c>
    </row>
    <row r="2568" spans="23:25" x14ac:dyDescent="0.25">
      <c r="W2568" s="214" t="s">
        <v>274</v>
      </c>
      <c r="X2568" s="214" t="s">
        <v>2742</v>
      </c>
      <c r="Y2568" s="220">
        <v>6</v>
      </c>
    </row>
    <row r="2569" spans="23:25" x14ac:dyDescent="0.25">
      <c r="W2569" s="214" t="s">
        <v>274</v>
      </c>
      <c r="X2569" s="214" t="s">
        <v>2743</v>
      </c>
      <c r="Y2569" s="220">
        <v>4</v>
      </c>
    </row>
    <row r="2570" spans="23:25" x14ac:dyDescent="0.25">
      <c r="W2570" s="214" t="s">
        <v>1740</v>
      </c>
      <c r="X2570" s="214" t="s">
        <v>2744</v>
      </c>
      <c r="Y2570" s="220">
        <v>6</v>
      </c>
    </row>
    <row r="2571" spans="23:25" x14ac:dyDescent="0.25">
      <c r="W2571" s="214" t="s">
        <v>1740</v>
      </c>
      <c r="X2571" s="214" t="s">
        <v>2745</v>
      </c>
      <c r="Y2571" s="220">
        <v>6</v>
      </c>
    </row>
    <row r="2572" spans="23:25" x14ac:dyDescent="0.25">
      <c r="W2572" s="214" t="s">
        <v>1740</v>
      </c>
      <c r="X2572" s="214" t="s">
        <v>2746</v>
      </c>
      <c r="Y2572" s="220">
        <v>6</v>
      </c>
    </row>
    <row r="2573" spans="23:25" x14ac:dyDescent="0.25">
      <c r="W2573" s="214" t="s">
        <v>1740</v>
      </c>
      <c r="X2573" s="214" t="s">
        <v>2747</v>
      </c>
      <c r="Y2573" s="220">
        <v>6</v>
      </c>
    </row>
    <row r="2574" spans="23:25" x14ac:dyDescent="0.25">
      <c r="W2574" s="214" t="s">
        <v>1740</v>
      </c>
      <c r="X2574" s="214" t="s">
        <v>2748</v>
      </c>
      <c r="Y2574" s="220">
        <v>4</v>
      </c>
    </row>
    <row r="2575" spans="23:25" x14ac:dyDescent="0.25">
      <c r="W2575" s="214" t="s">
        <v>274</v>
      </c>
      <c r="X2575" s="214" t="s">
        <v>2749</v>
      </c>
      <c r="Y2575" s="220">
        <v>4</v>
      </c>
    </row>
    <row r="2576" spans="23:25" x14ac:dyDescent="0.25">
      <c r="W2576" s="214" t="s">
        <v>1978</v>
      </c>
      <c r="X2576" s="214" t="s">
        <v>2750</v>
      </c>
      <c r="Y2576" s="220">
        <v>6</v>
      </c>
    </row>
    <row r="2577" spans="23:25" x14ac:dyDescent="0.25">
      <c r="W2577" s="214" t="s">
        <v>1740</v>
      </c>
      <c r="X2577" s="214" t="s">
        <v>2751</v>
      </c>
      <c r="Y2577" s="220">
        <v>6</v>
      </c>
    </row>
    <row r="2578" spans="23:25" x14ac:dyDescent="0.25">
      <c r="W2578" s="214" t="s">
        <v>1740</v>
      </c>
      <c r="X2578" s="214" t="s">
        <v>2752</v>
      </c>
      <c r="Y2578" s="220">
        <v>6</v>
      </c>
    </row>
    <row r="2579" spans="23:25" x14ac:dyDescent="0.25">
      <c r="W2579" s="214" t="s">
        <v>1740</v>
      </c>
      <c r="X2579" s="214" t="s">
        <v>2753</v>
      </c>
      <c r="Y2579" s="220">
        <v>6</v>
      </c>
    </row>
    <row r="2580" spans="23:25" x14ac:dyDescent="0.25">
      <c r="W2580" s="214" t="s">
        <v>274</v>
      </c>
      <c r="X2580" s="214" t="s">
        <v>2754</v>
      </c>
      <c r="Y2580" s="220">
        <v>6</v>
      </c>
    </row>
    <row r="2581" spans="23:25" x14ac:dyDescent="0.25">
      <c r="W2581" s="214" t="s">
        <v>274</v>
      </c>
      <c r="X2581" s="214" t="s">
        <v>2755</v>
      </c>
      <c r="Y2581" s="220">
        <v>3</v>
      </c>
    </row>
    <row r="2582" spans="23:25" x14ac:dyDescent="0.25">
      <c r="W2582" s="214" t="s">
        <v>242</v>
      </c>
      <c r="X2582" s="214" t="s">
        <v>2756</v>
      </c>
      <c r="Y2582" s="220">
        <v>8</v>
      </c>
    </row>
    <row r="2583" spans="23:25" x14ac:dyDescent="0.25">
      <c r="W2583" s="214" t="s">
        <v>1740</v>
      </c>
      <c r="X2583" s="214" t="s">
        <v>2757</v>
      </c>
      <c r="Y2583" s="220">
        <v>6</v>
      </c>
    </row>
    <row r="2584" spans="23:25" x14ac:dyDescent="0.25">
      <c r="W2584" s="214" t="s">
        <v>1740</v>
      </c>
      <c r="X2584" s="214" t="s">
        <v>2758</v>
      </c>
      <c r="Y2584" s="220">
        <v>6</v>
      </c>
    </row>
    <row r="2585" spans="23:25" x14ac:dyDescent="0.25">
      <c r="W2585" s="214" t="s">
        <v>1740</v>
      </c>
      <c r="X2585" s="214" t="s">
        <v>2759</v>
      </c>
      <c r="Y2585" s="220">
        <v>4</v>
      </c>
    </row>
    <row r="2586" spans="23:25" x14ac:dyDescent="0.25">
      <c r="W2586" s="214" t="s">
        <v>258</v>
      </c>
      <c r="X2586" s="214" t="s">
        <v>2760</v>
      </c>
      <c r="Y2586" s="220">
        <v>3</v>
      </c>
    </row>
    <row r="2587" spans="23:25" x14ac:dyDescent="0.25">
      <c r="W2587" s="214" t="s">
        <v>258</v>
      </c>
      <c r="X2587" s="214" t="s">
        <v>2761</v>
      </c>
      <c r="Y2587" s="220">
        <v>6</v>
      </c>
    </row>
    <row r="2588" spans="23:25" x14ac:dyDescent="0.25">
      <c r="W2588" s="214" t="s">
        <v>274</v>
      </c>
      <c r="X2588" s="214" t="s">
        <v>2762</v>
      </c>
      <c r="Y2588" s="220">
        <v>6</v>
      </c>
    </row>
    <row r="2589" spans="23:25" x14ac:dyDescent="0.25">
      <c r="W2589" s="214" t="s">
        <v>2185</v>
      </c>
      <c r="X2589" s="214" t="s">
        <v>2763</v>
      </c>
      <c r="Y2589" s="220">
        <v>6</v>
      </c>
    </row>
    <row r="2590" spans="23:25" x14ac:dyDescent="0.25">
      <c r="W2590" s="214" t="s">
        <v>274</v>
      </c>
      <c r="X2590" s="214" t="s">
        <v>2764</v>
      </c>
      <c r="Y2590" s="220">
        <v>6</v>
      </c>
    </row>
    <row r="2591" spans="23:25" x14ac:dyDescent="0.25">
      <c r="W2591" s="214" t="s">
        <v>258</v>
      </c>
      <c r="X2591" s="214" t="s">
        <v>2765</v>
      </c>
      <c r="Y2591" s="220">
        <v>6</v>
      </c>
    </row>
    <row r="2592" spans="23:25" x14ac:dyDescent="0.25">
      <c r="W2592" s="214" t="s">
        <v>258</v>
      </c>
      <c r="X2592" s="214" t="s">
        <v>2766</v>
      </c>
      <c r="Y2592" s="220">
        <v>6</v>
      </c>
    </row>
    <row r="2593" spans="23:25" x14ac:dyDescent="0.25">
      <c r="W2593" s="214" t="s">
        <v>1740</v>
      </c>
      <c r="X2593" s="214" t="s">
        <v>2767</v>
      </c>
      <c r="Y2593" s="220">
        <v>6</v>
      </c>
    </row>
    <row r="2594" spans="23:25" x14ac:dyDescent="0.25">
      <c r="W2594" s="214" t="s">
        <v>1740</v>
      </c>
      <c r="X2594" s="214" t="s">
        <v>2768</v>
      </c>
      <c r="Y2594" s="220">
        <v>6</v>
      </c>
    </row>
    <row r="2595" spans="23:25" x14ac:dyDescent="0.25">
      <c r="W2595" s="214" t="s">
        <v>274</v>
      </c>
      <c r="X2595" s="214" t="s">
        <v>2769</v>
      </c>
      <c r="Y2595" s="220">
        <v>6</v>
      </c>
    </row>
    <row r="2596" spans="23:25" x14ac:dyDescent="0.25">
      <c r="W2596" s="214" t="s">
        <v>274</v>
      </c>
      <c r="X2596" s="214" t="s">
        <v>2770</v>
      </c>
      <c r="Y2596" s="220">
        <v>4</v>
      </c>
    </row>
    <row r="2597" spans="23:25" x14ac:dyDescent="0.25">
      <c r="W2597" s="214" t="s">
        <v>1740</v>
      </c>
      <c r="X2597" s="214" t="s">
        <v>2771</v>
      </c>
      <c r="Y2597" s="220">
        <v>6</v>
      </c>
    </row>
    <row r="2598" spans="23:25" x14ac:dyDescent="0.25">
      <c r="W2598" s="214" t="s">
        <v>274</v>
      </c>
      <c r="X2598" s="214" t="s">
        <v>2772</v>
      </c>
      <c r="Y2598" s="220">
        <v>4</v>
      </c>
    </row>
    <row r="2599" spans="23:25" x14ac:dyDescent="0.25">
      <c r="W2599" s="214" t="s">
        <v>274</v>
      </c>
      <c r="X2599" s="214" t="s">
        <v>2773</v>
      </c>
      <c r="Y2599" s="220">
        <v>4</v>
      </c>
    </row>
    <row r="2600" spans="23:25" x14ac:dyDescent="0.25">
      <c r="W2600" s="214" t="s">
        <v>274</v>
      </c>
      <c r="X2600" s="214" t="s">
        <v>2774</v>
      </c>
      <c r="Y2600" s="220">
        <v>6</v>
      </c>
    </row>
    <row r="2601" spans="23:25" x14ac:dyDescent="0.25">
      <c r="W2601" s="214" t="s">
        <v>274</v>
      </c>
      <c r="X2601" s="214" t="s">
        <v>2775</v>
      </c>
      <c r="Y2601" s="220">
        <v>4</v>
      </c>
    </row>
    <row r="2602" spans="23:25" x14ac:dyDescent="0.25">
      <c r="W2602" s="214" t="s">
        <v>1740</v>
      </c>
      <c r="X2602" s="214" t="s">
        <v>2776</v>
      </c>
      <c r="Y2602" s="220">
        <v>6</v>
      </c>
    </row>
    <row r="2603" spans="23:25" x14ac:dyDescent="0.25">
      <c r="W2603" s="214" t="s">
        <v>1978</v>
      </c>
      <c r="X2603" s="214" t="s">
        <v>2777</v>
      </c>
      <c r="Y2603" s="220">
        <v>6</v>
      </c>
    </row>
    <row r="2604" spans="23:25" x14ac:dyDescent="0.25">
      <c r="W2604" s="214" t="s">
        <v>274</v>
      </c>
      <c r="X2604" s="214" t="s">
        <v>2778</v>
      </c>
      <c r="Y2604" s="220">
        <v>3</v>
      </c>
    </row>
    <row r="2605" spans="23:25" x14ac:dyDescent="0.25">
      <c r="W2605" s="214" t="s">
        <v>398</v>
      </c>
      <c r="X2605" s="214" t="s">
        <v>2779</v>
      </c>
      <c r="Y2605" s="220">
        <v>6</v>
      </c>
    </row>
    <row r="2606" spans="23:25" x14ac:dyDescent="0.25">
      <c r="W2606" s="214" t="s">
        <v>1740</v>
      </c>
      <c r="X2606" s="214" t="s">
        <v>2780</v>
      </c>
      <c r="Y2606" s="220">
        <v>6</v>
      </c>
    </row>
    <row r="2607" spans="23:25" x14ac:dyDescent="0.25">
      <c r="W2607" s="214" t="s">
        <v>1740</v>
      </c>
      <c r="X2607" s="214" t="s">
        <v>2781</v>
      </c>
      <c r="Y2607" s="220">
        <v>6</v>
      </c>
    </row>
    <row r="2608" spans="23:25" x14ac:dyDescent="0.25">
      <c r="W2608" s="214" t="s">
        <v>274</v>
      </c>
      <c r="X2608" s="214" t="s">
        <v>2782</v>
      </c>
      <c r="Y2608" s="220">
        <v>6</v>
      </c>
    </row>
    <row r="2609" spans="23:25" x14ac:dyDescent="0.25">
      <c r="W2609" s="214" t="s">
        <v>274</v>
      </c>
      <c r="X2609" s="214" t="s">
        <v>2783</v>
      </c>
      <c r="Y2609" s="220">
        <v>4</v>
      </c>
    </row>
    <row r="2610" spans="23:25" x14ac:dyDescent="0.25">
      <c r="W2610" s="214" t="s">
        <v>1740</v>
      </c>
      <c r="X2610" s="214" t="s">
        <v>2784</v>
      </c>
      <c r="Y2610" s="220">
        <v>6</v>
      </c>
    </row>
    <row r="2611" spans="23:25" x14ac:dyDescent="0.25">
      <c r="W2611" s="214" t="s">
        <v>1763</v>
      </c>
      <c r="X2611" s="214" t="s">
        <v>2785</v>
      </c>
      <c r="Y2611" s="220">
        <v>8</v>
      </c>
    </row>
    <row r="2612" spans="23:25" x14ac:dyDescent="0.25">
      <c r="W2612" s="214" t="s">
        <v>274</v>
      </c>
      <c r="X2612" s="214" t="s">
        <v>2786</v>
      </c>
      <c r="Y2612" s="220">
        <v>6</v>
      </c>
    </row>
    <row r="2613" spans="23:25" x14ac:dyDescent="0.25">
      <c r="W2613" s="214" t="s">
        <v>1740</v>
      </c>
      <c r="X2613" s="214" t="s">
        <v>2787</v>
      </c>
      <c r="Y2613" s="220">
        <v>6</v>
      </c>
    </row>
    <row r="2614" spans="23:25" x14ac:dyDescent="0.25">
      <c r="W2614" s="214" t="s">
        <v>274</v>
      </c>
      <c r="X2614" s="214" t="s">
        <v>2788</v>
      </c>
      <c r="Y2614" s="220">
        <v>6</v>
      </c>
    </row>
    <row r="2615" spans="23:25" x14ac:dyDescent="0.25">
      <c r="W2615" s="214" t="s">
        <v>274</v>
      </c>
      <c r="X2615" s="214" t="s">
        <v>2789</v>
      </c>
      <c r="Y2615" s="220">
        <v>6</v>
      </c>
    </row>
    <row r="2616" spans="23:25" x14ac:dyDescent="0.25">
      <c r="W2616" s="214" t="s">
        <v>1740</v>
      </c>
      <c r="X2616" s="214" t="s">
        <v>2790</v>
      </c>
      <c r="Y2616" s="220">
        <v>4</v>
      </c>
    </row>
    <row r="2617" spans="23:25" x14ac:dyDescent="0.25">
      <c r="W2617" s="214" t="s">
        <v>274</v>
      </c>
      <c r="X2617" s="214" t="s">
        <v>2791</v>
      </c>
      <c r="Y2617" s="220">
        <v>3</v>
      </c>
    </row>
    <row r="2618" spans="23:25" x14ac:dyDescent="0.25">
      <c r="W2618" s="214" t="s">
        <v>274</v>
      </c>
      <c r="X2618" s="214" t="s">
        <v>2792</v>
      </c>
      <c r="Y2618" s="220">
        <v>6</v>
      </c>
    </row>
    <row r="2619" spans="23:25" x14ac:dyDescent="0.25">
      <c r="W2619" s="214" t="s">
        <v>1740</v>
      </c>
      <c r="X2619" s="214" t="s">
        <v>2793</v>
      </c>
      <c r="Y2619" s="220">
        <v>6</v>
      </c>
    </row>
    <row r="2620" spans="23:25" x14ac:dyDescent="0.25">
      <c r="W2620" s="214" t="s">
        <v>274</v>
      </c>
      <c r="X2620" s="214" t="s">
        <v>2794</v>
      </c>
      <c r="Y2620" s="220">
        <v>6</v>
      </c>
    </row>
    <row r="2621" spans="23:25" x14ac:dyDescent="0.25">
      <c r="W2621" s="214" t="s">
        <v>258</v>
      </c>
      <c r="X2621" s="214" t="s">
        <v>2795</v>
      </c>
      <c r="Y2621" s="220">
        <v>6</v>
      </c>
    </row>
    <row r="2622" spans="23:25" x14ac:dyDescent="0.25">
      <c r="W2622" s="214" t="s">
        <v>1740</v>
      </c>
      <c r="X2622" s="214" t="s">
        <v>2796</v>
      </c>
      <c r="Y2622" s="220">
        <v>6</v>
      </c>
    </row>
    <row r="2623" spans="23:25" x14ac:dyDescent="0.25">
      <c r="W2623" s="214" t="s">
        <v>274</v>
      </c>
      <c r="X2623" s="214" t="s">
        <v>2797</v>
      </c>
      <c r="Y2623" s="220">
        <v>6</v>
      </c>
    </row>
    <row r="2624" spans="23:25" x14ac:dyDescent="0.25">
      <c r="W2624" s="214" t="s">
        <v>274</v>
      </c>
      <c r="X2624" s="214" t="s">
        <v>2798</v>
      </c>
      <c r="Y2624" s="220">
        <v>6</v>
      </c>
    </row>
    <row r="2625" spans="23:25" x14ac:dyDescent="0.25">
      <c r="W2625" s="214" t="s">
        <v>274</v>
      </c>
      <c r="X2625" s="214" t="s">
        <v>2799</v>
      </c>
      <c r="Y2625" s="220">
        <v>3</v>
      </c>
    </row>
    <row r="2626" spans="23:25" x14ac:dyDescent="0.25">
      <c r="W2626" s="214" t="s">
        <v>1740</v>
      </c>
      <c r="X2626" s="214" t="s">
        <v>2800</v>
      </c>
      <c r="Y2626" s="220">
        <v>6</v>
      </c>
    </row>
    <row r="2627" spans="23:25" x14ac:dyDescent="0.25">
      <c r="W2627" s="214" t="s">
        <v>1740</v>
      </c>
      <c r="X2627" s="214" t="s">
        <v>2801</v>
      </c>
      <c r="Y2627" s="220">
        <v>6</v>
      </c>
    </row>
    <row r="2628" spans="23:25" x14ac:dyDescent="0.25">
      <c r="W2628" s="214" t="s">
        <v>258</v>
      </c>
      <c r="X2628" s="214" t="s">
        <v>2802</v>
      </c>
      <c r="Y2628" s="220">
        <v>6</v>
      </c>
    </row>
    <row r="2629" spans="23:25" x14ac:dyDescent="0.25">
      <c r="W2629" s="214" t="s">
        <v>1740</v>
      </c>
      <c r="X2629" s="214" t="s">
        <v>2326</v>
      </c>
      <c r="Y2629" s="220">
        <v>6</v>
      </c>
    </row>
    <row r="2630" spans="23:25" x14ac:dyDescent="0.25">
      <c r="W2630" s="214" t="s">
        <v>274</v>
      </c>
      <c r="X2630" s="214" t="s">
        <v>2803</v>
      </c>
      <c r="Y2630" s="220">
        <v>6</v>
      </c>
    </row>
    <row r="2631" spans="23:25" x14ac:dyDescent="0.25">
      <c r="W2631" s="214" t="s">
        <v>1740</v>
      </c>
      <c r="X2631" s="214" t="s">
        <v>2804</v>
      </c>
      <c r="Y2631" s="220">
        <v>6</v>
      </c>
    </row>
    <row r="2632" spans="23:25" x14ac:dyDescent="0.25">
      <c r="W2632" s="214" t="s">
        <v>258</v>
      </c>
      <c r="X2632" s="214" t="s">
        <v>2805</v>
      </c>
      <c r="Y2632" s="220">
        <v>6</v>
      </c>
    </row>
    <row r="2633" spans="23:25" x14ac:dyDescent="0.25">
      <c r="W2633" s="214" t="s">
        <v>274</v>
      </c>
      <c r="X2633" s="214" t="s">
        <v>2806</v>
      </c>
      <c r="Y2633" s="220">
        <v>6</v>
      </c>
    </row>
    <row r="2634" spans="23:25" x14ac:dyDescent="0.25">
      <c r="W2634" s="214" t="s">
        <v>274</v>
      </c>
      <c r="X2634" s="214" t="s">
        <v>2807</v>
      </c>
      <c r="Y2634" s="220">
        <v>6</v>
      </c>
    </row>
    <row r="2635" spans="23:25" x14ac:dyDescent="0.25">
      <c r="W2635" s="214" t="s">
        <v>274</v>
      </c>
      <c r="X2635" s="214" t="s">
        <v>2808</v>
      </c>
      <c r="Y2635" s="220">
        <v>4</v>
      </c>
    </row>
    <row r="2636" spans="23:25" x14ac:dyDescent="0.25">
      <c r="W2636" s="214" t="s">
        <v>274</v>
      </c>
      <c r="X2636" s="214" t="s">
        <v>2809</v>
      </c>
      <c r="Y2636" s="220">
        <v>6</v>
      </c>
    </row>
    <row r="2637" spans="23:25" x14ac:dyDescent="0.25">
      <c r="W2637" s="214" t="s">
        <v>1740</v>
      </c>
      <c r="X2637" s="214" t="s">
        <v>2810</v>
      </c>
      <c r="Y2637" s="220">
        <v>6</v>
      </c>
    </row>
    <row r="2638" spans="23:25" x14ac:dyDescent="0.25">
      <c r="W2638" s="214" t="s">
        <v>274</v>
      </c>
      <c r="X2638" s="214" t="s">
        <v>2811</v>
      </c>
      <c r="Y2638" s="220">
        <v>6</v>
      </c>
    </row>
    <row r="2639" spans="23:25" x14ac:dyDescent="0.25">
      <c r="W2639" s="214" t="s">
        <v>274</v>
      </c>
      <c r="X2639" s="214" t="s">
        <v>2812</v>
      </c>
      <c r="Y2639" s="220">
        <v>3</v>
      </c>
    </row>
    <row r="2640" spans="23:25" x14ac:dyDescent="0.25">
      <c r="W2640" s="214" t="s">
        <v>274</v>
      </c>
      <c r="X2640" s="214" t="s">
        <v>2813</v>
      </c>
      <c r="Y2640" s="220">
        <v>6</v>
      </c>
    </row>
    <row r="2641" spans="23:25" x14ac:dyDescent="0.25">
      <c r="W2641" s="214" t="s">
        <v>1978</v>
      </c>
      <c r="X2641" s="214" t="s">
        <v>1485</v>
      </c>
      <c r="Y2641" s="220">
        <v>6</v>
      </c>
    </row>
    <row r="2642" spans="23:25" x14ac:dyDescent="0.25">
      <c r="W2642" s="214" t="s">
        <v>398</v>
      </c>
      <c r="X2642" s="214" t="s">
        <v>2814</v>
      </c>
      <c r="Y2642" s="220">
        <v>6</v>
      </c>
    </row>
    <row r="2643" spans="23:25" x14ac:dyDescent="0.25">
      <c r="W2643" s="214" t="s">
        <v>1740</v>
      </c>
      <c r="X2643" s="214" t="s">
        <v>2815</v>
      </c>
      <c r="Y2643" s="220">
        <v>6</v>
      </c>
    </row>
    <row r="2644" spans="23:25" x14ac:dyDescent="0.25">
      <c r="W2644" s="214" t="s">
        <v>1740</v>
      </c>
      <c r="X2644" s="214" t="s">
        <v>2816</v>
      </c>
      <c r="Y2644" s="220">
        <v>6</v>
      </c>
    </row>
    <row r="2645" spans="23:25" x14ac:dyDescent="0.25">
      <c r="W2645" s="214" t="s">
        <v>274</v>
      </c>
      <c r="X2645" s="214" t="s">
        <v>2817</v>
      </c>
      <c r="Y2645" s="220">
        <v>6</v>
      </c>
    </row>
    <row r="2646" spans="23:25" x14ac:dyDescent="0.25">
      <c r="W2646" s="214" t="s">
        <v>274</v>
      </c>
      <c r="X2646" s="214" t="s">
        <v>2818</v>
      </c>
      <c r="Y2646" s="220">
        <v>6</v>
      </c>
    </row>
    <row r="2647" spans="23:25" x14ac:dyDescent="0.25">
      <c r="W2647" s="214" t="s">
        <v>2185</v>
      </c>
      <c r="X2647" s="214" t="s">
        <v>2819</v>
      </c>
      <c r="Y2647" s="220">
        <v>6</v>
      </c>
    </row>
    <row r="2648" spans="23:25" x14ac:dyDescent="0.25">
      <c r="W2648" s="214" t="s">
        <v>274</v>
      </c>
      <c r="X2648" s="214" t="s">
        <v>2820</v>
      </c>
      <c r="Y2648" s="220">
        <v>6</v>
      </c>
    </row>
    <row r="2649" spans="23:25" x14ac:dyDescent="0.25">
      <c r="W2649" s="214" t="s">
        <v>2185</v>
      </c>
      <c r="X2649" s="214" t="s">
        <v>2821</v>
      </c>
      <c r="Y2649" s="220">
        <v>6</v>
      </c>
    </row>
    <row r="2650" spans="23:25" x14ac:dyDescent="0.25">
      <c r="W2650" s="214" t="s">
        <v>1740</v>
      </c>
      <c r="X2650" s="214" t="s">
        <v>2016</v>
      </c>
      <c r="Y2650" s="220">
        <v>6</v>
      </c>
    </row>
    <row r="2651" spans="23:25" x14ac:dyDescent="0.25">
      <c r="W2651" s="214" t="s">
        <v>258</v>
      </c>
      <c r="X2651" s="214" t="s">
        <v>2822</v>
      </c>
      <c r="Y2651" s="220">
        <v>6</v>
      </c>
    </row>
    <row r="2652" spans="23:25" x14ac:dyDescent="0.25">
      <c r="W2652" s="214" t="s">
        <v>274</v>
      </c>
      <c r="X2652" s="214" t="s">
        <v>2823</v>
      </c>
      <c r="Y2652" s="220">
        <v>6</v>
      </c>
    </row>
    <row r="2653" spans="23:25" x14ac:dyDescent="0.25">
      <c r="W2653" s="214" t="s">
        <v>1740</v>
      </c>
      <c r="X2653" s="214" t="s">
        <v>2824</v>
      </c>
      <c r="Y2653" s="220">
        <v>6</v>
      </c>
    </row>
    <row r="2654" spans="23:25" x14ac:dyDescent="0.25">
      <c r="W2654" s="214" t="s">
        <v>274</v>
      </c>
      <c r="X2654" s="214" t="s">
        <v>2825</v>
      </c>
      <c r="Y2654" s="220">
        <v>6</v>
      </c>
    </row>
    <row r="2655" spans="23:25" x14ac:dyDescent="0.25">
      <c r="W2655" s="214" t="s">
        <v>1740</v>
      </c>
      <c r="X2655" s="214" t="s">
        <v>2826</v>
      </c>
      <c r="Y2655" s="220">
        <v>6</v>
      </c>
    </row>
    <row r="2656" spans="23:25" x14ac:dyDescent="0.25">
      <c r="W2656" s="214" t="s">
        <v>258</v>
      </c>
      <c r="X2656" s="214" t="s">
        <v>2827</v>
      </c>
      <c r="Y2656" s="220">
        <v>6</v>
      </c>
    </row>
    <row r="2657" spans="23:25" x14ac:dyDescent="0.25">
      <c r="W2657" s="214" t="s">
        <v>1740</v>
      </c>
      <c r="X2657" s="214" t="s">
        <v>2828</v>
      </c>
      <c r="Y2657" s="220">
        <v>6</v>
      </c>
    </row>
    <row r="2658" spans="23:25" x14ac:dyDescent="0.25">
      <c r="W2658" s="214" t="s">
        <v>274</v>
      </c>
      <c r="X2658" s="214" t="s">
        <v>2829</v>
      </c>
      <c r="Y2658" s="220">
        <v>6</v>
      </c>
    </row>
    <row r="2659" spans="23:25" x14ac:dyDescent="0.25">
      <c r="W2659" s="214" t="s">
        <v>1740</v>
      </c>
      <c r="X2659" s="214" t="s">
        <v>2830</v>
      </c>
      <c r="Y2659" s="220">
        <v>6</v>
      </c>
    </row>
    <row r="2660" spans="23:25" x14ac:dyDescent="0.25">
      <c r="W2660" s="214" t="s">
        <v>274</v>
      </c>
      <c r="X2660" s="214" t="s">
        <v>2831</v>
      </c>
      <c r="Y2660" s="220">
        <v>6</v>
      </c>
    </row>
    <row r="2661" spans="23:25" x14ac:dyDescent="0.25">
      <c r="W2661" s="214" t="s">
        <v>274</v>
      </c>
      <c r="X2661" s="214" t="s">
        <v>2832</v>
      </c>
      <c r="Y2661" s="220">
        <v>4</v>
      </c>
    </row>
    <row r="2662" spans="23:25" x14ac:dyDescent="0.25">
      <c r="W2662" s="214" t="s">
        <v>1740</v>
      </c>
      <c r="X2662" s="214" t="s">
        <v>2833</v>
      </c>
      <c r="Y2662" s="220">
        <v>6</v>
      </c>
    </row>
    <row r="2663" spans="23:25" x14ac:dyDescent="0.25">
      <c r="W2663" s="214" t="s">
        <v>258</v>
      </c>
      <c r="X2663" s="214" t="s">
        <v>2834</v>
      </c>
      <c r="Y2663" s="220">
        <v>6</v>
      </c>
    </row>
    <row r="2664" spans="23:25" x14ac:dyDescent="0.25">
      <c r="W2664" s="214" t="s">
        <v>1740</v>
      </c>
      <c r="X2664" s="214" t="s">
        <v>2835</v>
      </c>
      <c r="Y2664" s="220">
        <v>6</v>
      </c>
    </row>
    <row r="2665" spans="23:25" x14ac:dyDescent="0.25">
      <c r="W2665" s="214" t="s">
        <v>1740</v>
      </c>
      <c r="X2665" s="214" t="s">
        <v>2836</v>
      </c>
      <c r="Y2665" s="220">
        <v>6</v>
      </c>
    </row>
    <row r="2666" spans="23:25" x14ac:dyDescent="0.25">
      <c r="W2666" s="214" t="s">
        <v>258</v>
      </c>
      <c r="X2666" s="214" t="s">
        <v>1916</v>
      </c>
      <c r="Y2666" s="220">
        <v>6</v>
      </c>
    </row>
    <row r="2667" spans="23:25" x14ac:dyDescent="0.25">
      <c r="W2667" s="214" t="s">
        <v>274</v>
      </c>
      <c r="X2667" s="214" t="s">
        <v>2837</v>
      </c>
      <c r="Y2667" s="220">
        <v>6</v>
      </c>
    </row>
    <row r="2668" spans="23:25" x14ac:dyDescent="0.25">
      <c r="W2668" s="214" t="s">
        <v>258</v>
      </c>
      <c r="X2668" s="214" t="s">
        <v>2838</v>
      </c>
      <c r="Y2668" s="220">
        <v>3</v>
      </c>
    </row>
    <row r="2669" spans="23:25" x14ac:dyDescent="0.25">
      <c r="W2669" s="214" t="s">
        <v>1740</v>
      </c>
      <c r="X2669" s="214" t="s">
        <v>2839</v>
      </c>
      <c r="Y2669" s="220">
        <v>6</v>
      </c>
    </row>
    <row r="2670" spans="23:25" x14ac:dyDescent="0.25">
      <c r="W2670" s="214" t="s">
        <v>2185</v>
      </c>
      <c r="X2670" s="214" t="s">
        <v>2840</v>
      </c>
      <c r="Y2670" s="220">
        <v>8</v>
      </c>
    </row>
    <row r="2671" spans="23:25" x14ac:dyDescent="0.25">
      <c r="W2671" s="214" t="s">
        <v>398</v>
      </c>
      <c r="X2671" s="214" t="s">
        <v>2841</v>
      </c>
      <c r="Y2671" s="220">
        <v>6</v>
      </c>
    </row>
    <row r="2672" spans="23:25" x14ac:dyDescent="0.25">
      <c r="W2672" s="214" t="s">
        <v>1740</v>
      </c>
      <c r="X2672" s="214" t="s">
        <v>2842</v>
      </c>
      <c r="Y2672" s="220">
        <v>6</v>
      </c>
    </row>
    <row r="2673" spans="23:25" x14ac:dyDescent="0.25">
      <c r="W2673" s="214" t="s">
        <v>1740</v>
      </c>
      <c r="X2673" s="214" t="s">
        <v>2843</v>
      </c>
      <c r="Y2673" s="220">
        <v>6</v>
      </c>
    </row>
    <row r="2674" spans="23:25" x14ac:dyDescent="0.25">
      <c r="W2674" s="214" t="s">
        <v>1740</v>
      </c>
      <c r="X2674" s="214" t="s">
        <v>2844</v>
      </c>
      <c r="Y2674" s="220">
        <v>6</v>
      </c>
    </row>
    <row r="2675" spans="23:25" x14ac:dyDescent="0.25">
      <c r="W2675" s="214" t="s">
        <v>1740</v>
      </c>
      <c r="X2675" s="214" t="s">
        <v>2845</v>
      </c>
      <c r="Y2675" s="220">
        <v>6</v>
      </c>
    </row>
    <row r="2676" spans="23:25" x14ac:dyDescent="0.25">
      <c r="W2676" s="214" t="s">
        <v>274</v>
      </c>
      <c r="X2676" s="214" t="s">
        <v>2846</v>
      </c>
      <c r="Y2676" s="220">
        <v>6</v>
      </c>
    </row>
    <row r="2677" spans="23:25" x14ac:dyDescent="0.25">
      <c r="W2677" s="214" t="s">
        <v>1763</v>
      </c>
      <c r="X2677" s="214" t="s">
        <v>2847</v>
      </c>
      <c r="Y2677" s="220">
        <v>8</v>
      </c>
    </row>
    <row r="2678" spans="23:25" x14ac:dyDescent="0.25">
      <c r="W2678" s="214" t="s">
        <v>274</v>
      </c>
      <c r="X2678" s="214" t="s">
        <v>2848</v>
      </c>
      <c r="Y2678" s="220">
        <v>6</v>
      </c>
    </row>
    <row r="2679" spans="23:25" x14ac:dyDescent="0.25">
      <c r="W2679" s="214" t="s">
        <v>1740</v>
      </c>
      <c r="X2679" s="214" t="s">
        <v>2849</v>
      </c>
      <c r="Y2679" s="220">
        <v>6</v>
      </c>
    </row>
    <row r="2680" spans="23:25" x14ac:dyDescent="0.25">
      <c r="W2680" s="214" t="s">
        <v>1978</v>
      </c>
      <c r="X2680" s="214" t="s">
        <v>2850</v>
      </c>
      <c r="Y2680" s="220">
        <v>6</v>
      </c>
    </row>
    <row r="2681" spans="23:25" x14ac:dyDescent="0.25">
      <c r="W2681" s="214" t="s">
        <v>398</v>
      </c>
      <c r="X2681" s="214" t="s">
        <v>2851</v>
      </c>
      <c r="Y2681" s="220">
        <v>6</v>
      </c>
    </row>
    <row r="2682" spans="23:25" x14ac:dyDescent="0.25">
      <c r="W2682" s="214" t="s">
        <v>274</v>
      </c>
      <c r="X2682" s="214" t="s">
        <v>2852</v>
      </c>
      <c r="Y2682" s="220">
        <v>6</v>
      </c>
    </row>
    <row r="2683" spans="23:25" x14ac:dyDescent="0.25">
      <c r="W2683" s="214" t="s">
        <v>1740</v>
      </c>
      <c r="X2683" s="214" t="s">
        <v>2853</v>
      </c>
      <c r="Y2683" s="220">
        <v>6</v>
      </c>
    </row>
    <row r="2684" spans="23:25" x14ac:dyDescent="0.25">
      <c r="W2684" s="214" t="s">
        <v>1740</v>
      </c>
      <c r="X2684" s="214" t="s">
        <v>2854</v>
      </c>
      <c r="Y2684" s="220">
        <v>6</v>
      </c>
    </row>
    <row r="2685" spans="23:25" x14ac:dyDescent="0.25">
      <c r="W2685" s="214" t="s">
        <v>1740</v>
      </c>
      <c r="X2685" s="214" t="s">
        <v>2855</v>
      </c>
      <c r="Y2685" s="220">
        <v>6</v>
      </c>
    </row>
    <row r="2686" spans="23:25" x14ac:dyDescent="0.25">
      <c r="W2686" s="214" t="s">
        <v>1740</v>
      </c>
      <c r="X2686" s="214" t="s">
        <v>2856</v>
      </c>
      <c r="Y2686" s="220">
        <v>6</v>
      </c>
    </row>
    <row r="2687" spans="23:25" x14ac:dyDescent="0.25">
      <c r="W2687" s="214" t="s">
        <v>274</v>
      </c>
      <c r="X2687" s="214" t="s">
        <v>2857</v>
      </c>
      <c r="Y2687" s="220">
        <v>6</v>
      </c>
    </row>
    <row r="2688" spans="23:25" x14ac:dyDescent="0.25">
      <c r="W2688" s="214" t="s">
        <v>398</v>
      </c>
      <c r="X2688" s="214" t="s">
        <v>5894</v>
      </c>
      <c r="Y2688" s="220">
        <v>8</v>
      </c>
    </row>
    <row r="2689" spans="23:25" x14ac:dyDescent="0.25">
      <c r="W2689" s="214" t="s">
        <v>2185</v>
      </c>
      <c r="X2689" s="214" t="s">
        <v>2858</v>
      </c>
      <c r="Y2689" s="220">
        <v>6</v>
      </c>
    </row>
    <row r="2690" spans="23:25" x14ac:dyDescent="0.25">
      <c r="W2690" s="214" t="s">
        <v>274</v>
      </c>
      <c r="X2690" s="214" t="s">
        <v>2859</v>
      </c>
      <c r="Y2690" s="220">
        <v>6</v>
      </c>
    </row>
    <row r="2691" spans="23:25" x14ac:dyDescent="0.25">
      <c r="W2691" s="214" t="s">
        <v>1978</v>
      </c>
      <c r="X2691" s="214" t="s">
        <v>2860</v>
      </c>
      <c r="Y2691" s="220">
        <v>6</v>
      </c>
    </row>
    <row r="2692" spans="23:25" x14ac:dyDescent="0.25">
      <c r="W2692" s="214" t="s">
        <v>1740</v>
      </c>
      <c r="X2692" s="214" t="s">
        <v>2861</v>
      </c>
      <c r="Y2692" s="220">
        <v>6</v>
      </c>
    </row>
    <row r="2693" spans="23:25" x14ac:dyDescent="0.25">
      <c r="W2693" s="214" t="s">
        <v>1740</v>
      </c>
      <c r="X2693" s="214" t="s">
        <v>2862</v>
      </c>
      <c r="Y2693" s="220">
        <v>6</v>
      </c>
    </row>
    <row r="2694" spans="23:25" x14ac:dyDescent="0.25">
      <c r="W2694" s="214" t="s">
        <v>2185</v>
      </c>
      <c r="X2694" s="214" t="s">
        <v>2863</v>
      </c>
      <c r="Y2694" s="220">
        <v>6</v>
      </c>
    </row>
    <row r="2695" spans="23:25" x14ac:dyDescent="0.25">
      <c r="W2695" s="214" t="s">
        <v>274</v>
      </c>
      <c r="X2695" s="214" t="s">
        <v>2864</v>
      </c>
      <c r="Y2695" s="220">
        <v>6</v>
      </c>
    </row>
    <row r="2696" spans="23:25" x14ac:dyDescent="0.25">
      <c r="W2696" s="214" t="s">
        <v>274</v>
      </c>
      <c r="X2696" s="214" t="s">
        <v>2865</v>
      </c>
      <c r="Y2696" s="220">
        <v>6</v>
      </c>
    </row>
    <row r="2697" spans="23:25" x14ac:dyDescent="0.25">
      <c r="W2697" s="214" t="s">
        <v>274</v>
      </c>
      <c r="X2697" s="214" t="s">
        <v>2866</v>
      </c>
      <c r="Y2697" s="220">
        <v>6</v>
      </c>
    </row>
    <row r="2698" spans="23:25" x14ac:dyDescent="0.25">
      <c r="W2698" s="214" t="s">
        <v>274</v>
      </c>
      <c r="X2698" s="214" t="s">
        <v>2867</v>
      </c>
      <c r="Y2698" s="220">
        <v>4</v>
      </c>
    </row>
    <row r="2699" spans="23:25" x14ac:dyDescent="0.25">
      <c r="W2699" s="214" t="s">
        <v>1740</v>
      </c>
      <c r="X2699" s="214" t="s">
        <v>2868</v>
      </c>
      <c r="Y2699" s="220">
        <v>6</v>
      </c>
    </row>
    <row r="2700" spans="23:25" x14ac:dyDescent="0.25">
      <c r="W2700" s="214" t="s">
        <v>274</v>
      </c>
      <c r="X2700" s="214" t="s">
        <v>2869</v>
      </c>
      <c r="Y2700" s="220">
        <v>6</v>
      </c>
    </row>
    <row r="2701" spans="23:25" x14ac:dyDescent="0.25">
      <c r="W2701" s="214" t="s">
        <v>1740</v>
      </c>
      <c r="X2701" s="214" t="s">
        <v>2870</v>
      </c>
      <c r="Y2701" s="220">
        <v>6</v>
      </c>
    </row>
    <row r="2702" spans="23:25" x14ac:dyDescent="0.25">
      <c r="W2702" s="214" t="s">
        <v>1978</v>
      </c>
      <c r="X2702" s="214" t="s">
        <v>2871</v>
      </c>
      <c r="Y2702" s="220">
        <v>8</v>
      </c>
    </row>
    <row r="2703" spans="23:25" x14ac:dyDescent="0.25">
      <c r="W2703" s="214" t="s">
        <v>2185</v>
      </c>
      <c r="X2703" s="214" t="s">
        <v>2872</v>
      </c>
      <c r="Y2703" s="220">
        <v>6</v>
      </c>
    </row>
    <row r="2704" spans="23:25" x14ac:dyDescent="0.25">
      <c r="W2704" s="214" t="s">
        <v>1740</v>
      </c>
      <c r="X2704" s="214" t="s">
        <v>2873</v>
      </c>
      <c r="Y2704" s="220">
        <v>6</v>
      </c>
    </row>
    <row r="2705" spans="23:25" x14ac:dyDescent="0.25">
      <c r="W2705" s="214" t="s">
        <v>1740</v>
      </c>
      <c r="X2705" s="214" t="s">
        <v>2874</v>
      </c>
      <c r="Y2705" s="220">
        <v>6</v>
      </c>
    </row>
    <row r="2706" spans="23:25" x14ac:dyDescent="0.25">
      <c r="W2706" s="214" t="s">
        <v>1740</v>
      </c>
      <c r="X2706" s="214" t="s">
        <v>2875</v>
      </c>
      <c r="Y2706" s="220">
        <v>6</v>
      </c>
    </row>
    <row r="2707" spans="23:25" x14ac:dyDescent="0.25">
      <c r="W2707" s="214" t="s">
        <v>2185</v>
      </c>
      <c r="X2707" s="214" t="s">
        <v>2876</v>
      </c>
      <c r="Y2707" s="220">
        <v>6</v>
      </c>
    </row>
    <row r="2708" spans="23:25" x14ac:dyDescent="0.25">
      <c r="W2708" s="214" t="s">
        <v>2185</v>
      </c>
      <c r="X2708" s="214" t="s">
        <v>1577</v>
      </c>
      <c r="Y2708" s="220">
        <v>6</v>
      </c>
    </row>
    <row r="2709" spans="23:25" x14ac:dyDescent="0.25">
      <c r="W2709" s="214" t="s">
        <v>398</v>
      </c>
      <c r="X2709" s="214" t="s">
        <v>2877</v>
      </c>
      <c r="Y2709" s="220">
        <v>6</v>
      </c>
    </row>
    <row r="2710" spans="23:25" x14ac:dyDescent="0.25">
      <c r="W2710" s="214" t="s">
        <v>1740</v>
      </c>
      <c r="X2710" s="214" t="s">
        <v>2878</v>
      </c>
      <c r="Y2710" s="220">
        <v>6</v>
      </c>
    </row>
    <row r="2711" spans="23:25" x14ac:dyDescent="0.25">
      <c r="W2711" s="214" t="s">
        <v>2185</v>
      </c>
      <c r="X2711" s="214" t="s">
        <v>2879</v>
      </c>
      <c r="Y2711" s="220">
        <v>5</v>
      </c>
    </row>
    <row r="2712" spans="23:25" x14ac:dyDescent="0.25">
      <c r="W2712" s="214" t="s">
        <v>2185</v>
      </c>
      <c r="X2712" s="214" t="s">
        <v>2880</v>
      </c>
      <c r="Y2712" s="220">
        <v>6</v>
      </c>
    </row>
    <row r="2713" spans="23:25" x14ac:dyDescent="0.25">
      <c r="W2713" s="214" t="s">
        <v>1740</v>
      </c>
      <c r="X2713" s="214" t="s">
        <v>2881</v>
      </c>
      <c r="Y2713" s="220">
        <v>6</v>
      </c>
    </row>
    <row r="2714" spans="23:25" x14ac:dyDescent="0.25">
      <c r="W2714" s="214" t="s">
        <v>232</v>
      </c>
      <c r="X2714" s="214" t="s">
        <v>2882</v>
      </c>
      <c r="Y2714" s="220">
        <v>2</v>
      </c>
    </row>
    <row r="2715" spans="23:25" x14ac:dyDescent="0.25">
      <c r="W2715" s="214" t="s">
        <v>232</v>
      </c>
      <c r="X2715" s="214" t="s">
        <v>2883</v>
      </c>
      <c r="Y2715" s="220">
        <v>2</v>
      </c>
    </row>
    <row r="2716" spans="23:25" x14ac:dyDescent="0.25">
      <c r="W2716" s="214" t="s">
        <v>27</v>
      </c>
      <c r="X2716" s="214" t="s">
        <v>2884</v>
      </c>
      <c r="Y2716" s="220">
        <v>5</v>
      </c>
    </row>
    <row r="2717" spans="23:25" x14ac:dyDescent="0.25">
      <c r="W2717" s="214" t="s">
        <v>232</v>
      </c>
      <c r="X2717" s="214" t="s">
        <v>2885</v>
      </c>
      <c r="Y2717" s="220">
        <v>2</v>
      </c>
    </row>
    <row r="2718" spans="23:25" x14ac:dyDescent="0.25">
      <c r="W2718" s="214" t="s">
        <v>239</v>
      </c>
      <c r="X2718" s="214" t="s">
        <v>2886</v>
      </c>
      <c r="Y2718" s="220">
        <v>3</v>
      </c>
    </row>
    <row r="2719" spans="23:25" x14ac:dyDescent="0.25">
      <c r="W2719" s="214" t="s">
        <v>232</v>
      </c>
      <c r="X2719" s="214" t="s">
        <v>2887</v>
      </c>
      <c r="Y2719" s="220">
        <v>2</v>
      </c>
    </row>
    <row r="2720" spans="23:25" x14ac:dyDescent="0.25">
      <c r="W2720" s="214" t="s">
        <v>27</v>
      </c>
      <c r="X2720" s="214" t="s">
        <v>2888</v>
      </c>
      <c r="Y2720" s="220">
        <v>3</v>
      </c>
    </row>
    <row r="2721" spans="23:25" x14ac:dyDescent="0.25">
      <c r="W2721" s="214" t="s">
        <v>27</v>
      </c>
      <c r="X2721" s="214" t="s">
        <v>2889</v>
      </c>
      <c r="Y2721" s="220">
        <v>3</v>
      </c>
    </row>
    <row r="2722" spans="23:25" x14ac:dyDescent="0.25">
      <c r="W2722" s="214" t="s">
        <v>1978</v>
      </c>
      <c r="X2722" s="214" t="s">
        <v>2008</v>
      </c>
      <c r="Y2722" s="220">
        <v>3</v>
      </c>
    </row>
    <row r="2723" spans="23:25" x14ac:dyDescent="0.25">
      <c r="W2723" s="214" t="s">
        <v>27</v>
      </c>
      <c r="X2723" s="214" t="s">
        <v>2890</v>
      </c>
      <c r="Y2723" s="220">
        <v>3</v>
      </c>
    </row>
    <row r="2724" spans="23:25" x14ac:dyDescent="0.25">
      <c r="W2724" s="214" t="s">
        <v>252</v>
      </c>
      <c r="X2724" s="214" t="s">
        <v>2891</v>
      </c>
      <c r="Y2724" s="220">
        <v>8</v>
      </c>
    </row>
    <row r="2725" spans="23:25" x14ac:dyDescent="0.25">
      <c r="W2725" s="214" t="s">
        <v>232</v>
      </c>
      <c r="X2725" s="214" t="s">
        <v>2892</v>
      </c>
      <c r="Y2725" s="220">
        <v>2</v>
      </c>
    </row>
    <row r="2726" spans="23:25" x14ac:dyDescent="0.25">
      <c r="W2726" s="214" t="s">
        <v>232</v>
      </c>
      <c r="X2726" s="214" t="s">
        <v>2893</v>
      </c>
      <c r="Y2726" s="220">
        <v>2</v>
      </c>
    </row>
    <row r="2727" spans="23:25" x14ac:dyDescent="0.25">
      <c r="W2727" s="214" t="s">
        <v>232</v>
      </c>
      <c r="X2727" s="214" t="s">
        <v>2894</v>
      </c>
      <c r="Y2727" s="220">
        <v>2</v>
      </c>
    </row>
    <row r="2728" spans="23:25" x14ac:dyDescent="0.25">
      <c r="W2728" s="214" t="s">
        <v>1978</v>
      </c>
      <c r="X2728" s="214" t="s">
        <v>2895</v>
      </c>
      <c r="Y2728" s="220">
        <v>3</v>
      </c>
    </row>
    <row r="2729" spans="23:25" x14ac:dyDescent="0.25">
      <c r="W2729" s="214" t="s">
        <v>27</v>
      </c>
      <c r="X2729" s="214" t="s">
        <v>2896</v>
      </c>
      <c r="Y2729" s="220">
        <v>5</v>
      </c>
    </row>
    <row r="2730" spans="23:25" x14ac:dyDescent="0.25">
      <c r="W2730" s="214" t="s">
        <v>1978</v>
      </c>
      <c r="X2730" s="214" t="s">
        <v>2897</v>
      </c>
      <c r="Y2730" s="220">
        <v>3</v>
      </c>
    </row>
    <row r="2731" spans="23:25" x14ac:dyDescent="0.25">
      <c r="W2731" s="214" t="s">
        <v>232</v>
      </c>
      <c r="X2731" s="214" t="s">
        <v>2898</v>
      </c>
      <c r="Y2731" s="220">
        <v>2</v>
      </c>
    </row>
    <row r="2732" spans="23:25" x14ac:dyDescent="0.25">
      <c r="W2732" s="214" t="s">
        <v>239</v>
      </c>
      <c r="X2732" s="214" t="s">
        <v>2899</v>
      </c>
      <c r="Y2732" s="220">
        <v>3</v>
      </c>
    </row>
    <row r="2733" spans="23:25" x14ac:dyDescent="0.25">
      <c r="W2733" s="214" t="s">
        <v>27</v>
      </c>
      <c r="X2733" s="214" t="s">
        <v>2900</v>
      </c>
      <c r="Y2733" s="220">
        <v>3</v>
      </c>
    </row>
    <row r="2734" spans="23:25" x14ac:dyDescent="0.25">
      <c r="W2734" s="214" t="s">
        <v>252</v>
      </c>
      <c r="X2734" s="214" t="s">
        <v>2901</v>
      </c>
      <c r="Y2734" s="220">
        <v>5</v>
      </c>
    </row>
    <row r="2735" spans="23:25" x14ac:dyDescent="0.25">
      <c r="W2735" s="214" t="s">
        <v>239</v>
      </c>
      <c r="X2735" s="214" t="s">
        <v>2902</v>
      </c>
      <c r="Y2735" s="220">
        <v>3</v>
      </c>
    </row>
    <row r="2736" spans="23:25" x14ac:dyDescent="0.25">
      <c r="W2736" s="214" t="s">
        <v>232</v>
      </c>
      <c r="X2736" s="214" t="s">
        <v>2903</v>
      </c>
      <c r="Y2736" s="220">
        <v>2</v>
      </c>
    </row>
    <row r="2737" spans="23:25" x14ac:dyDescent="0.25">
      <c r="W2737" s="214" t="s">
        <v>232</v>
      </c>
      <c r="X2737" s="214" t="s">
        <v>2904</v>
      </c>
      <c r="Y2737" s="220">
        <v>2</v>
      </c>
    </row>
    <row r="2738" spans="23:25" x14ac:dyDescent="0.25">
      <c r="W2738" s="214" t="s">
        <v>252</v>
      </c>
      <c r="X2738" s="214" t="s">
        <v>2905</v>
      </c>
      <c r="Y2738" s="220">
        <v>5</v>
      </c>
    </row>
    <row r="2739" spans="23:25" x14ac:dyDescent="0.25">
      <c r="W2739" s="214" t="s">
        <v>232</v>
      </c>
      <c r="X2739" s="214" t="s">
        <v>2906</v>
      </c>
      <c r="Y2739" s="220">
        <v>2</v>
      </c>
    </row>
    <row r="2740" spans="23:25" x14ac:dyDescent="0.25">
      <c r="W2740" s="214" t="s">
        <v>244</v>
      </c>
      <c r="X2740" s="214" t="s">
        <v>2907</v>
      </c>
      <c r="Y2740" s="220">
        <v>8</v>
      </c>
    </row>
    <row r="2741" spans="23:25" x14ac:dyDescent="0.25">
      <c r="W2741" s="214" t="s">
        <v>239</v>
      </c>
      <c r="X2741" s="214" t="s">
        <v>2908</v>
      </c>
      <c r="Y2741" s="220">
        <v>3</v>
      </c>
    </row>
    <row r="2742" spans="23:25" x14ac:dyDescent="0.25">
      <c r="W2742" s="214" t="s">
        <v>252</v>
      </c>
      <c r="X2742" s="214" t="s">
        <v>2909</v>
      </c>
      <c r="Y2742" s="220">
        <v>3</v>
      </c>
    </row>
    <row r="2743" spans="23:25" x14ac:dyDescent="0.25">
      <c r="W2743" s="214" t="s">
        <v>239</v>
      </c>
      <c r="X2743" s="214" t="s">
        <v>2910</v>
      </c>
      <c r="Y2743" s="220">
        <v>3</v>
      </c>
    </row>
    <row r="2744" spans="23:25" x14ac:dyDescent="0.25">
      <c r="W2744" s="214" t="s">
        <v>232</v>
      </c>
      <c r="X2744" s="214" t="s">
        <v>2911</v>
      </c>
      <c r="Y2744" s="220">
        <v>2</v>
      </c>
    </row>
    <row r="2745" spans="23:25" x14ac:dyDescent="0.25">
      <c r="W2745" s="214" t="s">
        <v>232</v>
      </c>
      <c r="X2745" s="214" t="s">
        <v>2912</v>
      </c>
      <c r="Y2745" s="220">
        <v>2</v>
      </c>
    </row>
    <row r="2746" spans="23:25" x14ac:dyDescent="0.25">
      <c r="W2746" s="214" t="s">
        <v>258</v>
      </c>
      <c r="X2746" s="214" t="s">
        <v>2913</v>
      </c>
      <c r="Y2746" s="220">
        <v>3</v>
      </c>
    </row>
    <row r="2747" spans="23:25" x14ac:dyDescent="0.25">
      <c r="W2747" s="214" t="s">
        <v>252</v>
      </c>
      <c r="X2747" s="214" t="s">
        <v>2914</v>
      </c>
      <c r="Y2747" s="220">
        <v>8</v>
      </c>
    </row>
    <row r="2748" spans="23:25" x14ac:dyDescent="0.25">
      <c r="W2748" s="214" t="s">
        <v>27</v>
      </c>
      <c r="X2748" s="214" t="s">
        <v>2915</v>
      </c>
      <c r="Y2748" s="220">
        <v>3</v>
      </c>
    </row>
    <row r="2749" spans="23:25" x14ac:dyDescent="0.25">
      <c r="W2749" s="214" t="s">
        <v>232</v>
      </c>
      <c r="X2749" s="214" t="s">
        <v>2916</v>
      </c>
      <c r="Y2749" s="220">
        <v>2</v>
      </c>
    </row>
    <row r="2750" spans="23:25" x14ac:dyDescent="0.25">
      <c r="W2750" s="214" t="s">
        <v>258</v>
      </c>
      <c r="X2750" s="214" t="s">
        <v>2917</v>
      </c>
      <c r="Y2750" s="220">
        <v>3</v>
      </c>
    </row>
    <row r="2751" spans="23:25" x14ac:dyDescent="0.25">
      <c r="W2751" s="214" t="s">
        <v>232</v>
      </c>
      <c r="X2751" s="214" t="s">
        <v>2918</v>
      </c>
      <c r="Y2751" s="220">
        <v>2</v>
      </c>
    </row>
    <row r="2752" spans="23:25" x14ac:dyDescent="0.25">
      <c r="W2752" s="214" t="s">
        <v>27</v>
      </c>
      <c r="X2752" s="214" t="s">
        <v>2085</v>
      </c>
      <c r="Y2752" s="220">
        <v>3</v>
      </c>
    </row>
    <row r="2753" spans="23:25" x14ac:dyDescent="0.25">
      <c r="W2753" s="214" t="s">
        <v>232</v>
      </c>
      <c r="X2753" s="214" t="s">
        <v>2919</v>
      </c>
      <c r="Y2753" s="220">
        <v>2</v>
      </c>
    </row>
    <row r="2754" spans="23:25" x14ac:dyDescent="0.25">
      <c r="W2754" s="214" t="s">
        <v>252</v>
      </c>
      <c r="X2754" s="214" t="s">
        <v>2920</v>
      </c>
      <c r="Y2754" s="220">
        <v>8</v>
      </c>
    </row>
    <row r="2755" spans="23:25" x14ac:dyDescent="0.25">
      <c r="W2755" s="214" t="s">
        <v>239</v>
      </c>
      <c r="X2755" s="214" t="s">
        <v>846</v>
      </c>
      <c r="Y2755" s="220">
        <v>3</v>
      </c>
    </row>
    <row r="2756" spans="23:25" x14ac:dyDescent="0.25">
      <c r="W2756" s="214" t="s">
        <v>232</v>
      </c>
      <c r="X2756" s="214" t="s">
        <v>2921</v>
      </c>
      <c r="Y2756" s="220">
        <v>2</v>
      </c>
    </row>
    <row r="2757" spans="23:25" x14ac:dyDescent="0.25">
      <c r="W2757" s="214" t="s">
        <v>232</v>
      </c>
      <c r="X2757" s="214" t="s">
        <v>2922</v>
      </c>
      <c r="Y2757" s="220">
        <v>2</v>
      </c>
    </row>
    <row r="2758" spans="23:25" x14ac:dyDescent="0.25">
      <c r="W2758" s="214" t="s">
        <v>27</v>
      </c>
      <c r="X2758" s="214" t="s">
        <v>2923</v>
      </c>
      <c r="Y2758" s="220">
        <v>2</v>
      </c>
    </row>
    <row r="2759" spans="23:25" x14ac:dyDescent="0.25">
      <c r="W2759" s="214" t="s">
        <v>232</v>
      </c>
      <c r="X2759" s="214" t="s">
        <v>2924</v>
      </c>
      <c r="Y2759" s="220">
        <v>2</v>
      </c>
    </row>
    <row r="2760" spans="23:25" x14ac:dyDescent="0.25">
      <c r="W2760" s="214" t="s">
        <v>252</v>
      </c>
      <c r="X2760" s="214" t="s">
        <v>2925</v>
      </c>
      <c r="Y2760" s="220">
        <v>5</v>
      </c>
    </row>
    <row r="2761" spans="23:25" x14ac:dyDescent="0.25">
      <c r="W2761" s="214" t="s">
        <v>239</v>
      </c>
      <c r="X2761" s="214" t="s">
        <v>2926</v>
      </c>
      <c r="Y2761" s="220">
        <v>3</v>
      </c>
    </row>
    <row r="2762" spans="23:25" x14ac:dyDescent="0.25">
      <c r="W2762" s="214" t="s">
        <v>252</v>
      </c>
      <c r="X2762" s="214" t="s">
        <v>2927</v>
      </c>
      <c r="Y2762" s="220">
        <v>3</v>
      </c>
    </row>
    <row r="2763" spans="23:25" x14ac:dyDescent="0.25">
      <c r="W2763" s="214" t="s">
        <v>239</v>
      </c>
      <c r="X2763" s="214" t="s">
        <v>2928</v>
      </c>
      <c r="Y2763" s="220">
        <v>3</v>
      </c>
    </row>
    <row r="2764" spans="23:25" x14ac:dyDescent="0.25">
      <c r="W2764" s="214" t="s">
        <v>232</v>
      </c>
      <c r="X2764" s="214" t="s">
        <v>2929</v>
      </c>
      <c r="Y2764" s="220">
        <v>2</v>
      </c>
    </row>
    <row r="2765" spans="23:25" x14ac:dyDescent="0.25">
      <c r="W2765" s="214" t="s">
        <v>258</v>
      </c>
      <c r="X2765" s="214" t="s">
        <v>2930</v>
      </c>
      <c r="Y2765" s="220">
        <v>5</v>
      </c>
    </row>
    <row r="2766" spans="23:25" x14ac:dyDescent="0.25">
      <c r="W2766" s="214" t="s">
        <v>252</v>
      </c>
      <c r="X2766" s="214" t="s">
        <v>2931</v>
      </c>
      <c r="Y2766" s="220">
        <v>3</v>
      </c>
    </row>
    <row r="2767" spans="23:25" x14ac:dyDescent="0.25">
      <c r="W2767" s="214" t="s">
        <v>252</v>
      </c>
      <c r="X2767" s="214" t="s">
        <v>2932</v>
      </c>
      <c r="Y2767" s="220">
        <v>3</v>
      </c>
    </row>
    <row r="2768" spans="23:25" x14ac:dyDescent="0.25">
      <c r="W2768" s="214" t="s">
        <v>239</v>
      </c>
      <c r="X2768" s="214" t="s">
        <v>2933</v>
      </c>
      <c r="Y2768" s="220">
        <v>2</v>
      </c>
    </row>
    <row r="2769" spans="23:25" x14ac:dyDescent="0.25">
      <c r="W2769" s="214" t="s">
        <v>232</v>
      </c>
      <c r="X2769" s="214" t="s">
        <v>2934</v>
      </c>
      <c r="Y2769" s="220">
        <v>2</v>
      </c>
    </row>
    <row r="2770" spans="23:25" x14ac:dyDescent="0.25">
      <c r="W2770" s="214" t="s">
        <v>239</v>
      </c>
      <c r="X2770" s="214" t="s">
        <v>2935</v>
      </c>
      <c r="Y2770" s="220">
        <v>2</v>
      </c>
    </row>
    <row r="2771" spans="23:25" x14ac:dyDescent="0.25">
      <c r="W2771" s="214" t="s">
        <v>232</v>
      </c>
      <c r="X2771" s="214" t="s">
        <v>2936</v>
      </c>
      <c r="Y2771" s="220">
        <v>2</v>
      </c>
    </row>
    <row r="2772" spans="23:25" x14ac:dyDescent="0.25">
      <c r="W2772" s="214" t="s">
        <v>232</v>
      </c>
      <c r="X2772" s="214" t="s">
        <v>2937</v>
      </c>
      <c r="Y2772" s="220">
        <v>2</v>
      </c>
    </row>
    <row r="2773" spans="23:25" x14ac:dyDescent="0.25">
      <c r="W2773" s="214" t="s">
        <v>244</v>
      </c>
      <c r="X2773" s="214" t="s">
        <v>2938</v>
      </c>
      <c r="Y2773" s="220">
        <v>8</v>
      </c>
    </row>
    <row r="2774" spans="23:25" x14ac:dyDescent="0.25">
      <c r="W2774" s="214" t="s">
        <v>252</v>
      </c>
      <c r="X2774" s="214" t="s">
        <v>2939</v>
      </c>
      <c r="Y2774" s="220">
        <v>3</v>
      </c>
    </row>
    <row r="2775" spans="23:25" x14ac:dyDescent="0.25">
      <c r="W2775" s="214" t="s">
        <v>232</v>
      </c>
      <c r="X2775" s="214" t="s">
        <v>2940</v>
      </c>
      <c r="Y2775" s="220">
        <v>2</v>
      </c>
    </row>
    <row r="2776" spans="23:25" x14ac:dyDescent="0.25">
      <c r="W2776" s="214" t="s">
        <v>232</v>
      </c>
      <c r="X2776" s="214" t="s">
        <v>2941</v>
      </c>
      <c r="Y2776" s="220">
        <v>2</v>
      </c>
    </row>
    <row r="2777" spans="23:25" x14ac:dyDescent="0.25">
      <c r="W2777" s="214" t="s">
        <v>258</v>
      </c>
      <c r="X2777" s="214" t="s">
        <v>1112</v>
      </c>
      <c r="Y2777" s="220">
        <v>3</v>
      </c>
    </row>
    <row r="2778" spans="23:25" x14ac:dyDescent="0.25">
      <c r="W2778" s="214" t="s">
        <v>252</v>
      </c>
      <c r="X2778" s="214" t="s">
        <v>2942</v>
      </c>
      <c r="Y2778" s="220">
        <v>5</v>
      </c>
    </row>
    <row r="2779" spans="23:25" x14ac:dyDescent="0.25">
      <c r="W2779" s="214" t="s">
        <v>239</v>
      </c>
      <c r="X2779" s="214" t="s">
        <v>2943</v>
      </c>
      <c r="Y2779" s="220">
        <v>5</v>
      </c>
    </row>
    <row r="2780" spans="23:25" x14ac:dyDescent="0.25">
      <c r="W2780" s="214" t="s">
        <v>232</v>
      </c>
      <c r="X2780" s="214" t="s">
        <v>2944</v>
      </c>
      <c r="Y2780" s="220">
        <v>2</v>
      </c>
    </row>
    <row r="2781" spans="23:25" x14ac:dyDescent="0.25">
      <c r="W2781" s="214" t="s">
        <v>1978</v>
      </c>
      <c r="X2781" s="214" t="s">
        <v>2945</v>
      </c>
      <c r="Y2781" s="220">
        <v>3</v>
      </c>
    </row>
    <row r="2782" spans="23:25" x14ac:dyDescent="0.25">
      <c r="W2782" s="214" t="s">
        <v>1978</v>
      </c>
      <c r="X2782" s="214" t="s">
        <v>2946</v>
      </c>
      <c r="Y2782" s="220">
        <v>3</v>
      </c>
    </row>
    <row r="2783" spans="23:25" x14ac:dyDescent="0.25">
      <c r="W2783" s="214" t="s">
        <v>239</v>
      </c>
      <c r="X2783" s="214" t="s">
        <v>2947</v>
      </c>
      <c r="Y2783" s="220">
        <v>3</v>
      </c>
    </row>
    <row r="2784" spans="23:25" x14ac:dyDescent="0.25">
      <c r="W2784" s="214" t="s">
        <v>27</v>
      </c>
      <c r="X2784" s="214" t="s">
        <v>2948</v>
      </c>
      <c r="Y2784" s="220">
        <v>3</v>
      </c>
    </row>
    <row r="2785" spans="23:25" x14ac:dyDescent="0.25">
      <c r="W2785" s="214" t="s">
        <v>232</v>
      </c>
      <c r="X2785" s="214" t="s">
        <v>2949</v>
      </c>
      <c r="Y2785" s="220">
        <v>2</v>
      </c>
    </row>
    <row r="2786" spans="23:25" x14ac:dyDescent="0.25">
      <c r="W2786" s="214" t="s">
        <v>239</v>
      </c>
      <c r="X2786" s="214" t="s">
        <v>2950</v>
      </c>
      <c r="Y2786" s="220">
        <v>3</v>
      </c>
    </row>
    <row r="2787" spans="23:25" x14ac:dyDescent="0.25">
      <c r="W2787" s="214" t="s">
        <v>232</v>
      </c>
      <c r="X2787" s="214" t="s">
        <v>2951</v>
      </c>
      <c r="Y2787" s="220">
        <v>2</v>
      </c>
    </row>
    <row r="2788" spans="23:25" x14ac:dyDescent="0.25">
      <c r="W2788" s="214" t="s">
        <v>239</v>
      </c>
      <c r="X2788" s="214" t="s">
        <v>2952</v>
      </c>
      <c r="Y2788" s="220">
        <v>3</v>
      </c>
    </row>
    <row r="2789" spans="23:25" x14ac:dyDescent="0.25">
      <c r="W2789" s="214" t="s">
        <v>232</v>
      </c>
      <c r="X2789" s="214" t="s">
        <v>2953</v>
      </c>
      <c r="Y2789" s="220">
        <v>2</v>
      </c>
    </row>
    <row r="2790" spans="23:25" x14ac:dyDescent="0.25">
      <c r="W2790" s="214" t="s">
        <v>232</v>
      </c>
      <c r="X2790" s="214" t="s">
        <v>2954</v>
      </c>
      <c r="Y2790" s="220">
        <v>2</v>
      </c>
    </row>
    <row r="2791" spans="23:25" x14ac:dyDescent="0.25">
      <c r="W2791" s="214" t="s">
        <v>27</v>
      </c>
      <c r="X2791" s="214" t="s">
        <v>2955</v>
      </c>
      <c r="Y2791" s="220">
        <v>3</v>
      </c>
    </row>
    <row r="2792" spans="23:25" x14ac:dyDescent="0.25">
      <c r="W2792" s="214" t="s">
        <v>252</v>
      </c>
      <c r="X2792" s="214" t="s">
        <v>2956</v>
      </c>
      <c r="Y2792" s="220">
        <v>5</v>
      </c>
    </row>
    <row r="2793" spans="23:25" x14ac:dyDescent="0.25">
      <c r="W2793" s="214" t="s">
        <v>27</v>
      </c>
      <c r="X2793" s="214" t="s">
        <v>2957</v>
      </c>
      <c r="Y2793" s="220">
        <v>3</v>
      </c>
    </row>
    <row r="2794" spans="23:25" x14ac:dyDescent="0.25">
      <c r="W2794" s="214" t="s">
        <v>239</v>
      </c>
      <c r="X2794" s="214" t="s">
        <v>2958</v>
      </c>
      <c r="Y2794" s="220">
        <v>2</v>
      </c>
    </row>
    <row r="2795" spans="23:25" x14ac:dyDescent="0.25">
      <c r="W2795" s="214" t="s">
        <v>232</v>
      </c>
      <c r="X2795" s="214" t="s">
        <v>2959</v>
      </c>
      <c r="Y2795" s="220">
        <v>2</v>
      </c>
    </row>
    <row r="2796" spans="23:25" x14ac:dyDescent="0.25">
      <c r="W2796" s="214" t="s">
        <v>239</v>
      </c>
      <c r="X2796" s="214" t="s">
        <v>2960</v>
      </c>
      <c r="Y2796" s="220">
        <v>2</v>
      </c>
    </row>
    <row r="2797" spans="23:25" x14ac:dyDescent="0.25">
      <c r="W2797" s="214" t="s">
        <v>239</v>
      </c>
      <c r="X2797" s="214" t="s">
        <v>2961</v>
      </c>
      <c r="Y2797" s="220">
        <v>2</v>
      </c>
    </row>
    <row r="2798" spans="23:25" x14ac:dyDescent="0.25">
      <c r="W2798" s="214" t="s">
        <v>232</v>
      </c>
      <c r="X2798" s="214" t="s">
        <v>2962</v>
      </c>
      <c r="Y2798" s="220">
        <v>2</v>
      </c>
    </row>
    <row r="2799" spans="23:25" x14ac:dyDescent="0.25">
      <c r="W2799" s="214" t="s">
        <v>27</v>
      </c>
      <c r="X2799" s="214" t="s">
        <v>2963</v>
      </c>
      <c r="Y2799" s="220">
        <v>2</v>
      </c>
    </row>
    <row r="2800" spans="23:25" x14ac:dyDescent="0.25">
      <c r="W2800" s="214" t="s">
        <v>252</v>
      </c>
      <c r="X2800" s="214" t="s">
        <v>2964</v>
      </c>
      <c r="Y2800" s="220">
        <v>5</v>
      </c>
    </row>
    <row r="2801" spans="23:25" x14ac:dyDescent="0.25">
      <c r="W2801" s="214" t="s">
        <v>232</v>
      </c>
      <c r="X2801" s="214" t="s">
        <v>2965</v>
      </c>
      <c r="Y2801" s="220">
        <v>2</v>
      </c>
    </row>
    <row r="2802" spans="23:25" x14ac:dyDescent="0.25">
      <c r="W2802" s="214" t="s">
        <v>239</v>
      </c>
      <c r="X2802" s="214" t="s">
        <v>2966</v>
      </c>
      <c r="Y2802" s="220">
        <v>2</v>
      </c>
    </row>
    <row r="2803" spans="23:25" x14ac:dyDescent="0.25">
      <c r="W2803" s="214" t="s">
        <v>27</v>
      </c>
      <c r="X2803" s="214" t="s">
        <v>2967</v>
      </c>
      <c r="Y2803" s="220">
        <v>3</v>
      </c>
    </row>
    <row r="2804" spans="23:25" x14ac:dyDescent="0.25">
      <c r="W2804" s="214" t="s">
        <v>27</v>
      </c>
      <c r="X2804" s="214" t="s">
        <v>2968</v>
      </c>
      <c r="Y2804" s="220">
        <v>3</v>
      </c>
    </row>
    <row r="2805" spans="23:25" x14ac:dyDescent="0.25">
      <c r="W2805" s="214" t="s">
        <v>239</v>
      </c>
      <c r="X2805" s="214" t="s">
        <v>2969</v>
      </c>
      <c r="Y2805" s="220">
        <v>2</v>
      </c>
    </row>
    <row r="2806" spans="23:25" x14ac:dyDescent="0.25">
      <c r="W2806" s="214" t="s">
        <v>232</v>
      </c>
      <c r="X2806" s="214" t="s">
        <v>2970</v>
      </c>
      <c r="Y2806" s="220">
        <v>2</v>
      </c>
    </row>
    <row r="2807" spans="23:25" x14ac:dyDescent="0.25">
      <c r="W2807" s="214" t="s">
        <v>244</v>
      </c>
      <c r="X2807" s="214" t="s">
        <v>2971</v>
      </c>
      <c r="Y2807" s="220">
        <v>8</v>
      </c>
    </row>
    <row r="2808" spans="23:25" x14ac:dyDescent="0.25">
      <c r="W2808" s="214" t="s">
        <v>239</v>
      </c>
      <c r="X2808" s="214" t="s">
        <v>2972</v>
      </c>
      <c r="Y2808" s="220">
        <v>3</v>
      </c>
    </row>
    <row r="2809" spans="23:25" x14ac:dyDescent="0.25">
      <c r="W2809" s="214" t="s">
        <v>239</v>
      </c>
      <c r="X2809" s="214" t="s">
        <v>2973</v>
      </c>
      <c r="Y2809" s="220">
        <v>2</v>
      </c>
    </row>
    <row r="2810" spans="23:25" x14ac:dyDescent="0.25">
      <c r="W2810" s="214" t="s">
        <v>232</v>
      </c>
      <c r="X2810" s="214" t="s">
        <v>2974</v>
      </c>
      <c r="Y2810" s="220">
        <v>2</v>
      </c>
    </row>
    <row r="2811" spans="23:25" x14ac:dyDescent="0.25">
      <c r="W2811" s="214" t="s">
        <v>239</v>
      </c>
      <c r="X2811" s="214" t="s">
        <v>2975</v>
      </c>
      <c r="Y2811" s="220">
        <v>2</v>
      </c>
    </row>
    <row r="2812" spans="23:25" x14ac:dyDescent="0.25">
      <c r="W2812" s="214" t="s">
        <v>252</v>
      </c>
      <c r="X2812" s="214" t="s">
        <v>2976</v>
      </c>
      <c r="Y2812" s="220">
        <v>5</v>
      </c>
    </row>
    <row r="2813" spans="23:25" x14ac:dyDescent="0.25">
      <c r="W2813" s="214" t="s">
        <v>252</v>
      </c>
      <c r="X2813" s="214" t="s">
        <v>2977</v>
      </c>
      <c r="Y2813" s="220">
        <v>5</v>
      </c>
    </row>
    <row r="2814" spans="23:25" x14ac:dyDescent="0.25">
      <c r="W2814" s="214" t="s">
        <v>239</v>
      </c>
      <c r="X2814" s="214" t="s">
        <v>2978</v>
      </c>
      <c r="Y2814" s="220">
        <v>3</v>
      </c>
    </row>
    <row r="2815" spans="23:25" x14ac:dyDescent="0.25">
      <c r="W2815" s="214" t="s">
        <v>252</v>
      </c>
      <c r="X2815" s="214" t="s">
        <v>2979</v>
      </c>
      <c r="Y2815" s="220">
        <v>5</v>
      </c>
    </row>
    <row r="2816" spans="23:25" x14ac:dyDescent="0.25">
      <c r="W2816" s="214" t="s">
        <v>239</v>
      </c>
      <c r="X2816" s="214" t="s">
        <v>2980</v>
      </c>
      <c r="Y2816" s="220">
        <v>2</v>
      </c>
    </row>
    <row r="2817" spans="23:25" x14ac:dyDescent="0.25">
      <c r="W2817" s="214" t="s">
        <v>232</v>
      </c>
      <c r="X2817" s="214" t="s">
        <v>2981</v>
      </c>
      <c r="Y2817" s="220">
        <v>2</v>
      </c>
    </row>
    <row r="2818" spans="23:25" x14ac:dyDescent="0.25">
      <c r="W2818" s="214" t="s">
        <v>239</v>
      </c>
      <c r="X2818" s="214" t="s">
        <v>2982</v>
      </c>
      <c r="Y2818" s="220">
        <v>3</v>
      </c>
    </row>
    <row r="2819" spans="23:25" x14ac:dyDescent="0.25">
      <c r="W2819" s="214" t="s">
        <v>239</v>
      </c>
      <c r="X2819" s="214" t="s">
        <v>2983</v>
      </c>
      <c r="Y2819" s="220">
        <v>3</v>
      </c>
    </row>
    <row r="2820" spans="23:25" x14ac:dyDescent="0.25">
      <c r="W2820" s="214" t="s">
        <v>232</v>
      </c>
      <c r="X2820" s="214" t="s">
        <v>2984</v>
      </c>
      <c r="Y2820" s="220">
        <v>2</v>
      </c>
    </row>
    <row r="2821" spans="23:25" x14ac:dyDescent="0.25">
      <c r="W2821" s="214" t="s">
        <v>274</v>
      </c>
      <c r="X2821" s="214" t="s">
        <v>2985</v>
      </c>
      <c r="Y2821" s="220">
        <v>3</v>
      </c>
    </row>
    <row r="2822" spans="23:25" x14ac:dyDescent="0.25">
      <c r="W2822" s="214" t="s">
        <v>239</v>
      </c>
      <c r="X2822" s="214" t="s">
        <v>2986</v>
      </c>
      <c r="Y2822" s="220">
        <v>3</v>
      </c>
    </row>
    <row r="2823" spans="23:25" x14ac:dyDescent="0.25">
      <c r="W2823" s="214" t="s">
        <v>239</v>
      </c>
      <c r="X2823" s="214" t="s">
        <v>419</v>
      </c>
      <c r="Y2823" s="220">
        <v>3</v>
      </c>
    </row>
    <row r="2824" spans="23:25" x14ac:dyDescent="0.25">
      <c r="W2824" s="214" t="s">
        <v>244</v>
      </c>
      <c r="X2824" s="214" t="s">
        <v>2987</v>
      </c>
      <c r="Y2824" s="220">
        <v>8</v>
      </c>
    </row>
    <row r="2825" spans="23:25" x14ac:dyDescent="0.25">
      <c r="W2825" s="214" t="s">
        <v>239</v>
      </c>
      <c r="X2825" s="214" t="s">
        <v>1493</v>
      </c>
      <c r="Y2825" s="220">
        <v>3</v>
      </c>
    </row>
    <row r="2826" spans="23:25" x14ac:dyDescent="0.25">
      <c r="W2826" s="214" t="s">
        <v>239</v>
      </c>
      <c r="X2826" s="214" t="s">
        <v>2988</v>
      </c>
      <c r="Y2826" s="220">
        <v>3</v>
      </c>
    </row>
    <row r="2827" spans="23:25" x14ac:dyDescent="0.25">
      <c r="W2827" s="214" t="s">
        <v>232</v>
      </c>
      <c r="X2827" s="214" t="s">
        <v>2989</v>
      </c>
      <c r="Y2827" s="220">
        <v>2</v>
      </c>
    </row>
    <row r="2828" spans="23:25" x14ac:dyDescent="0.25">
      <c r="W2828" s="214" t="s">
        <v>239</v>
      </c>
      <c r="X2828" s="214" t="s">
        <v>2990</v>
      </c>
      <c r="Y2828" s="220">
        <v>3</v>
      </c>
    </row>
    <row r="2829" spans="23:25" x14ac:dyDescent="0.25">
      <c r="W2829" s="214" t="s">
        <v>239</v>
      </c>
      <c r="X2829" s="214" t="s">
        <v>2991</v>
      </c>
      <c r="Y2829" s="220">
        <v>2</v>
      </c>
    </row>
    <row r="2830" spans="23:25" x14ac:dyDescent="0.25">
      <c r="W2830" s="214" t="s">
        <v>239</v>
      </c>
      <c r="X2830" s="214" t="s">
        <v>2992</v>
      </c>
      <c r="Y2830" s="220">
        <v>2</v>
      </c>
    </row>
    <row r="2831" spans="23:25" x14ac:dyDescent="0.25">
      <c r="W2831" s="214" t="s">
        <v>232</v>
      </c>
      <c r="X2831" s="214" t="s">
        <v>2993</v>
      </c>
      <c r="Y2831" s="220">
        <v>2</v>
      </c>
    </row>
    <row r="2832" spans="23:25" x14ac:dyDescent="0.25">
      <c r="W2832" s="214" t="s">
        <v>239</v>
      </c>
      <c r="X2832" s="214" t="s">
        <v>2994</v>
      </c>
      <c r="Y2832" s="220">
        <v>3</v>
      </c>
    </row>
    <row r="2833" spans="23:25" x14ac:dyDescent="0.25">
      <c r="W2833" s="214" t="s">
        <v>239</v>
      </c>
      <c r="X2833" s="214" t="s">
        <v>2995</v>
      </c>
      <c r="Y2833" s="220">
        <v>2</v>
      </c>
    </row>
    <row r="2834" spans="23:25" x14ac:dyDescent="0.25">
      <c r="W2834" s="214" t="s">
        <v>239</v>
      </c>
      <c r="X2834" s="214" t="s">
        <v>2996</v>
      </c>
      <c r="Y2834" s="220">
        <v>3</v>
      </c>
    </row>
    <row r="2835" spans="23:25" x14ac:dyDescent="0.25">
      <c r="W2835" s="214" t="s">
        <v>239</v>
      </c>
      <c r="X2835" s="214" t="s">
        <v>2997</v>
      </c>
      <c r="Y2835" s="220">
        <v>3</v>
      </c>
    </row>
    <row r="2836" spans="23:25" x14ac:dyDescent="0.25">
      <c r="W2836" s="214" t="s">
        <v>239</v>
      </c>
      <c r="X2836" s="214" t="s">
        <v>2998</v>
      </c>
      <c r="Y2836" s="220">
        <v>3</v>
      </c>
    </row>
    <row r="2837" spans="23:25" x14ac:dyDescent="0.25">
      <c r="W2837" s="214" t="s">
        <v>239</v>
      </c>
      <c r="X2837" s="214" t="s">
        <v>2999</v>
      </c>
      <c r="Y2837" s="220">
        <v>3</v>
      </c>
    </row>
    <row r="2838" spans="23:25" x14ac:dyDescent="0.25">
      <c r="W2838" s="214" t="s">
        <v>244</v>
      </c>
      <c r="X2838" s="214" t="s">
        <v>5895</v>
      </c>
      <c r="Y2838" s="220">
        <v>8</v>
      </c>
    </row>
    <row r="2839" spans="23:25" x14ac:dyDescent="0.25">
      <c r="W2839" s="214" t="s">
        <v>239</v>
      </c>
      <c r="X2839" s="214" t="s">
        <v>3000</v>
      </c>
      <c r="Y2839" s="220">
        <v>3</v>
      </c>
    </row>
    <row r="2840" spans="23:25" x14ac:dyDescent="0.25">
      <c r="W2840" s="214" t="s">
        <v>239</v>
      </c>
      <c r="X2840" s="214" t="s">
        <v>3001</v>
      </c>
      <c r="Y2840" s="220">
        <v>3</v>
      </c>
    </row>
    <row r="2841" spans="23:25" x14ac:dyDescent="0.25">
      <c r="W2841" s="214" t="s">
        <v>239</v>
      </c>
      <c r="X2841" s="214" t="s">
        <v>3002</v>
      </c>
      <c r="Y2841" s="220">
        <v>3</v>
      </c>
    </row>
    <row r="2842" spans="23:25" x14ac:dyDescent="0.25">
      <c r="W2842" s="214" t="s">
        <v>232</v>
      </c>
      <c r="X2842" s="214" t="s">
        <v>3003</v>
      </c>
      <c r="Y2842" s="220">
        <v>2</v>
      </c>
    </row>
    <row r="2843" spans="23:25" x14ac:dyDescent="0.25">
      <c r="W2843" s="214" t="s">
        <v>239</v>
      </c>
      <c r="X2843" s="214" t="s">
        <v>2624</v>
      </c>
      <c r="Y2843" s="220">
        <v>3</v>
      </c>
    </row>
    <row r="2844" spans="23:25" x14ac:dyDescent="0.25">
      <c r="W2844" s="214" t="s">
        <v>239</v>
      </c>
      <c r="X2844" s="214" t="s">
        <v>3004</v>
      </c>
      <c r="Y2844" s="220">
        <v>3</v>
      </c>
    </row>
    <row r="2845" spans="23:25" x14ac:dyDescent="0.25">
      <c r="W2845" s="214" t="s">
        <v>239</v>
      </c>
      <c r="X2845" s="214" t="s">
        <v>3005</v>
      </c>
      <c r="Y2845" s="220">
        <v>3</v>
      </c>
    </row>
    <row r="2846" spans="23:25" x14ac:dyDescent="0.25">
      <c r="W2846" s="214" t="s">
        <v>239</v>
      </c>
      <c r="X2846" s="214" t="s">
        <v>3006</v>
      </c>
      <c r="Y2846" s="220">
        <v>3</v>
      </c>
    </row>
    <row r="2847" spans="23:25" x14ac:dyDescent="0.25">
      <c r="W2847" s="214" t="s">
        <v>252</v>
      </c>
      <c r="X2847" s="214" t="s">
        <v>3007</v>
      </c>
      <c r="Y2847" s="220">
        <v>5</v>
      </c>
    </row>
    <row r="2848" spans="23:25" x14ac:dyDescent="0.25">
      <c r="W2848" s="214" t="s">
        <v>398</v>
      </c>
      <c r="X2848" s="214" t="s">
        <v>3008</v>
      </c>
      <c r="Y2848" s="220">
        <v>8</v>
      </c>
    </row>
    <row r="2849" spans="23:25" x14ac:dyDescent="0.25">
      <c r="W2849" s="214" t="s">
        <v>239</v>
      </c>
      <c r="X2849" s="214" t="s">
        <v>3009</v>
      </c>
      <c r="Y2849" s="220">
        <v>3</v>
      </c>
    </row>
    <row r="2850" spans="23:25" x14ac:dyDescent="0.25">
      <c r="W2850" s="214" t="s">
        <v>239</v>
      </c>
      <c r="X2850" s="214" t="s">
        <v>3010</v>
      </c>
      <c r="Y2850" s="220">
        <v>3</v>
      </c>
    </row>
    <row r="2851" spans="23:25" x14ac:dyDescent="0.25">
      <c r="W2851" s="214" t="s">
        <v>239</v>
      </c>
      <c r="X2851" s="214" t="s">
        <v>3011</v>
      </c>
      <c r="Y2851" s="220">
        <v>3</v>
      </c>
    </row>
    <row r="2852" spans="23:25" x14ac:dyDescent="0.25">
      <c r="W2852" s="214" t="s">
        <v>239</v>
      </c>
      <c r="X2852" s="214" t="s">
        <v>3012</v>
      </c>
      <c r="Y2852" s="220">
        <v>3</v>
      </c>
    </row>
    <row r="2853" spans="23:25" x14ac:dyDescent="0.25">
      <c r="W2853" s="214" t="s">
        <v>252</v>
      </c>
      <c r="X2853" s="214" t="s">
        <v>3013</v>
      </c>
      <c r="Y2853" s="220">
        <v>3</v>
      </c>
    </row>
    <row r="2854" spans="23:25" x14ac:dyDescent="0.25">
      <c r="W2854" s="214" t="s">
        <v>239</v>
      </c>
      <c r="X2854" s="214" t="s">
        <v>3014</v>
      </c>
      <c r="Y2854" s="220">
        <v>3</v>
      </c>
    </row>
    <row r="2855" spans="23:25" x14ac:dyDescent="0.25">
      <c r="W2855" s="214" t="s">
        <v>239</v>
      </c>
      <c r="X2855" s="214" t="s">
        <v>3015</v>
      </c>
      <c r="Y2855" s="220">
        <v>3</v>
      </c>
    </row>
    <row r="2856" spans="23:25" x14ac:dyDescent="0.25">
      <c r="W2856" s="214" t="s">
        <v>239</v>
      </c>
      <c r="X2856" s="214" t="s">
        <v>3016</v>
      </c>
      <c r="Y2856" s="220">
        <v>2</v>
      </c>
    </row>
    <row r="2857" spans="23:25" x14ac:dyDescent="0.25">
      <c r="W2857" s="214" t="s">
        <v>252</v>
      </c>
      <c r="X2857" s="214" t="s">
        <v>3017</v>
      </c>
      <c r="Y2857" s="220">
        <v>5</v>
      </c>
    </row>
    <row r="2858" spans="23:25" x14ac:dyDescent="0.25">
      <c r="W2858" s="214" t="s">
        <v>239</v>
      </c>
      <c r="X2858" s="214" t="s">
        <v>3018</v>
      </c>
      <c r="Y2858" s="220">
        <v>3</v>
      </c>
    </row>
    <row r="2859" spans="23:25" x14ac:dyDescent="0.25">
      <c r="W2859" s="214" t="s">
        <v>239</v>
      </c>
      <c r="X2859" s="214" t="s">
        <v>3019</v>
      </c>
      <c r="Y2859" s="220">
        <v>3</v>
      </c>
    </row>
    <row r="2860" spans="23:25" x14ac:dyDescent="0.25">
      <c r="W2860" s="214" t="s">
        <v>239</v>
      </c>
      <c r="X2860" s="214" t="s">
        <v>3020</v>
      </c>
      <c r="Y2860" s="220">
        <v>3</v>
      </c>
    </row>
    <row r="2861" spans="23:25" x14ac:dyDescent="0.25">
      <c r="W2861" s="214" t="s">
        <v>239</v>
      </c>
      <c r="X2861" s="214" t="s">
        <v>3021</v>
      </c>
      <c r="Y2861" s="220">
        <v>3</v>
      </c>
    </row>
    <row r="2862" spans="23:25" x14ac:dyDescent="0.25">
      <c r="W2862" s="214" t="s">
        <v>239</v>
      </c>
      <c r="X2862" s="214" t="s">
        <v>3022</v>
      </c>
      <c r="Y2862" s="220">
        <v>4</v>
      </c>
    </row>
    <row r="2863" spans="23:25" x14ac:dyDescent="0.25">
      <c r="W2863" s="214" t="s">
        <v>239</v>
      </c>
      <c r="X2863" s="214" t="s">
        <v>3023</v>
      </c>
      <c r="Y2863" s="220">
        <v>3</v>
      </c>
    </row>
    <row r="2864" spans="23:25" x14ac:dyDescent="0.25">
      <c r="W2864" s="214" t="s">
        <v>252</v>
      </c>
      <c r="X2864" s="214" t="s">
        <v>3024</v>
      </c>
      <c r="Y2864" s="220">
        <v>5</v>
      </c>
    </row>
    <row r="2865" spans="23:25" x14ac:dyDescent="0.25">
      <c r="W2865" s="214" t="s">
        <v>232</v>
      </c>
      <c r="X2865" s="214" t="s">
        <v>3025</v>
      </c>
      <c r="Y2865" s="220">
        <v>2</v>
      </c>
    </row>
    <row r="2866" spans="23:25" x14ac:dyDescent="0.25">
      <c r="W2866" s="214" t="s">
        <v>239</v>
      </c>
      <c r="X2866" s="214" t="s">
        <v>3026</v>
      </c>
      <c r="Y2866" s="220">
        <v>2</v>
      </c>
    </row>
    <row r="2867" spans="23:25" x14ac:dyDescent="0.25">
      <c r="W2867" s="214" t="s">
        <v>239</v>
      </c>
      <c r="X2867" s="214" t="s">
        <v>2607</v>
      </c>
      <c r="Y2867" s="220">
        <v>3</v>
      </c>
    </row>
    <row r="2868" spans="23:25" x14ac:dyDescent="0.25">
      <c r="W2868" s="214" t="s">
        <v>239</v>
      </c>
      <c r="X2868" s="214" t="s">
        <v>3027</v>
      </c>
      <c r="Y2868" s="220">
        <v>3</v>
      </c>
    </row>
    <row r="2869" spans="23:25" x14ac:dyDescent="0.25">
      <c r="W2869" s="214" t="s">
        <v>1978</v>
      </c>
      <c r="X2869" s="214" t="s">
        <v>3028</v>
      </c>
      <c r="Y2869" s="220">
        <v>3</v>
      </c>
    </row>
    <row r="2870" spans="23:25" x14ac:dyDescent="0.25">
      <c r="W2870" s="214" t="s">
        <v>239</v>
      </c>
      <c r="X2870" s="214" t="s">
        <v>3029</v>
      </c>
      <c r="Y2870" s="220">
        <v>3</v>
      </c>
    </row>
    <row r="2871" spans="23:25" x14ac:dyDescent="0.25">
      <c r="W2871" s="214" t="s">
        <v>274</v>
      </c>
      <c r="X2871" s="214" t="s">
        <v>3030</v>
      </c>
      <c r="Y2871" s="220">
        <v>5</v>
      </c>
    </row>
    <row r="2872" spans="23:25" x14ac:dyDescent="0.25">
      <c r="W2872" s="214" t="s">
        <v>239</v>
      </c>
      <c r="X2872" s="214" t="s">
        <v>1777</v>
      </c>
      <c r="Y2872" s="220">
        <v>3</v>
      </c>
    </row>
    <row r="2873" spans="23:25" x14ac:dyDescent="0.25">
      <c r="W2873" s="214" t="s">
        <v>239</v>
      </c>
      <c r="X2873" s="214" t="s">
        <v>3031</v>
      </c>
      <c r="Y2873" s="220">
        <v>3</v>
      </c>
    </row>
    <row r="2874" spans="23:25" x14ac:dyDescent="0.25">
      <c r="W2874" s="214" t="s">
        <v>274</v>
      </c>
      <c r="X2874" s="214" t="s">
        <v>3032</v>
      </c>
      <c r="Y2874" s="220">
        <v>5</v>
      </c>
    </row>
    <row r="2875" spans="23:25" x14ac:dyDescent="0.25">
      <c r="W2875" s="214" t="s">
        <v>239</v>
      </c>
      <c r="X2875" s="214" t="s">
        <v>423</v>
      </c>
      <c r="Y2875" s="220">
        <v>3</v>
      </c>
    </row>
    <row r="2876" spans="23:25" x14ac:dyDescent="0.25">
      <c r="W2876" s="214" t="s">
        <v>239</v>
      </c>
      <c r="X2876" s="214" t="s">
        <v>3033</v>
      </c>
      <c r="Y2876" s="220">
        <v>2</v>
      </c>
    </row>
    <row r="2877" spans="23:25" x14ac:dyDescent="0.25">
      <c r="W2877" s="214" t="s">
        <v>239</v>
      </c>
      <c r="X2877" s="214" t="s">
        <v>3034</v>
      </c>
      <c r="Y2877" s="220">
        <v>3</v>
      </c>
    </row>
    <row r="2878" spans="23:25" x14ac:dyDescent="0.25">
      <c r="W2878" s="214" t="s">
        <v>239</v>
      </c>
      <c r="X2878" s="214" t="s">
        <v>3035</v>
      </c>
      <c r="Y2878" s="220">
        <v>3</v>
      </c>
    </row>
    <row r="2879" spans="23:25" x14ac:dyDescent="0.25">
      <c r="W2879" s="214" t="s">
        <v>239</v>
      </c>
      <c r="X2879" s="214" t="s">
        <v>3036</v>
      </c>
      <c r="Y2879" s="220">
        <v>3</v>
      </c>
    </row>
    <row r="2880" spans="23:25" x14ac:dyDescent="0.25">
      <c r="W2880" s="214" t="s">
        <v>239</v>
      </c>
      <c r="X2880" s="214" t="s">
        <v>3037</v>
      </c>
      <c r="Y2880" s="220">
        <v>3</v>
      </c>
    </row>
    <row r="2881" spans="23:25" x14ac:dyDescent="0.25">
      <c r="W2881" s="214" t="s">
        <v>239</v>
      </c>
      <c r="X2881" s="214" t="s">
        <v>3038</v>
      </c>
      <c r="Y2881" s="220">
        <v>3</v>
      </c>
    </row>
    <row r="2882" spans="23:25" x14ac:dyDescent="0.25">
      <c r="W2882" s="214" t="s">
        <v>239</v>
      </c>
      <c r="X2882" s="214" t="s">
        <v>3039</v>
      </c>
      <c r="Y2882" s="220">
        <v>3</v>
      </c>
    </row>
    <row r="2883" spans="23:25" x14ac:dyDescent="0.25">
      <c r="W2883" s="214" t="s">
        <v>239</v>
      </c>
      <c r="X2883" s="214" t="s">
        <v>3040</v>
      </c>
      <c r="Y2883" s="220">
        <v>3</v>
      </c>
    </row>
    <row r="2884" spans="23:25" x14ac:dyDescent="0.25">
      <c r="W2884" s="214" t="s">
        <v>27</v>
      </c>
      <c r="X2884" s="214" t="s">
        <v>3041</v>
      </c>
      <c r="Y2884" s="220">
        <v>3</v>
      </c>
    </row>
    <row r="2885" spans="23:25" x14ac:dyDescent="0.25">
      <c r="W2885" s="214" t="s">
        <v>27</v>
      </c>
      <c r="X2885" s="214" t="s">
        <v>3042</v>
      </c>
      <c r="Y2885" s="220">
        <v>3</v>
      </c>
    </row>
    <row r="2886" spans="23:25" x14ac:dyDescent="0.25">
      <c r="W2886" s="214" t="s">
        <v>239</v>
      </c>
      <c r="X2886" s="214" t="s">
        <v>3043</v>
      </c>
      <c r="Y2886" s="220">
        <v>3</v>
      </c>
    </row>
    <row r="2887" spans="23:25" x14ac:dyDescent="0.25">
      <c r="W2887" s="214" t="s">
        <v>27</v>
      </c>
      <c r="X2887" s="214" t="s">
        <v>3044</v>
      </c>
      <c r="Y2887" s="220">
        <v>2</v>
      </c>
    </row>
    <row r="2888" spans="23:25" x14ac:dyDescent="0.25">
      <c r="W2888" s="214" t="s">
        <v>274</v>
      </c>
      <c r="X2888" s="214" t="s">
        <v>3045</v>
      </c>
      <c r="Y2888" s="220">
        <v>5</v>
      </c>
    </row>
    <row r="2889" spans="23:25" x14ac:dyDescent="0.25">
      <c r="W2889" s="214" t="s">
        <v>239</v>
      </c>
      <c r="X2889" s="214" t="s">
        <v>3046</v>
      </c>
      <c r="Y2889" s="220">
        <v>2</v>
      </c>
    </row>
    <row r="2890" spans="23:25" x14ac:dyDescent="0.25">
      <c r="W2890" s="214" t="s">
        <v>239</v>
      </c>
      <c r="X2890" s="214" t="s">
        <v>3047</v>
      </c>
      <c r="Y2890" s="220">
        <v>3</v>
      </c>
    </row>
    <row r="2891" spans="23:25" x14ac:dyDescent="0.25">
      <c r="W2891" s="214" t="s">
        <v>239</v>
      </c>
      <c r="X2891" s="214" t="s">
        <v>3048</v>
      </c>
      <c r="Y2891" s="220">
        <v>3</v>
      </c>
    </row>
    <row r="2892" spans="23:25" x14ac:dyDescent="0.25">
      <c r="W2892" s="214" t="s">
        <v>274</v>
      </c>
      <c r="X2892" s="214" t="s">
        <v>3049</v>
      </c>
      <c r="Y2892" s="220">
        <v>3</v>
      </c>
    </row>
    <row r="2893" spans="23:25" x14ac:dyDescent="0.25">
      <c r="W2893" s="214" t="s">
        <v>239</v>
      </c>
      <c r="X2893" s="214" t="s">
        <v>3050</v>
      </c>
      <c r="Y2893" s="220">
        <v>3</v>
      </c>
    </row>
    <row r="2894" spans="23:25" x14ac:dyDescent="0.25">
      <c r="W2894" s="214" t="s">
        <v>252</v>
      </c>
      <c r="X2894" s="214" t="s">
        <v>3051</v>
      </c>
      <c r="Y2894" s="220">
        <v>5</v>
      </c>
    </row>
    <row r="2895" spans="23:25" x14ac:dyDescent="0.25">
      <c r="W2895" s="214" t="s">
        <v>398</v>
      </c>
      <c r="X2895" s="214" t="s">
        <v>3052</v>
      </c>
      <c r="Y2895" s="220">
        <v>8</v>
      </c>
    </row>
    <row r="2896" spans="23:25" x14ac:dyDescent="0.25">
      <c r="W2896" s="214" t="s">
        <v>239</v>
      </c>
      <c r="X2896" s="214" t="s">
        <v>3053</v>
      </c>
      <c r="Y2896" s="220">
        <v>3</v>
      </c>
    </row>
    <row r="2897" spans="23:25" x14ac:dyDescent="0.25">
      <c r="W2897" s="214" t="s">
        <v>239</v>
      </c>
      <c r="X2897" s="214" t="s">
        <v>3054</v>
      </c>
      <c r="Y2897" s="220">
        <v>3</v>
      </c>
    </row>
    <row r="2898" spans="23:25" x14ac:dyDescent="0.25">
      <c r="W2898" s="214" t="s">
        <v>252</v>
      </c>
      <c r="X2898" s="214" t="s">
        <v>3055</v>
      </c>
      <c r="Y2898" s="220">
        <v>3</v>
      </c>
    </row>
    <row r="2899" spans="23:25" x14ac:dyDescent="0.25">
      <c r="W2899" s="214" t="s">
        <v>252</v>
      </c>
      <c r="X2899" s="214" t="s">
        <v>3056</v>
      </c>
      <c r="Y2899" s="220">
        <v>5</v>
      </c>
    </row>
    <row r="2900" spans="23:25" x14ac:dyDescent="0.25">
      <c r="W2900" s="214" t="s">
        <v>232</v>
      </c>
      <c r="X2900" s="214" t="s">
        <v>3057</v>
      </c>
      <c r="Y2900" s="220">
        <v>2</v>
      </c>
    </row>
    <row r="2901" spans="23:25" x14ac:dyDescent="0.25">
      <c r="W2901" s="214" t="s">
        <v>239</v>
      </c>
      <c r="X2901" s="214" t="s">
        <v>3058</v>
      </c>
      <c r="Y2901" s="220">
        <v>3</v>
      </c>
    </row>
    <row r="2902" spans="23:25" x14ac:dyDescent="0.25">
      <c r="W2902" s="214" t="s">
        <v>252</v>
      </c>
      <c r="X2902" s="214" t="s">
        <v>3059</v>
      </c>
      <c r="Y2902" s="220">
        <v>3</v>
      </c>
    </row>
    <row r="2903" spans="23:25" x14ac:dyDescent="0.25">
      <c r="W2903" s="214" t="s">
        <v>239</v>
      </c>
      <c r="X2903" s="214" t="s">
        <v>3060</v>
      </c>
      <c r="Y2903" s="220">
        <v>3</v>
      </c>
    </row>
    <row r="2904" spans="23:25" x14ac:dyDescent="0.25">
      <c r="W2904" s="214" t="s">
        <v>239</v>
      </c>
      <c r="X2904" s="214" t="s">
        <v>3061</v>
      </c>
      <c r="Y2904" s="220">
        <v>3</v>
      </c>
    </row>
    <row r="2905" spans="23:25" x14ac:dyDescent="0.25">
      <c r="W2905" s="214" t="s">
        <v>258</v>
      </c>
      <c r="X2905" s="214" t="s">
        <v>3062</v>
      </c>
      <c r="Y2905" s="220">
        <v>3</v>
      </c>
    </row>
    <row r="2906" spans="23:25" x14ac:dyDescent="0.25">
      <c r="W2906" s="214" t="s">
        <v>239</v>
      </c>
      <c r="X2906" s="214" t="s">
        <v>3063</v>
      </c>
      <c r="Y2906" s="220">
        <v>3</v>
      </c>
    </row>
    <row r="2907" spans="23:25" x14ac:dyDescent="0.25">
      <c r="W2907" s="214" t="s">
        <v>252</v>
      </c>
      <c r="X2907" s="214" t="s">
        <v>3064</v>
      </c>
      <c r="Y2907" s="220">
        <v>5</v>
      </c>
    </row>
    <row r="2908" spans="23:25" x14ac:dyDescent="0.25">
      <c r="W2908" s="214" t="s">
        <v>239</v>
      </c>
      <c r="X2908" s="214" t="s">
        <v>3065</v>
      </c>
      <c r="Y2908" s="220">
        <v>3</v>
      </c>
    </row>
    <row r="2909" spans="23:25" x14ac:dyDescent="0.25">
      <c r="W2909" s="214" t="s">
        <v>239</v>
      </c>
      <c r="X2909" s="214" t="s">
        <v>3066</v>
      </c>
      <c r="Y2909" s="220">
        <v>3</v>
      </c>
    </row>
    <row r="2910" spans="23:25" x14ac:dyDescent="0.25">
      <c r="W2910" s="214" t="s">
        <v>239</v>
      </c>
      <c r="X2910" s="214" t="s">
        <v>2154</v>
      </c>
      <c r="Y2910" s="220">
        <v>3</v>
      </c>
    </row>
    <row r="2911" spans="23:25" x14ac:dyDescent="0.25">
      <c r="W2911" s="214" t="s">
        <v>239</v>
      </c>
      <c r="X2911" s="214" t="s">
        <v>3067</v>
      </c>
      <c r="Y2911" s="220">
        <v>2</v>
      </c>
    </row>
    <row r="2912" spans="23:25" x14ac:dyDescent="0.25">
      <c r="W2912" s="214" t="s">
        <v>239</v>
      </c>
      <c r="X2912" s="214" t="s">
        <v>3068</v>
      </c>
      <c r="Y2912" s="220">
        <v>1</v>
      </c>
    </row>
    <row r="2913" spans="23:25" x14ac:dyDescent="0.25">
      <c r="W2913" s="214" t="s">
        <v>239</v>
      </c>
      <c r="X2913" s="214" t="s">
        <v>3069</v>
      </c>
      <c r="Y2913" s="220">
        <v>3</v>
      </c>
    </row>
    <row r="2914" spans="23:25" x14ac:dyDescent="0.25">
      <c r="W2914" s="214" t="s">
        <v>239</v>
      </c>
      <c r="X2914" s="214" t="s">
        <v>3070</v>
      </c>
      <c r="Y2914" s="220">
        <v>3</v>
      </c>
    </row>
    <row r="2915" spans="23:25" x14ac:dyDescent="0.25">
      <c r="W2915" s="214" t="s">
        <v>239</v>
      </c>
      <c r="X2915" s="214" t="s">
        <v>3071</v>
      </c>
      <c r="Y2915" s="220">
        <v>4</v>
      </c>
    </row>
    <row r="2916" spans="23:25" x14ac:dyDescent="0.25">
      <c r="W2916" s="214" t="s">
        <v>239</v>
      </c>
      <c r="X2916" s="214" t="s">
        <v>3072</v>
      </c>
      <c r="Y2916" s="220">
        <v>3</v>
      </c>
    </row>
    <row r="2917" spans="23:25" x14ac:dyDescent="0.25">
      <c r="W2917" s="214" t="s">
        <v>242</v>
      </c>
      <c r="X2917" s="214" t="s">
        <v>3073</v>
      </c>
      <c r="Y2917" s="220">
        <v>7</v>
      </c>
    </row>
    <row r="2918" spans="23:25" x14ac:dyDescent="0.25">
      <c r="W2918" s="214" t="s">
        <v>239</v>
      </c>
      <c r="X2918" s="214" t="s">
        <v>3074</v>
      </c>
      <c r="Y2918" s="220">
        <v>3</v>
      </c>
    </row>
    <row r="2919" spans="23:25" x14ac:dyDescent="0.25">
      <c r="W2919" s="214" t="s">
        <v>27</v>
      </c>
      <c r="X2919" s="214" t="s">
        <v>3075</v>
      </c>
      <c r="Y2919" s="220">
        <v>2</v>
      </c>
    </row>
    <row r="2920" spans="23:25" x14ac:dyDescent="0.25">
      <c r="W2920" s="214" t="s">
        <v>258</v>
      </c>
      <c r="X2920" s="214" t="s">
        <v>3076</v>
      </c>
      <c r="Y2920" s="220">
        <v>3</v>
      </c>
    </row>
    <row r="2921" spans="23:25" x14ac:dyDescent="0.25">
      <c r="W2921" s="214" t="s">
        <v>239</v>
      </c>
      <c r="X2921" s="214" t="s">
        <v>3077</v>
      </c>
      <c r="Y2921" s="220">
        <v>3</v>
      </c>
    </row>
    <row r="2922" spans="23:25" x14ac:dyDescent="0.25">
      <c r="W2922" s="214" t="s">
        <v>1978</v>
      </c>
      <c r="X2922" s="214" t="s">
        <v>3078</v>
      </c>
      <c r="Y2922" s="220">
        <v>3</v>
      </c>
    </row>
    <row r="2923" spans="23:25" x14ac:dyDescent="0.25">
      <c r="W2923" s="214" t="s">
        <v>239</v>
      </c>
      <c r="X2923" s="214" t="s">
        <v>3079</v>
      </c>
      <c r="Y2923" s="220">
        <v>3</v>
      </c>
    </row>
    <row r="2924" spans="23:25" x14ac:dyDescent="0.25">
      <c r="W2924" s="214" t="s">
        <v>239</v>
      </c>
      <c r="X2924" s="214" t="s">
        <v>3080</v>
      </c>
      <c r="Y2924" s="220">
        <v>3</v>
      </c>
    </row>
    <row r="2925" spans="23:25" x14ac:dyDescent="0.25">
      <c r="W2925" s="214" t="s">
        <v>239</v>
      </c>
      <c r="X2925" s="214" t="s">
        <v>3081</v>
      </c>
      <c r="Y2925" s="220">
        <v>3</v>
      </c>
    </row>
    <row r="2926" spans="23:25" x14ac:dyDescent="0.25">
      <c r="W2926" s="214" t="s">
        <v>239</v>
      </c>
      <c r="X2926" s="214" t="s">
        <v>3082</v>
      </c>
      <c r="Y2926" s="220">
        <v>2</v>
      </c>
    </row>
    <row r="2927" spans="23:25" x14ac:dyDescent="0.25">
      <c r="W2927" s="214" t="s">
        <v>1978</v>
      </c>
      <c r="X2927" s="214" t="s">
        <v>3083</v>
      </c>
      <c r="Y2927" s="220">
        <v>3</v>
      </c>
    </row>
    <row r="2928" spans="23:25" x14ac:dyDescent="0.25">
      <c r="W2928" s="214" t="s">
        <v>244</v>
      </c>
      <c r="X2928" s="214" t="s">
        <v>3084</v>
      </c>
      <c r="Y2928" s="220">
        <v>8</v>
      </c>
    </row>
    <row r="2929" spans="23:25" x14ac:dyDescent="0.25">
      <c r="W2929" s="214" t="s">
        <v>239</v>
      </c>
      <c r="X2929" s="214" t="s">
        <v>1251</v>
      </c>
      <c r="Y2929" s="220">
        <v>4</v>
      </c>
    </row>
    <row r="2930" spans="23:25" x14ac:dyDescent="0.25">
      <c r="W2930" s="214" t="s">
        <v>239</v>
      </c>
      <c r="X2930" s="214" t="s">
        <v>3085</v>
      </c>
      <c r="Y2930" s="220">
        <v>4</v>
      </c>
    </row>
    <row r="2931" spans="23:25" x14ac:dyDescent="0.25">
      <c r="W2931" s="214" t="s">
        <v>274</v>
      </c>
      <c r="X2931" s="214" t="s">
        <v>3086</v>
      </c>
      <c r="Y2931" s="220">
        <v>3</v>
      </c>
    </row>
    <row r="2932" spans="23:25" x14ac:dyDescent="0.25">
      <c r="W2932" s="214" t="s">
        <v>239</v>
      </c>
      <c r="X2932" s="214" t="s">
        <v>1530</v>
      </c>
      <c r="Y2932" s="220">
        <v>3</v>
      </c>
    </row>
    <row r="2933" spans="23:25" x14ac:dyDescent="0.25">
      <c r="W2933" s="214" t="s">
        <v>239</v>
      </c>
      <c r="X2933" s="214" t="s">
        <v>3087</v>
      </c>
      <c r="Y2933" s="220">
        <v>3</v>
      </c>
    </row>
    <row r="2934" spans="23:25" x14ac:dyDescent="0.25">
      <c r="W2934" s="214" t="s">
        <v>239</v>
      </c>
      <c r="X2934" s="214" t="s">
        <v>3088</v>
      </c>
      <c r="Y2934" s="220">
        <v>3</v>
      </c>
    </row>
    <row r="2935" spans="23:25" x14ac:dyDescent="0.25">
      <c r="W2935" s="214" t="s">
        <v>239</v>
      </c>
      <c r="X2935" s="214" t="s">
        <v>3089</v>
      </c>
      <c r="Y2935" s="220">
        <v>2</v>
      </c>
    </row>
    <row r="2936" spans="23:25" x14ac:dyDescent="0.25">
      <c r="W2936" s="214" t="s">
        <v>239</v>
      </c>
      <c r="X2936" s="214" t="s">
        <v>3090</v>
      </c>
      <c r="Y2936" s="220">
        <v>3</v>
      </c>
    </row>
    <row r="2937" spans="23:25" x14ac:dyDescent="0.25">
      <c r="W2937" s="214" t="s">
        <v>239</v>
      </c>
      <c r="X2937" s="214" t="s">
        <v>3091</v>
      </c>
      <c r="Y2937" s="220">
        <v>3</v>
      </c>
    </row>
    <row r="2938" spans="23:25" x14ac:dyDescent="0.25">
      <c r="W2938" s="214" t="s">
        <v>252</v>
      </c>
      <c r="X2938" s="214" t="s">
        <v>3092</v>
      </c>
      <c r="Y2938" s="220">
        <v>5</v>
      </c>
    </row>
    <row r="2939" spans="23:25" x14ac:dyDescent="0.25">
      <c r="W2939" s="214" t="s">
        <v>252</v>
      </c>
      <c r="X2939" s="214" t="s">
        <v>625</v>
      </c>
      <c r="Y2939" s="220">
        <v>3</v>
      </c>
    </row>
    <row r="2940" spans="23:25" x14ac:dyDescent="0.25">
      <c r="W2940" s="214" t="s">
        <v>232</v>
      </c>
      <c r="X2940" s="214" t="s">
        <v>3093</v>
      </c>
      <c r="Y2940" s="220">
        <v>2</v>
      </c>
    </row>
    <row r="2941" spans="23:25" x14ac:dyDescent="0.25">
      <c r="W2941" s="214" t="s">
        <v>239</v>
      </c>
      <c r="X2941" s="214" t="s">
        <v>3094</v>
      </c>
      <c r="Y2941" s="220">
        <v>3</v>
      </c>
    </row>
    <row r="2942" spans="23:25" x14ac:dyDescent="0.25">
      <c r="W2942" s="214" t="s">
        <v>239</v>
      </c>
      <c r="X2942" s="214" t="s">
        <v>3095</v>
      </c>
      <c r="Y2942" s="220">
        <v>2</v>
      </c>
    </row>
    <row r="2943" spans="23:25" x14ac:dyDescent="0.25">
      <c r="W2943" s="214" t="s">
        <v>1978</v>
      </c>
      <c r="X2943" s="214" t="s">
        <v>3096</v>
      </c>
      <c r="Y2943" s="220">
        <v>5</v>
      </c>
    </row>
    <row r="2944" spans="23:25" x14ac:dyDescent="0.25">
      <c r="W2944" s="214" t="s">
        <v>252</v>
      </c>
      <c r="X2944" s="214" t="s">
        <v>3097</v>
      </c>
      <c r="Y2944" s="220">
        <v>5</v>
      </c>
    </row>
    <row r="2945" spans="23:25" x14ac:dyDescent="0.25">
      <c r="W2945" s="214" t="s">
        <v>239</v>
      </c>
      <c r="X2945" s="214" t="s">
        <v>3098</v>
      </c>
      <c r="Y2945" s="220">
        <v>3</v>
      </c>
    </row>
    <row r="2946" spans="23:25" x14ac:dyDescent="0.25">
      <c r="W2946" s="214" t="s">
        <v>252</v>
      </c>
      <c r="X2946" s="214" t="s">
        <v>3099</v>
      </c>
      <c r="Y2946" s="220">
        <v>5</v>
      </c>
    </row>
    <row r="2947" spans="23:25" x14ac:dyDescent="0.25">
      <c r="W2947" s="214" t="s">
        <v>239</v>
      </c>
      <c r="X2947" s="214" t="s">
        <v>3100</v>
      </c>
      <c r="Y2947" s="220">
        <v>3</v>
      </c>
    </row>
    <row r="2948" spans="23:25" x14ac:dyDescent="0.25">
      <c r="W2948" s="214" t="s">
        <v>239</v>
      </c>
      <c r="X2948" s="214" t="s">
        <v>3101</v>
      </c>
      <c r="Y2948" s="220">
        <v>3</v>
      </c>
    </row>
    <row r="2949" spans="23:25" x14ac:dyDescent="0.25">
      <c r="W2949" s="214" t="s">
        <v>239</v>
      </c>
      <c r="X2949" s="214" t="s">
        <v>3102</v>
      </c>
      <c r="Y2949" s="220">
        <v>3</v>
      </c>
    </row>
    <row r="2950" spans="23:25" x14ac:dyDescent="0.25">
      <c r="W2950" s="214" t="s">
        <v>239</v>
      </c>
      <c r="X2950" s="214" t="s">
        <v>3103</v>
      </c>
      <c r="Y2950" s="220">
        <v>3</v>
      </c>
    </row>
    <row r="2951" spans="23:25" x14ac:dyDescent="0.25">
      <c r="W2951" s="214" t="s">
        <v>239</v>
      </c>
      <c r="X2951" s="214" t="s">
        <v>2113</v>
      </c>
      <c r="Y2951" s="220">
        <v>1</v>
      </c>
    </row>
    <row r="2952" spans="23:25" x14ac:dyDescent="0.25">
      <c r="W2952" s="214" t="s">
        <v>274</v>
      </c>
      <c r="X2952" s="214" t="s">
        <v>3104</v>
      </c>
      <c r="Y2952" s="220">
        <v>3</v>
      </c>
    </row>
    <row r="2953" spans="23:25" x14ac:dyDescent="0.25">
      <c r="W2953" s="214" t="s">
        <v>252</v>
      </c>
      <c r="X2953" s="214" t="s">
        <v>3105</v>
      </c>
      <c r="Y2953" s="220">
        <v>5</v>
      </c>
    </row>
    <row r="2954" spans="23:25" x14ac:dyDescent="0.25">
      <c r="W2954" s="214" t="s">
        <v>242</v>
      </c>
      <c r="X2954" s="214" t="s">
        <v>3106</v>
      </c>
      <c r="Y2954" s="220">
        <v>6</v>
      </c>
    </row>
    <row r="2955" spans="23:25" x14ac:dyDescent="0.25">
      <c r="W2955" s="214" t="s">
        <v>252</v>
      </c>
      <c r="X2955" s="214" t="s">
        <v>3107</v>
      </c>
      <c r="Y2955" s="220">
        <v>3</v>
      </c>
    </row>
    <row r="2956" spans="23:25" x14ac:dyDescent="0.25">
      <c r="W2956" s="214" t="s">
        <v>274</v>
      </c>
      <c r="X2956" s="214" t="s">
        <v>3108</v>
      </c>
      <c r="Y2956" s="220">
        <v>3</v>
      </c>
    </row>
    <row r="2957" spans="23:25" x14ac:dyDescent="0.25">
      <c r="W2957" s="214" t="s">
        <v>232</v>
      </c>
      <c r="X2957" s="214" t="s">
        <v>3109</v>
      </c>
      <c r="Y2957" s="220">
        <v>2</v>
      </c>
    </row>
    <row r="2958" spans="23:25" x14ac:dyDescent="0.25">
      <c r="W2958" s="214" t="s">
        <v>239</v>
      </c>
      <c r="X2958" s="214" t="s">
        <v>3110</v>
      </c>
      <c r="Y2958" s="220">
        <v>1</v>
      </c>
    </row>
    <row r="2959" spans="23:25" x14ac:dyDescent="0.25">
      <c r="W2959" s="214" t="s">
        <v>239</v>
      </c>
      <c r="X2959" s="214" t="s">
        <v>3111</v>
      </c>
      <c r="Y2959" s="220">
        <v>3</v>
      </c>
    </row>
    <row r="2960" spans="23:25" x14ac:dyDescent="0.25">
      <c r="W2960" s="214" t="s">
        <v>274</v>
      </c>
      <c r="X2960" s="214" t="s">
        <v>3112</v>
      </c>
      <c r="Y2960" s="220">
        <v>3</v>
      </c>
    </row>
    <row r="2961" spans="23:25" x14ac:dyDescent="0.25">
      <c r="W2961" s="214" t="s">
        <v>239</v>
      </c>
      <c r="X2961" s="214" t="s">
        <v>3113</v>
      </c>
      <c r="Y2961" s="220">
        <v>4</v>
      </c>
    </row>
    <row r="2962" spans="23:25" x14ac:dyDescent="0.25">
      <c r="W2962" s="214" t="s">
        <v>232</v>
      </c>
      <c r="X2962" s="214" t="s">
        <v>3114</v>
      </c>
      <c r="Y2962" s="220">
        <v>2</v>
      </c>
    </row>
    <row r="2963" spans="23:25" x14ac:dyDescent="0.25">
      <c r="W2963" s="214" t="s">
        <v>239</v>
      </c>
      <c r="X2963" s="214" t="s">
        <v>3115</v>
      </c>
      <c r="Y2963" s="220">
        <v>3</v>
      </c>
    </row>
    <row r="2964" spans="23:25" x14ac:dyDescent="0.25">
      <c r="W2964" s="214" t="s">
        <v>1978</v>
      </c>
      <c r="X2964" s="214" t="s">
        <v>3116</v>
      </c>
      <c r="Y2964" s="220">
        <v>5</v>
      </c>
    </row>
    <row r="2965" spans="23:25" x14ac:dyDescent="0.25">
      <c r="W2965" s="214" t="s">
        <v>274</v>
      </c>
      <c r="X2965" s="214" t="s">
        <v>3117</v>
      </c>
      <c r="Y2965" s="220">
        <v>3</v>
      </c>
    </row>
    <row r="2966" spans="23:25" x14ac:dyDescent="0.25">
      <c r="W2966" s="214" t="s">
        <v>274</v>
      </c>
      <c r="X2966" s="214" t="s">
        <v>3118</v>
      </c>
      <c r="Y2966" s="220">
        <v>3</v>
      </c>
    </row>
    <row r="2967" spans="23:25" x14ac:dyDescent="0.25">
      <c r="W2967" s="214" t="s">
        <v>274</v>
      </c>
      <c r="X2967" s="214" t="s">
        <v>3119</v>
      </c>
      <c r="Y2967" s="220">
        <v>3</v>
      </c>
    </row>
    <row r="2968" spans="23:25" x14ac:dyDescent="0.25">
      <c r="W2968" s="214" t="s">
        <v>239</v>
      </c>
      <c r="X2968" s="214" t="s">
        <v>3120</v>
      </c>
      <c r="Y2968" s="220">
        <v>3</v>
      </c>
    </row>
    <row r="2969" spans="23:25" x14ac:dyDescent="0.25">
      <c r="W2969" s="214" t="s">
        <v>274</v>
      </c>
      <c r="X2969" s="214" t="s">
        <v>613</v>
      </c>
      <c r="Y2969" s="220">
        <v>5</v>
      </c>
    </row>
    <row r="2970" spans="23:25" x14ac:dyDescent="0.25">
      <c r="W2970" s="214" t="s">
        <v>232</v>
      </c>
      <c r="X2970" s="214" t="s">
        <v>3121</v>
      </c>
      <c r="Y2970" s="220">
        <v>2</v>
      </c>
    </row>
    <row r="2971" spans="23:25" x14ac:dyDescent="0.25">
      <c r="W2971" s="214" t="s">
        <v>239</v>
      </c>
      <c r="X2971" s="214" t="s">
        <v>3122</v>
      </c>
      <c r="Y2971" s="220">
        <v>2</v>
      </c>
    </row>
    <row r="2972" spans="23:25" x14ac:dyDescent="0.25">
      <c r="W2972" s="214" t="s">
        <v>252</v>
      </c>
      <c r="X2972" s="214" t="s">
        <v>3123</v>
      </c>
      <c r="Y2972" s="220">
        <v>5</v>
      </c>
    </row>
    <row r="2973" spans="23:25" x14ac:dyDescent="0.25">
      <c r="W2973" s="214" t="s">
        <v>244</v>
      </c>
      <c r="X2973" s="214" t="s">
        <v>3124</v>
      </c>
      <c r="Y2973" s="220">
        <v>5</v>
      </c>
    </row>
    <row r="2974" spans="23:25" x14ac:dyDescent="0.25">
      <c r="W2974" s="214" t="s">
        <v>239</v>
      </c>
      <c r="X2974" s="214" t="s">
        <v>3125</v>
      </c>
      <c r="Y2974" s="220">
        <v>1</v>
      </c>
    </row>
    <row r="2975" spans="23:25" x14ac:dyDescent="0.25">
      <c r="W2975" s="214" t="s">
        <v>239</v>
      </c>
      <c r="X2975" s="214" t="s">
        <v>3126</v>
      </c>
      <c r="Y2975" s="220">
        <v>1</v>
      </c>
    </row>
    <row r="2976" spans="23:25" x14ac:dyDescent="0.25">
      <c r="W2976" s="214" t="s">
        <v>244</v>
      </c>
      <c r="X2976" s="214" t="s">
        <v>3127</v>
      </c>
      <c r="Y2976" s="220">
        <v>5</v>
      </c>
    </row>
    <row r="2977" spans="23:25" x14ac:dyDescent="0.25">
      <c r="W2977" s="214" t="s">
        <v>239</v>
      </c>
      <c r="X2977" s="214" t="s">
        <v>238</v>
      </c>
      <c r="Y2977" s="220">
        <v>1</v>
      </c>
    </row>
    <row r="2978" spans="23:25" x14ac:dyDescent="0.25">
      <c r="W2978" s="214" t="s">
        <v>239</v>
      </c>
      <c r="X2978" s="214" t="s">
        <v>3128</v>
      </c>
      <c r="Y2978" s="220">
        <v>2</v>
      </c>
    </row>
    <row r="2979" spans="23:25" x14ac:dyDescent="0.25">
      <c r="W2979" s="214" t="s">
        <v>274</v>
      </c>
      <c r="X2979" s="214" t="s">
        <v>3129</v>
      </c>
      <c r="Y2979" s="220">
        <v>5</v>
      </c>
    </row>
    <row r="2980" spans="23:25" x14ac:dyDescent="0.25">
      <c r="W2980" s="214" t="s">
        <v>274</v>
      </c>
      <c r="X2980" s="214" t="s">
        <v>3130</v>
      </c>
      <c r="Y2980" s="220">
        <v>3</v>
      </c>
    </row>
    <row r="2981" spans="23:25" x14ac:dyDescent="0.25">
      <c r="W2981" s="214" t="s">
        <v>239</v>
      </c>
      <c r="X2981" s="214" t="s">
        <v>3131</v>
      </c>
      <c r="Y2981" s="220">
        <v>2</v>
      </c>
    </row>
    <row r="2982" spans="23:25" x14ac:dyDescent="0.25">
      <c r="W2982" s="214" t="s">
        <v>244</v>
      </c>
      <c r="X2982" s="214" t="s">
        <v>3132</v>
      </c>
      <c r="Y2982" s="220">
        <v>5</v>
      </c>
    </row>
    <row r="2983" spans="23:25" x14ac:dyDescent="0.25">
      <c r="W2983" s="214" t="s">
        <v>1978</v>
      </c>
      <c r="X2983" s="214" t="s">
        <v>3133</v>
      </c>
      <c r="Y2983" s="220">
        <v>3</v>
      </c>
    </row>
    <row r="2984" spans="23:25" x14ac:dyDescent="0.25">
      <c r="W2984" s="214" t="s">
        <v>252</v>
      </c>
      <c r="X2984" s="214" t="s">
        <v>2361</v>
      </c>
      <c r="Y2984" s="220">
        <v>5</v>
      </c>
    </row>
    <row r="2985" spans="23:25" x14ac:dyDescent="0.25">
      <c r="W2985" s="214" t="s">
        <v>252</v>
      </c>
      <c r="X2985" s="214" t="s">
        <v>3134</v>
      </c>
      <c r="Y2985" s="220">
        <v>5</v>
      </c>
    </row>
    <row r="2986" spans="23:25" x14ac:dyDescent="0.25">
      <c r="W2986" s="214" t="s">
        <v>274</v>
      </c>
      <c r="X2986" s="214" t="s">
        <v>3135</v>
      </c>
      <c r="Y2986" s="220">
        <v>5</v>
      </c>
    </row>
    <row r="2987" spans="23:25" x14ac:dyDescent="0.25">
      <c r="W2987" s="214" t="s">
        <v>274</v>
      </c>
      <c r="X2987" s="214" t="s">
        <v>3136</v>
      </c>
      <c r="Y2987" s="220">
        <v>3</v>
      </c>
    </row>
    <row r="2988" spans="23:25" x14ac:dyDescent="0.25">
      <c r="W2988" s="214" t="s">
        <v>1978</v>
      </c>
      <c r="X2988" s="214" t="s">
        <v>3137</v>
      </c>
      <c r="Y2988" s="220">
        <v>3</v>
      </c>
    </row>
    <row r="2989" spans="23:25" x14ac:dyDescent="0.25">
      <c r="W2989" s="214" t="s">
        <v>258</v>
      </c>
      <c r="X2989" s="214" t="s">
        <v>3138</v>
      </c>
      <c r="Y2989" s="220">
        <v>3</v>
      </c>
    </row>
    <row r="2990" spans="23:25" x14ac:dyDescent="0.25">
      <c r="W2990" s="214" t="s">
        <v>239</v>
      </c>
      <c r="X2990" s="214" t="s">
        <v>3139</v>
      </c>
      <c r="Y2990" s="220">
        <v>1</v>
      </c>
    </row>
    <row r="2991" spans="23:25" x14ac:dyDescent="0.25">
      <c r="W2991" s="214" t="s">
        <v>252</v>
      </c>
      <c r="X2991" s="214" t="s">
        <v>3140</v>
      </c>
      <c r="Y2991" s="220">
        <v>5</v>
      </c>
    </row>
    <row r="2992" spans="23:25" x14ac:dyDescent="0.25">
      <c r="W2992" s="214" t="s">
        <v>274</v>
      </c>
      <c r="X2992" s="214" t="s">
        <v>3141</v>
      </c>
      <c r="Y2992" s="220">
        <v>3</v>
      </c>
    </row>
    <row r="2993" spans="23:25" x14ac:dyDescent="0.25">
      <c r="W2993" s="214" t="s">
        <v>239</v>
      </c>
      <c r="X2993" s="214" t="s">
        <v>3142</v>
      </c>
      <c r="Y2993" s="220">
        <v>4</v>
      </c>
    </row>
    <row r="2994" spans="23:25" x14ac:dyDescent="0.25">
      <c r="W2994" s="214" t="s">
        <v>239</v>
      </c>
      <c r="X2994" s="214" t="s">
        <v>3143</v>
      </c>
      <c r="Y2994" s="220">
        <v>1</v>
      </c>
    </row>
    <row r="2995" spans="23:25" x14ac:dyDescent="0.25">
      <c r="W2995" s="214" t="s">
        <v>239</v>
      </c>
      <c r="X2995" s="214" t="s">
        <v>3144</v>
      </c>
      <c r="Y2995" s="220">
        <v>3</v>
      </c>
    </row>
    <row r="2996" spans="23:25" x14ac:dyDescent="0.25">
      <c r="W2996" s="214" t="s">
        <v>274</v>
      </c>
      <c r="X2996" s="214" t="s">
        <v>3145</v>
      </c>
      <c r="Y2996" s="220">
        <v>3</v>
      </c>
    </row>
    <row r="2997" spans="23:25" x14ac:dyDescent="0.25">
      <c r="W2997" s="214" t="s">
        <v>1978</v>
      </c>
      <c r="X2997" s="214" t="s">
        <v>3146</v>
      </c>
      <c r="Y2997" s="220">
        <v>6</v>
      </c>
    </row>
    <row r="2998" spans="23:25" x14ac:dyDescent="0.25">
      <c r="W2998" s="214" t="s">
        <v>239</v>
      </c>
      <c r="X2998" s="214" t="s">
        <v>3147</v>
      </c>
      <c r="Y2998" s="220">
        <v>3</v>
      </c>
    </row>
    <row r="2999" spans="23:25" x14ac:dyDescent="0.25">
      <c r="W2999" s="214" t="s">
        <v>1978</v>
      </c>
      <c r="X2999" s="214" t="s">
        <v>3148</v>
      </c>
      <c r="Y2999" s="220">
        <v>3</v>
      </c>
    </row>
    <row r="3000" spans="23:25" x14ac:dyDescent="0.25">
      <c r="W3000" s="214" t="s">
        <v>239</v>
      </c>
      <c r="X3000" s="214" t="s">
        <v>3149</v>
      </c>
      <c r="Y3000" s="220">
        <v>4</v>
      </c>
    </row>
    <row r="3001" spans="23:25" x14ac:dyDescent="0.25">
      <c r="W3001" s="214" t="s">
        <v>252</v>
      </c>
      <c r="X3001" s="214" t="s">
        <v>3150</v>
      </c>
      <c r="Y3001" s="220">
        <v>3</v>
      </c>
    </row>
    <row r="3002" spans="23:25" x14ac:dyDescent="0.25">
      <c r="W3002" s="214" t="s">
        <v>274</v>
      </c>
      <c r="X3002" s="214" t="s">
        <v>3151</v>
      </c>
      <c r="Y3002" s="220">
        <v>3</v>
      </c>
    </row>
    <row r="3003" spans="23:25" x14ac:dyDescent="0.25">
      <c r="W3003" s="214" t="s">
        <v>239</v>
      </c>
      <c r="X3003" s="214" t="s">
        <v>3152</v>
      </c>
      <c r="Y3003" s="220">
        <v>3</v>
      </c>
    </row>
    <row r="3004" spans="23:25" x14ac:dyDescent="0.25">
      <c r="W3004" s="214" t="s">
        <v>232</v>
      </c>
      <c r="X3004" s="214" t="s">
        <v>3153</v>
      </c>
      <c r="Y3004" s="220">
        <v>2</v>
      </c>
    </row>
    <row r="3005" spans="23:25" x14ac:dyDescent="0.25">
      <c r="W3005" s="214" t="s">
        <v>239</v>
      </c>
      <c r="X3005" s="214" t="s">
        <v>3154</v>
      </c>
      <c r="Y3005" s="220">
        <v>3</v>
      </c>
    </row>
    <row r="3006" spans="23:25" x14ac:dyDescent="0.25">
      <c r="W3006" s="214" t="s">
        <v>274</v>
      </c>
      <c r="X3006" s="214" t="s">
        <v>3155</v>
      </c>
      <c r="Y3006" s="220">
        <v>5</v>
      </c>
    </row>
    <row r="3007" spans="23:25" x14ac:dyDescent="0.25">
      <c r="W3007" s="214" t="s">
        <v>239</v>
      </c>
      <c r="X3007" s="214" t="s">
        <v>3156</v>
      </c>
      <c r="Y3007" s="220">
        <v>3</v>
      </c>
    </row>
    <row r="3008" spans="23:25" x14ac:dyDescent="0.25">
      <c r="W3008" s="214" t="s">
        <v>274</v>
      </c>
      <c r="X3008" s="214" t="s">
        <v>3157</v>
      </c>
      <c r="Y3008" s="220">
        <v>3</v>
      </c>
    </row>
    <row r="3009" spans="23:25" x14ac:dyDescent="0.25">
      <c r="W3009" s="214" t="s">
        <v>1978</v>
      </c>
      <c r="X3009" s="214" t="s">
        <v>3158</v>
      </c>
      <c r="Y3009" s="220">
        <v>5</v>
      </c>
    </row>
    <row r="3010" spans="23:25" x14ac:dyDescent="0.25">
      <c r="W3010" s="214" t="s">
        <v>274</v>
      </c>
      <c r="X3010" s="214" t="s">
        <v>3159</v>
      </c>
      <c r="Y3010" s="220">
        <v>3</v>
      </c>
    </row>
    <row r="3011" spans="23:25" x14ac:dyDescent="0.25">
      <c r="W3011" s="214" t="s">
        <v>1978</v>
      </c>
      <c r="X3011" s="214" t="s">
        <v>3160</v>
      </c>
      <c r="Y3011" s="220">
        <v>3</v>
      </c>
    </row>
    <row r="3012" spans="23:25" x14ac:dyDescent="0.25">
      <c r="W3012" s="214" t="s">
        <v>239</v>
      </c>
      <c r="X3012" s="214" t="s">
        <v>3161</v>
      </c>
      <c r="Y3012" s="220">
        <v>4</v>
      </c>
    </row>
    <row r="3013" spans="23:25" x14ac:dyDescent="0.25">
      <c r="W3013" s="214" t="s">
        <v>239</v>
      </c>
      <c r="X3013" s="214" t="s">
        <v>3162</v>
      </c>
      <c r="Y3013" s="220">
        <v>3</v>
      </c>
    </row>
    <row r="3014" spans="23:25" x14ac:dyDescent="0.25">
      <c r="W3014" s="214" t="s">
        <v>239</v>
      </c>
      <c r="X3014" s="214" t="s">
        <v>3163</v>
      </c>
      <c r="Y3014" s="220">
        <v>2</v>
      </c>
    </row>
    <row r="3015" spans="23:25" x14ac:dyDescent="0.25">
      <c r="W3015" s="214" t="s">
        <v>1978</v>
      </c>
      <c r="X3015" s="214" t="s">
        <v>3164</v>
      </c>
      <c r="Y3015" s="220">
        <v>5</v>
      </c>
    </row>
    <row r="3016" spans="23:25" x14ac:dyDescent="0.25">
      <c r="W3016" s="214" t="s">
        <v>274</v>
      </c>
      <c r="X3016" s="214" t="s">
        <v>3165</v>
      </c>
      <c r="Y3016" s="220">
        <v>3</v>
      </c>
    </row>
    <row r="3017" spans="23:25" x14ac:dyDescent="0.25">
      <c r="W3017" s="214" t="s">
        <v>239</v>
      </c>
      <c r="X3017" s="214" t="s">
        <v>3166</v>
      </c>
      <c r="Y3017" s="220">
        <v>3</v>
      </c>
    </row>
    <row r="3018" spans="23:25" x14ac:dyDescent="0.25">
      <c r="W3018" s="214" t="s">
        <v>274</v>
      </c>
      <c r="X3018" s="214" t="s">
        <v>3167</v>
      </c>
      <c r="Y3018" s="220">
        <v>3</v>
      </c>
    </row>
    <row r="3019" spans="23:25" x14ac:dyDescent="0.25">
      <c r="W3019" s="214" t="s">
        <v>239</v>
      </c>
      <c r="X3019" s="214" t="s">
        <v>3168</v>
      </c>
      <c r="Y3019" s="220">
        <v>1</v>
      </c>
    </row>
    <row r="3020" spans="23:25" x14ac:dyDescent="0.25">
      <c r="W3020" s="214" t="s">
        <v>1740</v>
      </c>
      <c r="X3020" s="214" t="s">
        <v>3169</v>
      </c>
      <c r="Y3020" s="220">
        <v>6</v>
      </c>
    </row>
    <row r="3021" spans="23:25" x14ac:dyDescent="0.25">
      <c r="W3021" s="214" t="s">
        <v>274</v>
      </c>
      <c r="X3021" s="214" t="s">
        <v>3170</v>
      </c>
      <c r="Y3021" s="220">
        <v>3</v>
      </c>
    </row>
    <row r="3022" spans="23:25" x14ac:dyDescent="0.25">
      <c r="W3022" s="214" t="s">
        <v>252</v>
      </c>
      <c r="X3022" s="214" t="s">
        <v>3171</v>
      </c>
      <c r="Y3022" s="220">
        <v>3</v>
      </c>
    </row>
    <row r="3023" spans="23:25" x14ac:dyDescent="0.25">
      <c r="W3023" s="214" t="s">
        <v>274</v>
      </c>
      <c r="X3023" s="214" t="s">
        <v>3172</v>
      </c>
      <c r="Y3023" s="220">
        <v>3</v>
      </c>
    </row>
    <row r="3024" spans="23:25" x14ac:dyDescent="0.25">
      <c r="W3024" s="214" t="s">
        <v>274</v>
      </c>
      <c r="X3024" s="214" t="s">
        <v>3173</v>
      </c>
      <c r="Y3024" s="220">
        <v>4</v>
      </c>
    </row>
    <row r="3025" spans="23:25" x14ac:dyDescent="0.25">
      <c r="W3025" s="214" t="s">
        <v>274</v>
      </c>
      <c r="X3025" s="214" t="s">
        <v>3174</v>
      </c>
      <c r="Y3025" s="220">
        <v>3</v>
      </c>
    </row>
    <row r="3026" spans="23:25" x14ac:dyDescent="0.25">
      <c r="W3026" s="214" t="s">
        <v>244</v>
      </c>
      <c r="X3026" s="214" t="s">
        <v>3175</v>
      </c>
      <c r="Y3026" s="220">
        <v>8</v>
      </c>
    </row>
    <row r="3027" spans="23:25" x14ac:dyDescent="0.25">
      <c r="W3027" s="214" t="s">
        <v>239</v>
      </c>
      <c r="X3027" s="214" t="s">
        <v>1446</v>
      </c>
      <c r="Y3027" s="220">
        <v>2</v>
      </c>
    </row>
    <row r="3028" spans="23:25" x14ac:dyDescent="0.25">
      <c r="W3028" s="214" t="s">
        <v>274</v>
      </c>
      <c r="X3028" s="214" t="s">
        <v>3176</v>
      </c>
      <c r="Y3028" s="220">
        <v>3</v>
      </c>
    </row>
    <row r="3029" spans="23:25" x14ac:dyDescent="0.25">
      <c r="W3029" s="214" t="s">
        <v>252</v>
      </c>
      <c r="X3029" s="214" t="s">
        <v>3177</v>
      </c>
      <c r="Y3029" s="220">
        <v>5</v>
      </c>
    </row>
    <row r="3030" spans="23:25" x14ac:dyDescent="0.25">
      <c r="W3030" s="214" t="s">
        <v>239</v>
      </c>
      <c r="X3030" s="214" t="s">
        <v>3178</v>
      </c>
      <c r="Y3030" s="220">
        <v>3</v>
      </c>
    </row>
    <row r="3031" spans="23:25" x14ac:dyDescent="0.25">
      <c r="W3031" s="214" t="s">
        <v>239</v>
      </c>
      <c r="X3031" s="214" t="s">
        <v>3179</v>
      </c>
      <c r="Y3031" s="220">
        <v>3</v>
      </c>
    </row>
    <row r="3032" spans="23:25" x14ac:dyDescent="0.25">
      <c r="W3032" s="214" t="s">
        <v>1740</v>
      </c>
      <c r="X3032" s="214" t="s">
        <v>3180</v>
      </c>
      <c r="Y3032" s="220">
        <v>6</v>
      </c>
    </row>
    <row r="3033" spans="23:25" x14ac:dyDescent="0.25">
      <c r="W3033" s="214" t="s">
        <v>274</v>
      </c>
      <c r="X3033" s="214" t="s">
        <v>3181</v>
      </c>
      <c r="Y3033" s="220">
        <v>3</v>
      </c>
    </row>
    <row r="3034" spans="23:25" x14ac:dyDescent="0.25">
      <c r="W3034" s="214" t="s">
        <v>239</v>
      </c>
      <c r="X3034" s="214" t="s">
        <v>3182</v>
      </c>
      <c r="Y3034" s="220">
        <v>1</v>
      </c>
    </row>
    <row r="3035" spans="23:25" x14ac:dyDescent="0.25">
      <c r="W3035" s="214" t="s">
        <v>244</v>
      </c>
      <c r="X3035" s="214" t="s">
        <v>3183</v>
      </c>
      <c r="Y3035" s="220">
        <v>8</v>
      </c>
    </row>
    <row r="3036" spans="23:25" x14ac:dyDescent="0.25">
      <c r="W3036" s="214" t="s">
        <v>274</v>
      </c>
      <c r="X3036" s="214" t="s">
        <v>3184</v>
      </c>
      <c r="Y3036" s="220">
        <v>3</v>
      </c>
    </row>
    <row r="3037" spans="23:25" x14ac:dyDescent="0.25">
      <c r="W3037" s="214" t="s">
        <v>1978</v>
      </c>
      <c r="X3037" s="214" t="s">
        <v>3185</v>
      </c>
      <c r="Y3037" s="220">
        <v>3</v>
      </c>
    </row>
    <row r="3038" spans="23:25" x14ac:dyDescent="0.25">
      <c r="W3038" s="214" t="s">
        <v>1978</v>
      </c>
      <c r="X3038" s="214" t="s">
        <v>3186</v>
      </c>
      <c r="Y3038" s="220">
        <v>5</v>
      </c>
    </row>
    <row r="3039" spans="23:25" x14ac:dyDescent="0.25">
      <c r="W3039" s="214" t="s">
        <v>274</v>
      </c>
      <c r="X3039" s="214" t="s">
        <v>3187</v>
      </c>
      <c r="Y3039" s="220">
        <v>3</v>
      </c>
    </row>
    <row r="3040" spans="23:25" x14ac:dyDescent="0.25">
      <c r="W3040" s="214" t="s">
        <v>274</v>
      </c>
      <c r="X3040" s="214" t="s">
        <v>3188</v>
      </c>
      <c r="Y3040" s="220">
        <v>3</v>
      </c>
    </row>
    <row r="3041" spans="23:25" x14ac:dyDescent="0.25">
      <c r="W3041" s="214" t="s">
        <v>239</v>
      </c>
      <c r="X3041" s="214" t="s">
        <v>3189</v>
      </c>
      <c r="Y3041" s="220">
        <v>3</v>
      </c>
    </row>
    <row r="3042" spans="23:25" x14ac:dyDescent="0.25">
      <c r="W3042" s="214" t="s">
        <v>244</v>
      </c>
      <c r="X3042" s="214" t="s">
        <v>3190</v>
      </c>
      <c r="Y3042" s="220">
        <v>5</v>
      </c>
    </row>
    <row r="3043" spans="23:25" x14ac:dyDescent="0.25">
      <c r="W3043" s="214" t="s">
        <v>252</v>
      </c>
      <c r="X3043" s="214" t="s">
        <v>3191</v>
      </c>
      <c r="Y3043" s="220">
        <v>5</v>
      </c>
    </row>
    <row r="3044" spans="23:25" x14ac:dyDescent="0.25">
      <c r="W3044" s="214" t="s">
        <v>239</v>
      </c>
      <c r="X3044" s="214" t="s">
        <v>3192</v>
      </c>
      <c r="Y3044" s="220">
        <v>3</v>
      </c>
    </row>
    <row r="3045" spans="23:25" x14ac:dyDescent="0.25">
      <c r="W3045" s="214" t="s">
        <v>274</v>
      </c>
      <c r="X3045" s="214" t="s">
        <v>3193</v>
      </c>
      <c r="Y3045" s="220">
        <v>4</v>
      </c>
    </row>
    <row r="3046" spans="23:25" x14ac:dyDescent="0.25">
      <c r="W3046" s="214" t="s">
        <v>274</v>
      </c>
      <c r="X3046" s="214" t="s">
        <v>3194</v>
      </c>
      <c r="Y3046" s="220">
        <v>3</v>
      </c>
    </row>
    <row r="3047" spans="23:25" x14ac:dyDescent="0.25">
      <c r="W3047" s="214" t="s">
        <v>274</v>
      </c>
      <c r="X3047" s="214" t="s">
        <v>3195</v>
      </c>
      <c r="Y3047" s="220">
        <v>4</v>
      </c>
    </row>
    <row r="3048" spans="23:25" x14ac:dyDescent="0.25">
      <c r="W3048" s="214" t="s">
        <v>274</v>
      </c>
      <c r="X3048" s="214" t="s">
        <v>3196</v>
      </c>
      <c r="Y3048" s="220">
        <v>5</v>
      </c>
    </row>
    <row r="3049" spans="23:25" x14ac:dyDescent="0.25">
      <c r="W3049" s="214" t="s">
        <v>239</v>
      </c>
      <c r="X3049" s="214" t="s">
        <v>3197</v>
      </c>
      <c r="Y3049" s="220">
        <v>3</v>
      </c>
    </row>
    <row r="3050" spans="23:25" x14ac:dyDescent="0.25">
      <c r="W3050" s="214" t="s">
        <v>239</v>
      </c>
      <c r="X3050" s="214" t="s">
        <v>2264</v>
      </c>
      <c r="Y3050" s="220">
        <v>3</v>
      </c>
    </row>
    <row r="3051" spans="23:25" x14ac:dyDescent="0.25">
      <c r="W3051" s="214" t="s">
        <v>69</v>
      </c>
      <c r="X3051" s="214" t="s">
        <v>653</v>
      </c>
      <c r="Y3051" s="220">
        <v>8</v>
      </c>
    </row>
    <row r="3052" spans="23:25" x14ac:dyDescent="0.25">
      <c r="W3052" s="214" t="s">
        <v>274</v>
      </c>
      <c r="X3052" s="214" t="s">
        <v>3198</v>
      </c>
      <c r="Y3052" s="220">
        <v>6</v>
      </c>
    </row>
    <row r="3053" spans="23:25" x14ac:dyDescent="0.25">
      <c r="W3053" s="214" t="s">
        <v>258</v>
      </c>
      <c r="X3053" s="214" t="s">
        <v>3199</v>
      </c>
      <c r="Y3053" s="220">
        <v>3</v>
      </c>
    </row>
    <row r="3054" spans="23:25" x14ac:dyDescent="0.25">
      <c r="W3054" s="214" t="s">
        <v>274</v>
      </c>
      <c r="X3054" s="214" t="s">
        <v>3200</v>
      </c>
      <c r="Y3054" s="220">
        <v>3</v>
      </c>
    </row>
    <row r="3055" spans="23:25" x14ac:dyDescent="0.25">
      <c r="W3055" s="214" t="s">
        <v>274</v>
      </c>
      <c r="X3055" s="214" t="s">
        <v>3201</v>
      </c>
      <c r="Y3055" s="220">
        <v>4</v>
      </c>
    </row>
    <row r="3056" spans="23:25" x14ac:dyDescent="0.25">
      <c r="W3056" s="214" t="s">
        <v>274</v>
      </c>
      <c r="X3056" s="214" t="s">
        <v>3202</v>
      </c>
      <c r="Y3056" s="220">
        <v>3</v>
      </c>
    </row>
    <row r="3057" spans="23:25" x14ac:dyDescent="0.25">
      <c r="W3057" s="214" t="s">
        <v>239</v>
      </c>
      <c r="X3057" s="214" t="s">
        <v>3203</v>
      </c>
      <c r="Y3057" s="220">
        <v>2</v>
      </c>
    </row>
    <row r="3058" spans="23:25" x14ac:dyDescent="0.25">
      <c r="W3058" s="214" t="s">
        <v>274</v>
      </c>
      <c r="X3058" s="214" t="s">
        <v>3204</v>
      </c>
      <c r="Y3058" s="220">
        <v>4</v>
      </c>
    </row>
    <row r="3059" spans="23:25" x14ac:dyDescent="0.25">
      <c r="W3059" s="214" t="s">
        <v>239</v>
      </c>
      <c r="X3059" s="214" t="s">
        <v>3205</v>
      </c>
      <c r="Y3059" s="220">
        <v>3</v>
      </c>
    </row>
    <row r="3060" spans="23:25" x14ac:dyDescent="0.25">
      <c r="W3060" s="214" t="s">
        <v>274</v>
      </c>
      <c r="X3060" s="214" t="s">
        <v>3206</v>
      </c>
      <c r="Y3060" s="220">
        <v>2</v>
      </c>
    </row>
    <row r="3061" spans="23:25" x14ac:dyDescent="0.25">
      <c r="W3061" s="214" t="s">
        <v>274</v>
      </c>
      <c r="X3061" s="214" t="s">
        <v>3207</v>
      </c>
      <c r="Y3061" s="220">
        <v>3</v>
      </c>
    </row>
    <row r="3062" spans="23:25" x14ac:dyDescent="0.25">
      <c r="W3062" s="214" t="s">
        <v>252</v>
      </c>
      <c r="X3062" s="214" t="s">
        <v>3208</v>
      </c>
      <c r="Y3062" s="220">
        <v>5</v>
      </c>
    </row>
    <row r="3063" spans="23:25" x14ac:dyDescent="0.25">
      <c r="W3063" s="214" t="s">
        <v>239</v>
      </c>
      <c r="X3063" s="214" t="s">
        <v>1407</v>
      </c>
      <c r="Y3063" s="220">
        <v>4</v>
      </c>
    </row>
    <row r="3064" spans="23:25" x14ac:dyDescent="0.25">
      <c r="W3064" s="214" t="s">
        <v>239</v>
      </c>
      <c r="X3064" s="214" t="s">
        <v>1166</v>
      </c>
      <c r="Y3064" s="220">
        <v>3</v>
      </c>
    </row>
    <row r="3065" spans="23:25" x14ac:dyDescent="0.25">
      <c r="W3065" s="214" t="s">
        <v>274</v>
      </c>
      <c r="X3065" s="214" t="s">
        <v>3209</v>
      </c>
      <c r="Y3065" s="220">
        <v>2</v>
      </c>
    </row>
    <row r="3066" spans="23:25" x14ac:dyDescent="0.25">
      <c r="W3066" s="214" t="s">
        <v>252</v>
      </c>
      <c r="X3066" s="214" t="s">
        <v>3210</v>
      </c>
      <c r="Y3066" s="220">
        <v>3</v>
      </c>
    </row>
    <row r="3067" spans="23:25" x14ac:dyDescent="0.25">
      <c r="W3067" s="214" t="s">
        <v>239</v>
      </c>
      <c r="X3067" s="214" t="s">
        <v>3211</v>
      </c>
      <c r="Y3067" s="220">
        <v>2</v>
      </c>
    </row>
    <row r="3068" spans="23:25" x14ac:dyDescent="0.25">
      <c r="W3068" s="214" t="s">
        <v>239</v>
      </c>
      <c r="X3068" s="214" t="s">
        <v>3212</v>
      </c>
      <c r="Y3068" s="220">
        <v>2</v>
      </c>
    </row>
    <row r="3069" spans="23:25" x14ac:dyDescent="0.25">
      <c r="W3069" s="214" t="s">
        <v>274</v>
      </c>
      <c r="X3069" s="214" t="s">
        <v>3213</v>
      </c>
      <c r="Y3069" s="220">
        <v>3</v>
      </c>
    </row>
    <row r="3070" spans="23:25" x14ac:dyDescent="0.25">
      <c r="W3070" s="214" t="s">
        <v>274</v>
      </c>
      <c r="X3070" s="214" t="s">
        <v>3214</v>
      </c>
      <c r="Y3070" s="220">
        <v>4</v>
      </c>
    </row>
    <row r="3071" spans="23:25" x14ac:dyDescent="0.25">
      <c r="W3071" s="214" t="s">
        <v>258</v>
      </c>
      <c r="X3071" s="214" t="s">
        <v>3215</v>
      </c>
      <c r="Y3071" s="220">
        <v>3</v>
      </c>
    </row>
    <row r="3072" spans="23:25" x14ac:dyDescent="0.25">
      <c r="W3072" s="214" t="s">
        <v>274</v>
      </c>
      <c r="X3072" s="214" t="s">
        <v>3216</v>
      </c>
      <c r="Y3072" s="220">
        <v>3</v>
      </c>
    </row>
    <row r="3073" spans="23:25" x14ac:dyDescent="0.25">
      <c r="W3073" s="214" t="s">
        <v>1978</v>
      </c>
      <c r="X3073" s="214" t="s">
        <v>3217</v>
      </c>
      <c r="Y3073" s="220">
        <v>5</v>
      </c>
    </row>
    <row r="3074" spans="23:25" x14ac:dyDescent="0.25">
      <c r="W3074" s="214" t="s">
        <v>232</v>
      </c>
      <c r="X3074" s="214" t="s">
        <v>3218</v>
      </c>
      <c r="Y3074" s="220">
        <v>2</v>
      </c>
    </row>
    <row r="3075" spans="23:25" x14ac:dyDescent="0.25">
      <c r="W3075" s="214" t="s">
        <v>274</v>
      </c>
      <c r="X3075" s="214" t="s">
        <v>3219</v>
      </c>
      <c r="Y3075" s="220">
        <v>3</v>
      </c>
    </row>
    <row r="3076" spans="23:25" x14ac:dyDescent="0.25">
      <c r="W3076" s="214" t="s">
        <v>274</v>
      </c>
      <c r="X3076" s="214" t="s">
        <v>3220</v>
      </c>
      <c r="Y3076" s="220">
        <v>3</v>
      </c>
    </row>
    <row r="3077" spans="23:25" x14ac:dyDescent="0.25">
      <c r="W3077" s="214" t="s">
        <v>274</v>
      </c>
      <c r="X3077" s="214" t="s">
        <v>3221</v>
      </c>
      <c r="Y3077" s="220">
        <v>3</v>
      </c>
    </row>
    <row r="3078" spans="23:25" x14ac:dyDescent="0.25">
      <c r="W3078" s="214" t="s">
        <v>1978</v>
      </c>
      <c r="X3078" s="214" t="s">
        <v>5896</v>
      </c>
      <c r="Y3078" s="220">
        <v>3</v>
      </c>
    </row>
    <row r="3079" spans="23:25" x14ac:dyDescent="0.25">
      <c r="W3079" s="214" t="s">
        <v>274</v>
      </c>
      <c r="X3079" s="214" t="s">
        <v>3222</v>
      </c>
      <c r="Y3079" s="220">
        <v>3</v>
      </c>
    </row>
    <row r="3080" spans="23:25" x14ac:dyDescent="0.25">
      <c r="W3080" s="214" t="s">
        <v>274</v>
      </c>
      <c r="X3080" s="214" t="s">
        <v>3223</v>
      </c>
      <c r="Y3080" s="220">
        <v>3</v>
      </c>
    </row>
    <row r="3081" spans="23:25" x14ac:dyDescent="0.25">
      <c r="W3081" s="214" t="s">
        <v>244</v>
      </c>
      <c r="X3081" s="214" t="s">
        <v>3224</v>
      </c>
      <c r="Y3081" s="220">
        <v>5</v>
      </c>
    </row>
    <row r="3082" spans="23:25" x14ac:dyDescent="0.25">
      <c r="W3082" s="214" t="s">
        <v>274</v>
      </c>
      <c r="X3082" s="214" t="s">
        <v>3225</v>
      </c>
      <c r="Y3082" s="220">
        <v>3</v>
      </c>
    </row>
    <row r="3083" spans="23:25" x14ac:dyDescent="0.25">
      <c r="W3083" s="214" t="s">
        <v>252</v>
      </c>
      <c r="X3083" s="214" t="s">
        <v>3226</v>
      </c>
      <c r="Y3083" s="220">
        <v>3</v>
      </c>
    </row>
    <row r="3084" spans="23:25" x14ac:dyDescent="0.25">
      <c r="W3084" s="214" t="s">
        <v>239</v>
      </c>
      <c r="X3084" s="214" t="s">
        <v>3227</v>
      </c>
      <c r="Y3084" s="220">
        <v>2</v>
      </c>
    </row>
    <row r="3085" spans="23:25" x14ac:dyDescent="0.25">
      <c r="W3085" s="214" t="s">
        <v>239</v>
      </c>
      <c r="X3085" s="214" t="s">
        <v>3228</v>
      </c>
      <c r="Y3085" s="220">
        <v>3</v>
      </c>
    </row>
    <row r="3086" spans="23:25" x14ac:dyDescent="0.25">
      <c r="W3086" s="214" t="s">
        <v>274</v>
      </c>
      <c r="X3086" s="214" t="s">
        <v>3229</v>
      </c>
      <c r="Y3086" s="220">
        <v>3</v>
      </c>
    </row>
    <row r="3087" spans="23:25" x14ac:dyDescent="0.25">
      <c r="W3087" s="214" t="s">
        <v>1978</v>
      </c>
      <c r="X3087" s="214" t="s">
        <v>3230</v>
      </c>
      <c r="Y3087" s="220">
        <v>5</v>
      </c>
    </row>
    <row r="3088" spans="23:25" x14ac:dyDescent="0.25">
      <c r="W3088" s="214" t="s">
        <v>398</v>
      </c>
      <c r="X3088" s="214" t="s">
        <v>3231</v>
      </c>
      <c r="Y3088" s="220">
        <v>8</v>
      </c>
    </row>
    <row r="3089" spans="23:25" x14ac:dyDescent="0.25">
      <c r="W3089" s="214" t="s">
        <v>274</v>
      </c>
      <c r="X3089" s="214" t="s">
        <v>1990</v>
      </c>
      <c r="Y3089" s="220">
        <v>6</v>
      </c>
    </row>
    <row r="3090" spans="23:25" x14ac:dyDescent="0.25">
      <c r="W3090" s="214" t="s">
        <v>274</v>
      </c>
      <c r="X3090" s="214" t="s">
        <v>3232</v>
      </c>
      <c r="Y3090" s="220">
        <v>3</v>
      </c>
    </row>
    <row r="3091" spans="23:25" x14ac:dyDescent="0.25">
      <c r="W3091" s="214" t="s">
        <v>1978</v>
      </c>
      <c r="X3091" s="214" t="s">
        <v>3233</v>
      </c>
      <c r="Y3091" s="220">
        <v>3</v>
      </c>
    </row>
    <row r="3092" spans="23:25" x14ac:dyDescent="0.25">
      <c r="W3092" s="214" t="s">
        <v>239</v>
      </c>
      <c r="X3092" s="214" t="s">
        <v>3234</v>
      </c>
      <c r="Y3092" s="220">
        <v>2</v>
      </c>
    </row>
    <row r="3093" spans="23:25" x14ac:dyDescent="0.25">
      <c r="W3093" s="214" t="s">
        <v>239</v>
      </c>
      <c r="X3093" s="214" t="s">
        <v>3235</v>
      </c>
      <c r="Y3093" s="220">
        <v>1</v>
      </c>
    </row>
    <row r="3094" spans="23:25" x14ac:dyDescent="0.25">
      <c r="W3094" s="214" t="s">
        <v>244</v>
      </c>
      <c r="X3094" s="214" t="s">
        <v>3236</v>
      </c>
      <c r="Y3094" s="220">
        <v>5</v>
      </c>
    </row>
    <row r="3095" spans="23:25" x14ac:dyDescent="0.25">
      <c r="W3095" s="214" t="s">
        <v>1978</v>
      </c>
      <c r="X3095" s="214" t="s">
        <v>3237</v>
      </c>
      <c r="Y3095" s="220">
        <v>3</v>
      </c>
    </row>
    <row r="3096" spans="23:25" x14ac:dyDescent="0.25">
      <c r="W3096" s="214" t="s">
        <v>252</v>
      </c>
      <c r="X3096" s="214" t="s">
        <v>3238</v>
      </c>
      <c r="Y3096" s="220">
        <v>5</v>
      </c>
    </row>
    <row r="3097" spans="23:25" x14ac:dyDescent="0.25">
      <c r="W3097" s="214" t="s">
        <v>252</v>
      </c>
      <c r="X3097" s="214" t="s">
        <v>3239</v>
      </c>
      <c r="Y3097" s="220">
        <v>8</v>
      </c>
    </row>
    <row r="3098" spans="23:25" x14ac:dyDescent="0.25">
      <c r="W3098" s="214" t="s">
        <v>274</v>
      </c>
      <c r="X3098" s="214" t="s">
        <v>3240</v>
      </c>
      <c r="Y3098" s="220">
        <v>3</v>
      </c>
    </row>
    <row r="3099" spans="23:25" x14ac:dyDescent="0.25">
      <c r="W3099" s="214" t="s">
        <v>244</v>
      </c>
      <c r="X3099" s="214" t="s">
        <v>3241</v>
      </c>
      <c r="Y3099" s="220">
        <v>5</v>
      </c>
    </row>
    <row r="3100" spans="23:25" x14ac:dyDescent="0.25">
      <c r="W3100" s="214" t="s">
        <v>274</v>
      </c>
      <c r="X3100" s="214" t="s">
        <v>3242</v>
      </c>
      <c r="Y3100" s="220">
        <v>3</v>
      </c>
    </row>
    <row r="3101" spans="23:25" x14ac:dyDescent="0.25">
      <c r="W3101" s="214" t="s">
        <v>398</v>
      </c>
      <c r="X3101" s="214" t="s">
        <v>3243</v>
      </c>
      <c r="Y3101" s="220">
        <v>8</v>
      </c>
    </row>
    <row r="3102" spans="23:25" x14ac:dyDescent="0.25">
      <c r="W3102" s="214" t="s">
        <v>274</v>
      </c>
      <c r="X3102" s="214" t="s">
        <v>3244</v>
      </c>
      <c r="Y3102" s="220">
        <v>3</v>
      </c>
    </row>
    <row r="3103" spans="23:25" x14ac:dyDescent="0.25">
      <c r="W3103" s="214" t="s">
        <v>239</v>
      </c>
      <c r="X3103" s="214" t="s">
        <v>3245</v>
      </c>
      <c r="Y3103" s="220">
        <v>2</v>
      </c>
    </row>
    <row r="3104" spans="23:25" x14ac:dyDescent="0.25">
      <c r="W3104" s="214" t="s">
        <v>274</v>
      </c>
      <c r="X3104" s="214" t="s">
        <v>3246</v>
      </c>
      <c r="Y3104" s="220">
        <v>5</v>
      </c>
    </row>
    <row r="3105" spans="23:25" x14ac:dyDescent="0.25">
      <c r="W3105" s="214" t="s">
        <v>274</v>
      </c>
      <c r="X3105" s="214" t="s">
        <v>3247</v>
      </c>
      <c r="Y3105" s="220">
        <v>3</v>
      </c>
    </row>
    <row r="3106" spans="23:25" x14ac:dyDescent="0.25">
      <c r="W3106" s="214" t="s">
        <v>274</v>
      </c>
      <c r="X3106" s="214" t="s">
        <v>3248</v>
      </c>
      <c r="Y3106" s="220">
        <v>3</v>
      </c>
    </row>
    <row r="3107" spans="23:25" x14ac:dyDescent="0.25">
      <c r="W3107" s="214" t="s">
        <v>274</v>
      </c>
      <c r="X3107" s="214" t="s">
        <v>3249</v>
      </c>
      <c r="Y3107" s="220">
        <v>3</v>
      </c>
    </row>
    <row r="3108" spans="23:25" x14ac:dyDescent="0.25">
      <c r="W3108" s="214" t="s">
        <v>398</v>
      </c>
      <c r="X3108" s="214" t="s">
        <v>3250</v>
      </c>
      <c r="Y3108" s="220">
        <v>8</v>
      </c>
    </row>
    <row r="3109" spans="23:25" x14ac:dyDescent="0.25">
      <c r="W3109" s="214" t="s">
        <v>1978</v>
      </c>
      <c r="X3109" s="214" t="s">
        <v>3251</v>
      </c>
      <c r="Y3109" s="220">
        <v>5</v>
      </c>
    </row>
    <row r="3110" spans="23:25" x14ac:dyDescent="0.25">
      <c r="W3110" s="214" t="s">
        <v>274</v>
      </c>
      <c r="X3110" s="214" t="s">
        <v>3252</v>
      </c>
      <c r="Y3110" s="220">
        <v>3</v>
      </c>
    </row>
    <row r="3111" spans="23:25" x14ac:dyDescent="0.25">
      <c r="W3111" s="214" t="s">
        <v>274</v>
      </c>
      <c r="X3111" s="214" t="s">
        <v>3253</v>
      </c>
      <c r="Y3111" s="220">
        <v>2</v>
      </c>
    </row>
    <row r="3112" spans="23:25" x14ac:dyDescent="0.25">
      <c r="W3112" s="214" t="s">
        <v>274</v>
      </c>
      <c r="X3112" s="214" t="s">
        <v>3254</v>
      </c>
      <c r="Y3112" s="220">
        <v>2</v>
      </c>
    </row>
    <row r="3113" spans="23:25" x14ac:dyDescent="0.25">
      <c r="W3113" s="214" t="s">
        <v>274</v>
      </c>
      <c r="X3113" s="214" t="s">
        <v>3255</v>
      </c>
      <c r="Y3113" s="220">
        <v>2</v>
      </c>
    </row>
    <row r="3114" spans="23:25" x14ac:dyDescent="0.25">
      <c r="W3114" s="214" t="s">
        <v>274</v>
      </c>
      <c r="X3114" s="214" t="s">
        <v>3256</v>
      </c>
      <c r="Y3114" s="220">
        <v>3</v>
      </c>
    </row>
    <row r="3115" spans="23:25" x14ac:dyDescent="0.25">
      <c r="W3115" s="214" t="s">
        <v>239</v>
      </c>
      <c r="X3115" s="214" t="s">
        <v>3257</v>
      </c>
      <c r="Y3115" s="220">
        <v>3</v>
      </c>
    </row>
    <row r="3116" spans="23:25" x14ac:dyDescent="0.25">
      <c r="W3116" s="214" t="s">
        <v>244</v>
      </c>
      <c r="X3116" s="214" t="s">
        <v>3258</v>
      </c>
      <c r="Y3116" s="220">
        <v>3</v>
      </c>
    </row>
    <row r="3117" spans="23:25" x14ac:dyDescent="0.25">
      <c r="W3117" s="214" t="s">
        <v>274</v>
      </c>
      <c r="X3117" s="214" t="s">
        <v>3259</v>
      </c>
      <c r="Y3117" s="220">
        <v>3</v>
      </c>
    </row>
    <row r="3118" spans="23:25" x14ac:dyDescent="0.25">
      <c r="W3118" s="214" t="s">
        <v>274</v>
      </c>
      <c r="X3118" s="214" t="s">
        <v>3260</v>
      </c>
      <c r="Y3118" s="220">
        <v>3</v>
      </c>
    </row>
    <row r="3119" spans="23:25" x14ac:dyDescent="0.25">
      <c r="W3119" s="214" t="s">
        <v>239</v>
      </c>
      <c r="X3119" s="214" t="s">
        <v>3261</v>
      </c>
      <c r="Y3119" s="220">
        <v>3</v>
      </c>
    </row>
    <row r="3120" spans="23:25" x14ac:dyDescent="0.25">
      <c r="W3120" s="214" t="s">
        <v>274</v>
      </c>
      <c r="X3120" s="214" t="s">
        <v>3262</v>
      </c>
      <c r="Y3120" s="220">
        <v>3</v>
      </c>
    </row>
    <row r="3121" spans="23:25" x14ac:dyDescent="0.25">
      <c r="W3121" s="214" t="s">
        <v>258</v>
      </c>
      <c r="X3121" s="214" t="s">
        <v>3263</v>
      </c>
      <c r="Y3121" s="220">
        <v>3</v>
      </c>
    </row>
    <row r="3122" spans="23:25" x14ac:dyDescent="0.25">
      <c r="W3122" s="214" t="s">
        <v>1978</v>
      </c>
      <c r="X3122" s="214" t="s">
        <v>3264</v>
      </c>
      <c r="Y3122" s="220">
        <v>3</v>
      </c>
    </row>
    <row r="3123" spans="23:25" x14ac:dyDescent="0.25">
      <c r="W3123" s="214" t="s">
        <v>398</v>
      </c>
      <c r="X3123" s="214" t="s">
        <v>3265</v>
      </c>
      <c r="Y3123" s="220">
        <v>5</v>
      </c>
    </row>
    <row r="3124" spans="23:25" x14ac:dyDescent="0.25">
      <c r="W3124" s="214" t="s">
        <v>1978</v>
      </c>
      <c r="X3124" s="214" t="s">
        <v>3266</v>
      </c>
      <c r="Y3124" s="220">
        <v>5</v>
      </c>
    </row>
    <row r="3125" spans="23:25" x14ac:dyDescent="0.25">
      <c r="W3125" s="214" t="s">
        <v>274</v>
      </c>
      <c r="X3125" s="214" t="s">
        <v>3267</v>
      </c>
      <c r="Y3125" s="220">
        <v>3</v>
      </c>
    </row>
    <row r="3126" spans="23:25" x14ac:dyDescent="0.25">
      <c r="W3126" s="214" t="s">
        <v>1978</v>
      </c>
      <c r="X3126" s="214" t="s">
        <v>3268</v>
      </c>
      <c r="Y3126" s="220">
        <v>3</v>
      </c>
    </row>
    <row r="3127" spans="23:25" x14ac:dyDescent="0.25">
      <c r="W3127" s="214" t="s">
        <v>274</v>
      </c>
      <c r="X3127" s="214" t="s">
        <v>3269</v>
      </c>
      <c r="Y3127" s="220">
        <v>2</v>
      </c>
    </row>
    <row r="3128" spans="23:25" x14ac:dyDescent="0.25">
      <c r="W3128" s="214" t="s">
        <v>1978</v>
      </c>
      <c r="X3128" s="214" t="s">
        <v>3270</v>
      </c>
      <c r="Y3128" s="220">
        <v>3</v>
      </c>
    </row>
    <row r="3129" spans="23:25" x14ac:dyDescent="0.25">
      <c r="W3129" s="214" t="s">
        <v>398</v>
      </c>
      <c r="X3129" s="214" t="s">
        <v>507</v>
      </c>
      <c r="Y3129" s="220">
        <v>8</v>
      </c>
    </row>
    <row r="3130" spans="23:25" x14ac:dyDescent="0.25">
      <c r="W3130" s="214" t="s">
        <v>244</v>
      </c>
      <c r="X3130" s="214" t="s">
        <v>3271</v>
      </c>
      <c r="Y3130" s="220">
        <v>5</v>
      </c>
    </row>
    <row r="3131" spans="23:25" x14ac:dyDescent="0.25">
      <c r="W3131" s="214" t="s">
        <v>274</v>
      </c>
      <c r="X3131" s="214" t="s">
        <v>3272</v>
      </c>
      <c r="Y3131" s="220">
        <v>3</v>
      </c>
    </row>
    <row r="3132" spans="23:25" x14ac:dyDescent="0.25">
      <c r="W3132" s="214" t="s">
        <v>274</v>
      </c>
      <c r="X3132" s="214" t="s">
        <v>3273</v>
      </c>
      <c r="Y3132" s="220">
        <v>3</v>
      </c>
    </row>
    <row r="3133" spans="23:25" x14ac:dyDescent="0.25">
      <c r="W3133" s="214" t="s">
        <v>258</v>
      </c>
      <c r="X3133" s="214" t="s">
        <v>3274</v>
      </c>
      <c r="Y3133" s="220">
        <v>6</v>
      </c>
    </row>
    <row r="3134" spans="23:25" x14ac:dyDescent="0.25">
      <c r="W3134" s="214" t="s">
        <v>274</v>
      </c>
      <c r="X3134" s="214" t="s">
        <v>3275</v>
      </c>
      <c r="Y3134" s="220">
        <v>2</v>
      </c>
    </row>
    <row r="3135" spans="23:25" x14ac:dyDescent="0.25">
      <c r="W3135" s="214" t="s">
        <v>274</v>
      </c>
      <c r="X3135" s="214" t="s">
        <v>3276</v>
      </c>
      <c r="Y3135" s="220">
        <v>5</v>
      </c>
    </row>
    <row r="3136" spans="23:25" x14ac:dyDescent="0.25">
      <c r="W3136" s="214" t="s">
        <v>274</v>
      </c>
      <c r="X3136" s="214" t="s">
        <v>3277</v>
      </c>
      <c r="Y3136" s="220">
        <v>3</v>
      </c>
    </row>
    <row r="3137" spans="23:25" x14ac:dyDescent="0.25">
      <c r="W3137" s="214" t="s">
        <v>274</v>
      </c>
      <c r="X3137" s="214" t="s">
        <v>3278</v>
      </c>
      <c r="Y3137" s="220">
        <v>5</v>
      </c>
    </row>
    <row r="3138" spans="23:25" x14ac:dyDescent="0.25">
      <c r="W3138" s="214" t="s">
        <v>244</v>
      </c>
      <c r="X3138" s="214" t="s">
        <v>3279</v>
      </c>
      <c r="Y3138" s="220">
        <v>5</v>
      </c>
    </row>
    <row r="3139" spans="23:25" x14ac:dyDescent="0.25">
      <c r="W3139" s="214" t="s">
        <v>274</v>
      </c>
      <c r="X3139" s="214" t="s">
        <v>3280</v>
      </c>
      <c r="Y3139" s="220">
        <v>3</v>
      </c>
    </row>
    <row r="3140" spans="23:25" x14ac:dyDescent="0.25">
      <c r="W3140" s="214" t="s">
        <v>274</v>
      </c>
      <c r="X3140" s="214" t="s">
        <v>3281</v>
      </c>
      <c r="Y3140" s="220">
        <v>3</v>
      </c>
    </row>
    <row r="3141" spans="23:25" x14ac:dyDescent="0.25">
      <c r="W3141" s="214" t="s">
        <v>274</v>
      </c>
      <c r="X3141" s="214" t="s">
        <v>3282</v>
      </c>
      <c r="Y3141" s="220">
        <v>2</v>
      </c>
    </row>
    <row r="3142" spans="23:25" x14ac:dyDescent="0.25">
      <c r="W3142" s="214" t="s">
        <v>274</v>
      </c>
      <c r="X3142" s="214" t="s">
        <v>3283</v>
      </c>
      <c r="Y3142" s="220">
        <v>2</v>
      </c>
    </row>
    <row r="3143" spans="23:25" x14ac:dyDescent="0.25">
      <c r="W3143" s="214" t="s">
        <v>274</v>
      </c>
      <c r="X3143" s="214" t="s">
        <v>3284</v>
      </c>
      <c r="Y3143" s="220">
        <v>3</v>
      </c>
    </row>
    <row r="3144" spans="23:25" x14ac:dyDescent="0.25">
      <c r="W3144" s="214" t="s">
        <v>398</v>
      </c>
      <c r="X3144" s="214" t="s">
        <v>3285</v>
      </c>
      <c r="Y3144" s="220">
        <v>8</v>
      </c>
    </row>
    <row r="3145" spans="23:25" x14ac:dyDescent="0.25">
      <c r="W3145" s="214" t="s">
        <v>252</v>
      </c>
      <c r="X3145" s="214" t="s">
        <v>3286</v>
      </c>
      <c r="Y3145" s="220">
        <v>3</v>
      </c>
    </row>
    <row r="3146" spans="23:25" x14ac:dyDescent="0.25">
      <c r="W3146" s="214" t="s">
        <v>244</v>
      </c>
      <c r="X3146" s="214" t="s">
        <v>3287</v>
      </c>
      <c r="Y3146" s="220">
        <v>3</v>
      </c>
    </row>
    <row r="3147" spans="23:25" x14ac:dyDescent="0.25">
      <c r="W3147" s="214" t="s">
        <v>274</v>
      </c>
      <c r="X3147" s="214" t="s">
        <v>3288</v>
      </c>
      <c r="Y3147" s="220">
        <v>3</v>
      </c>
    </row>
    <row r="3148" spans="23:25" x14ac:dyDescent="0.25">
      <c r="W3148" s="214" t="s">
        <v>274</v>
      </c>
      <c r="X3148" s="214" t="s">
        <v>3289</v>
      </c>
      <c r="Y3148" s="220">
        <v>3</v>
      </c>
    </row>
    <row r="3149" spans="23:25" x14ac:dyDescent="0.25">
      <c r="W3149" s="214" t="s">
        <v>274</v>
      </c>
      <c r="X3149" s="214" t="s">
        <v>3290</v>
      </c>
      <c r="Y3149" s="220">
        <v>3</v>
      </c>
    </row>
    <row r="3150" spans="23:25" x14ac:dyDescent="0.25">
      <c r="W3150" s="214" t="s">
        <v>239</v>
      </c>
      <c r="X3150" s="214" t="s">
        <v>3291</v>
      </c>
      <c r="Y3150" s="220">
        <v>3</v>
      </c>
    </row>
    <row r="3151" spans="23:25" x14ac:dyDescent="0.25">
      <c r="W3151" s="214" t="s">
        <v>274</v>
      </c>
      <c r="X3151" s="214" t="s">
        <v>3292</v>
      </c>
      <c r="Y3151" s="220">
        <v>3</v>
      </c>
    </row>
    <row r="3152" spans="23:25" x14ac:dyDescent="0.25">
      <c r="W3152" s="214" t="s">
        <v>258</v>
      </c>
      <c r="X3152" s="214" t="s">
        <v>3293</v>
      </c>
      <c r="Y3152" s="220">
        <v>5</v>
      </c>
    </row>
    <row r="3153" spans="23:25" x14ac:dyDescent="0.25">
      <c r="W3153" s="214" t="s">
        <v>258</v>
      </c>
      <c r="X3153" s="214" t="s">
        <v>3294</v>
      </c>
      <c r="Y3153" s="220">
        <v>5</v>
      </c>
    </row>
    <row r="3154" spans="23:25" x14ac:dyDescent="0.25">
      <c r="W3154" s="214" t="s">
        <v>398</v>
      </c>
      <c r="X3154" s="214" t="s">
        <v>3295</v>
      </c>
      <c r="Y3154" s="220">
        <v>8</v>
      </c>
    </row>
    <row r="3155" spans="23:25" x14ac:dyDescent="0.25">
      <c r="W3155" s="214" t="s">
        <v>274</v>
      </c>
      <c r="X3155" s="214" t="s">
        <v>3296</v>
      </c>
      <c r="Y3155" s="220">
        <v>3</v>
      </c>
    </row>
    <row r="3156" spans="23:25" x14ac:dyDescent="0.25">
      <c r="W3156" s="214" t="s">
        <v>274</v>
      </c>
      <c r="X3156" s="214" t="s">
        <v>3297</v>
      </c>
      <c r="Y3156" s="220">
        <v>2</v>
      </c>
    </row>
    <row r="3157" spans="23:25" x14ac:dyDescent="0.25">
      <c r="W3157" s="214" t="s">
        <v>274</v>
      </c>
      <c r="X3157" s="214" t="s">
        <v>3298</v>
      </c>
      <c r="Y3157" s="220">
        <v>3</v>
      </c>
    </row>
    <row r="3158" spans="23:25" x14ac:dyDescent="0.25">
      <c r="W3158" s="214" t="s">
        <v>274</v>
      </c>
      <c r="X3158" s="214" t="s">
        <v>3299</v>
      </c>
      <c r="Y3158" s="220">
        <v>3</v>
      </c>
    </row>
    <row r="3159" spans="23:25" x14ac:dyDescent="0.25">
      <c r="W3159" s="214" t="s">
        <v>274</v>
      </c>
      <c r="X3159" s="214" t="s">
        <v>3300</v>
      </c>
      <c r="Y3159" s="220">
        <v>2</v>
      </c>
    </row>
    <row r="3160" spans="23:25" x14ac:dyDescent="0.25">
      <c r="W3160" s="214" t="s">
        <v>274</v>
      </c>
      <c r="X3160" s="214" t="s">
        <v>3301</v>
      </c>
      <c r="Y3160" s="220">
        <v>2</v>
      </c>
    </row>
    <row r="3161" spans="23:25" x14ac:dyDescent="0.25">
      <c r="W3161" s="214" t="s">
        <v>252</v>
      </c>
      <c r="X3161" s="214" t="s">
        <v>3302</v>
      </c>
      <c r="Y3161" s="220">
        <v>3</v>
      </c>
    </row>
    <row r="3162" spans="23:25" x14ac:dyDescent="0.25">
      <c r="W3162" s="214" t="s">
        <v>398</v>
      </c>
      <c r="X3162" s="214" t="s">
        <v>3303</v>
      </c>
      <c r="Y3162" s="220">
        <v>8</v>
      </c>
    </row>
    <row r="3163" spans="23:25" x14ac:dyDescent="0.25">
      <c r="W3163" s="214" t="s">
        <v>244</v>
      </c>
      <c r="X3163" s="214" t="s">
        <v>3304</v>
      </c>
      <c r="Y3163" s="220">
        <v>3</v>
      </c>
    </row>
    <row r="3164" spans="23:25" x14ac:dyDescent="0.25">
      <c r="W3164" s="214" t="s">
        <v>1978</v>
      </c>
      <c r="X3164" s="214" t="s">
        <v>3305</v>
      </c>
      <c r="Y3164" s="220">
        <v>5</v>
      </c>
    </row>
    <row r="3165" spans="23:25" x14ac:dyDescent="0.25">
      <c r="W3165" s="214" t="s">
        <v>274</v>
      </c>
      <c r="X3165" s="214" t="s">
        <v>3306</v>
      </c>
      <c r="Y3165" s="220">
        <v>3</v>
      </c>
    </row>
    <row r="3166" spans="23:25" x14ac:dyDescent="0.25">
      <c r="W3166" s="214" t="s">
        <v>398</v>
      </c>
      <c r="X3166" s="214" t="s">
        <v>3307</v>
      </c>
      <c r="Y3166" s="220">
        <v>8</v>
      </c>
    </row>
    <row r="3167" spans="23:25" x14ac:dyDescent="0.25">
      <c r="W3167" s="214" t="s">
        <v>244</v>
      </c>
      <c r="X3167" s="214" t="s">
        <v>3308</v>
      </c>
      <c r="Y3167" s="220">
        <v>3</v>
      </c>
    </row>
    <row r="3168" spans="23:25" x14ac:dyDescent="0.25">
      <c r="W3168" s="214" t="s">
        <v>274</v>
      </c>
      <c r="X3168" s="214" t="s">
        <v>3309</v>
      </c>
      <c r="Y3168" s="220">
        <v>3</v>
      </c>
    </row>
    <row r="3169" spans="23:25" x14ac:dyDescent="0.25">
      <c r="W3169" s="214" t="s">
        <v>258</v>
      </c>
      <c r="X3169" s="214" t="s">
        <v>1919</v>
      </c>
      <c r="Y3169" s="220">
        <v>3</v>
      </c>
    </row>
    <row r="3170" spans="23:25" x14ac:dyDescent="0.25">
      <c r="W3170" s="214" t="s">
        <v>398</v>
      </c>
      <c r="X3170" s="214" t="s">
        <v>3310</v>
      </c>
      <c r="Y3170" s="220">
        <v>8</v>
      </c>
    </row>
    <row r="3171" spans="23:25" x14ac:dyDescent="0.25">
      <c r="W3171" s="214" t="s">
        <v>252</v>
      </c>
      <c r="X3171" s="214" t="s">
        <v>3311</v>
      </c>
      <c r="Y3171" s="220">
        <v>3</v>
      </c>
    </row>
    <row r="3172" spans="23:25" x14ac:dyDescent="0.25">
      <c r="W3172" s="214" t="s">
        <v>1978</v>
      </c>
      <c r="X3172" s="214" t="s">
        <v>3312</v>
      </c>
      <c r="Y3172" s="220">
        <v>3</v>
      </c>
    </row>
    <row r="3173" spans="23:25" x14ac:dyDescent="0.25">
      <c r="W3173" s="214" t="s">
        <v>258</v>
      </c>
      <c r="X3173" s="214" t="s">
        <v>3313</v>
      </c>
      <c r="Y3173" s="220">
        <v>4</v>
      </c>
    </row>
    <row r="3174" spans="23:25" x14ac:dyDescent="0.25">
      <c r="W3174" s="214" t="s">
        <v>244</v>
      </c>
      <c r="X3174" s="214" t="s">
        <v>3314</v>
      </c>
      <c r="Y3174" s="220">
        <v>3</v>
      </c>
    </row>
    <row r="3175" spans="23:25" x14ac:dyDescent="0.25">
      <c r="W3175" s="214" t="s">
        <v>274</v>
      </c>
      <c r="X3175" s="214" t="s">
        <v>3315</v>
      </c>
      <c r="Y3175" s="220">
        <v>3</v>
      </c>
    </row>
    <row r="3176" spans="23:25" x14ac:dyDescent="0.25">
      <c r="W3176" s="214" t="s">
        <v>274</v>
      </c>
      <c r="X3176" s="214" t="s">
        <v>3316</v>
      </c>
      <c r="Y3176" s="220">
        <v>3</v>
      </c>
    </row>
    <row r="3177" spans="23:25" x14ac:dyDescent="0.25">
      <c r="W3177" s="214" t="s">
        <v>398</v>
      </c>
      <c r="X3177" s="214" t="s">
        <v>3317</v>
      </c>
      <c r="Y3177" s="220">
        <v>8</v>
      </c>
    </row>
    <row r="3178" spans="23:25" x14ac:dyDescent="0.25">
      <c r="W3178" s="214" t="s">
        <v>252</v>
      </c>
      <c r="X3178" s="214" t="s">
        <v>3318</v>
      </c>
      <c r="Y3178" s="220">
        <v>3</v>
      </c>
    </row>
    <row r="3179" spans="23:25" x14ac:dyDescent="0.25">
      <c r="W3179" s="214" t="s">
        <v>258</v>
      </c>
      <c r="X3179" s="214" t="s">
        <v>3319</v>
      </c>
      <c r="Y3179" s="220">
        <v>4</v>
      </c>
    </row>
    <row r="3180" spans="23:25" x14ac:dyDescent="0.25">
      <c r="W3180" s="214" t="s">
        <v>1978</v>
      </c>
      <c r="X3180" s="214" t="s">
        <v>3320</v>
      </c>
      <c r="Y3180" s="220">
        <v>3</v>
      </c>
    </row>
    <row r="3181" spans="23:25" x14ac:dyDescent="0.25">
      <c r="W3181" s="214" t="s">
        <v>1978</v>
      </c>
      <c r="X3181" s="214" t="s">
        <v>3321</v>
      </c>
      <c r="Y3181" s="220">
        <v>3</v>
      </c>
    </row>
    <row r="3182" spans="23:25" x14ac:dyDescent="0.25">
      <c r="W3182" s="214" t="s">
        <v>398</v>
      </c>
      <c r="X3182" s="214" t="s">
        <v>3322</v>
      </c>
      <c r="Y3182" s="220">
        <v>8</v>
      </c>
    </row>
    <row r="3183" spans="23:25" x14ac:dyDescent="0.25">
      <c r="W3183" s="214" t="s">
        <v>258</v>
      </c>
      <c r="X3183" s="214" t="s">
        <v>3323</v>
      </c>
      <c r="Y3183" s="220">
        <v>6</v>
      </c>
    </row>
    <row r="3184" spans="23:25" x14ac:dyDescent="0.25">
      <c r="W3184" s="214" t="s">
        <v>258</v>
      </c>
      <c r="X3184" s="214" t="s">
        <v>3324</v>
      </c>
      <c r="Y3184" s="220">
        <v>3</v>
      </c>
    </row>
    <row r="3185" spans="23:25" x14ac:dyDescent="0.25">
      <c r="W3185" s="214" t="s">
        <v>398</v>
      </c>
      <c r="X3185" s="214" t="s">
        <v>3325</v>
      </c>
      <c r="Y3185" s="220">
        <v>8</v>
      </c>
    </row>
    <row r="3186" spans="23:25" x14ac:dyDescent="0.25">
      <c r="W3186" s="214" t="s">
        <v>398</v>
      </c>
      <c r="X3186" s="214" t="s">
        <v>3326</v>
      </c>
      <c r="Y3186" s="220">
        <v>8</v>
      </c>
    </row>
    <row r="3187" spans="23:25" x14ac:dyDescent="0.25">
      <c r="W3187" s="214" t="s">
        <v>69</v>
      </c>
      <c r="X3187" s="214" t="s">
        <v>3327</v>
      </c>
      <c r="Y3187" s="220">
        <v>8</v>
      </c>
    </row>
    <row r="3188" spans="23:25" x14ac:dyDescent="0.25">
      <c r="W3188" s="214" t="s">
        <v>258</v>
      </c>
      <c r="X3188" s="214" t="s">
        <v>3328</v>
      </c>
      <c r="Y3188" s="220">
        <v>6</v>
      </c>
    </row>
    <row r="3189" spans="23:25" x14ac:dyDescent="0.25">
      <c r="W3189" s="214" t="s">
        <v>274</v>
      </c>
      <c r="X3189" s="214" t="s">
        <v>3329</v>
      </c>
      <c r="Y3189" s="220">
        <v>3</v>
      </c>
    </row>
    <row r="3190" spans="23:25" x14ac:dyDescent="0.25">
      <c r="W3190" s="214" t="s">
        <v>258</v>
      </c>
      <c r="X3190" s="214" t="s">
        <v>3330</v>
      </c>
      <c r="Y3190" s="220">
        <v>4</v>
      </c>
    </row>
    <row r="3191" spans="23:25" x14ac:dyDescent="0.25">
      <c r="W3191" s="214" t="s">
        <v>398</v>
      </c>
      <c r="X3191" s="214" t="s">
        <v>3331</v>
      </c>
      <c r="Y3191" s="220">
        <v>8</v>
      </c>
    </row>
    <row r="3192" spans="23:25" x14ac:dyDescent="0.25">
      <c r="W3192" s="214" t="s">
        <v>252</v>
      </c>
      <c r="X3192" s="214" t="s">
        <v>5897</v>
      </c>
      <c r="Y3192" s="220">
        <v>3</v>
      </c>
    </row>
    <row r="3193" spans="23:25" x14ac:dyDescent="0.25">
      <c r="W3193" s="214" t="s">
        <v>239</v>
      </c>
      <c r="X3193" s="214" t="s">
        <v>3332</v>
      </c>
      <c r="Y3193" s="220">
        <v>3</v>
      </c>
    </row>
    <row r="3194" spans="23:25" x14ac:dyDescent="0.25">
      <c r="W3194" s="214" t="s">
        <v>398</v>
      </c>
      <c r="X3194" s="214" t="s">
        <v>3333</v>
      </c>
      <c r="Y3194" s="220">
        <v>8</v>
      </c>
    </row>
    <row r="3195" spans="23:25" x14ac:dyDescent="0.25">
      <c r="W3195" s="214" t="s">
        <v>274</v>
      </c>
      <c r="X3195" s="214" t="s">
        <v>3334</v>
      </c>
      <c r="Y3195" s="220">
        <v>3</v>
      </c>
    </row>
    <row r="3196" spans="23:25" x14ac:dyDescent="0.25">
      <c r="W3196" s="214" t="s">
        <v>1978</v>
      </c>
      <c r="X3196" s="214" t="s">
        <v>3335</v>
      </c>
      <c r="Y3196" s="220">
        <v>3</v>
      </c>
    </row>
    <row r="3197" spans="23:25" x14ac:dyDescent="0.25">
      <c r="W3197" s="214" t="s">
        <v>274</v>
      </c>
      <c r="X3197" s="214" t="s">
        <v>3336</v>
      </c>
      <c r="Y3197" s="220">
        <v>3</v>
      </c>
    </row>
    <row r="3198" spans="23:25" x14ac:dyDescent="0.25">
      <c r="W3198" s="214" t="s">
        <v>398</v>
      </c>
      <c r="X3198" s="214" t="s">
        <v>3337</v>
      </c>
      <c r="Y3198" s="220">
        <v>8</v>
      </c>
    </row>
    <row r="3199" spans="23:25" x14ac:dyDescent="0.25">
      <c r="W3199" s="214" t="s">
        <v>1978</v>
      </c>
      <c r="X3199" s="214" t="s">
        <v>3338</v>
      </c>
      <c r="Y3199" s="220">
        <v>3</v>
      </c>
    </row>
    <row r="3200" spans="23:25" x14ac:dyDescent="0.25">
      <c r="W3200" s="214" t="s">
        <v>69</v>
      </c>
      <c r="X3200" s="214" t="s">
        <v>3339</v>
      </c>
      <c r="Y3200" s="220">
        <v>8</v>
      </c>
    </row>
    <row r="3201" spans="23:25" x14ac:dyDescent="0.25">
      <c r="W3201" s="214" t="s">
        <v>244</v>
      </c>
      <c r="X3201" s="214" t="s">
        <v>3340</v>
      </c>
      <c r="Y3201" s="220">
        <v>3</v>
      </c>
    </row>
    <row r="3202" spans="23:25" x14ac:dyDescent="0.25">
      <c r="W3202" s="214" t="s">
        <v>274</v>
      </c>
      <c r="X3202" s="214" t="s">
        <v>3341</v>
      </c>
      <c r="Y3202" s="220">
        <v>3</v>
      </c>
    </row>
    <row r="3203" spans="23:25" x14ac:dyDescent="0.25">
      <c r="W3203" s="214" t="s">
        <v>258</v>
      </c>
      <c r="X3203" s="214" t="s">
        <v>3342</v>
      </c>
      <c r="Y3203" s="220">
        <v>6</v>
      </c>
    </row>
    <row r="3204" spans="23:25" x14ac:dyDescent="0.25">
      <c r="W3204" s="214" t="s">
        <v>1978</v>
      </c>
      <c r="X3204" s="214" t="s">
        <v>3343</v>
      </c>
      <c r="Y3204" s="220">
        <v>3</v>
      </c>
    </row>
    <row r="3205" spans="23:25" x14ac:dyDescent="0.25">
      <c r="W3205" s="214" t="s">
        <v>1978</v>
      </c>
      <c r="X3205" s="214" t="s">
        <v>3344</v>
      </c>
      <c r="Y3205" s="220">
        <v>5</v>
      </c>
    </row>
    <row r="3206" spans="23:25" x14ac:dyDescent="0.25">
      <c r="W3206" s="214" t="s">
        <v>252</v>
      </c>
      <c r="X3206" s="214" t="s">
        <v>3345</v>
      </c>
      <c r="Y3206" s="220">
        <v>5</v>
      </c>
    </row>
    <row r="3207" spans="23:25" x14ac:dyDescent="0.25">
      <c r="W3207" s="214" t="s">
        <v>274</v>
      </c>
      <c r="X3207" s="214" t="s">
        <v>3346</v>
      </c>
      <c r="Y3207" s="220">
        <v>3</v>
      </c>
    </row>
    <row r="3208" spans="23:25" x14ac:dyDescent="0.25">
      <c r="W3208" s="214" t="s">
        <v>258</v>
      </c>
      <c r="X3208" s="214" t="s">
        <v>3347</v>
      </c>
      <c r="Y3208" s="220">
        <v>3</v>
      </c>
    </row>
    <row r="3209" spans="23:25" x14ac:dyDescent="0.25">
      <c r="W3209" s="214" t="s">
        <v>1978</v>
      </c>
      <c r="X3209" s="214" t="s">
        <v>3348</v>
      </c>
      <c r="Y3209" s="220">
        <v>3</v>
      </c>
    </row>
    <row r="3210" spans="23:25" x14ac:dyDescent="0.25">
      <c r="W3210" s="214" t="s">
        <v>258</v>
      </c>
      <c r="X3210" s="214" t="s">
        <v>3349</v>
      </c>
      <c r="Y3210" s="220">
        <v>3</v>
      </c>
    </row>
    <row r="3211" spans="23:25" x14ac:dyDescent="0.25">
      <c r="W3211" s="214" t="s">
        <v>252</v>
      </c>
      <c r="X3211" s="214" t="s">
        <v>3350</v>
      </c>
      <c r="Y3211" s="220">
        <v>8</v>
      </c>
    </row>
    <row r="3212" spans="23:25" x14ac:dyDescent="0.25">
      <c r="W3212" s="214" t="s">
        <v>398</v>
      </c>
      <c r="X3212" s="214" t="s">
        <v>3351</v>
      </c>
      <c r="Y3212" s="220">
        <v>8</v>
      </c>
    </row>
    <row r="3213" spans="23:25" x14ac:dyDescent="0.25">
      <c r="W3213" s="214" t="s">
        <v>274</v>
      </c>
      <c r="X3213" s="214" t="s">
        <v>3352</v>
      </c>
      <c r="Y3213" s="220">
        <v>3</v>
      </c>
    </row>
    <row r="3214" spans="23:25" x14ac:dyDescent="0.25">
      <c r="W3214" s="214" t="s">
        <v>274</v>
      </c>
      <c r="X3214" s="214" t="s">
        <v>3353</v>
      </c>
      <c r="Y3214" s="220">
        <v>3</v>
      </c>
    </row>
    <row r="3215" spans="23:25" x14ac:dyDescent="0.25">
      <c r="W3215" s="214" t="s">
        <v>258</v>
      </c>
      <c r="X3215" s="214" t="s">
        <v>3354</v>
      </c>
      <c r="Y3215" s="220">
        <v>3</v>
      </c>
    </row>
    <row r="3216" spans="23:25" x14ac:dyDescent="0.25">
      <c r="W3216" s="214" t="s">
        <v>274</v>
      </c>
      <c r="X3216" s="214" t="s">
        <v>3355</v>
      </c>
      <c r="Y3216" s="220">
        <v>3</v>
      </c>
    </row>
    <row r="3217" spans="23:25" x14ac:dyDescent="0.25">
      <c r="W3217" s="214" t="s">
        <v>252</v>
      </c>
      <c r="X3217" s="214" t="s">
        <v>2106</v>
      </c>
      <c r="Y3217" s="220">
        <v>3</v>
      </c>
    </row>
    <row r="3218" spans="23:25" x14ac:dyDescent="0.25">
      <c r="W3218" s="214" t="s">
        <v>258</v>
      </c>
      <c r="X3218" s="214" t="s">
        <v>3356</v>
      </c>
      <c r="Y3218" s="220">
        <v>3</v>
      </c>
    </row>
    <row r="3219" spans="23:25" x14ac:dyDescent="0.25">
      <c r="W3219" s="214" t="s">
        <v>258</v>
      </c>
      <c r="X3219" s="214" t="s">
        <v>3357</v>
      </c>
      <c r="Y3219" s="220">
        <v>6</v>
      </c>
    </row>
    <row r="3220" spans="23:25" x14ac:dyDescent="0.25">
      <c r="W3220" s="214" t="s">
        <v>258</v>
      </c>
      <c r="X3220" s="214" t="s">
        <v>2998</v>
      </c>
      <c r="Y3220" s="220">
        <v>3</v>
      </c>
    </row>
    <row r="3221" spans="23:25" x14ac:dyDescent="0.25">
      <c r="W3221" s="214" t="s">
        <v>258</v>
      </c>
      <c r="X3221" s="214" t="s">
        <v>3358</v>
      </c>
      <c r="Y3221" s="220">
        <v>3</v>
      </c>
    </row>
    <row r="3222" spans="23:25" x14ac:dyDescent="0.25">
      <c r="W3222" s="214" t="s">
        <v>258</v>
      </c>
      <c r="X3222" s="214" t="s">
        <v>497</v>
      </c>
      <c r="Y3222" s="220">
        <v>6</v>
      </c>
    </row>
    <row r="3223" spans="23:25" x14ac:dyDescent="0.25">
      <c r="W3223" s="214" t="s">
        <v>244</v>
      </c>
      <c r="X3223" s="214" t="s">
        <v>3359</v>
      </c>
      <c r="Y3223" s="220">
        <v>5</v>
      </c>
    </row>
    <row r="3224" spans="23:25" x14ac:dyDescent="0.25">
      <c r="W3224" s="214" t="s">
        <v>258</v>
      </c>
      <c r="X3224" s="214" t="s">
        <v>3360</v>
      </c>
      <c r="Y3224" s="220">
        <v>3</v>
      </c>
    </row>
    <row r="3225" spans="23:25" x14ac:dyDescent="0.25">
      <c r="W3225" s="214" t="s">
        <v>258</v>
      </c>
      <c r="X3225" s="214" t="s">
        <v>3361</v>
      </c>
      <c r="Y3225" s="220">
        <v>3</v>
      </c>
    </row>
    <row r="3226" spans="23:25" x14ac:dyDescent="0.25">
      <c r="W3226" s="214" t="s">
        <v>258</v>
      </c>
      <c r="X3226" s="214" t="s">
        <v>3362</v>
      </c>
      <c r="Y3226" s="220">
        <v>3</v>
      </c>
    </row>
    <row r="3227" spans="23:25" x14ac:dyDescent="0.25">
      <c r="W3227" s="214" t="s">
        <v>274</v>
      </c>
      <c r="X3227" s="214" t="s">
        <v>3363</v>
      </c>
      <c r="Y3227" s="220">
        <v>3</v>
      </c>
    </row>
    <row r="3228" spans="23:25" x14ac:dyDescent="0.25">
      <c r="W3228" s="214" t="s">
        <v>258</v>
      </c>
      <c r="X3228" s="214" t="s">
        <v>3364</v>
      </c>
      <c r="Y3228" s="220">
        <v>6</v>
      </c>
    </row>
    <row r="3229" spans="23:25" x14ac:dyDescent="0.25">
      <c r="W3229" s="214" t="s">
        <v>239</v>
      </c>
      <c r="X3229" s="214" t="s">
        <v>3365</v>
      </c>
      <c r="Y3229" s="220">
        <v>2</v>
      </c>
    </row>
    <row r="3230" spans="23:25" x14ac:dyDescent="0.25">
      <c r="W3230" s="214" t="s">
        <v>398</v>
      </c>
      <c r="X3230" s="214" t="s">
        <v>3366</v>
      </c>
      <c r="Y3230" s="220">
        <v>7</v>
      </c>
    </row>
    <row r="3231" spans="23:25" x14ac:dyDescent="0.25">
      <c r="W3231" s="214" t="s">
        <v>258</v>
      </c>
      <c r="X3231" s="214" t="s">
        <v>3367</v>
      </c>
      <c r="Y3231" s="220">
        <v>6</v>
      </c>
    </row>
    <row r="3232" spans="23:25" x14ac:dyDescent="0.25">
      <c r="W3232" s="214" t="s">
        <v>274</v>
      </c>
      <c r="X3232" s="214" t="s">
        <v>3368</v>
      </c>
      <c r="Y3232" s="220">
        <v>2</v>
      </c>
    </row>
    <row r="3233" spans="23:25" x14ac:dyDescent="0.25">
      <c r="W3233" s="214" t="s">
        <v>274</v>
      </c>
      <c r="X3233" s="214" t="s">
        <v>3369</v>
      </c>
      <c r="Y3233" s="220">
        <v>3</v>
      </c>
    </row>
    <row r="3234" spans="23:25" x14ac:dyDescent="0.25">
      <c r="W3234" s="214" t="s">
        <v>1978</v>
      </c>
      <c r="X3234" s="214" t="s">
        <v>3370</v>
      </c>
      <c r="Y3234" s="220">
        <v>5</v>
      </c>
    </row>
    <row r="3235" spans="23:25" x14ac:dyDescent="0.25">
      <c r="W3235" s="214" t="s">
        <v>1978</v>
      </c>
      <c r="X3235" s="214" t="s">
        <v>3371</v>
      </c>
      <c r="Y3235" s="220">
        <v>6</v>
      </c>
    </row>
    <row r="3236" spans="23:25" x14ac:dyDescent="0.25">
      <c r="W3236" s="214" t="s">
        <v>258</v>
      </c>
      <c r="X3236" s="214" t="s">
        <v>3372</v>
      </c>
      <c r="Y3236" s="220">
        <v>2</v>
      </c>
    </row>
    <row r="3237" spans="23:25" x14ac:dyDescent="0.25">
      <c r="W3237" s="214" t="s">
        <v>258</v>
      </c>
      <c r="X3237" s="214" t="s">
        <v>3373</v>
      </c>
      <c r="Y3237" s="220">
        <v>3</v>
      </c>
    </row>
    <row r="3238" spans="23:25" x14ac:dyDescent="0.25">
      <c r="W3238" s="214" t="s">
        <v>1978</v>
      </c>
      <c r="X3238" s="214" t="s">
        <v>3374</v>
      </c>
      <c r="Y3238" s="220">
        <v>3</v>
      </c>
    </row>
    <row r="3239" spans="23:25" x14ac:dyDescent="0.25">
      <c r="W3239" s="214" t="s">
        <v>258</v>
      </c>
      <c r="X3239" s="214" t="s">
        <v>3375</v>
      </c>
      <c r="Y3239" s="220">
        <v>3</v>
      </c>
    </row>
    <row r="3240" spans="23:25" x14ac:dyDescent="0.25">
      <c r="W3240" s="214" t="s">
        <v>258</v>
      </c>
      <c r="X3240" s="214" t="s">
        <v>3376</v>
      </c>
      <c r="Y3240" s="220">
        <v>4</v>
      </c>
    </row>
    <row r="3241" spans="23:25" x14ac:dyDescent="0.25">
      <c r="W3241" s="214" t="s">
        <v>258</v>
      </c>
      <c r="X3241" s="214" t="s">
        <v>3377</v>
      </c>
      <c r="Y3241" s="220">
        <v>3</v>
      </c>
    </row>
    <row r="3242" spans="23:25" x14ac:dyDescent="0.25">
      <c r="W3242" s="214" t="s">
        <v>258</v>
      </c>
      <c r="X3242" s="214" t="s">
        <v>3378</v>
      </c>
      <c r="Y3242" s="220">
        <v>3</v>
      </c>
    </row>
    <row r="3243" spans="23:25" x14ac:dyDescent="0.25">
      <c r="W3243" s="214" t="s">
        <v>258</v>
      </c>
      <c r="X3243" s="214" t="s">
        <v>3379</v>
      </c>
      <c r="Y3243" s="220">
        <v>3</v>
      </c>
    </row>
    <row r="3244" spans="23:25" x14ac:dyDescent="0.25">
      <c r="W3244" s="214" t="s">
        <v>258</v>
      </c>
      <c r="X3244" s="214" t="s">
        <v>3380</v>
      </c>
      <c r="Y3244" s="220">
        <v>6</v>
      </c>
    </row>
    <row r="3245" spans="23:25" x14ac:dyDescent="0.25">
      <c r="W3245" s="214" t="s">
        <v>258</v>
      </c>
      <c r="X3245" s="214" t="s">
        <v>3381</v>
      </c>
      <c r="Y3245" s="220">
        <v>3</v>
      </c>
    </row>
    <row r="3246" spans="23:25" x14ac:dyDescent="0.25">
      <c r="W3246" s="214" t="s">
        <v>258</v>
      </c>
      <c r="X3246" s="214" t="s">
        <v>3382</v>
      </c>
      <c r="Y3246" s="220">
        <v>3</v>
      </c>
    </row>
    <row r="3247" spans="23:25" x14ac:dyDescent="0.25">
      <c r="W3247" s="214" t="s">
        <v>258</v>
      </c>
      <c r="X3247" s="214" t="s">
        <v>3383</v>
      </c>
      <c r="Y3247" s="220">
        <v>3</v>
      </c>
    </row>
    <row r="3248" spans="23:25" x14ac:dyDescent="0.25">
      <c r="W3248" s="214" t="s">
        <v>274</v>
      </c>
      <c r="X3248" s="214" t="s">
        <v>3384</v>
      </c>
      <c r="Y3248" s="220">
        <v>6</v>
      </c>
    </row>
    <row r="3249" spans="23:25" x14ac:dyDescent="0.25">
      <c r="W3249" s="214" t="s">
        <v>258</v>
      </c>
      <c r="X3249" s="214" t="s">
        <v>3385</v>
      </c>
      <c r="Y3249" s="220">
        <v>6</v>
      </c>
    </row>
    <row r="3250" spans="23:25" x14ac:dyDescent="0.25">
      <c r="W3250" s="214" t="s">
        <v>258</v>
      </c>
      <c r="X3250" s="214" t="s">
        <v>3386</v>
      </c>
      <c r="Y3250" s="220">
        <v>3</v>
      </c>
    </row>
    <row r="3251" spans="23:25" x14ac:dyDescent="0.25">
      <c r="W3251" s="214" t="s">
        <v>258</v>
      </c>
      <c r="X3251" s="214" t="s">
        <v>3387</v>
      </c>
      <c r="Y3251" s="220">
        <v>6</v>
      </c>
    </row>
    <row r="3252" spans="23:25" x14ac:dyDescent="0.25">
      <c r="W3252" s="214" t="s">
        <v>258</v>
      </c>
      <c r="X3252" s="214" t="s">
        <v>3388</v>
      </c>
      <c r="Y3252" s="220">
        <v>6</v>
      </c>
    </row>
    <row r="3253" spans="23:25" x14ac:dyDescent="0.25">
      <c r="W3253" s="214" t="s">
        <v>274</v>
      </c>
      <c r="X3253" s="214" t="s">
        <v>3389</v>
      </c>
      <c r="Y3253" s="220">
        <v>6</v>
      </c>
    </row>
    <row r="3254" spans="23:25" x14ac:dyDescent="0.25">
      <c r="W3254" s="214" t="s">
        <v>258</v>
      </c>
      <c r="X3254" s="214" t="s">
        <v>3390</v>
      </c>
      <c r="Y3254" s="220">
        <v>6</v>
      </c>
    </row>
    <row r="3255" spans="23:25" x14ac:dyDescent="0.25">
      <c r="W3255" s="214" t="s">
        <v>258</v>
      </c>
      <c r="X3255" s="214" t="s">
        <v>3391</v>
      </c>
      <c r="Y3255" s="220">
        <v>4</v>
      </c>
    </row>
    <row r="3256" spans="23:25" x14ac:dyDescent="0.25">
      <c r="W3256" s="214" t="s">
        <v>258</v>
      </c>
      <c r="X3256" s="214" t="s">
        <v>3392</v>
      </c>
      <c r="Y3256" s="220">
        <v>6</v>
      </c>
    </row>
    <row r="3257" spans="23:25" x14ac:dyDescent="0.25">
      <c r="W3257" s="214" t="s">
        <v>258</v>
      </c>
      <c r="X3257" s="214" t="s">
        <v>3393</v>
      </c>
      <c r="Y3257" s="220">
        <v>6</v>
      </c>
    </row>
    <row r="3258" spans="23:25" x14ac:dyDescent="0.25">
      <c r="W3258" s="214" t="s">
        <v>258</v>
      </c>
      <c r="X3258" s="214" t="s">
        <v>3394</v>
      </c>
      <c r="Y3258" s="220">
        <v>6</v>
      </c>
    </row>
    <row r="3259" spans="23:25" x14ac:dyDescent="0.25">
      <c r="W3259" s="214" t="s">
        <v>258</v>
      </c>
      <c r="X3259" s="214" t="s">
        <v>3395</v>
      </c>
      <c r="Y3259" s="220">
        <v>6</v>
      </c>
    </row>
    <row r="3260" spans="23:25" x14ac:dyDescent="0.25">
      <c r="W3260" s="214" t="s">
        <v>258</v>
      </c>
      <c r="X3260" s="214" t="s">
        <v>3396</v>
      </c>
      <c r="Y3260" s="220">
        <v>6</v>
      </c>
    </row>
    <row r="3261" spans="23:25" x14ac:dyDescent="0.25">
      <c r="W3261" s="214" t="s">
        <v>258</v>
      </c>
      <c r="X3261" s="214" t="s">
        <v>3397</v>
      </c>
      <c r="Y3261" s="220">
        <v>6</v>
      </c>
    </row>
    <row r="3262" spans="23:25" x14ac:dyDescent="0.25">
      <c r="W3262" s="214" t="s">
        <v>258</v>
      </c>
      <c r="X3262" s="214" t="s">
        <v>3398</v>
      </c>
      <c r="Y3262" s="220">
        <v>6</v>
      </c>
    </row>
    <row r="3263" spans="23:25" x14ac:dyDescent="0.25">
      <c r="W3263" s="214" t="s">
        <v>258</v>
      </c>
      <c r="X3263" s="214" t="s">
        <v>3399</v>
      </c>
      <c r="Y3263" s="220">
        <v>6</v>
      </c>
    </row>
    <row r="3264" spans="23:25" x14ac:dyDescent="0.25">
      <c r="W3264" s="214" t="s">
        <v>258</v>
      </c>
      <c r="X3264" s="214" t="s">
        <v>3400</v>
      </c>
      <c r="Y3264" s="220">
        <v>3</v>
      </c>
    </row>
    <row r="3265" spans="23:25" x14ac:dyDescent="0.25">
      <c r="W3265" s="214" t="s">
        <v>258</v>
      </c>
      <c r="X3265" s="214" t="s">
        <v>3401</v>
      </c>
      <c r="Y3265" s="220">
        <v>6</v>
      </c>
    </row>
    <row r="3266" spans="23:25" x14ac:dyDescent="0.25">
      <c r="W3266" s="214" t="s">
        <v>258</v>
      </c>
      <c r="X3266" s="214" t="s">
        <v>3402</v>
      </c>
      <c r="Y3266" s="220">
        <v>4</v>
      </c>
    </row>
    <row r="3267" spans="23:25" x14ac:dyDescent="0.25">
      <c r="W3267" s="214" t="s">
        <v>258</v>
      </c>
      <c r="X3267" s="214" t="s">
        <v>3403</v>
      </c>
      <c r="Y3267" s="220">
        <v>4</v>
      </c>
    </row>
    <row r="3268" spans="23:25" x14ac:dyDescent="0.25">
      <c r="W3268" s="214" t="s">
        <v>232</v>
      </c>
      <c r="X3268" s="214" t="s">
        <v>3404</v>
      </c>
      <c r="Y3268" s="220">
        <v>2</v>
      </c>
    </row>
    <row r="3269" spans="23:25" x14ac:dyDescent="0.25">
      <c r="W3269" s="214" t="s">
        <v>239</v>
      </c>
      <c r="X3269" s="214" t="s">
        <v>3405</v>
      </c>
      <c r="Y3269" s="220">
        <v>3</v>
      </c>
    </row>
    <row r="3270" spans="23:25" x14ac:dyDescent="0.25">
      <c r="W3270" s="214" t="s">
        <v>239</v>
      </c>
      <c r="X3270" s="214" t="s">
        <v>3406</v>
      </c>
      <c r="Y3270" s="220">
        <v>3</v>
      </c>
    </row>
    <row r="3271" spans="23:25" x14ac:dyDescent="0.25">
      <c r="W3271" s="214" t="s">
        <v>239</v>
      </c>
      <c r="X3271" s="214" t="s">
        <v>3407</v>
      </c>
      <c r="Y3271" s="220">
        <v>3</v>
      </c>
    </row>
    <row r="3272" spans="23:25" x14ac:dyDescent="0.25">
      <c r="W3272" s="214" t="s">
        <v>244</v>
      </c>
      <c r="X3272" s="214" t="s">
        <v>3408</v>
      </c>
      <c r="Y3272" s="220">
        <v>8</v>
      </c>
    </row>
    <row r="3273" spans="23:25" x14ac:dyDescent="0.25">
      <c r="W3273" s="214" t="s">
        <v>239</v>
      </c>
      <c r="X3273" s="214" t="s">
        <v>3409</v>
      </c>
      <c r="Y3273" s="220">
        <v>3</v>
      </c>
    </row>
    <row r="3274" spans="23:25" x14ac:dyDescent="0.25">
      <c r="W3274" s="214" t="s">
        <v>232</v>
      </c>
      <c r="X3274" s="214" t="s">
        <v>3410</v>
      </c>
      <c r="Y3274" s="220">
        <v>3</v>
      </c>
    </row>
    <row r="3275" spans="23:25" x14ac:dyDescent="0.25">
      <c r="W3275" s="214" t="s">
        <v>239</v>
      </c>
      <c r="X3275" s="214" t="s">
        <v>3411</v>
      </c>
      <c r="Y3275" s="220">
        <v>3</v>
      </c>
    </row>
    <row r="3276" spans="23:25" x14ac:dyDescent="0.25">
      <c r="W3276" s="214" t="s">
        <v>239</v>
      </c>
      <c r="X3276" s="214" t="s">
        <v>3412</v>
      </c>
      <c r="Y3276" s="220">
        <v>3</v>
      </c>
    </row>
    <row r="3277" spans="23:25" x14ac:dyDescent="0.25">
      <c r="W3277" s="214" t="s">
        <v>239</v>
      </c>
      <c r="X3277" s="214" t="s">
        <v>3413</v>
      </c>
      <c r="Y3277" s="220">
        <v>3</v>
      </c>
    </row>
    <row r="3278" spans="23:25" x14ac:dyDescent="0.25">
      <c r="W3278" s="214" t="s">
        <v>239</v>
      </c>
      <c r="X3278" s="214" t="s">
        <v>3414</v>
      </c>
      <c r="Y3278" s="220">
        <v>3</v>
      </c>
    </row>
    <row r="3279" spans="23:25" x14ac:dyDescent="0.25">
      <c r="W3279" s="214" t="s">
        <v>239</v>
      </c>
      <c r="X3279" s="214" t="s">
        <v>3415</v>
      </c>
      <c r="Y3279" s="220">
        <v>3</v>
      </c>
    </row>
    <row r="3280" spans="23:25" x14ac:dyDescent="0.25">
      <c r="W3280" s="214" t="s">
        <v>239</v>
      </c>
      <c r="X3280" s="214" t="s">
        <v>3416</v>
      </c>
      <c r="Y3280" s="220">
        <v>3</v>
      </c>
    </row>
    <row r="3281" spans="23:25" x14ac:dyDescent="0.25">
      <c r="W3281" s="214" t="s">
        <v>232</v>
      </c>
      <c r="X3281" s="214" t="s">
        <v>3417</v>
      </c>
      <c r="Y3281" s="220">
        <v>2</v>
      </c>
    </row>
    <row r="3282" spans="23:25" x14ac:dyDescent="0.25">
      <c r="W3282" s="214" t="s">
        <v>239</v>
      </c>
      <c r="X3282" s="214" t="s">
        <v>3418</v>
      </c>
      <c r="Y3282" s="220">
        <v>3</v>
      </c>
    </row>
    <row r="3283" spans="23:25" x14ac:dyDescent="0.25">
      <c r="W3283" s="214" t="s">
        <v>232</v>
      </c>
      <c r="X3283" s="214" t="s">
        <v>3419</v>
      </c>
      <c r="Y3283" s="220">
        <v>2</v>
      </c>
    </row>
    <row r="3284" spans="23:25" x14ac:dyDescent="0.25">
      <c r="W3284" s="214" t="s">
        <v>239</v>
      </c>
      <c r="X3284" s="214" t="s">
        <v>3420</v>
      </c>
      <c r="Y3284" s="220">
        <v>3</v>
      </c>
    </row>
    <row r="3285" spans="23:25" x14ac:dyDescent="0.25">
      <c r="W3285" s="214" t="s">
        <v>232</v>
      </c>
      <c r="X3285" s="214" t="s">
        <v>3421</v>
      </c>
      <c r="Y3285" s="220">
        <v>2</v>
      </c>
    </row>
    <row r="3286" spans="23:25" x14ac:dyDescent="0.25">
      <c r="W3286" s="214" t="s">
        <v>27</v>
      </c>
      <c r="X3286" s="214" t="s">
        <v>3422</v>
      </c>
      <c r="Y3286" s="220">
        <v>2</v>
      </c>
    </row>
    <row r="3287" spans="23:25" x14ac:dyDescent="0.25">
      <c r="W3287" s="214" t="s">
        <v>239</v>
      </c>
      <c r="X3287" s="214" t="s">
        <v>3423</v>
      </c>
      <c r="Y3287" s="220">
        <v>3</v>
      </c>
    </row>
    <row r="3288" spans="23:25" x14ac:dyDescent="0.25">
      <c r="W3288" s="214" t="s">
        <v>239</v>
      </c>
      <c r="X3288" s="214" t="s">
        <v>3424</v>
      </c>
      <c r="Y3288" s="220">
        <v>3</v>
      </c>
    </row>
    <row r="3289" spans="23:25" x14ac:dyDescent="0.25">
      <c r="W3289" s="214" t="s">
        <v>27</v>
      </c>
      <c r="X3289" s="214" t="s">
        <v>3425</v>
      </c>
      <c r="Y3289" s="220">
        <v>2</v>
      </c>
    </row>
    <row r="3290" spans="23:25" x14ac:dyDescent="0.25">
      <c r="W3290" s="214" t="s">
        <v>239</v>
      </c>
      <c r="X3290" s="214" t="s">
        <v>3426</v>
      </c>
      <c r="Y3290" s="220">
        <v>2</v>
      </c>
    </row>
    <row r="3291" spans="23:25" x14ac:dyDescent="0.25">
      <c r="W3291" s="214" t="s">
        <v>239</v>
      </c>
      <c r="X3291" s="214" t="s">
        <v>3427</v>
      </c>
      <c r="Y3291" s="220">
        <v>3</v>
      </c>
    </row>
    <row r="3292" spans="23:25" x14ac:dyDescent="0.25">
      <c r="W3292" s="214" t="s">
        <v>239</v>
      </c>
      <c r="X3292" s="214" t="s">
        <v>3428</v>
      </c>
      <c r="Y3292" s="220">
        <v>3</v>
      </c>
    </row>
    <row r="3293" spans="23:25" x14ac:dyDescent="0.25">
      <c r="W3293" s="214" t="s">
        <v>239</v>
      </c>
      <c r="X3293" s="214" t="s">
        <v>3429</v>
      </c>
      <c r="Y3293" s="220">
        <v>3</v>
      </c>
    </row>
    <row r="3294" spans="23:25" x14ac:dyDescent="0.25">
      <c r="W3294" s="214" t="s">
        <v>239</v>
      </c>
      <c r="X3294" s="214" t="s">
        <v>3430</v>
      </c>
      <c r="Y3294" s="220">
        <v>2</v>
      </c>
    </row>
    <row r="3295" spans="23:25" x14ac:dyDescent="0.25">
      <c r="W3295" s="214" t="s">
        <v>239</v>
      </c>
      <c r="X3295" s="214" t="s">
        <v>3431</v>
      </c>
      <c r="Y3295" s="220">
        <v>3</v>
      </c>
    </row>
    <row r="3296" spans="23:25" x14ac:dyDescent="0.25">
      <c r="W3296" s="214" t="s">
        <v>239</v>
      </c>
      <c r="X3296" s="214" t="s">
        <v>3432</v>
      </c>
      <c r="Y3296" s="220">
        <v>4</v>
      </c>
    </row>
    <row r="3297" spans="23:25" x14ac:dyDescent="0.25">
      <c r="W3297" s="214" t="s">
        <v>239</v>
      </c>
      <c r="X3297" s="214" t="s">
        <v>2409</v>
      </c>
      <c r="Y3297" s="220">
        <v>3</v>
      </c>
    </row>
    <row r="3298" spans="23:25" x14ac:dyDescent="0.25">
      <c r="W3298" s="214" t="s">
        <v>239</v>
      </c>
      <c r="X3298" s="214" t="s">
        <v>3433</v>
      </c>
      <c r="Y3298" s="220">
        <v>3</v>
      </c>
    </row>
    <row r="3299" spans="23:25" x14ac:dyDescent="0.25">
      <c r="W3299" s="214" t="s">
        <v>239</v>
      </c>
      <c r="X3299" s="214" t="s">
        <v>3434</v>
      </c>
      <c r="Y3299" s="220">
        <v>3</v>
      </c>
    </row>
    <row r="3300" spans="23:25" x14ac:dyDescent="0.25">
      <c r="W3300" s="214" t="s">
        <v>239</v>
      </c>
      <c r="X3300" s="214" t="s">
        <v>3435</v>
      </c>
      <c r="Y3300" s="220">
        <v>3</v>
      </c>
    </row>
    <row r="3301" spans="23:25" x14ac:dyDescent="0.25">
      <c r="W3301" s="214" t="s">
        <v>239</v>
      </c>
      <c r="X3301" s="214" t="s">
        <v>3436</v>
      </c>
      <c r="Y3301" s="220">
        <v>3</v>
      </c>
    </row>
    <row r="3302" spans="23:25" x14ac:dyDescent="0.25">
      <c r="W3302" s="214" t="s">
        <v>239</v>
      </c>
      <c r="X3302" s="214" t="s">
        <v>3437</v>
      </c>
      <c r="Y3302" s="220">
        <v>2</v>
      </c>
    </row>
    <row r="3303" spans="23:25" x14ac:dyDescent="0.25">
      <c r="W3303" s="214" t="s">
        <v>239</v>
      </c>
      <c r="X3303" s="214" t="s">
        <v>3438</v>
      </c>
      <c r="Y3303" s="220">
        <v>3</v>
      </c>
    </row>
    <row r="3304" spans="23:25" x14ac:dyDescent="0.25">
      <c r="W3304" s="214" t="s">
        <v>239</v>
      </c>
      <c r="X3304" s="214" t="s">
        <v>3439</v>
      </c>
      <c r="Y3304" s="220">
        <v>3</v>
      </c>
    </row>
    <row r="3305" spans="23:25" x14ac:dyDescent="0.25">
      <c r="W3305" s="214" t="s">
        <v>274</v>
      </c>
      <c r="X3305" s="214" t="s">
        <v>3440</v>
      </c>
      <c r="Y3305" s="220">
        <v>3</v>
      </c>
    </row>
    <row r="3306" spans="23:25" x14ac:dyDescent="0.25">
      <c r="W3306" s="214" t="s">
        <v>239</v>
      </c>
      <c r="X3306" s="214" t="s">
        <v>5898</v>
      </c>
      <c r="Y3306" s="220">
        <v>2</v>
      </c>
    </row>
    <row r="3307" spans="23:25" x14ac:dyDescent="0.25">
      <c r="W3307" s="214" t="s">
        <v>252</v>
      </c>
      <c r="X3307" s="214" t="s">
        <v>3441</v>
      </c>
      <c r="Y3307" s="220">
        <v>3</v>
      </c>
    </row>
    <row r="3308" spans="23:25" x14ac:dyDescent="0.25">
      <c r="W3308" s="214" t="s">
        <v>258</v>
      </c>
      <c r="X3308" s="214" t="s">
        <v>3442</v>
      </c>
      <c r="Y3308" s="220">
        <v>3</v>
      </c>
    </row>
    <row r="3309" spans="23:25" x14ac:dyDescent="0.25">
      <c r="W3309" s="214" t="s">
        <v>239</v>
      </c>
      <c r="X3309" s="214" t="s">
        <v>3443</v>
      </c>
      <c r="Y3309" s="220">
        <v>2</v>
      </c>
    </row>
    <row r="3310" spans="23:25" x14ac:dyDescent="0.25">
      <c r="W3310" s="214" t="s">
        <v>274</v>
      </c>
      <c r="X3310" s="214" t="s">
        <v>3444</v>
      </c>
      <c r="Y3310" s="220">
        <v>3</v>
      </c>
    </row>
    <row r="3311" spans="23:25" x14ac:dyDescent="0.25">
      <c r="W3311" s="214" t="s">
        <v>239</v>
      </c>
      <c r="X3311" s="214" t="s">
        <v>3445</v>
      </c>
      <c r="Y3311" s="220">
        <v>3</v>
      </c>
    </row>
    <row r="3312" spans="23:25" x14ac:dyDescent="0.25">
      <c r="W3312" s="214" t="s">
        <v>258</v>
      </c>
      <c r="X3312" s="214" t="s">
        <v>3446</v>
      </c>
      <c r="Y3312" s="220">
        <v>3</v>
      </c>
    </row>
    <row r="3313" spans="23:25" x14ac:dyDescent="0.25">
      <c r="W3313" s="214" t="s">
        <v>239</v>
      </c>
      <c r="X3313" s="214" t="s">
        <v>2164</v>
      </c>
      <c r="Y3313" s="220">
        <v>3</v>
      </c>
    </row>
    <row r="3314" spans="23:25" x14ac:dyDescent="0.25">
      <c r="W3314" s="214" t="s">
        <v>274</v>
      </c>
      <c r="X3314" s="214" t="s">
        <v>3447</v>
      </c>
      <c r="Y3314" s="220">
        <v>3</v>
      </c>
    </row>
    <row r="3315" spans="23:25" x14ac:dyDescent="0.25">
      <c r="W3315" s="214" t="s">
        <v>239</v>
      </c>
      <c r="X3315" s="214" t="s">
        <v>3448</v>
      </c>
      <c r="Y3315" s="220">
        <v>3</v>
      </c>
    </row>
    <row r="3316" spans="23:25" x14ac:dyDescent="0.25">
      <c r="W3316" s="214" t="s">
        <v>1978</v>
      </c>
      <c r="X3316" s="214" t="s">
        <v>3449</v>
      </c>
      <c r="Y3316" s="220">
        <v>3</v>
      </c>
    </row>
    <row r="3317" spans="23:25" x14ac:dyDescent="0.25">
      <c r="W3317" s="214" t="s">
        <v>258</v>
      </c>
      <c r="X3317" s="214" t="s">
        <v>3450</v>
      </c>
      <c r="Y3317" s="220">
        <v>3</v>
      </c>
    </row>
    <row r="3318" spans="23:25" x14ac:dyDescent="0.25">
      <c r="W3318" s="214" t="s">
        <v>252</v>
      </c>
      <c r="X3318" s="214" t="s">
        <v>3451</v>
      </c>
      <c r="Y3318" s="220">
        <v>3</v>
      </c>
    </row>
    <row r="3319" spans="23:25" x14ac:dyDescent="0.25">
      <c r="W3319" s="214" t="s">
        <v>239</v>
      </c>
      <c r="X3319" s="214" t="s">
        <v>3452</v>
      </c>
      <c r="Y3319" s="220">
        <v>3</v>
      </c>
    </row>
    <row r="3320" spans="23:25" x14ac:dyDescent="0.25">
      <c r="W3320" s="214" t="s">
        <v>239</v>
      </c>
      <c r="X3320" s="214" t="s">
        <v>3453</v>
      </c>
      <c r="Y3320" s="220">
        <v>3</v>
      </c>
    </row>
    <row r="3321" spans="23:25" x14ac:dyDescent="0.25">
      <c r="W3321" s="214" t="s">
        <v>258</v>
      </c>
      <c r="X3321" s="214" t="s">
        <v>3454</v>
      </c>
      <c r="Y3321" s="220">
        <v>3</v>
      </c>
    </row>
    <row r="3322" spans="23:25" x14ac:dyDescent="0.25">
      <c r="W3322" s="214" t="s">
        <v>258</v>
      </c>
      <c r="X3322" s="214" t="s">
        <v>3455</v>
      </c>
      <c r="Y3322" s="220">
        <v>3</v>
      </c>
    </row>
    <row r="3323" spans="23:25" x14ac:dyDescent="0.25">
      <c r="W3323" s="214" t="s">
        <v>258</v>
      </c>
      <c r="X3323" s="214" t="s">
        <v>3456</v>
      </c>
      <c r="Y3323" s="220">
        <v>3</v>
      </c>
    </row>
    <row r="3324" spans="23:25" x14ac:dyDescent="0.25">
      <c r="W3324" s="214" t="s">
        <v>239</v>
      </c>
      <c r="X3324" s="214" t="s">
        <v>3457</v>
      </c>
      <c r="Y3324" s="220">
        <v>3</v>
      </c>
    </row>
    <row r="3325" spans="23:25" x14ac:dyDescent="0.25">
      <c r="W3325" s="214" t="s">
        <v>239</v>
      </c>
      <c r="X3325" s="214" t="s">
        <v>3458</v>
      </c>
      <c r="Y3325" s="220">
        <v>3</v>
      </c>
    </row>
    <row r="3326" spans="23:25" x14ac:dyDescent="0.25">
      <c r="W3326" s="214" t="s">
        <v>239</v>
      </c>
      <c r="X3326" s="214" t="s">
        <v>3459</v>
      </c>
      <c r="Y3326" s="220">
        <v>3</v>
      </c>
    </row>
    <row r="3327" spans="23:25" x14ac:dyDescent="0.25">
      <c r="W3327" s="214" t="s">
        <v>258</v>
      </c>
      <c r="X3327" s="214" t="s">
        <v>3460</v>
      </c>
      <c r="Y3327" s="220">
        <v>2</v>
      </c>
    </row>
    <row r="3328" spans="23:25" x14ac:dyDescent="0.25">
      <c r="W3328" s="214" t="s">
        <v>244</v>
      </c>
      <c r="X3328" s="214" t="s">
        <v>3461</v>
      </c>
      <c r="Y3328" s="220">
        <v>5</v>
      </c>
    </row>
    <row r="3329" spans="23:25" x14ac:dyDescent="0.25">
      <c r="W3329" s="214" t="s">
        <v>239</v>
      </c>
      <c r="X3329" s="214" t="s">
        <v>3462</v>
      </c>
      <c r="Y3329" s="220">
        <v>3</v>
      </c>
    </row>
    <row r="3330" spans="23:25" x14ac:dyDescent="0.25">
      <c r="W3330" s="214" t="s">
        <v>274</v>
      </c>
      <c r="X3330" s="214" t="s">
        <v>3463</v>
      </c>
      <c r="Y3330" s="220">
        <v>5</v>
      </c>
    </row>
    <row r="3331" spans="23:25" x14ac:dyDescent="0.25">
      <c r="W3331" s="214" t="s">
        <v>239</v>
      </c>
      <c r="X3331" s="214" t="s">
        <v>2700</v>
      </c>
      <c r="Y3331" s="220">
        <v>3</v>
      </c>
    </row>
    <row r="3332" spans="23:25" x14ac:dyDescent="0.25">
      <c r="W3332" s="214" t="s">
        <v>258</v>
      </c>
      <c r="X3332" s="214" t="s">
        <v>3464</v>
      </c>
      <c r="Y3332" s="220">
        <v>3</v>
      </c>
    </row>
    <row r="3333" spans="23:25" x14ac:dyDescent="0.25">
      <c r="W3333" s="214" t="s">
        <v>1978</v>
      </c>
      <c r="X3333" s="214" t="s">
        <v>3465</v>
      </c>
      <c r="Y3333" s="220">
        <v>3</v>
      </c>
    </row>
    <row r="3334" spans="23:25" x14ac:dyDescent="0.25">
      <c r="W3334" s="214" t="s">
        <v>258</v>
      </c>
      <c r="X3334" s="214" t="s">
        <v>3466</v>
      </c>
      <c r="Y3334" s="220">
        <v>3</v>
      </c>
    </row>
    <row r="3335" spans="23:25" x14ac:dyDescent="0.25">
      <c r="W3335" s="214" t="s">
        <v>252</v>
      </c>
      <c r="X3335" s="214" t="s">
        <v>3467</v>
      </c>
      <c r="Y3335" s="220">
        <v>3</v>
      </c>
    </row>
    <row r="3336" spans="23:25" x14ac:dyDescent="0.25">
      <c r="W3336" s="214" t="s">
        <v>258</v>
      </c>
      <c r="X3336" s="214" t="s">
        <v>3468</v>
      </c>
      <c r="Y3336" s="220">
        <v>3</v>
      </c>
    </row>
    <row r="3337" spans="23:25" x14ac:dyDescent="0.25">
      <c r="W3337" s="214" t="s">
        <v>258</v>
      </c>
      <c r="X3337" s="214" t="s">
        <v>3469</v>
      </c>
      <c r="Y3337" s="220">
        <v>2</v>
      </c>
    </row>
    <row r="3338" spans="23:25" x14ac:dyDescent="0.25">
      <c r="W3338" s="214" t="s">
        <v>258</v>
      </c>
      <c r="X3338" s="214" t="s">
        <v>3470</v>
      </c>
      <c r="Y3338" s="220">
        <v>2</v>
      </c>
    </row>
    <row r="3339" spans="23:25" x14ac:dyDescent="0.25">
      <c r="W3339" s="214" t="s">
        <v>258</v>
      </c>
      <c r="X3339" s="214" t="s">
        <v>3471</v>
      </c>
      <c r="Y3339" s="220">
        <v>2</v>
      </c>
    </row>
    <row r="3340" spans="23:25" x14ac:dyDescent="0.25">
      <c r="W3340" s="214" t="s">
        <v>274</v>
      </c>
      <c r="X3340" s="214" t="s">
        <v>3472</v>
      </c>
      <c r="Y3340" s="220">
        <v>5</v>
      </c>
    </row>
    <row r="3341" spans="23:25" x14ac:dyDescent="0.25">
      <c r="W3341" s="214" t="s">
        <v>258</v>
      </c>
      <c r="X3341" s="214" t="s">
        <v>3473</v>
      </c>
      <c r="Y3341" s="220">
        <v>3</v>
      </c>
    </row>
    <row r="3342" spans="23:25" x14ac:dyDescent="0.25">
      <c r="W3342" s="214" t="s">
        <v>258</v>
      </c>
      <c r="X3342" s="214" t="s">
        <v>3474</v>
      </c>
      <c r="Y3342" s="220">
        <v>6</v>
      </c>
    </row>
    <row r="3343" spans="23:25" x14ac:dyDescent="0.25">
      <c r="W3343" s="214" t="s">
        <v>258</v>
      </c>
      <c r="X3343" s="214" t="s">
        <v>3475</v>
      </c>
      <c r="Y3343" s="220">
        <v>2</v>
      </c>
    </row>
    <row r="3344" spans="23:25" x14ac:dyDescent="0.25">
      <c r="W3344" s="214" t="s">
        <v>258</v>
      </c>
      <c r="X3344" s="214" t="s">
        <v>3476</v>
      </c>
      <c r="Y3344" s="220">
        <v>3</v>
      </c>
    </row>
    <row r="3345" spans="23:25" x14ac:dyDescent="0.25">
      <c r="W3345" s="214" t="s">
        <v>239</v>
      </c>
      <c r="X3345" s="214" t="s">
        <v>3477</v>
      </c>
      <c r="Y3345" s="220">
        <v>3</v>
      </c>
    </row>
    <row r="3346" spans="23:25" x14ac:dyDescent="0.25">
      <c r="W3346" s="214" t="s">
        <v>258</v>
      </c>
      <c r="X3346" s="214" t="s">
        <v>1194</v>
      </c>
      <c r="Y3346" s="220">
        <v>3</v>
      </c>
    </row>
    <row r="3347" spans="23:25" x14ac:dyDescent="0.25">
      <c r="W3347" s="214" t="s">
        <v>258</v>
      </c>
      <c r="X3347" s="214" t="s">
        <v>3478</v>
      </c>
      <c r="Y3347" s="220">
        <v>3</v>
      </c>
    </row>
    <row r="3348" spans="23:25" x14ac:dyDescent="0.25">
      <c r="W3348" s="214" t="s">
        <v>239</v>
      </c>
      <c r="X3348" s="214" t="s">
        <v>3479</v>
      </c>
      <c r="Y3348" s="220">
        <v>3</v>
      </c>
    </row>
    <row r="3349" spans="23:25" x14ac:dyDescent="0.25">
      <c r="W3349" s="214" t="s">
        <v>258</v>
      </c>
      <c r="X3349" s="214" t="s">
        <v>3480</v>
      </c>
      <c r="Y3349" s="220">
        <v>4</v>
      </c>
    </row>
    <row r="3350" spans="23:25" x14ac:dyDescent="0.25">
      <c r="W3350" s="214" t="s">
        <v>258</v>
      </c>
      <c r="X3350" s="214" t="s">
        <v>3481</v>
      </c>
      <c r="Y3350" s="220">
        <v>3</v>
      </c>
    </row>
    <row r="3351" spans="23:25" x14ac:dyDescent="0.25">
      <c r="W3351" s="214" t="s">
        <v>244</v>
      </c>
      <c r="X3351" s="214" t="s">
        <v>3482</v>
      </c>
      <c r="Y3351" s="220">
        <v>8</v>
      </c>
    </row>
    <row r="3352" spans="23:25" x14ac:dyDescent="0.25">
      <c r="W3352" s="214" t="s">
        <v>258</v>
      </c>
      <c r="X3352" s="214" t="s">
        <v>3483</v>
      </c>
      <c r="Y3352" s="220">
        <v>3</v>
      </c>
    </row>
    <row r="3353" spans="23:25" x14ac:dyDescent="0.25">
      <c r="W3353" s="214" t="s">
        <v>239</v>
      </c>
      <c r="X3353" s="214" t="s">
        <v>3484</v>
      </c>
      <c r="Y3353" s="220">
        <v>3</v>
      </c>
    </row>
    <row r="3354" spans="23:25" x14ac:dyDescent="0.25">
      <c r="W3354" s="214" t="s">
        <v>258</v>
      </c>
      <c r="X3354" s="214" t="s">
        <v>3485</v>
      </c>
      <c r="Y3354" s="220">
        <v>3</v>
      </c>
    </row>
    <row r="3355" spans="23:25" x14ac:dyDescent="0.25">
      <c r="W3355" s="214" t="s">
        <v>258</v>
      </c>
      <c r="X3355" s="214" t="s">
        <v>3486</v>
      </c>
      <c r="Y3355" s="220">
        <v>2</v>
      </c>
    </row>
    <row r="3356" spans="23:25" x14ac:dyDescent="0.25">
      <c r="W3356" s="214" t="s">
        <v>258</v>
      </c>
      <c r="X3356" s="214" t="s">
        <v>3487</v>
      </c>
      <c r="Y3356" s="220">
        <v>6</v>
      </c>
    </row>
    <row r="3357" spans="23:25" x14ac:dyDescent="0.25">
      <c r="W3357" s="214" t="s">
        <v>258</v>
      </c>
      <c r="X3357" s="214" t="s">
        <v>3467</v>
      </c>
      <c r="Y3357" s="220">
        <v>4</v>
      </c>
    </row>
    <row r="3358" spans="23:25" x14ac:dyDescent="0.25">
      <c r="W3358" s="214" t="s">
        <v>274</v>
      </c>
      <c r="X3358" s="214" t="s">
        <v>3488</v>
      </c>
      <c r="Y3358" s="220">
        <v>3</v>
      </c>
    </row>
    <row r="3359" spans="23:25" x14ac:dyDescent="0.25">
      <c r="W3359" s="214" t="s">
        <v>258</v>
      </c>
      <c r="X3359" s="214" t="s">
        <v>3489</v>
      </c>
      <c r="Y3359" s="220">
        <v>4</v>
      </c>
    </row>
    <row r="3360" spans="23:25" x14ac:dyDescent="0.25">
      <c r="W3360" s="214" t="s">
        <v>258</v>
      </c>
      <c r="X3360" s="214" t="s">
        <v>3490</v>
      </c>
      <c r="Y3360" s="220">
        <v>3</v>
      </c>
    </row>
    <row r="3361" spans="23:25" x14ac:dyDescent="0.25">
      <c r="W3361" s="214" t="s">
        <v>239</v>
      </c>
      <c r="X3361" s="214" t="s">
        <v>3491</v>
      </c>
      <c r="Y3361" s="220">
        <v>3</v>
      </c>
    </row>
    <row r="3362" spans="23:25" x14ac:dyDescent="0.25">
      <c r="W3362" s="214" t="s">
        <v>258</v>
      </c>
      <c r="X3362" s="214" t="s">
        <v>3492</v>
      </c>
      <c r="Y3362" s="220">
        <v>6</v>
      </c>
    </row>
    <row r="3363" spans="23:25" x14ac:dyDescent="0.25">
      <c r="W3363" s="214" t="s">
        <v>274</v>
      </c>
      <c r="X3363" s="214" t="s">
        <v>625</v>
      </c>
      <c r="Y3363" s="220">
        <v>3</v>
      </c>
    </row>
    <row r="3364" spans="23:25" x14ac:dyDescent="0.25">
      <c r="W3364" s="214" t="s">
        <v>274</v>
      </c>
      <c r="X3364" s="214" t="s">
        <v>3493</v>
      </c>
      <c r="Y3364" s="220">
        <v>5</v>
      </c>
    </row>
    <row r="3365" spans="23:25" x14ac:dyDescent="0.25">
      <c r="W3365" s="214" t="s">
        <v>258</v>
      </c>
      <c r="X3365" s="214" t="s">
        <v>5899</v>
      </c>
      <c r="Y3365" s="220">
        <v>3</v>
      </c>
    </row>
    <row r="3366" spans="23:25" x14ac:dyDescent="0.25">
      <c r="W3366" s="214" t="s">
        <v>258</v>
      </c>
      <c r="X3366" s="214" t="s">
        <v>3494</v>
      </c>
      <c r="Y3366" s="220">
        <v>3</v>
      </c>
    </row>
    <row r="3367" spans="23:25" x14ac:dyDescent="0.25">
      <c r="W3367" s="214" t="s">
        <v>258</v>
      </c>
      <c r="X3367" s="214" t="s">
        <v>3495</v>
      </c>
      <c r="Y3367" s="220">
        <v>3</v>
      </c>
    </row>
    <row r="3368" spans="23:25" x14ac:dyDescent="0.25">
      <c r="W3368" s="214" t="s">
        <v>274</v>
      </c>
      <c r="X3368" s="214" t="s">
        <v>5900</v>
      </c>
      <c r="Y3368" s="220">
        <v>5</v>
      </c>
    </row>
    <row r="3369" spans="23:25" x14ac:dyDescent="0.25">
      <c r="W3369" s="214" t="s">
        <v>252</v>
      </c>
      <c r="X3369" s="214" t="s">
        <v>3496</v>
      </c>
      <c r="Y3369" s="220">
        <v>3</v>
      </c>
    </row>
    <row r="3370" spans="23:25" x14ac:dyDescent="0.25">
      <c r="W3370" s="214" t="s">
        <v>252</v>
      </c>
      <c r="X3370" s="214" t="s">
        <v>3497</v>
      </c>
      <c r="Y3370" s="220">
        <v>3</v>
      </c>
    </row>
    <row r="3371" spans="23:25" x14ac:dyDescent="0.25">
      <c r="W3371" s="214" t="s">
        <v>258</v>
      </c>
      <c r="X3371" s="214" t="s">
        <v>3498</v>
      </c>
      <c r="Y3371" s="220">
        <v>5</v>
      </c>
    </row>
    <row r="3372" spans="23:25" x14ac:dyDescent="0.25">
      <c r="W3372" s="214" t="s">
        <v>274</v>
      </c>
      <c r="X3372" s="214" t="s">
        <v>3499</v>
      </c>
      <c r="Y3372" s="220">
        <v>4</v>
      </c>
    </row>
    <row r="3373" spans="23:25" x14ac:dyDescent="0.25">
      <c r="W3373" s="214" t="s">
        <v>1978</v>
      </c>
      <c r="X3373" s="214" t="s">
        <v>3500</v>
      </c>
      <c r="Y3373" s="220">
        <v>3</v>
      </c>
    </row>
    <row r="3374" spans="23:25" x14ac:dyDescent="0.25">
      <c r="W3374" s="214" t="s">
        <v>258</v>
      </c>
      <c r="X3374" s="214" t="s">
        <v>3501</v>
      </c>
      <c r="Y3374" s="220">
        <v>3</v>
      </c>
    </row>
    <row r="3375" spans="23:25" x14ac:dyDescent="0.25">
      <c r="W3375" s="214" t="s">
        <v>258</v>
      </c>
      <c r="X3375" s="214" t="s">
        <v>3502</v>
      </c>
      <c r="Y3375" s="220">
        <v>6</v>
      </c>
    </row>
    <row r="3376" spans="23:25" x14ac:dyDescent="0.25">
      <c r="W3376" s="214" t="s">
        <v>258</v>
      </c>
      <c r="X3376" s="214" t="s">
        <v>3503</v>
      </c>
      <c r="Y3376" s="220">
        <v>4</v>
      </c>
    </row>
    <row r="3377" spans="23:25" x14ac:dyDescent="0.25">
      <c r="W3377" s="214" t="s">
        <v>258</v>
      </c>
      <c r="X3377" s="214" t="s">
        <v>3504</v>
      </c>
      <c r="Y3377" s="220">
        <v>6</v>
      </c>
    </row>
    <row r="3378" spans="23:25" x14ac:dyDescent="0.25">
      <c r="W3378" s="214" t="s">
        <v>258</v>
      </c>
      <c r="X3378" s="214" t="s">
        <v>3505</v>
      </c>
      <c r="Y3378" s="220">
        <v>3</v>
      </c>
    </row>
    <row r="3379" spans="23:25" x14ac:dyDescent="0.25">
      <c r="W3379" s="214" t="s">
        <v>274</v>
      </c>
      <c r="X3379" s="214" t="s">
        <v>3506</v>
      </c>
      <c r="Y3379" s="220">
        <v>5</v>
      </c>
    </row>
    <row r="3380" spans="23:25" x14ac:dyDescent="0.25">
      <c r="W3380" s="214" t="s">
        <v>274</v>
      </c>
      <c r="X3380" s="214" t="s">
        <v>3507</v>
      </c>
      <c r="Y3380" s="220">
        <v>3</v>
      </c>
    </row>
    <row r="3381" spans="23:25" x14ac:dyDescent="0.25">
      <c r="W3381" s="214" t="s">
        <v>239</v>
      </c>
      <c r="X3381" s="214" t="s">
        <v>3508</v>
      </c>
      <c r="Y3381" s="220">
        <v>3</v>
      </c>
    </row>
    <row r="3382" spans="23:25" x14ac:dyDescent="0.25">
      <c r="W3382" s="214" t="s">
        <v>258</v>
      </c>
      <c r="X3382" s="214" t="s">
        <v>3509</v>
      </c>
      <c r="Y3382" s="220">
        <v>3</v>
      </c>
    </row>
    <row r="3383" spans="23:25" x14ac:dyDescent="0.25">
      <c r="W3383" s="214" t="s">
        <v>239</v>
      </c>
      <c r="X3383" s="214" t="s">
        <v>3510</v>
      </c>
      <c r="Y3383" s="220">
        <v>3</v>
      </c>
    </row>
    <row r="3384" spans="23:25" x14ac:dyDescent="0.25">
      <c r="W3384" s="214" t="s">
        <v>274</v>
      </c>
      <c r="X3384" s="214" t="s">
        <v>3511</v>
      </c>
      <c r="Y3384" s="220">
        <v>3</v>
      </c>
    </row>
    <row r="3385" spans="23:25" x14ac:dyDescent="0.25">
      <c r="W3385" s="214" t="s">
        <v>274</v>
      </c>
      <c r="X3385" s="214" t="s">
        <v>3512</v>
      </c>
      <c r="Y3385" s="220">
        <v>3</v>
      </c>
    </row>
    <row r="3386" spans="23:25" x14ac:dyDescent="0.25">
      <c r="W3386" s="214" t="s">
        <v>239</v>
      </c>
      <c r="X3386" s="214" t="s">
        <v>3513</v>
      </c>
      <c r="Y3386" s="220">
        <v>3</v>
      </c>
    </row>
    <row r="3387" spans="23:25" x14ac:dyDescent="0.25">
      <c r="W3387" s="214" t="s">
        <v>274</v>
      </c>
      <c r="X3387" s="214" t="s">
        <v>3514</v>
      </c>
      <c r="Y3387" s="220">
        <v>5</v>
      </c>
    </row>
    <row r="3388" spans="23:25" x14ac:dyDescent="0.25">
      <c r="W3388" s="214" t="s">
        <v>258</v>
      </c>
      <c r="X3388" s="214" t="s">
        <v>3515</v>
      </c>
      <c r="Y3388" s="220">
        <v>6</v>
      </c>
    </row>
    <row r="3389" spans="23:25" x14ac:dyDescent="0.25">
      <c r="W3389" s="214" t="s">
        <v>239</v>
      </c>
      <c r="X3389" s="214" t="s">
        <v>1638</v>
      </c>
      <c r="Y3389" s="220">
        <v>3</v>
      </c>
    </row>
    <row r="3390" spans="23:25" x14ac:dyDescent="0.25">
      <c r="W3390" s="214" t="s">
        <v>258</v>
      </c>
      <c r="X3390" s="214" t="s">
        <v>3516</v>
      </c>
      <c r="Y3390" s="220">
        <v>3</v>
      </c>
    </row>
    <row r="3391" spans="23:25" x14ac:dyDescent="0.25">
      <c r="W3391" s="214" t="s">
        <v>258</v>
      </c>
      <c r="X3391" s="214" t="s">
        <v>3517</v>
      </c>
      <c r="Y3391" s="220">
        <v>3</v>
      </c>
    </row>
    <row r="3392" spans="23:25" x14ac:dyDescent="0.25">
      <c r="W3392" s="214" t="s">
        <v>258</v>
      </c>
      <c r="X3392" s="214" t="s">
        <v>5901</v>
      </c>
      <c r="Y3392" s="220">
        <v>4</v>
      </c>
    </row>
    <row r="3393" spans="23:25" x14ac:dyDescent="0.25">
      <c r="W3393" s="214" t="s">
        <v>258</v>
      </c>
      <c r="X3393" s="214" t="s">
        <v>3518</v>
      </c>
      <c r="Y3393" s="220">
        <v>3</v>
      </c>
    </row>
    <row r="3394" spans="23:25" x14ac:dyDescent="0.25">
      <c r="W3394" s="214" t="s">
        <v>258</v>
      </c>
      <c r="X3394" s="214" t="s">
        <v>3519</v>
      </c>
      <c r="Y3394" s="220">
        <v>6</v>
      </c>
    </row>
    <row r="3395" spans="23:25" x14ac:dyDescent="0.25">
      <c r="W3395" s="214" t="s">
        <v>258</v>
      </c>
      <c r="X3395" s="214" t="s">
        <v>3520</v>
      </c>
      <c r="Y3395" s="220">
        <v>4</v>
      </c>
    </row>
    <row r="3396" spans="23:25" x14ac:dyDescent="0.25">
      <c r="W3396" s="214" t="s">
        <v>258</v>
      </c>
      <c r="X3396" s="214" t="s">
        <v>3521</v>
      </c>
      <c r="Y3396" s="220">
        <v>3</v>
      </c>
    </row>
    <row r="3397" spans="23:25" x14ac:dyDescent="0.25">
      <c r="W3397" s="214" t="s">
        <v>258</v>
      </c>
      <c r="X3397" s="214" t="s">
        <v>3522</v>
      </c>
      <c r="Y3397" s="220">
        <v>6</v>
      </c>
    </row>
    <row r="3398" spans="23:25" x14ac:dyDescent="0.25">
      <c r="W3398" s="214" t="s">
        <v>258</v>
      </c>
      <c r="X3398" s="214" t="s">
        <v>3523</v>
      </c>
      <c r="Y3398" s="220">
        <v>4</v>
      </c>
    </row>
    <row r="3399" spans="23:25" x14ac:dyDescent="0.25">
      <c r="W3399" s="214" t="s">
        <v>258</v>
      </c>
      <c r="X3399" s="214" t="s">
        <v>3524</v>
      </c>
      <c r="Y3399" s="220">
        <v>4</v>
      </c>
    </row>
    <row r="3400" spans="23:25" x14ac:dyDescent="0.25">
      <c r="W3400" s="214" t="s">
        <v>274</v>
      </c>
      <c r="X3400" s="214" t="s">
        <v>3525</v>
      </c>
      <c r="Y3400" s="220">
        <v>3</v>
      </c>
    </row>
    <row r="3401" spans="23:25" x14ac:dyDescent="0.25">
      <c r="W3401" s="214" t="s">
        <v>1978</v>
      </c>
      <c r="X3401" s="214" t="s">
        <v>3526</v>
      </c>
      <c r="Y3401" s="220">
        <v>5</v>
      </c>
    </row>
    <row r="3402" spans="23:25" x14ac:dyDescent="0.25">
      <c r="W3402" s="214" t="s">
        <v>258</v>
      </c>
      <c r="X3402" s="214" t="s">
        <v>3527</v>
      </c>
      <c r="Y3402" s="220">
        <v>4</v>
      </c>
    </row>
    <row r="3403" spans="23:25" x14ac:dyDescent="0.25">
      <c r="W3403" s="214" t="s">
        <v>258</v>
      </c>
      <c r="X3403" s="214" t="s">
        <v>3528</v>
      </c>
      <c r="Y3403" s="220">
        <v>4</v>
      </c>
    </row>
    <row r="3404" spans="23:25" x14ac:dyDescent="0.25">
      <c r="W3404" s="214" t="s">
        <v>258</v>
      </c>
      <c r="X3404" s="214" t="s">
        <v>3529</v>
      </c>
      <c r="Y3404" s="220">
        <v>3</v>
      </c>
    </row>
    <row r="3405" spans="23:25" x14ac:dyDescent="0.25">
      <c r="W3405" s="214" t="s">
        <v>258</v>
      </c>
      <c r="X3405" s="214" t="s">
        <v>3530</v>
      </c>
      <c r="Y3405" s="220">
        <v>4</v>
      </c>
    </row>
    <row r="3406" spans="23:25" x14ac:dyDescent="0.25">
      <c r="W3406" s="214" t="s">
        <v>274</v>
      </c>
      <c r="X3406" s="214" t="s">
        <v>3531</v>
      </c>
      <c r="Y3406" s="220">
        <v>3</v>
      </c>
    </row>
    <row r="3407" spans="23:25" x14ac:dyDescent="0.25">
      <c r="W3407" s="214" t="s">
        <v>258</v>
      </c>
      <c r="X3407" s="214" t="s">
        <v>3532</v>
      </c>
      <c r="Y3407" s="220">
        <v>4</v>
      </c>
    </row>
    <row r="3408" spans="23:25" x14ac:dyDescent="0.25">
      <c r="W3408" s="214" t="s">
        <v>258</v>
      </c>
      <c r="X3408" s="214" t="s">
        <v>3533</v>
      </c>
      <c r="Y3408" s="220">
        <v>4</v>
      </c>
    </row>
    <row r="3409" spans="23:25" x14ac:dyDescent="0.25">
      <c r="W3409" s="214" t="s">
        <v>274</v>
      </c>
      <c r="X3409" s="214" t="s">
        <v>3534</v>
      </c>
      <c r="Y3409" s="220">
        <v>3</v>
      </c>
    </row>
    <row r="3410" spans="23:25" x14ac:dyDescent="0.25">
      <c r="W3410" s="214" t="s">
        <v>258</v>
      </c>
      <c r="X3410" s="214" t="s">
        <v>3535</v>
      </c>
      <c r="Y3410" s="220">
        <v>6</v>
      </c>
    </row>
    <row r="3411" spans="23:25" x14ac:dyDescent="0.25">
      <c r="W3411" s="214" t="s">
        <v>274</v>
      </c>
      <c r="X3411" s="214" t="s">
        <v>3536</v>
      </c>
      <c r="Y3411" s="220">
        <v>3</v>
      </c>
    </row>
    <row r="3412" spans="23:25" x14ac:dyDescent="0.25">
      <c r="W3412" s="214" t="s">
        <v>258</v>
      </c>
      <c r="X3412" s="214" t="s">
        <v>3537</v>
      </c>
      <c r="Y3412" s="220">
        <v>3</v>
      </c>
    </row>
    <row r="3413" spans="23:25" x14ac:dyDescent="0.25">
      <c r="W3413" s="214" t="s">
        <v>274</v>
      </c>
      <c r="X3413" s="214" t="s">
        <v>3538</v>
      </c>
      <c r="Y3413" s="220">
        <v>3</v>
      </c>
    </row>
    <row r="3414" spans="23:25" x14ac:dyDescent="0.25">
      <c r="W3414" s="214" t="s">
        <v>258</v>
      </c>
      <c r="X3414" s="214" t="s">
        <v>3539</v>
      </c>
      <c r="Y3414" s="220">
        <v>6</v>
      </c>
    </row>
    <row r="3415" spans="23:25" x14ac:dyDescent="0.25">
      <c r="W3415" s="214" t="s">
        <v>258</v>
      </c>
      <c r="X3415" s="214" t="s">
        <v>3540</v>
      </c>
      <c r="Y3415" s="220">
        <v>4</v>
      </c>
    </row>
    <row r="3416" spans="23:25" x14ac:dyDescent="0.25">
      <c r="W3416" s="214" t="s">
        <v>258</v>
      </c>
      <c r="X3416" s="214" t="s">
        <v>3541</v>
      </c>
      <c r="Y3416" s="220">
        <v>4</v>
      </c>
    </row>
    <row r="3417" spans="23:25" x14ac:dyDescent="0.25">
      <c r="W3417" s="214" t="s">
        <v>274</v>
      </c>
      <c r="X3417" s="214" t="s">
        <v>3542</v>
      </c>
      <c r="Y3417" s="220">
        <v>3</v>
      </c>
    </row>
    <row r="3418" spans="23:25" x14ac:dyDescent="0.25">
      <c r="W3418" s="214" t="s">
        <v>1978</v>
      </c>
      <c r="X3418" s="214" t="s">
        <v>3014</v>
      </c>
      <c r="Y3418" s="220">
        <v>3</v>
      </c>
    </row>
    <row r="3419" spans="23:25" x14ac:dyDescent="0.25">
      <c r="W3419" s="214" t="s">
        <v>274</v>
      </c>
      <c r="X3419" s="214" t="s">
        <v>3543</v>
      </c>
      <c r="Y3419" s="220">
        <v>3</v>
      </c>
    </row>
    <row r="3420" spans="23:25" x14ac:dyDescent="0.25">
      <c r="W3420" s="214" t="s">
        <v>258</v>
      </c>
      <c r="X3420" s="214" t="s">
        <v>2461</v>
      </c>
      <c r="Y3420" s="220">
        <v>3</v>
      </c>
    </row>
    <row r="3421" spans="23:25" x14ac:dyDescent="0.25">
      <c r="W3421" s="214" t="s">
        <v>274</v>
      </c>
      <c r="X3421" s="214" t="s">
        <v>3544</v>
      </c>
      <c r="Y3421" s="220">
        <v>3</v>
      </c>
    </row>
    <row r="3422" spans="23:25" x14ac:dyDescent="0.25">
      <c r="W3422" s="214" t="s">
        <v>258</v>
      </c>
      <c r="X3422" s="214" t="s">
        <v>3545</v>
      </c>
      <c r="Y3422" s="220">
        <v>3</v>
      </c>
    </row>
    <row r="3423" spans="23:25" x14ac:dyDescent="0.25">
      <c r="W3423" s="214" t="s">
        <v>274</v>
      </c>
      <c r="X3423" s="214" t="s">
        <v>3546</v>
      </c>
      <c r="Y3423" s="220">
        <v>3</v>
      </c>
    </row>
    <row r="3424" spans="23:25" x14ac:dyDescent="0.25">
      <c r="W3424" s="214" t="s">
        <v>258</v>
      </c>
      <c r="X3424" s="214" t="s">
        <v>3547</v>
      </c>
      <c r="Y3424" s="220">
        <v>4</v>
      </c>
    </row>
    <row r="3425" spans="23:25" x14ac:dyDescent="0.25">
      <c r="W3425" s="214" t="s">
        <v>274</v>
      </c>
      <c r="X3425" s="214" t="s">
        <v>3548</v>
      </c>
      <c r="Y3425" s="220">
        <v>4</v>
      </c>
    </row>
    <row r="3426" spans="23:25" x14ac:dyDescent="0.25">
      <c r="W3426" s="214" t="s">
        <v>258</v>
      </c>
      <c r="X3426" s="214" t="s">
        <v>3549</v>
      </c>
      <c r="Y3426" s="220">
        <v>5</v>
      </c>
    </row>
    <row r="3427" spans="23:25" x14ac:dyDescent="0.25">
      <c r="W3427" s="214" t="s">
        <v>258</v>
      </c>
      <c r="X3427" s="214" t="s">
        <v>3550</v>
      </c>
      <c r="Y3427" s="220">
        <v>4</v>
      </c>
    </row>
    <row r="3428" spans="23:25" x14ac:dyDescent="0.25">
      <c r="W3428" s="214" t="s">
        <v>258</v>
      </c>
      <c r="X3428" s="214" t="s">
        <v>3551</v>
      </c>
      <c r="Y3428" s="220">
        <v>4</v>
      </c>
    </row>
    <row r="3429" spans="23:25" x14ac:dyDescent="0.25">
      <c r="W3429" s="214" t="s">
        <v>274</v>
      </c>
      <c r="X3429" s="214" t="s">
        <v>3552</v>
      </c>
      <c r="Y3429" s="220">
        <v>4</v>
      </c>
    </row>
    <row r="3430" spans="23:25" x14ac:dyDescent="0.25">
      <c r="W3430" s="214" t="s">
        <v>258</v>
      </c>
      <c r="X3430" s="214" t="s">
        <v>3553</v>
      </c>
      <c r="Y3430" s="220">
        <v>4</v>
      </c>
    </row>
    <row r="3431" spans="23:25" x14ac:dyDescent="0.25">
      <c r="W3431" s="214" t="s">
        <v>258</v>
      </c>
      <c r="X3431" s="214" t="s">
        <v>3554</v>
      </c>
      <c r="Y3431" s="220">
        <v>4</v>
      </c>
    </row>
    <row r="3432" spans="23:25" x14ac:dyDescent="0.25">
      <c r="W3432" s="214" t="s">
        <v>258</v>
      </c>
      <c r="X3432" s="214" t="s">
        <v>3555</v>
      </c>
      <c r="Y3432" s="220">
        <v>3</v>
      </c>
    </row>
    <row r="3433" spans="23:25" x14ac:dyDescent="0.25">
      <c r="W3433" s="214" t="s">
        <v>239</v>
      </c>
      <c r="X3433" s="214" t="s">
        <v>3556</v>
      </c>
      <c r="Y3433" s="220">
        <v>3</v>
      </c>
    </row>
    <row r="3434" spans="23:25" x14ac:dyDescent="0.25">
      <c r="W3434" s="214" t="s">
        <v>258</v>
      </c>
      <c r="X3434" s="214" t="s">
        <v>3557</v>
      </c>
      <c r="Y3434" s="220">
        <v>4</v>
      </c>
    </row>
    <row r="3435" spans="23:25" x14ac:dyDescent="0.25">
      <c r="W3435" s="214" t="s">
        <v>258</v>
      </c>
      <c r="X3435" s="214" t="s">
        <v>3558</v>
      </c>
      <c r="Y3435" s="220">
        <v>3</v>
      </c>
    </row>
    <row r="3436" spans="23:25" x14ac:dyDescent="0.25">
      <c r="W3436" s="214" t="s">
        <v>258</v>
      </c>
      <c r="X3436" s="214" t="s">
        <v>3559</v>
      </c>
      <c r="Y3436" s="220">
        <v>3</v>
      </c>
    </row>
    <row r="3437" spans="23:25" x14ac:dyDescent="0.25">
      <c r="W3437" s="214" t="s">
        <v>258</v>
      </c>
      <c r="X3437" s="214" t="s">
        <v>2717</v>
      </c>
      <c r="Y3437" s="220">
        <v>4</v>
      </c>
    </row>
    <row r="3438" spans="23:25" x14ac:dyDescent="0.25">
      <c r="W3438" s="214" t="s">
        <v>274</v>
      </c>
      <c r="X3438" s="214" t="s">
        <v>3560</v>
      </c>
      <c r="Y3438" s="220">
        <v>4</v>
      </c>
    </row>
    <row r="3439" spans="23:25" x14ac:dyDescent="0.25">
      <c r="W3439" s="214" t="s">
        <v>258</v>
      </c>
      <c r="X3439" s="214" t="s">
        <v>3561</v>
      </c>
      <c r="Y3439" s="220">
        <v>4</v>
      </c>
    </row>
    <row r="3440" spans="23:25" x14ac:dyDescent="0.25">
      <c r="W3440" s="214" t="s">
        <v>274</v>
      </c>
      <c r="X3440" s="214" t="s">
        <v>3562</v>
      </c>
      <c r="Y3440" s="220">
        <v>4</v>
      </c>
    </row>
    <row r="3441" spans="23:25" x14ac:dyDescent="0.25">
      <c r="W3441" s="214" t="s">
        <v>258</v>
      </c>
      <c r="X3441" s="214" t="s">
        <v>3563</v>
      </c>
      <c r="Y3441" s="220">
        <v>4</v>
      </c>
    </row>
    <row r="3442" spans="23:25" x14ac:dyDescent="0.25">
      <c r="W3442" s="214" t="s">
        <v>274</v>
      </c>
      <c r="X3442" s="214" t="s">
        <v>3564</v>
      </c>
      <c r="Y3442" s="220">
        <v>3</v>
      </c>
    </row>
    <row r="3443" spans="23:25" x14ac:dyDescent="0.25">
      <c r="W3443" s="214" t="s">
        <v>258</v>
      </c>
      <c r="X3443" s="214" t="s">
        <v>3565</v>
      </c>
      <c r="Y3443" s="220">
        <v>3</v>
      </c>
    </row>
    <row r="3444" spans="23:25" x14ac:dyDescent="0.25">
      <c r="W3444" s="214" t="s">
        <v>258</v>
      </c>
      <c r="X3444" s="214" t="s">
        <v>3566</v>
      </c>
      <c r="Y3444" s="220">
        <v>6</v>
      </c>
    </row>
    <row r="3445" spans="23:25" x14ac:dyDescent="0.25">
      <c r="W3445" s="214" t="s">
        <v>258</v>
      </c>
      <c r="X3445" s="214" t="s">
        <v>3567</v>
      </c>
      <c r="Y3445" s="220">
        <v>4</v>
      </c>
    </row>
    <row r="3446" spans="23:25" x14ac:dyDescent="0.25">
      <c r="W3446" s="214" t="s">
        <v>258</v>
      </c>
      <c r="X3446" s="214" t="s">
        <v>3568</v>
      </c>
      <c r="Y3446" s="220">
        <v>3</v>
      </c>
    </row>
    <row r="3447" spans="23:25" x14ac:dyDescent="0.25">
      <c r="W3447" s="214" t="s">
        <v>258</v>
      </c>
      <c r="X3447" s="214" t="s">
        <v>3569</v>
      </c>
      <c r="Y3447" s="220">
        <v>3</v>
      </c>
    </row>
    <row r="3448" spans="23:25" x14ac:dyDescent="0.25">
      <c r="W3448" s="214" t="s">
        <v>258</v>
      </c>
      <c r="X3448" s="214" t="s">
        <v>2895</v>
      </c>
      <c r="Y3448" s="220">
        <v>5</v>
      </c>
    </row>
    <row r="3449" spans="23:25" x14ac:dyDescent="0.25">
      <c r="W3449" s="214" t="s">
        <v>258</v>
      </c>
      <c r="X3449" s="214" t="s">
        <v>3570</v>
      </c>
      <c r="Y3449" s="220">
        <v>4</v>
      </c>
    </row>
    <row r="3450" spans="23:25" x14ac:dyDescent="0.25">
      <c r="W3450" s="214" t="s">
        <v>258</v>
      </c>
      <c r="X3450" s="214" t="s">
        <v>3571</v>
      </c>
      <c r="Y3450" s="220">
        <v>6</v>
      </c>
    </row>
    <row r="3451" spans="23:25" x14ac:dyDescent="0.25">
      <c r="W3451" s="214" t="s">
        <v>239</v>
      </c>
      <c r="X3451" s="214" t="s">
        <v>3572</v>
      </c>
      <c r="Y3451" s="220">
        <v>3</v>
      </c>
    </row>
    <row r="3452" spans="23:25" x14ac:dyDescent="0.25">
      <c r="W3452" s="214" t="s">
        <v>258</v>
      </c>
      <c r="X3452" s="214" t="s">
        <v>3573</v>
      </c>
      <c r="Y3452" s="220">
        <v>6</v>
      </c>
    </row>
    <row r="3453" spans="23:25" x14ac:dyDescent="0.25">
      <c r="W3453" s="214" t="s">
        <v>258</v>
      </c>
      <c r="X3453" s="214" t="s">
        <v>3574</v>
      </c>
      <c r="Y3453" s="220">
        <v>6</v>
      </c>
    </row>
    <row r="3454" spans="23:25" x14ac:dyDescent="0.25">
      <c r="W3454" s="214" t="s">
        <v>258</v>
      </c>
      <c r="X3454" s="214" t="s">
        <v>3575</v>
      </c>
      <c r="Y3454" s="220">
        <v>4</v>
      </c>
    </row>
    <row r="3455" spans="23:25" x14ac:dyDescent="0.25">
      <c r="W3455" s="214" t="s">
        <v>258</v>
      </c>
      <c r="X3455" s="214" t="s">
        <v>3576</v>
      </c>
      <c r="Y3455" s="220">
        <v>6</v>
      </c>
    </row>
    <row r="3456" spans="23:25" x14ac:dyDescent="0.25">
      <c r="W3456" s="214" t="s">
        <v>274</v>
      </c>
      <c r="X3456" s="214" t="s">
        <v>3577</v>
      </c>
      <c r="Y3456" s="220">
        <v>3</v>
      </c>
    </row>
    <row r="3457" spans="23:25" x14ac:dyDescent="0.25">
      <c r="W3457" s="214" t="s">
        <v>258</v>
      </c>
      <c r="X3457" s="214" t="s">
        <v>3578</v>
      </c>
      <c r="Y3457" s="220">
        <v>6</v>
      </c>
    </row>
    <row r="3458" spans="23:25" x14ac:dyDescent="0.25">
      <c r="W3458" s="214" t="s">
        <v>258</v>
      </c>
      <c r="X3458" s="214" t="s">
        <v>3579</v>
      </c>
      <c r="Y3458" s="220">
        <v>4</v>
      </c>
    </row>
    <row r="3459" spans="23:25" x14ac:dyDescent="0.25">
      <c r="W3459" s="214" t="s">
        <v>258</v>
      </c>
      <c r="X3459" s="214" t="s">
        <v>3580</v>
      </c>
      <c r="Y3459" s="220">
        <v>6</v>
      </c>
    </row>
    <row r="3460" spans="23:25" x14ac:dyDescent="0.25">
      <c r="W3460" s="214" t="s">
        <v>258</v>
      </c>
      <c r="X3460" s="214" t="s">
        <v>307</v>
      </c>
      <c r="Y3460" s="220">
        <v>4</v>
      </c>
    </row>
    <row r="3461" spans="23:25" x14ac:dyDescent="0.25">
      <c r="W3461" s="214" t="s">
        <v>274</v>
      </c>
      <c r="X3461" s="214" t="s">
        <v>3581</v>
      </c>
      <c r="Y3461" s="220">
        <v>3</v>
      </c>
    </row>
    <row r="3462" spans="23:25" x14ac:dyDescent="0.25">
      <c r="W3462" s="214" t="s">
        <v>258</v>
      </c>
      <c r="X3462" s="214" t="s">
        <v>3582</v>
      </c>
      <c r="Y3462" s="220">
        <v>4</v>
      </c>
    </row>
    <row r="3463" spans="23:25" x14ac:dyDescent="0.25">
      <c r="W3463" s="214" t="s">
        <v>258</v>
      </c>
      <c r="X3463" s="214" t="s">
        <v>3583</v>
      </c>
      <c r="Y3463" s="220">
        <v>4</v>
      </c>
    </row>
    <row r="3464" spans="23:25" x14ac:dyDescent="0.25">
      <c r="W3464" s="214" t="s">
        <v>258</v>
      </c>
      <c r="X3464" s="214" t="s">
        <v>3584</v>
      </c>
      <c r="Y3464" s="220">
        <v>3</v>
      </c>
    </row>
    <row r="3465" spans="23:25" x14ac:dyDescent="0.25">
      <c r="W3465" s="214" t="s">
        <v>258</v>
      </c>
      <c r="X3465" s="214" t="s">
        <v>3585</v>
      </c>
      <c r="Y3465" s="220">
        <v>3</v>
      </c>
    </row>
    <row r="3466" spans="23:25" x14ac:dyDescent="0.25">
      <c r="W3466" s="214" t="s">
        <v>239</v>
      </c>
      <c r="X3466" s="214" t="s">
        <v>3586</v>
      </c>
      <c r="Y3466" s="220">
        <v>3</v>
      </c>
    </row>
    <row r="3467" spans="23:25" x14ac:dyDescent="0.25">
      <c r="W3467" s="214" t="s">
        <v>1978</v>
      </c>
      <c r="X3467" s="214" t="s">
        <v>3587</v>
      </c>
      <c r="Y3467" s="220">
        <v>6</v>
      </c>
    </row>
    <row r="3468" spans="23:25" x14ac:dyDescent="0.25">
      <c r="W3468" s="214" t="s">
        <v>258</v>
      </c>
      <c r="X3468" s="214" t="s">
        <v>3588</v>
      </c>
      <c r="Y3468" s="220">
        <v>4</v>
      </c>
    </row>
    <row r="3469" spans="23:25" x14ac:dyDescent="0.25">
      <c r="W3469" s="214" t="s">
        <v>239</v>
      </c>
      <c r="X3469" s="214" t="s">
        <v>3589</v>
      </c>
      <c r="Y3469" s="220">
        <v>3</v>
      </c>
    </row>
    <row r="3470" spans="23:25" x14ac:dyDescent="0.25">
      <c r="W3470" s="214" t="s">
        <v>258</v>
      </c>
      <c r="X3470" s="214" t="s">
        <v>3590</v>
      </c>
      <c r="Y3470" s="220">
        <v>4</v>
      </c>
    </row>
    <row r="3471" spans="23:25" x14ac:dyDescent="0.25">
      <c r="W3471" s="214" t="s">
        <v>258</v>
      </c>
      <c r="X3471" s="214" t="s">
        <v>3591</v>
      </c>
      <c r="Y3471" s="220">
        <v>3</v>
      </c>
    </row>
    <row r="3472" spans="23:25" x14ac:dyDescent="0.25">
      <c r="W3472" s="214" t="s">
        <v>258</v>
      </c>
      <c r="X3472" s="214" t="s">
        <v>3592</v>
      </c>
      <c r="Y3472" s="220">
        <v>4</v>
      </c>
    </row>
    <row r="3473" spans="23:25" x14ac:dyDescent="0.25">
      <c r="W3473" s="214" t="s">
        <v>274</v>
      </c>
      <c r="X3473" s="214" t="s">
        <v>3593</v>
      </c>
      <c r="Y3473" s="220">
        <v>3</v>
      </c>
    </row>
    <row r="3474" spans="23:25" x14ac:dyDescent="0.25">
      <c r="W3474" s="214" t="s">
        <v>258</v>
      </c>
      <c r="X3474" s="214" t="s">
        <v>3594</v>
      </c>
      <c r="Y3474" s="220">
        <v>4</v>
      </c>
    </row>
    <row r="3475" spans="23:25" x14ac:dyDescent="0.25">
      <c r="W3475" s="214" t="s">
        <v>274</v>
      </c>
      <c r="X3475" s="214" t="s">
        <v>3595</v>
      </c>
      <c r="Y3475" s="220">
        <v>3</v>
      </c>
    </row>
    <row r="3476" spans="23:25" x14ac:dyDescent="0.25">
      <c r="W3476" s="214" t="s">
        <v>239</v>
      </c>
      <c r="X3476" s="214" t="s">
        <v>3596</v>
      </c>
      <c r="Y3476" s="220">
        <v>3</v>
      </c>
    </row>
    <row r="3477" spans="23:25" x14ac:dyDescent="0.25">
      <c r="W3477" s="214" t="s">
        <v>258</v>
      </c>
      <c r="X3477" s="214" t="s">
        <v>3597</v>
      </c>
      <c r="Y3477" s="220">
        <v>4</v>
      </c>
    </row>
    <row r="3478" spans="23:25" x14ac:dyDescent="0.25">
      <c r="W3478" s="214" t="s">
        <v>258</v>
      </c>
      <c r="X3478" s="214" t="s">
        <v>3598</v>
      </c>
      <c r="Y3478" s="220">
        <v>6</v>
      </c>
    </row>
    <row r="3479" spans="23:25" x14ac:dyDescent="0.25">
      <c r="W3479" s="214" t="s">
        <v>274</v>
      </c>
      <c r="X3479" s="214" t="s">
        <v>3599</v>
      </c>
      <c r="Y3479" s="220">
        <v>2</v>
      </c>
    </row>
    <row r="3480" spans="23:25" x14ac:dyDescent="0.25">
      <c r="W3480" s="214" t="s">
        <v>258</v>
      </c>
      <c r="X3480" s="214" t="s">
        <v>3600</v>
      </c>
      <c r="Y3480" s="220">
        <v>3</v>
      </c>
    </row>
    <row r="3481" spans="23:25" x14ac:dyDescent="0.25">
      <c r="W3481" s="214" t="s">
        <v>258</v>
      </c>
      <c r="X3481" s="214" t="s">
        <v>3601</v>
      </c>
      <c r="Y3481" s="220">
        <v>6</v>
      </c>
    </row>
    <row r="3482" spans="23:25" x14ac:dyDescent="0.25">
      <c r="W3482" s="214" t="s">
        <v>258</v>
      </c>
      <c r="X3482" s="214" t="s">
        <v>3602</v>
      </c>
      <c r="Y3482" s="220">
        <v>4</v>
      </c>
    </row>
    <row r="3483" spans="23:25" x14ac:dyDescent="0.25">
      <c r="W3483" s="214" t="s">
        <v>258</v>
      </c>
      <c r="X3483" s="214" t="s">
        <v>3603</v>
      </c>
      <c r="Y3483" s="220">
        <v>4</v>
      </c>
    </row>
    <row r="3484" spans="23:25" x14ac:dyDescent="0.25">
      <c r="W3484" s="214" t="s">
        <v>239</v>
      </c>
      <c r="X3484" s="214" t="s">
        <v>3604</v>
      </c>
      <c r="Y3484" s="220">
        <v>3</v>
      </c>
    </row>
    <row r="3485" spans="23:25" x14ac:dyDescent="0.25">
      <c r="W3485" s="214" t="s">
        <v>274</v>
      </c>
      <c r="X3485" s="214" t="s">
        <v>3605</v>
      </c>
      <c r="Y3485" s="220">
        <v>4</v>
      </c>
    </row>
    <row r="3486" spans="23:25" x14ac:dyDescent="0.25">
      <c r="W3486" s="214" t="s">
        <v>258</v>
      </c>
      <c r="X3486" s="214" t="s">
        <v>3606</v>
      </c>
      <c r="Y3486" s="220">
        <v>4</v>
      </c>
    </row>
    <row r="3487" spans="23:25" x14ac:dyDescent="0.25">
      <c r="W3487" s="214" t="s">
        <v>258</v>
      </c>
      <c r="X3487" s="214" t="s">
        <v>3607</v>
      </c>
      <c r="Y3487" s="220">
        <v>4</v>
      </c>
    </row>
    <row r="3488" spans="23:25" x14ac:dyDescent="0.25">
      <c r="W3488" s="214" t="s">
        <v>239</v>
      </c>
      <c r="X3488" s="214" t="s">
        <v>3608</v>
      </c>
      <c r="Y3488" s="220">
        <v>3</v>
      </c>
    </row>
    <row r="3489" spans="23:25" x14ac:dyDescent="0.25">
      <c r="W3489" s="214" t="s">
        <v>274</v>
      </c>
      <c r="X3489" s="214" t="s">
        <v>3609</v>
      </c>
      <c r="Y3489" s="220">
        <v>6</v>
      </c>
    </row>
    <row r="3490" spans="23:25" x14ac:dyDescent="0.25">
      <c r="W3490" s="214" t="s">
        <v>258</v>
      </c>
      <c r="X3490" s="214" t="s">
        <v>3610</v>
      </c>
      <c r="Y3490" s="220">
        <v>3</v>
      </c>
    </row>
    <row r="3491" spans="23:25" x14ac:dyDescent="0.25">
      <c r="W3491" s="214" t="s">
        <v>258</v>
      </c>
      <c r="X3491" s="214" t="s">
        <v>3611</v>
      </c>
      <c r="Y3491" s="220">
        <v>6</v>
      </c>
    </row>
    <row r="3492" spans="23:25" x14ac:dyDescent="0.25">
      <c r="W3492" s="214" t="s">
        <v>274</v>
      </c>
      <c r="X3492" s="214" t="s">
        <v>3612</v>
      </c>
      <c r="Y3492" s="220">
        <v>2</v>
      </c>
    </row>
    <row r="3493" spans="23:25" x14ac:dyDescent="0.25">
      <c r="W3493" s="214" t="s">
        <v>258</v>
      </c>
      <c r="X3493" s="214" t="s">
        <v>3613</v>
      </c>
      <c r="Y3493" s="220">
        <v>6</v>
      </c>
    </row>
    <row r="3494" spans="23:25" x14ac:dyDescent="0.25">
      <c r="W3494" s="214" t="s">
        <v>274</v>
      </c>
      <c r="X3494" s="214" t="s">
        <v>3614</v>
      </c>
      <c r="Y3494" s="220">
        <v>3</v>
      </c>
    </row>
    <row r="3495" spans="23:25" x14ac:dyDescent="0.25">
      <c r="W3495" s="214" t="s">
        <v>258</v>
      </c>
      <c r="X3495" s="214" t="s">
        <v>3615</v>
      </c>
      <c r="Y3495" s="220">
        <v>6</v>
      </c>
    </row>
    <row r="3496" spans="23:25" x14ac:dyDescent="0.25">
      <c r="W3496" s="214" t="s">
        <v>239</v>
      </c>
      <c r="X3496" s="214" t="s">
        <v>3616</v>
      </c>
      <c r="Y3496" s="220">
        <v>3</v>
      </c>
    </row>
    <row r="3497" spans="23:25" x14ac:dyDescent="0.25">
      <c r="W3497" s="214" t="s">
        <v>258</v>
      </c>
      <c r="X3497" s="214" t="s">
        <v>3617</v>
      </c>
      <c r="Y3497" s="220">
        <v>5</v>
      </c>
    </row>
    <row r="3498" spans="23:25" x14ac:dyDescent="0.25">
      <c r="W3498" s="214" t="s">
        <v>258</v>
      </c>
      <c r="X3498" s="214" t="s">
        <v>3618</v>
      </c>
      <c r="Y3498" s="220">
        <v>3</v>
      </c>
    </row>
    <row r="3499" spans="23:25" x14ac:dyDescent="0.25">
      <c r="W3499" s="214" t="s">
        <v>258</v>
      </c>
      <c r="X3499" s="214" t="s">
        <v>3619</v>
      </c>
      <c r="Y3499" s="220">
        <v>6</v>
      </c>
    </row>
    <row r="3500" spans="23:25" x14ac:dyDescent="0.25">
      <c r="W3500" s="214" t="s">
        <v>239</v>
      </c>
      <c r="X3500" s="214" t="s">
        <v>3620</v>
      </c>
      <c r="Y3500" s="220">
        <v>3</v>
      </c>
    </row>
    <row r="3501" spans="23:25" x14ac:dyDescent="0.25">
      <c r="W3501" s="214" t="s">
        <v>258</v>
      </c>
      <c r="X3501" s="214" t="s">
        <v>3621</v>
      </c>
      <c r="Y3501" s="220">
        <v>6</v>
      </c>
    </row>
    <row r="3502" spans="23:25" x14ac:dyDescent="0.25">
      <c r="W3502" s="214" t="s">
        <v>274</v>
      </c>
      <c r="X3502" s="214" t="s">
        <v>3622</v>
      </c>
      <c r="Y3502" s="220">
        <v>3</v>
      </c>
    </row>
    <row r="3503" spans="23:25" x14ac:dyDescent="0.25">
      <c r="W3503" s="214" t="s">
        <v>258</v>
      </c>
      <c r="X3503" s="214" t="s">
        <v>3623</v>
      </c>
      <c r="Y3503" s="220">
        <v>3</v>
      </c>
    </row>
    <row r="3504" spans="23:25" x14ac:dyDescent="0.25">
      <c r="W3504" s="214" t="s">
        <v>258</v>
      </c>
      <c r="X3504" s="214" t="s">
        <v>3624</v>
      </c>
      <c r="Y3504" s="220">
        <v>4</v>
      </c>
    </row>
    <row r="3505" spans="23:25" x14ac:dyDescent="0.25">
      <c r="W3505" s="214" t="s">
        <v>258</v>
      </c>
      <c r="X3505" s="214" t="s">
        <v>947</v>
      </c>
      <c r="Y3505" s="220">
        <v>4</v>
      </c>
    </row>
    <row r="3506" spans="23:25" x14ac:dyDescent="0.25">
      <c r="W3506" s="214" t="s">
        <v>258</v>
      </c>
      <c r="X3506" s="214" t="s">
        <v>3625</v>
      </c>
      <c r="Y3506" s="220">
        <v>4</v>
      </c>
    </row>
    <row r="3507" spans="23:25" x14ac:dyDescent="0.25">
      <c r="W3507" s="214" t="s">
        <v>258</v>
      </c>
      <c r="X3507" s="214" t="s">
        <v>929</v>
      </c>
      <c r="Y3507" s="220">
        <v>3</v>
      </c>
    </row>
    <row r="3508" spans="23:25" x14ac:dyDescent="0.25">
      <c r="W3508" s="214" t="s">
        <v>258</v>
      </c>
      <c r="X3508" s="214" t="s">
        <v>3626</v>
      </c>
      <c r="Y3508" s="220">
        <v>4</v>
      </c>
    </row>
    <row r="3509" spans="23:25" x14ac:dyDescent="0.25">
      <c r="W3509" s="214" t="s">
        <v>258</v>
      </c>
      <c r="X3509" s="214" t="s">
        <v>3627</v>
      </c>
      <c r="Y3509" s="220">
        <v>4</v>
      </c>
    </row>
    <row r="3510" spans="23:25" x14ac:dyDescent="0.25">
      <c r="W3510" s="214" t="s">
        <v>258</v>
      </c>
      <c r="X3510" s="214" t="s">
        <v>3628</v>
      </c>
      <c r="Y3510" s="220">
        <v>6</v>
      </c>
    </row>
    <row r="3511" spans="23:25" x14ac:dyDescent="0.25">
      <c r="W3511" s="214" t="s">
        <v>258</v>
      </c>
      <c r="X3511" s="214" t="s">
        <v>3629</v>
      </c>
      <c r="Y3511" s="220">
        <v>4</v>
      </c>
    </row>
    <row r="3512" spans="23:25" x14ac:dyDescent="0.25">
      <c r="W3512" s="214" t="s">
        <v>258</v>
      </c>
      <c r="X3512" s="214" t="s">
        <v>3630</v>
      </c>
      <c r="Y3512" s="220">
        <v>3</v>
      </c>
    </row>
    <row r="3513" spans="23:25" x14ac:dyDescent="0.25">
      <c r="W3513" s="214" t="s">
        <v>258</v>
      </c>
      <c r="X3513" s="214" t="s">
        <v>3631</v>
      </c>
      <c r="Y3513" s="220">
        <v>3</v>
      </c>
    </row>
    <row r="3514" spans="23:25" x14ac:dyDescent="0.25">
      <c r="W3514" s="214" t="s">
        <v>258</v>
      </c>
      <c r="X3514" s="214" t="s">
        <v>3632</v>
      </c>
      <c r="Y3514" s="220">
        <v>4</v>
      </c>
    </row>
    <row r="3515" spans="23:25" x14ac:dyDescent="0.25">
      <c r="W3515" s="214" t="s">
        <v>258</v>
      </c>
      <c r="X3515" s="214" t="s">
        <v>3633</v>
      </c>
      <c r="Y3515" s="220">
        <v>4</v>
      </c>
    </row>
    <row r="3516" spans="23:25" x14ac:dyDescent="0.25">
      <c r="W3516" s="214" t="s">
        <v>258</v>
      </c>
      <c r="X3516" s="214" t="s">
        <v>3634</v>
      </c>
      <c r="Y3516" s="220">
        <v>3</v>
      </c>
    </row>
    <row r="3517" spans="23:25" x14ac:dyDescent="0.25">
      <c r="W3517" s="214" t="s">
        <v>258</v>
      </c>
      <c r="X3517" s="214" t="s">
        <v>3635</v>
      </c>
      <c r="Y3517" s="220">
        <v>6</v>
      </c>
    </row>
    <row r="3518" spans="23:25" x14ac:dyDescent="0.25">
      <c r="W3518" s="214" t="s">
        <v>258</v>
      </c>
      <c r="X3518" s="214" t="s">
        <v>3636</v>
      </c>
      <c r="Y3518" s="220">
        <v>6</v>
      </c>
    </row>
    <row r="3519" spans="23:25" x14ac:dyDescent="0.25">
      <c r="W3519" s="214" t="s">
        <v>258</v>
      </c>
      <c r="X3519" s="214" t="s">
        <v>3637</v>
      </c>
      <c r="Y3519" s="220">
        <v>4</v>
      </c>
    </row>
    <row r="3520" spans="23:25" x14ac:dyDescent="0.25">
      <c r="W3520" s="214" t="s">
        <v>239</v>
      </c>
      <c r="X3520" s="214" t="s">
        <v>3638</v>
      </c>
      <c r="Y3520" s="220">
        <v>3</v>
      </c>
    </row>
    <row r="3521" spans="23:25" x14ac:dyDescent="0.25">
      <c r="W3521" s="214" t="s">
        <v>274</v>
      </c>
      <c r="X3521" s="214" t="s">
        <v>3639</v>
      </c>
      <c r="Y3521" s="220">
        <v>4</v>
      </c>
    </row>
    <row r="3522" spans="23:25" x14ac:dyDescent="0.25">
      <c r="W3522" s="214" t="s">
        <v>258</v>
      </c>
      <c r="X3522" s="214" t="s">
        <v>3640</v>
      </c>
      <c r="Y3522" s="220">
        <v>6</v>
      </c>
    </row>
    <row r="3523" spans="23:25" x14ac:dyDescent="0.25">
      <c r="W3523" s="214" t="s">
        <v>258</v>
      </c>
      <c r="X3523" s="214" t="s">
        <v>3641</v>
      </c>
      <c r="Y3523" s="220">
        <v>6</v>
      </c>
    </row>
    <row r="3524" spans="23:25" x14ac:dyDescent="0.25">
      <c r="W3524" s="214" t="s">
        <v>258</v>
      </c>
      <c r="X3524" s="214" t="s">
        <v>3642</v>
      </c>
      <c r="Y3524" s="220">
        <v>6</v>
      </c>
    </row>
    <row r="3525" spans="23:25" x14ac:dyDescent="0.25">
      <c r="W3525" s="214" t="s">
        <v>258</v>
      </c>
      <c r="X3525" s="214" t="s">
        <v>3643</v>
      </c>
      <c r="Y3525" s="220">
        <v>4</v>
      </c>
    </row>
    <row r="3526" spans="23:25" x14ac:dyDescent="0.25">
      <c r="W3526" s="214" t="s">
        <v>258</v>
      </c>
      <c r="X3526" s="214" t="s">
        <v>3644</v>
      </c>
      <c r="Y3526" s="220">
        <v>4</v>
      </c>
    </row>
    <row r="3527" spans="23:25" x14ac:dyDescent="0.25">
      <c r="W3527" s="214" t="s">
        <v>258</v>
      </c>
      <c r="X3527" s="214" t="s">
        <v>3645</v>
      </c>
      <c r="Y3527" s="220">
        <v>6</v>
      </c>
    </row>
    <row r="3528" spans="23:25" x14ac:dyDescent="0.25">
      <c r="W3528" s="214" t="s">
        <v>258</v>
      </c>
      <c r="X3528" s="214" t="s">
        <v>3646</v>
      </c>
      <c r="Y3528" s="220">
        <v>4</v>
      </c>
    </row>
    <row r="3529" spans="23:25" x14ac:dyDescent="0.25">
      <c r="W3529" s="214" t="s">
        <v>258</v>
      </c>
      <c r="X3529" s="214" t="s">
        <v>3647</v>
      </c>
      <c r="Y3529" s="220">
        <v>4</v>
      </c>
    </row>
    <row r="3530" spans="23:25" x14ac:dyDescent="0.25">
      <c r="W3530" s="214" t="s">
        <v>258</v>
      </c>
      <c r="X3530" s="214" t="s">
        <v>3648</v>
      </c>
      <c r="Y3530" s="220">
        <v>6</v>
      </c>
    </row>
    <row r="3531" spans="23:25" x14ac:dyDescent="0.25">
      <c r="W3531" s="214" t="s">
        <v>258</v>
      </c>
      <c r="X3531" s="214" t="s">
        <v>3649</v>
      </c>
      <c r="Y3531" s="220">
        <v>4</v>
      </c>
    </row>
    <row r="3532" spans="23:25" x14ac:dyDescent="0.25">
      <c r="W3532" s="214" t="s">
        <v>258</v>
      </c>
      <c r="X3532" s="214" t="s">
        <v>3650</v>
      </c>
      <c r="Y3532" s="220">
        <v>6</v>
      </c>
    </row>
    <row r="3533" spans="23:25" x14ac:dyDescent="0.25">
      <c r="W3533" s="214" t="s">
        <v>258</v>
      </c>
      <c r="X3533" s="214" t="s">
        <v>3651</v>
      </c>
      <c r="Y3533" s="220">
        <v>5</v>
      </c>
    </row>
    <row r="3534" spans="23:25" x14ac:dyDescent="0.25">
      <c r="W3534" s="214" t="s">
        <v>258</v>
      </c>
      <c r="X3534" s="214" t="s">
        <v>3652</v>
      </c>
      <c r="Y3534" s="220">
        <v>3</v>
      </c>
    </row>
    <row r="3535" spans="23:25" x14ac:dyDescent="0.25">
      <c r="W3535" s="214" t="s">
        <v>258</v>
      </c>
      <c r="X3535" s="214" t="s">
        <v>3653</v>
      </c>
      <c r="Y3535" s="220">
        <v>4</v>
      </c>
    </row>
    <row r="3536" spans="23:25" x14ac:dyDescent="0.25">
      <c r="W3536" s="214" t="s">
        <v>258</v>
      </c>
      <c r="X3536" s="214" t="s">
        <v>3654</v>
      </c>
      <c r="Y3536" s="220">
        <v>6</v>
      </c>
    </row>
    <row r="3537" spans="23:25" x14ac:dyDescent="0.25">
      <c r="W3537" s="214" t="s">
        <v>258</v>
      </c>
      <c r="X3537" s="214" t="s">
        <v>3655</v>
      </c>
      <c r="Y3537" s="220">
        <v>3</v>
      </c>
    </row>
    <row r="3538" spans="23:25" x14ac:dyDescent="0.25">
      <c r="W3538" s="214" t="s">
        <v>258</v>
      </c>
      <c r="X3538" s="214" t="s">
        <v>3656</v>
      </c>
      <c r="Y3538" s="220">
        <v>4</v>
      </c>
    </row>
    <row r="3539" spans="23:25" x14ac:dyDescent="0.25">
      <c r="W3539" s="214" t="s">
        <v>258</v>
      </c>
      <c r="X3539" s="214" t="s">
        <v>3657</v>
      </c>
      <c r="Y3539" s="220">
        <v>3</v>
      </c>
    </row>
    <row r="3540" spans="23:25" x14ac:dyDescent="0.25">
      <c r="W3540" s="214" t="s">
        <v>258</v>
      </c>
      <c r="X3540" s="214" t="s">
        <v>3658</v>
      </c>
      <c r="Y3540" s="220">
        <v>6</v>
      </c>
    </row>
    <row r="3541" spans="23:25" x14ac:dyDescent="0.25">
      <c r="W3541" s="214" t="s">
        <v>258</v>
      </c>
      <c r="X3541" s="214" t="s">
        <v>3659</v>
      </c>
      <c r="Y3541" s="220">
        <v>6</v>
      </c>
    </row>
    <row r="3542" spans="23:25" x14ac:dyDescent="0.25">
      <c r="W3542" s="214" t="s">
        <v>258</v>
      </c>
      <c r="X3542" s="214" t="s">
        <v>3660</v>
      </c>
      <c r="Y3542" s="220">
        <v>5</v>
      </c>
    </row>
    <row r="3543" spans="23:25" x14ac:dyDescent="0.25">
      <c r="W3543" s="214" t="s">
        <v>258</v>
      </c>
      <c r="X3543" s="214" t="s">
        <v>3661</v>
      </c>
      <c r="Y3543" s="220">
        <v>3</v>
      </c>
    </row>
    <row r="3544" spans="23:25" x14ac:dyDescent="0.25">
      <c r="W3544" s="214" t="s">
        <v>258</v>
      </c>
      <c r="X3544" s="214" t="s">
        <v>3662</v>
      </c>
      <c r="Y3544" s="220">
        <v>3</v>
      </c>
    </row>
    <row r="3545" spans="23:25" x14ac:dyDescent="0.25">
      <c r="W3545" s="214" t="s">
        <v>258</v>
      </c>
      <c r="X3545" s="214" t="s">
        <v>3663</v>
      </c>
      <c r="Y3545" s="220">
        <v>5</v>
      </c>
    </row>
    <row r="3546" spans="23:25" x14ac:dyDescent="0.25">
      <c r="W3546" s="214" t="s">
        <v>258</v>
      </c>
      <c r="X3546" s="214" t="s">
        <v>3664</v>
      </c>
      <c r="Y3546" s="220">
        <v>6</v>
      </c>
    </row>
    <row r="3547" spans="23:25" x14ac:dyDescent="0.25">
      <c r="W3547" s="214" t="s">
        <v>258</v>
      </c>
      <c r="X3547" s="214" t="s">
        <v>3665</v>
      </c>
      <c r="Y3547" s="220">
        <v>6</v>
      </c>
    </row>
    <row r="3548" spans="23:25" x14ac:dyDescent="0.25">
      <c r="W3548" s="214" t="s">
        <v>258</v>
      </c>
      <c r="X3548" s="214" t="s">
        <v>2779</v>
      </c>
      <c r="Y3548" s="220">
        <v>4</v>
      </c>
    </row>
    <row r="3549" spans="23:25" x14ac:dyDescent="0.25">
      <c r="W3549" s="214" t="s">
        <v>258</v>
      </c>
      <c r="X3549" s="214" t="s">
        <v>3666</v>
      </c>
      <c r="Y3549" s="220">
        <v>3</v>
      </c>
    </row>
    <row r="3550" spans="23:25" x14ac:dyDescent="0.25">
      <c r="W3550" s="214" t="s">
        <v>258</v>
      </c>
      <c r="X3550" s="214" t="s">
        <v>3667</v>
      </c>
      <c r="Y3550" s="220">
        <v>6</v>
      </c>
    </row>
    <row r="3551" spans="23:25" x14ac:dyDescent="0.25">
      <c r="W3551" s="214" t="s">
        <v>274</v>
      </c>
      <c r="X3551" s="214" t="s">
        <v>3668</v>
      </c>
      <c r="Y3551" s="220">
        <v>3</v>
      </c>
    </row>
    <row r="3552" spans="23:25" x14ac:dyDescent="0.25">
      <c r="W3552" s="214" t="s">
        <v>258</v>
      </c>
      <c r="X3552" s="214" t="s">
        <v>3669</v>
      </c>
      <c r="Y3552" s="220">
        <v>3</v>
      </c>
    </row>
    <row r="3553" spans="23:25" x14ac:dyDescent="0.25">
      <c r="W3553" s="214" t="s">
        <v>1978</v>
      </c>
      <c r="X3553" s="214" t="s">
        <v>3670</v>
      </c>
      <c r="Y3553" s="220">
        <v>3</v>
      </c>
    </row>
    <row r="3554" spans="23:25" x14ac:dyDescent="0.25">
      <c r="W3554" s="214" t="s">
        <v>258</v>
      </c>
      <c r="X3554" s="214" t="s">
        <v>3671</v>
      </c>
      <c r="Y3554" s="220">
        <v>3</v>
      </c>
    </row>
    <row r="3555" spans="23:25" x14ac:dyDescent="0.25">
      <c r="W3555" s="214" t="s">
        <v>239</v>
      </c>
      <c r="X3555" s="214" t="s">
        <v>3672</v>
      </c>
      <c r="Y3555" s="220">
        <v>3</v>
      </c>
    </row>
    <row r="3556" spans="23:25" x14ac:dyDescent="0.25">
      <c r="W3556" s="214" t="s">
        <v>274</v>
      </c>
      <c r="X3556" s="214" t="s">
        <v>3673</v>
      </c>
      <c r="Y3556" s="220">
        <v>3</v>
      </c>
    </row>
    <row r="3557" spans="23:25" x14ac:dyDescent="0.25">
      <c r="W3557" s="214" t="s">
        <v>258</v>
      </c>
      <c r="X3557" s="214" t="s">
        <v>3674</v>
      </c>
      <c r="Y3557" s="220">
        <v>6</v>
      </c>
    </row>
    <row r="3558" spans="23:25" x14ac:dyDescent="0.25">
      <c r="W3558" s="214" t="s">
        <v>258</v>
      </c>
      <c r="X3558" s="214" t="s">
        <v>3675</v>
      </c>
      <c r="Y3558" s="220">
        <v>4</v>
      </c>
    </row>
    <row r="3559" spans="23:25" x14ac:dyDescent="0.25">
      <c r="W3559" s="214" t="s">
        <v>258</v>
      </c>
      <c r="X3559" s="214" t="s">
        <v>3676</v>
      </c>
      <c r="Y3559" s="220">
        <v>6</v>
      </c>
    </row>
    <row r="3560" spans="23:25" x14ac:dyDescent="0.25">
      <c r="W3560" s="214" t="s">
        <v>274</v>
      </c>
      <c r="X3560" s="214" t="s">
        <v>3677</v>
      </c>
      <c r="Y3560" s="220">
        <v>3</v>
      </c>
    </row>
    <row r="3561" spans="23:25" x14ac:dyDescent="0.25">
      <c r="W3561" s="214" t="s">
        <v>274</v>
      </c>
      <c r="X3561" s="214" t="s">
        <v>3678</v>
      </c>
      <c r="Y3561" s="220">
        <v>4</v>
      </c>
    </row>
    <row r="3562" spans="23:25" x14ac:dyDescent="0.25">
      <c r="W3562" s="214" t="s">
        <v>274</v>
      </c>
      <c r="X3562" s="214" t="s">
        <v>3679</v>
      </c>
      <c r="Y3562" s="220">
        <v>2</v>
      </c>
    </row>
    <row r="3563" spans="23:25" x14ac:dyDescent="0.25">
      <c r="W3563" s="214" t="s">
        <v>258</v>
      </c>
      <c r="X3563" s="214" t="s">
        <v>3680</v>
      </c>
      <c r="Y3563" s="220">
        <v>3</v>
      </c>
    </row>
    <row r="3564" spans="23:25" x14ac:dyDescent="0.25">
      <c r="W3564" s="214" t="s">
        <v>258</v>
      </c>
      <c r="X3564" s="214" t="s">
        <v>3681</v>
      </c>
      <c r="Y3564" s="220">
        <v>3</v>
      </c>
    </row>
    <row r="3565" spans="23:25" x14ac:dyDescent="0.25">
      <c r="W3565" s="214" t="s">
        <v>258</v>
      </c>
      <c r="X3565" s="214" t="s">
        <v>3682</v>
      </c>
      <c r="Y3565" s="220">
        <v>6</v>
      </c>
    </row>
    <row r="3566" spans="23:25" x14ac:dyDescent="0.25">
      <c r="W3566" s="214" t="s">
        <v>258</v>
      </c>
      <c r="X3566" s="214" t="s">
        <v>3683</v>
      </c>
      <c r="Y3566" s="220">
        <v>3</v>
      </c>
    </row>
    <row r="3567" spans="23:25" x14ac:dyDescent="0.25">
      <c r="W3567" s="214" t="s">
        <v>258</v>
      </c>
      <c r="X3567" s="214" t="s">
        <v>3684</v>
      </c>
      <c r="Y3567" s="220">
        <v>6</v>
      </c>
    </row>
    <row r="3568" spans="23:25" x14ac:dyDescent="0.25">
      <c r="W3568" s="214" t="s">
        <v>258</v>
      </c>
      <c r="X3568" s="214" t="s">
        <v>3685</v>
      </c>
      <c r="Y3568" s="220">
        <v>6</v>
      </c>
    </row>
    <row r="3569" spans="23:25" x14ac:dyDescent="0.25">
      <c r="W3569" s="214" t="s">
        <v>258</v>
      </c>
      <c r="X3569" s="214" t="s">
        <v>3686</v>
      </c>
      <c r="Y3569" s="220">
        <v>5</v>
      </c>
    </row>
    <row r="3570" spans="23:25" x14ac:dyDescent="0.25">
      <c r="W3570" s="214" t="s">
        <v>258</v>
      </c>
      <c r="X3570" s="214" t="s">
        <v>3687</v>
      </c>
      <c r="Y3570" s="220">
        <v>3</v>
      </c>
    </row>
    <row r="3571" spans="23:25" x14ac:dyDescent="0.25">
      <c r="W3571" s="214" t="s">
        <v>258</v>
      </c>
      <c r="X3571" s="214" t="s">
        <v>3688</v>
      </c>
      <c r="Y3571" s="220">
        <v>6</v>
      </c>
    </row>
    <row r="3572" spans="23:25" x14ac:dyDescent="0.25">
      <c r="W3572" s="214" t="s">
        <v>258</v>
      </c>
      <c r="X3572" s="214" t="s">
        <v>3689</v>
      </c>
      <c r="Y3572" s="220">
        <v>6</v>
      </c>
    </row>
    <row r="3573" spans="23:25" x14ac:dyDescent="0.25">
      <c r="W3573" s="214" t="s">
        <v>258</v>
      </c>
      <c r="X3573" s="214" t="s">
        <v>3690</v>
      </c>
      <c r="Y3573" s="220">
        <v>6</v>
      </c>
    </row>
    <row r="3574" spans="23:25" x14ac:dyDescent="0.25">
      <c r="W3574" s="214" t="s">
        <v>258</v>
      </c>
      <c r="X3574" s="214" t="s">
        <v>3691</v>
      </c>
      <c r="Y3574" s="220">
        <v>4</v>
      </c>
    </row>
    <row r="3575" spans="23:25" x14ac:dyDescent="0.25">
      <c r="W3575" s="214" t="s">
        <v>239</v>
      </c>
      <c r="X3575" s="214" t="s">
        <v>3692</v>
      </c>
      <c r="Y3575" s="220">
        <v>2</v>
      </c>
    </row>
    <row r="3576" spans="23:25" x14ac:dyDescent="0.25">
      <c r="W3576" s="214" t="s">
        <v>258</v>
      </c>
      <c r="X3576" s="214" t="s">
        <v>3693</v>
      </c>
      <c r="Y3576" s="220">
        <v>2</v>
      </c>
    </row>
    <row r="3577" spans="23:25" x14ac:dyDescent="0.25">
      <c r="W3577" s="214" t="s">
        <v>258</v>
      </c>
      <c r="X3577" s="214" t="s">
        <v>3694</v>
      </c>
      <c r="Y3577" s="220">
        <v>6</v>
      </c>
    </row>
    <row r="3578" spans="23:25" x14ac:dyDescent="0.25">
      <c r="W3578" s="214" t="s">
        <v>274</v>
      </c>
      <c r="X3578" s="214" t="s">
        <v>3695</v>
      </c>
      <c r="Y3578" s="220">
        <v>2</v>
      </c>
    </row>
    <row r="3579" spans="23:25" x14ac:dyDescent="0.25">
      <c r="W3579" s="214" t="s">
        <v>258</v>
      </c>
      <c r="X3579" s="214" t="s">
        <v>3462</v>
      </c>
      <c r="Y3579" s="220">
        <v>4</v>
      </c>
    </row>
    <row r="3580" spans="23:25" x14ac:dyDescent="0.25">
      <c r="W3580" s="214" t="s">
        <v>258</v>
      </c>
      <c r="X3580" s="214" t="s">
        <v>3696</v>
      </c>
      <c r="Y3580" s="220">
        <v>4</v>
      </c>
    </row>
    <row r="3581" spans="23:25" x14ac:dyDescent="0.25">
      <c r="W3581" s="214" t="s">
        <v>258</v>
      </c>
      <c r="X3581" s="214" t="s">
        <v>3697</v>
      </c>
      <c r="Y3581" s="220">
        <v>3</v>
      </c>
    </row>
    <row r="3582" spans="23:25" x14ac:dyDescent="0.25">
      <c r="W3582" s="214" t="s">
        <v>258</v>
      </c>
      <c r="X3582" s="214" t="s">
        <v>3698</v>
      </c>
      <c r="Y3582" s="220">
        <v>3</v>
      </c>
    </row>
    <row r="3583" spans="23:25" x14ac:dyDescent="0.25">
      <c r="W3583" s="214" t="s">
        <v>258</v>
      </c>
      <c r="X3583" s="214" t="s">
        <v>3699</v>
      </c>
      <c r="Y3583" s="220">
        <v>4</v>
      </c>
    </row>
    <row r="3584" spans="23:25" x14ac:dyDescent="0.25">
      <c r="W3584" s="214" t="s">
        <v>258</v>
      </c>
      <c r="X3584" s="214" t="s">
        <v>3700</v>
      </c>
      <c r="Y3584" s="220">
        <v>6</v>
      </c>
    </row>
    <row r="3585" spans="23:25" x14ac:dyDescent="0.25">
      <c r="W3585" s="214" t="s">
        <v>274</v>
      </c>
      <c r="X3585" s="214" t="s">
        <v>3701</v>
      </c>
      <c r="Y3585" s="220">
        <v>3</v>
      </c>
    </row>
    <row r="3586" spans="23:25" x14ac:dyDescent="0.25">
      <c r="W3586" s="214" t="s">
        <v>258</v>
      </c>
      <c r="X3586" s="214" t="s">
        <v>3702</v>
      </c>
      <c r="Y3586" s="220">
        <v>3</v>
      </c>
    </row>
    <row r="3587" spans="23:25" x14ac:dyDescent="0.25">
      <c r="W3587" s="214" t="s">
        <v>258</v>
      </c>
      <c r="X3587" s="214" t="s">
        <v>3703</v>
      </c>
      <c r="Y3587" s="220">
        <v>6</v>
      </c>
    </row>
    <row r="3588" spans="23:25" x14ac:dyDescent="0.25">
      <c r="W3588" s="214" t="s">
        <v>258</v>
      </c>
      <c r="X3588" s="214" t="s">
        <v>3704</v>
      </c>
      <c r="Y3588" s="220">
        <v>3</v>
      </c>
    </row>
    <row r="3589" spans="23:25" x14ac:dyDescent="0.25">
      <c r="W3589" s="214" t="s">
        <v>258</v>
      </c>
      <c r="X3589" s="214" t="s">
        <v>3705</v>
      </c>
      <c r="Y3589" s="220">
        <v>4</v>
      </c>
    </row>
    <row r="3590" spans="23:25" x14ac:dyDescent="0.25">
      <c r="W3590" s="214" t="s">
        <v>258</v>
      </c>
      <c r="X3590" s="214" t="s">
        <v>3706</v>
      </c>
      <c r="Y3590" s="220">
        <v>5</v>
      </c>
    </row>
    <row r="3591" spans="23:25" x14ac:dyDescent="0.25">
      <c r="W3591" s="214" t="s">
        <v>258</v>
      </c>
      <c r="X3591" s="214" t="s">
        <v>3707</v>
      </c>
      <c r="Y3591" s="220">
        <v>3</v>
      </c>
    </row>
    <row r="3592" spans="23:25" x14ac:dyDescent="0.25">
      <c r="W3592" s="214" t="s">
        <v>258</v>
      </c>
      <c r="X3592" s="214" t="s">
        <v>3708</v>
      </c>
      <c r="Y3592" s="220">
        <v>4</v>
      </c>
    </row>
    <row r="3593" spans="23:25" x14ac:dyDescent="0.25">
      <c r="W3593" s="214" t="s">
        <v>258</v>
      </c>
      <c r="X3593" s="214" t="s">
        <v>3709</v>
      </c>
      <c r="Y3593" s="220">
        <v>6</v>
      </c>
    </row>
    <row r="3594" spans="23:25" x14ac:dyDescent="0.25">
      <c r="W3594" s="214" t="s">
        <v>274</v>
      </c>
      <c r="X3594" s="214" t="s">
        <v>3710</v>
      </c>
      <c r="Y3594" s="220">
        <v>3</v>
      </c>
    </row>
    <row r="3595" spans="23:25" x14ac:dyDescent="0.25">
      <c r="W3595" s="214" t="s">
        <v>258</v>
      </c>
      <c r="X3595" s="214" t="s">
        <v>3711</v>
      </c>
      <c r="Y3595" s="220">
        <v>5</v>
      </c>
    </row>
    <row r="3596" spans="23:25" x14ac:dyDescent="0.25">
      <c r="W3596" s="214" t="s">
        <v>258</v>
      </c>
      <c r="X3596" s="214" t="s">
        <v>3712</v>
      </c>
      <c r="Y3596" s="220">
        <v>3</v>
      </c>
    </row>
    <row r="3597" spans="23:25" x14ac:dyDescent="0.25">
      <c r="W3597" s="214" t="s">
        <v>258</v>
      </c>
      <c r="X3597" s="214" t="s">
        <v>3713</v>
      </c>
      <c r="Y3597" s="220">
        <v>3</v>
      </c>
    </row>
    <row r="3598" spans="23:25" x14ac:dyDescent="0.25">
      <c r="W3598" s="214" t="s">
        <v>258</v>
      </c>
      <c r="X3598" s="214" t="s">
        <v>3714</v>
      </c>
      <c r="Y3598" s="220">
        <v>6</v>
      </c>
    </row>
    <row r="3599" spans="23:25" x14ac:dyDescent="0.25">
      <c r="W3599" s="214" t="s">
        <v>258</v>
      </c>
      <c r="X3599" s="214" t="s">
        <v>3715</v>
      </c>
      <c r="Y3599" s="220">
        <v>6</v>
      </c>
    </row>
    <row r="3600" spans="23:25" x14ac:dyDescent="0.25">
      <c r="W3600" s="214" t="s">
        <v>274</v>
      </c>
      <c r="X3600" s="214" t="s">
        <v>3716</v>
      </c>
      <c r="Y3600" s="220">
        <v>3</v>
      </c>
    </row>
    <row r="3601" spans="23:25" x14ac:dyDescent="0.25">
      <c r="W3601" s="214" t="s">
        <v>258</v>
      </c>
      <c r="X3601" s="214" t="s">
        <v>3717</v>
      </c>
      <c r="Y3601" s="220">
        <v>3</v>
      </c>
    </row>
    <row r="3602" spans="23:25" x14ac:dyDescent="0.25">
      <c r="W3602" s="214" t="s">
        <v>258</v>
      </c>
      <c r="X3602" s="214" t="s">
        <v>3718</v>
      </c>
      <c r="Y3602" s="220">
        <v>6</v>
      </c>
    </row>
    <row r="3603" spans="23:25" x14ac:dyDescent="0.25">
      <c r="W3603" s="214" t="s">
        <v>258</v>
      </c>
      <c r="X3603" s="214" t="s">
        <v>3719</v>
      </c>
      <c r="Y3603" s="220">
        <v>6</v>
      </c>
    </row>
    <row r="3604" spans="23:25" x14ac:dyDescent="0.25">
      <c r="W3604" s="214" t="s">
        <v>258</v>
      </c>
      <c r="X3604" s="214" t="s">
        <v>1181</v>
      </c>
      <c r="Y3604" s="220">
        <v>4</v>
      </c>
    </row>
    <row r="3605" spans="23:25" x14ac:dyDescent="0.25">
      <c r="W3605" s="214" t="s">
        <v>258</v>
      </c>
      <c r="X3605" s="214" t="s">
        <v>2952</v>
      </c>
      <c r="Y3605" s="220">
        <v>4</v>
      </c>
    </row>
    <row r="3606" spans="23:25" x14ac:dyDescent="0.25">
      <c r="W3606" s="214" t="s">
        <v>258</v>
      </c>
      <c r="X3606" s="214" t="s">
        <v>3720</v>
      </c>
      <c r="Y3606" s="220">
        <v>3</v>
      </c>
    </row>
    <row r="3607" spans="23:25" x14ac:dyDescent="0.25">
      <c r="W3607" s="214" t="s">
        <v>258</v>
      </c>
      <c r="X3607" s="214" t="s">
        <v>3721</v>
      </c>
      <c r="Y3607" s="220">
        <v>5</v>
      </c>
    </row>
    <row r="3608" spans="23:25" x14ac:dyDescent="0.25">
      <c r="W3608" s="214" t="s">
        <v>258</v>
      </c>
      <c r="X3608" s="214" t="s">
        <v>3722</v>
      </c>
      <c r="Y3608" s="220">
        <v>6</v>
      </c>
    </row>
    <row r="3609" spans="23:25" x14ac:dyDescent="0.25">
      <c r="W3609" s="214" t="s">
        <v>258</v>
      </c>
      <c r="X3609" s="214" t="s">
        <v>3723</v>
      </c>
      <c r="Y3609" s="220">
        <v>4</v>
      </c>
    </row>
    <row r="3610" spans="23:25" x14ac:dyDescent="0.25">
      <c r="W3610" s="214" t="s">
        <v>258</v>
      </c>
      <c r="X3610" s="214" t="s">
        <v>3724</v>
      </c>
      <c r="Y3610" s="220">
        <v>6</v>
      </c>
    </row>
    <row r="3611" spans="23:25" x14ac:dyDescent="0.25">
      <c r="W3611" s="214" t="s">
        <v>258</v>
      </c>
      <c r="X3611" s="214" t="s">
        <v>3725</v>
      </c>
      <c r="Y3611" s="220">
        <v>3</v>
      </c>
    </row>
    <row r="3612" spans="23:25" x14ac:dyDescent="0.25">
      <c r="W3612" s="214" t="s">
        <v>258</v>
      </c>
      <c r="X3612" s="214" t="s">
        <v>3726</v>
      </c>
      <c r="Y3612" s="220">
        <v>6</v>
      </c>
    </row>
    <row r="3613" spans="23:25" x14ac:dyDescent="0.25">
      <c r="W3613" s="214" t="s">
        <v>258</v>
      </c>
      <c r="X3613" s="214" t="s">
        <v>3727</v>
      </c>
      <c r="Y3613" s="220">
        <v>4</v>
      </c>
    </row>
    <row r="3614" spans="23:25" x14ac:dyDescent="0.25">
      <c r="W3614" s="214" t="s">
        <v>258</v>
      </c>
      <c r="X3614" s="214" t="s">
        <v>3728</v>
      </c>
      <c r="Y3614" s="220">
        <v>4</v>
      </c>
    </row>
    <row r="3615" spans="23:25" x14ac:dyDescent="0.25">
      <c r="W3615" s="214" t="s">
        <v>258</v>
      </c>
      <c r="X3615" s="214" t="s">
        <v>3729</v>
      </c>
      <c r="Y3615" s="220">
        <v>4</v>
      </c>
    </row>
    <row r="3616" spans="23:25" x14ac:dyDescent="0.25">
      <c r="W3616" s="214" t="s">
        <v>258</v>
      </c>
      <c r="X3616" s="214" t="s">
        <v>3730</v>
      </c>
      <c r="Y3616" s="220">
        <v>6</v>
      </c>
    </row>
    <row r="3617" spans="23:25" x14ac:dyDescent="0.25">
      <c r="W3617" s="214" t="s">
        <v>274</v>
      </c>
      <c r="X3617" s="214" t="s">
        <v>3731</v>
      </c>
      <c r="Y3617" s="220">
        <v>3</v>
      </c>
    </row>
    <row r="3618" spans="23:25" x14ac:dyDescent="0.25">
      <c r="W3618" s="214" t="s">
        <v>258</v>
      </c>
      <c r="X3618" s="214" t="s">
        <v>1446</v>
      </c>
      <c r="Y3618" s="220">
        <v>6</v>
      </c>
    </row>
    <row r="3619" spans="23:25" x14ac:dyDescent="0.25">
      <c r="W3619" s="214" t="s">
        <v>1978</v>
      </c>
      <c r="X3619" s="214" t="s">
        <v>3732</v>
      </c>
      <c r="Y3619" s="220">
        <v>6</v>
      </c>
    </row>
    <row r="3620" spans="23:25" x14ac:dyDescent="0.25">
      <c r="W3620" s="214" t="s">
        <v>258</v>
      </c>
      <c r="X3620" s="214" t="s">
        <v>3733</v>
      </c>
      <c r="Y3620" s="220">
        <v>3</v>
      </c>
    </row>
    <row r="3621" spans="23:25" x14ac:dyDescent="0.25">
      <c r="W3621" s="214" t="s">
        <v>258</v>
      </c>
      <c r="X3621" s="214" t="s">
        <v>3734</v>
      </c>
      <c r="Y3621" s="220">
        <v>5</v>
      </c>
    </row>
    <row r="3622" spans="23:25" x14ac:dyDescent="0.25">
      <c r="W3622" s="214" t="s">
        <v>258</v>
      </c>
      <c r="X3622" s="214" t="s">
        <v>939</v>
      </c>
      <c r="Y3622" s="220">
        <v>3</v>
      </c>
    </row>
    <row r="3623" spans="23:25" x14ac:dyDescent="0.25">
      <c r="W3623" s="214" t="s">
        <v>274</v>
      </c>
      <c r="X3623" s="214" t="s">
        <v>3735</v>
      </c>
      <c r="Y3623" s="220">
        <v>3</v>
      </c>
    </row>
    <row r="3624" spans="23:25" x14ac:dyDescent="0.25">
      <c r="W3624" s="214" t="s">
        <v>258</v>
      </c>
      <c r="X3624" s="214" t="s">
        <v>3736</v>
      </c>
      <c r="Y3624" s="220">
        <v>4</v>
      </c>
    </row>
    <row r="3625" spans="23:25" x14ac:dyDescent="0.25">
      <c r="W3625" s="214" t="s">
        <v>274</v>
      </c>
      <c r="X3625" s="214" t="s">
        <v>3737</v>
      </c>
      <c r="Y3625" s="220">
        <v>3</v>
      </c>
    </row>
    <row r="3626" spans="23:25" x14ac:dyDescent="0.25">
      <c r="W3626" s="214" t="s">
        <v>258</v>
      </c>
      <c r="X3626" s="214" t="s">
        <v>3738</v>
      </c>
      <c r="Y3626" s="220">
        <v>4</v>
      </c>
    </row>
    <row r="3627" spans="23:25" x14ac:dyDescent="0.25">
      <c r="W3627" s="214" t="s">
        <v>258</v>
      </c>
      <c r="X3627" s="214" t="s">
        <v>3739</v>
      </c>
      <c r="Y3627" s="220">
        <v>6</v>
      </c>
    </row>
    <row r="3628" spans="23:25" x14ac:dyDescent="0.25">
      <c r="W3628" s="214" t="s">
        <v>258</v>
      </c>
      <c r="X3628" s="214" t="s">
        <v>3740</v>
      </c>
      <c r="Y3628" s="220">
        <v>4</v>
      </c>
    </row>
    <row r="3629" spans="23:25" x14ac:dyDescent="0.25">
      <c r="W3629" s="214" t="s">
        <v>258</v>
      </c>
      <c r="X3629" s="214" t="s">
        <v>3741</v>
      </c>
      <c r="Y3629" s="220">
        <v>6</v>
      </c>
    </row>
    <row r="3630" spans="23:25" x14ac:dyDescent="0.25">
      <c r="W3630" s="214" t="s">
        <v>258</v>
      </c>
      <c r="X3630" s="214" t="s">
        <v>3742</v>
      </c>
      <c r="Y3630" s="220">
        <v>4</v>
      </c>
    </row>
    <row r="3631" spans="23:25" x14ac:dyDescent="0.25">
      <c r="W3631" s="214" t="s">
        <v>258</v>
      </c>
      <c r="X3631" s="214" t="s">
        <v>3743</v>
      </c>
      <c r="Y3631" s="220">
        <v>3</v>
      </c>
    </row>
    <row r="3632" spans="23:25" x14ac:dyDescent="0.25">
      <c r="W3632" s="214" t="s">
        <v>258</v>
      </c>
      <c r="X3632" s="214" t="s">
        <v>3744</v>
      </c>
      <c r="Y3632" s="220">
        <v>3</v>
      </c>
    </row>
    <row r="3633" spans="23:25" x14ac:dyDescent="0.25">
      <c r="W3633" s="214" t="s">
        <v>258</v>
      </c>
      <c r="X3633" s="214" t="s">
        <v>3745</v>
      </c>
      <c r="Y3633" s="220">
        <v>3</v>
      </c>
    </row>
    <row r="3634" spans="23:25" x14ac:dyDescent="0.25">
      <c r="W3634" s="214" t="s">
        <v>258</v>
      </c>
      <c r="X3634" s="214" t="s">
        <v>3746</v>
      </c>
      <c r="Y3634" s="220">
        <v>4</v>
      </c>
    </row>
    <row r="3635" spans="23:25" x14ac:dyDescent="0.25">
      <c r="W3635" s="214" t="s">
        <v>258</v>
      </c>
      <c r="X3635" s="214" t="s">
        <v>3747</v>
      </c>
      <c r="Y3635" s="220">
        <v>4</v>
      </c>
    </row>
    <row r="3636" spans="23:25" x14ac:dyDescent="0.25">
      <c r="W3636" s="214" t="s">
        <v>258</v>
      </c>
      <c r="X3636" s="214" t="s">
        <v>3748</v>
      </c>
      <c r="Y3636" s="220">
        <v>3</v>
      </c>
    </row>
    <row r="3637" spans="23:25" x14ac:dyDescent="0.25">
      <c r="W3637" s="214" t="s">
        <v>258</v>
      </c>
      <c r="X3637" s="214" t="s">
        <v>3749</v>
      </c>
      <c r="Y3637" s="220">
        <v>6</v>
      </c>
    </row>
    <row r="3638" spans="23:25" x14ac:dyDescent="0.25">
      <c r="W3638" s="214" t="s">
        <v>258</v>
      </c>
      <c r="X3638" s="214" t="s">
        <v>3750</v>
      </c>
      <c r="Y3638" s="220">
        <v>6</v>
      </c>
    </row>
    <row r="3639" spans="23:25" x14ac:dyDescent="0.25">
      <c r="W3639" s="214" t="s">
        <v>1978</v>
      </c>
      <c r="X3639" s="214" t="s">
        <v>3751</v>
      </c>
      <c r="Y3639" s="220">
        <v>6</v>
      </c>
    </row>
    <row r="3640" spans="23:25" x14ac:dyDescent="0.25">
      <c r="W3640" s="214" t="s">
        <v>258</v>
      </c>
      <c r="X3640" s="214" t="s">
        <v>3752</v>
      </c>
      <c r="Y3640" s="220">
        <v>3</v>
      </c>
    </row>
    <row r="3641" spans="23:25" x14ac:dyDescent="0.25">
      <c r="W3641" s="214" t="s">
        <v>258</v>
      </c>
      <c r="X3641" s="214" t="s">
        <v>3753</v>
      </c>
      <c r="Y3641" s="220">
        <v>6</v>
      </c>
    </row>
    <row r="3642" spans="23:25" x14ac:dyDescent="0.25">
      <c r="W3642" s="214" t="s">
        <v>258</v>
      </c>
      <c r="X3642" s="214" t="s">
        <v>3754</v>
      </c>
      <c r="Y3642" s="220">
        <v>4</v>
      </c>
    </row>
    <row r="3643" spans="23:25" x14ac:dyDescent="0.25">
      <c r="W3643" s="214" t="s">
        <v>258</v>
      </c>
      <c r="X3643" s="214" t="s">
        <v>3755</v>
      </c>
      <c r="Y3643" s="220">
        <v>3</v>
      </c>
    </row>
    <row r="3644" spans="23:25" x14ac:dyDescent="0.25">
      <c r="W3644" s="214" t="s">
        <v>258</v>
      </c>
      <c r="X3644" s="214" t="s">
        <v>3756</v>
      </c>
      <c r="Y3644" s="220">
        <v>4</v>
      </c>
    </row>
    <row r="3645" spans="23:25" x14ac:dyDescent="0.25">
      <c r="W3645" s="214" t="s">
        <v>258</v>
      </c>
      <c r="X3645" s="214" t="s">
        <v>3757</v>
      </c>
      <c r="Y3645" s="220">
        <v>6</v>
      </c>
    </row>
    <row r="3646" spans="23:25" x14ac:dyDescent="0.25">
      <c r="W3646" s="214" t="s">
        <v>258</v>
      </c>
      <c r="X3646" s="214" t="s">
        <v>3758</v>
      </c>
      <c r="Y3646" s="220">
        <v>3</v>
      </c>
    </row>
    <row r="3647" spans="23:25" x14ac:dyDescent="0.25">
      <c r="W3647" s="214" t="s">
        <v>258</v>
      </c>
      <c r="X3647" s="214" t="s">
        <v>3759</v>
      </c>
      <c r="Y3647" s="220">
        <v>3</v>
      </c>
    </row>
    <row r="3648" spans="23:25" x14ac:dyDescent="0.25">
      <c r="W3648" s="214" t="s">
        <v>258</v>
      </c>
      <c r="X3648" s="214" t="s">
        <v>3760</v>
      </c>
      <c r="Y3648" s="220">
        <v>3</v>
      </c>
    </row>
    <row r="3649" spans="23:25" x14ac:dyDescent="0.25">
      <c r="W3649" s="214" t="s">
        <v>258</v>
      </c>
      <c r="X3649" s="214" t="s">
        <v>3761</v>
      </c>
      <c r="Y3649" s="220">
        <v>5</v>
      </c>
    </row>
    <row r="3650" spans="23:25" x14ac:dyDescent="0.25">
      <c r="W3650" s="214" t="s">
        <v>258</v>
      </c>
      <c r="X3650" s="214" t="s">
        <v>3762</v>
      </c>
      <c r="Y3650" s="220">
        <v>6</v>
      </c>
    </row>
    <row r="3651" spans="23:25" x14ac:dyDescent="0.25">
      <c r="W3651" s="214" t="s">
        <v>258</v>
      </c>
      <c r="X3651" s="214" t="s">
        <v>3763</v>
      </c>
      <c r="Y3651" s="220">
        <v>6</v>
      </c>
    </row>
    <row r="3652" spans="23:25" x14ac:dyDescent="0.25">
      <c r="W3652" s="214" t="s">
        <v>258</v>
      </c>
      <c r="X3652" s="214" t="s">
        <v>3764</v>
      </c>
      <c r="Y3652" s="220">
        <v>6</v>
      </c>
    </row>
    <row r="3653" spans="23:25" x14ac:dyDescent="0.25">
      <c r="W3653" s="214" t="s">
        <v>258</v>
      </c>
      <c r="X3653" s="214" t="s">
        <v>3765</v>
      </c>
      <c r="Y3653" s="220">
        <v>6</v>
      </c>
    </row>
    <row r="3654" spans="23:25" x14ac:dyDescent="0.25">
      <c r="W3654" s="214" t="s">
        <v>258</v>
      </c>
      <c r="X3654" s="214" t="s">
        <v>3766</v>
      </c>
      <c r="Y3654" s="220">
        <v>6</v>
      </c>
    </row>
    <row r="3655" spans="23:25" x14ac:dyDescent="0.25">
      <c r="W3655" s="214" t="s">
        <v>258</v>
      </c>
      <c r="X3655" s="214" t="s">
        <v>3767</v>
      </c>
      <c r="Y3655" s="220">
        <v>6</v>
      </c>
    </row>
    <row r="3656" spans="23:25" x14ac:dyDescent="0.25">
      <c r="W3656" s="214" t="s">
        <v>258</v>
      </c>
      <c r="X3656" s="214" t="s">
        <v>3768</v>
      </c>
      <c r="Y3656" s="220">
        <v>6</v>
      </c>
    </row>
    <row r="3657" spans="23:25" x14ac:dyDescent="0.25">
      <c r="W3657" s="214" t="s">
        <v>258</v>
      </c>
      <c r="X3657" s="214" t="s">
        <v>3769</v>
      </c>
      <c r="Y3657" s="220">
        <v>6</v>
      </c>
    </row>
    <row r="3658" spans="23:25" x14ac:dyDescent="0.25">
      <c r="W3658" s="214" t="s">
        <v>258</v>
      </c>
      <c r="X3658" s="214" t="s">
        <v>3770</v>
      </c>
      <c r="Y3658" s="220">
        <v>4</v>
      </c>
    </row>
    <row r="3659" spans="23:25" x14ac:dyDescent="0.25">
      <c r="W3659" s="214" t="s">
        <v>258</v>
      </c>
      <c r="X3659" s="214" t="s">
        <v>3771</v>
      </c>
      <c r="Y3659" s="220">
        <v>6</v>
      </c>
    </row>
    <row r="3660" spans="23:25" x14ac:dyDescent="0.25">
      <c r="W3660" s="214" t="s">
        <v>258</v>
      </c>
      <c r="X3660" s="214" t="s">
        <v>3772</v>
      </c>
      <c r="Y3660" s="220">
        <v>6</v>
      </c>
    </row>
    <row r="3661" spans="23:25" x14ac:dyDescent="0.25">
      <c r="W3661" s="214" t="s">
        <v>258</v>
      </c>
      <c r="X3661" s="214" t="s">
        <v>3773</v>
      </c>
      <c r="Y3661" s="220">
        <v>3</v>
      </c>
    </row>
    <row r="3662" spans="23:25" x14ac:dyDescent="0.25">
      <c r="W3662" s="214" t="s">
        <v>258</v>
      </c>
      <c r="X3662" s="214" t="s">
        <v>3774</v>
      </c>
      <c r="Y3662" s="220">
        <v>6</v>
      </c>
    </row>
    <row r="3663" spans="23:25" x14ac:dyDescent="0.25">
      <c r="W3663" s="214" t="s">
        <v>258</v>
      </c>
      <c r="X3663" s="214" t="s">
        <v>3775</v>
      </c>
      <c r="Y3663" s="220">
        <v>6</v>
      </c>
    </row>
    <row r="3664" spans="23:25" x14ac:dyDescent="0.25">
      <c r="W3664" s="214" t="s">
        <v>258</v>
      </c>
      <c r="X3664" s="214" t="s">
        <v>3776</v>
      </c>
      <c r="Y3664" s="220">
        <v>3</v>
      </c>
    </row>
    <row r="3665" spans="23:25" x14ac:dyDescent="0.25">
      <c r="W3665" s="214" t="s">
        <v>258</v>
      </c>
      <c r="X3665" s="214" t="s">
        <v>3777</v>
      </c>
      <c r="Y3665" s="220">
        <v>3</v>
      </c>
    </row>
    <row r="3666" spans="23:25" x14ac:dyDescent="0.25">
      <c r="W3666" s="214" t="s">
        <v>258</v>
      </c>
      <c r="X3666" s="214" t="s">
        <v>3778</v>
      </c>
      <c r="Y3666" s="220">
        <v>6</v>
      </c>
    </row>
    <row r="3667" spans="23:25" x14ac:dyDescent="0.25">
      <c r="W3667" s="214" t="s">
        <v>258</v>
      </c>
      <c r="X3667" s="214" t="s">
        <v>3779</v>
      </c>
      <c r="Y3667" s="220">
        <v>6</v>
      </c>
    </row>
    <row r="3668" spans="23:25" x14ac:dyDescent="0.25">
      <c r="W3668" s="214" t="s">
        <v>258</v>
      </c>
      <c r="X3668" s="214" t="s">
        <v>3780</v>
      </c>
      <c r="Y3668" s="220">
        <v>4</v>
      </c>
    </row>
    <row r="3669" spans="23:25" x14ac:dyDescent="0.25">
      <c r="W3669" s="214" t="s">
        <v>258</v>
      </c>
      <c r="X3669" s="214" t="s">
        <v>3781</v>
      </c>
      <c r="Y3669" s="220">
        <v>3</v>
      </c>
    </row>
    <row r="3670" spans="23:25" x14ac:dyDescent="0.25">
      <c r="W3670" s="214" t="s">
        <v>258</v>
      </c>
      <c r="X3670" s="214" t="s">
        <v>3782</v>
      </c>
      <c r="Y3670" s="220">
        <v>6</v>
      </c>
    </row>
    <row r="3671" spans="23:25" x14ac:dyDescent="0.25">
      <c r="W3671" s="214" t="s">
        <v>258</v>
      </c>
      <c r="X3671" s="214" t="s">
        <v>3783</v>
      </c>
      <c r="Y3671" s="220">
        <v>4</v>
      </c>
    </row>
    <row r="3672" spans="23:25" x14ac:dyDescent="0.25">
      <c r="W3672" s="214" t="s">
        <v>258</v>
      </c>
      <c r="X3672" s="214" t="s">
        <v>1383</v>
      </c>
      <c r="Y3672" s="220">
        <v>3</v>
      </c>
    </row>
    <row r="3673" spans="23:25" x14ac:dyDescent="0.25">
      <c r="W3673" s="214" t="s">
        <v>258</v>
      </c>
      <c r="X3673" s="214" t="s">
        <v>3784</v>
      </c>
      <c r="Y3673" s="220">
        <v>6</v>
      </c>
    </row>
    <row r="3674" spans="23:25" x14ac:dyDescent="0.25">
      <c r="W3674" s="214" t="s">
        <v>258</v>
      </c>
      <c r="X3674" s="214" t="s">
        <v>3785</v>
      </c>
      <c r="Y3674" s="220">
        <v>3</v>
      </c>
    </row>
    <row r="3675" spans="23:25" x14ac:dyDescent="0.25">
      <c r="W3675" s="214" t="s">
        <v>258</v>
      </c>
      <c r="X3675" s="214" t="s">
        <v>3786</v>
      </c>
      <c r="Y3675" s="220">
        <v>6</v>
      </c>
    </row>
    <row r="3676" spans="23:25" x14ac:dyDescent="0.25">
      <c r="W3676" s="214" t="s">
        <v>258</v>
      </c>
      <c r="X3676" s="214" t="s">
        <v>3787</v>
      </c>
      <c r="Y3676" s="220">
        <v>6</v>
      </c>
    </row>
    <row r="3677" spans="23:25" x14ac:dyDescent="0.25">
      <c r="W3677" s="214" t="s">
        <v>258</v>
      </c>
      <c r="X3677" s="214" t="s">
        <v>3788</v>
      </c>
      <c r="Y3677" s="220">
        <v>6</v>
      </c>
    </row>
    <row r="3678" spans="23:25" x14ac:dyDescent="0.25">
      <c r="W3678" s="214" t="s">
        <v>258</v>
      </c>
      <c r="X3678" s="214" t="s">
        <v>3789</v>
      </c>
      <c r="Y3678" s="220">
        <v>6</v>
      </c>
    </row>
    <row r="3679" spans="23:25" x14ac:dyDescent="0.25">
      <c r="W3679" s="214" t="s">
        <v>258</v>
      </c>
      <c r="X3679" s="214" t="s">
        <v>3790</v>
      </c>
      <c r="Y3679" s="220">
        <v>6</v>
      </c>
    </row>
    <row r="3680" spans="23:25" x14ac:dyDescent="0.25">
      <c r="W3680" s="214" t="s">
        <v>258</v>
      </c>
      <c r="X3680" s="214" t="s">
        <v>3791</v>
      </c>
      <c r="Y3680" s="220">
        <v>6</v>
      </c>
    </row>
    <row r="3681" spans="23:25" x14ac:dyDescent="0.25">
      <c r="W3681" s="214" t="s">
        <v>258</v>
      </c>
      <c r="X3681" s="214" t="s">
        <v>3792</v>
      </c>
      <c r="Y3681" s="220">
        <v>6</v>
      </c>
    </row>
    <row r="3682" spans="23:25" x14ac:dyDescent="0.25">
      <c r="W3682" s="214" t="s">
        <v>258</v>
      </c>
      <c r="X3682" s="214" t="s">
        <v>3793</v>
      </c>
      <c r="Y3682" s="220">
        <v>6</v>
      </c>
    </row>
    <row r="3683" spans="23:25" x14ac:dyDescent="0.25">
      <c r="W3683" s="214" t="s">
        <v>258</v>
      </c>
      <c r="X3683" s="214" t="s">
        <v>3794</v>
      </c>
      <c r="Y3683" s="220">
        <v>6</v>
      </c>
    </row>
    <row r="3684" spans="23:25" x14ac:dyDescent="0.25">
      <c r="W3684" s="214" t="s">
        <v>258</v>
      </c>
      <c r="X3684" s="214" t="s">
        <v>3795</v>
      </c>
      <c r="Y3684" s="220">
        <v>6</v>
      </c>
    </row>
    <row r="3685" spans="23:25" x14ac:dyDescent="0.25">
      <c r="W3685" s="214" t="s">
        <v>258</v>
      </c>
      <c r="X3685" s="214" t="s">
        <v>3796</v>
      </c>
      <c r="Y3685" s="220">
        <v>6</v>
      </c>
    </row>
    <row r="3686" spans="23:25" x14ac:dyDescent="0.25">
      <c r="W3686" s="214" t="s">
        <v>258</v>
      </c>
      <c r="X3686" s="214" t="s">
        <v>3797</v>
      </c>
      <c r="Y3686" s="220">
        <v>6</v>
      </c>
    </row>
    <row r="3687" spans="23:25" x14ac:dyDescent="0.25">
      <c r="W3687" s="214" t="s">
        <v>258</v>
      </c>
      <c r="X3687" s="214" t="s">
        <v>3798</v>
      </c>
      <c r="Y3687" s="220">
        <v>4</v>
      </c>
    </row>
    <row r="3688" spans="23:25" x14ac:dyDescent="0.25">
      <c r="W3688" s="214" t="s">
        <v>258</v>
      </c>
      <c r="X3688" s="214" t="s">
        <v>3799</v>
      </c>
      <c r="Y3688" s="220">
        <v>4</v>
      </c>
    </row>
    <row r="3689" spans="23:25" x14ac:dyDescent="0.25">
      <c r="W3689" s="214" t="s">
        <v>258</v>
      </c>
      <c r="X3689" s="214" t="s">
        <v>3800</v>
      </c>
      <c r="Y3689" s="220">
        <v>6</v>
      </c>
    </row>
    <row r="3690" spans="23:25" x14ac:dyDescent="0.25">
      <c r="W3690" s="214" t="s">
        <v>258</v>
      </c>
      <c r="X3690" s="214" t="s">
        <v>3801</v>
      </c>
      <c r="Y3690" s="220">
        <v>3</v>
      </c>
    </row>
    <row r="3691" spans="23:25" x14ac:dyDescent="0.25">
      <c r="W3691" s="214" t="s">
        <v>258</v>
      </c>
      <c r="X3691" s="214" t="s">
        <v>3802</v>
      </c>
      <c r="Y3691" s="220">
        <v>6</v>
      </c>
    </row>
    <row r="3692" spans="23:25" x14ac:dyDescent="0.25">
      <c r="W3692" s="214" t="s">
        <v>258</v>
      </c>
      <c r="X3692" s="214" t="s">
        <v>3803</v>
      </c>
      <c r="Y3692" s="220">
        <v>6</v>
      </c>
    </row>
    <row r="3693" spans="23:25" x14ac:dyDescent="0.25">
      <c r="W3693" s="214" t="s">
        <v>258</v>
      </c>
      <c r="X3693" s="214" t="s">
        <v>3804</v>
      </c>
      <c r="Y3693" s="220">
        <v>6</v>
      </c>
    </row>
    <row r="3694" spans="23:25" x14ac:dyDescent="0.25">
      <c r="W3694" s="214" t="s">
        <v>258</v>
      </c>
      <c r="X3694" s="214" t="s">
        <v>3805</v>
      </c>
      <c r="Y3694" s="220">
        <v>6</v>
      </c>
    </row>
    <row r="3695" spans="23:25" x14ac:dyDescent="0.25">
      <c r="W3695" s="214" t="s">
        <v>274</v>
      </c>
      <c r="X3695" s="214" t="s">
        <v>3806</v>
      </c>
      <c r="Y3695" s="220">
        <v>2</v>
      </c>
    </row>
    <row r="3696" spans="23:25" x14ac:dyDescent="0.25">
      <c r="W3696" s="214" t="s">
        <v>258</v>
      </c>
      <c r="X3696" s="214" t="s">
        <v>3807</v>
      </c>
      <c r="Y3696" s="220">
        <v>6</v>
      </c>
    </row>
    <row r="3697" spans="23:25" x14ac:dyDescent="0.25">
      <c r="W3697" s="214" t="s">
        <v>258</v>
      </c>
      <c r="X3697" s="214" t="s">
        <v>3808</v>
      </c>
      <c r="Y3697" s="220">
        <v>6</v>
      </c>
    </row>
    <row r="3698" spans="23:25" x14ac:dyDescent="0.25">
      <c r="W3698" s="214" t="s">
        <v>258</v>
      </c>
      <c r="X3698" s="214" t="s">
        <v>3809</v>
      </c>
      <c r="Y3698" s="220">
        <v>3</v>
      </c>
    </row>
    <row r="3699" spans="23:25" x14ac:dyDescent="0.25">
      <c r="W3699" s="214" t="s">
        <v>258</v>
      </c>
      <c r="X3699" s="214" t="s">
        <v>3810</v>
      </c>
      <c r="Y3699" s="220">
        <v>4</v>
      </c>
    </row>
    <row r="3700" spans="23:25" x14ac:dyDescent="0.25">
      <c r="W3700" s="214" t="s">
        <v>258</v>
      </c>
      <c r="X3700" s="214" t="s">
        <v>3811</v>
      </c>
      <c r="Y3700" s="220">
        <v>6</v>
      </c>
    </row>
    <row r="3701" spans="23:25" x14ac:dyDescent="0.25">
      <c r="W3701" s="214" t="s">
        <v>258</v>
      </c>
      <c r="X3701" s="214" t="s">
        <v>3812</v>
      </c>
      <c r="Y3701" s="220">
        <v>6</v>
      </c>
    </row>
    <row r="3702" spans="23:25" x14ac:dyDescent="0.25">
      <c r="W3702" s="214" t="s">
        <v>258</v>
      </c>
      <c r="X3702" s="214" t="s">
        <v>2926</v>
      </c>
      <c r="Y3702" s="220">
        <v>4</v>
      </c>
    </row>
    <row r="3703" spans="23:25" x14ac:dyDescent="0.25">
      <c r="W3703" s="214" t="s">
        <v>274</v>
      </c>
      <c r="X3703" s="214" t="s">
        <v>3813</v>
      </c>
      <c r="Y3703" s="220">
        <v>6</v>
      </c>
    </row>
    <row r="3704" spans="23:25" x14ac:dyDescent="0.25">
      <c r="W3704" s="214" t="s">
        <v>258</v>
      </c>
      <c r="X3704" s="214" t="s">
        <v>1202</v>
      </c>
      <c r="Y3704" s="220">
        <v>6</v>
      </c>
    </row>
    <row r="3705" spans="23:25" x14ac:dyDescent="0.25">
      <c r="W3705" s="214" t="s">
        <v>258</v>
      </c>
      <c r="X3705" s="214" t="s">
        <v>2601</v>
      </c>
      <c r="Y3705" s="220">
        <v>3</v>
      </c>
    </row>
    <row r="3706" spans="23:25" x14ac:dyDescent="0.25">
      <c r="W3706" s="214" t="s">
        <v>258</v>
      </c>
      <c r="X3706" s="214" t="s">
        <v>3814</v>
      </c>
      <c r="Y3706" s="220">
        <v>6</v>
      </c>
    </row>
    <row r="3707" spans="23:25" x14ac:dyDescent="0.25">
      <c r="W3707" s="214" t="s">
        <v>258</v>
      </c>
      <c r="X3707" s="214" t="s">
        <v>3815</v>
      </c>
      <c r="Y3707" s="220">
        <v>6</v>
      </c>
    </row>
    <row r="3708" spans="23:25" x14ac:dyDescent="0.25">
      <c r="W3708" s="214" t="s">
        <v>258</v>
      </c>
      <c r="X3708" s="214" t="s">
        <v>3816</v>
      </c>
      <c r="Y3708" s="220">
        <v>6</v>
      </c>
    </row>
    <row r="3709" spans="23:25" x14ac:dyDescent="0.25">
      <c r="W3709" s="214" t="s">
        <v>258</v>
      </c>
      <c r="X3709" s="214" t="s">
        <v>3817</v>
      </c>
      <c r="Y3709" s="220">
        <v>3</v>
      </c>
    </row>
    <row r="3710" spans="23:25" x14ac:dyDescent="0.25">
      <c r="W3710" s="214" t="s">
        <v>258</v>
      </c>
      <c r="X3710" s="214" t="s">
        <v>3818</v>
      </c>
      <c r="Y3710" s="220">
        <v>3</v>
      </c>
    </row>
    <row r="3711" spans="23:25" x14ac:dyDescent="0.25">
      <c r="W3711" s="214" t="s">
        <v>258</v>
      </c>
      <c r="X3711" s="214" t="s">
        <v>3819</v>
      </c>
      <c r="Y3711" s="220">
        <v>3</v>
      </c>
    </row>
    <row r="3712" spans="23:25" x14ac:dyDescent="0.25">
      <c r="W3712" s="214" t="s">
        <v>258</v>
      </c>
      <c r="X3712" s="214" t="s">
        <v>3820</v>
      </c>
      <c r="Y3712" s="220">
        <v>6</v>
      </c>
    </row>
    <row r="3713" spans="23:25" x14ac:dyDescent="0.25">
      <c r="W3713" s="214" t="s">
        <v>258</v>
      </c>
      <c r="X3713" s="214" t="s">
        <v>3821</v>
      </c>
      <c r="Y3713" s="220">
        <v>6</v>
      </c>
    </row>
    <row r="3714" spans="23:25" x14ac:dyDescent="0.25">
      <c r="W3714" s="214" t="s">
        <v>258</v>
      </c>
      <c r="X3714" s="214" t="s">
        <v>3822</v>
      </c>
      <c r="Y3714" s="220">
        <v>6</v>
      </c>
    </row>
    <row r="3715" spans="23:25" x14ac:dyDescent="0.25">
      <c r="W3715" s="214" t="s">
        <v>258</v>
      </c>
      <c r="X3715" s="214" t="s">
        <v>3823</v>
      </c>
      <c r="Y3715" s="220">
        <v>6</v>
      </c>
    </row>
    <row r="3716" spans="23:25" x14ac:dyDescent="0.25">
      <c r="W3716" s="214" t="s">
        <v>258</v>
      </c>
      <c r="X3716" s="214" t="s">
        <v>3824</v>
      </c>
      <c r="Y3716" s="220">
        <v>6</v>
      </c>
    </row>
    <row r="3717" spans="23:25" x14ac:dyDescent="0.25">
      <c r="W3717" s="214" t="s">
        <v>258</v>
      </c>
      <c r="X3717" s="214" t="s">
        <v>3825</v>
      </c>
      <c r="Y3717" s="220">
        <v>6</v>
      </c>
    </row>
    <row r="3718" spans="23:25" x14ac:dyDescent="0.25">
      <c r="W3718" s="214" t="s">
        <v>258</v>
      </c>
      <c r="X3718" s="214" t="s">
        <v>1362</v>
      </c>
      <c r="Y3718" s="220">
        <v>6</v>
      </c>
    </row>
    <row r="3719" spans="23:25" x14ac:dyDescent="0.25">
      <c r="W3719" s="214" t="s">
        <v>258</v>
      </c>
      <c r="X3719" s="214" t="s">
        <v>3826</v>
      </c>
      <c r="Y3719" s="220">
        <v>6</v>
      </c>
    </row>
    <row r="3720" spans="23:25" x14ac:dyDescent="0.25">
      <c r="W3720" s="214" t="s">
        <v>258</v>
      </c>
      <c r="X3720" s="214" t="s">
        <v>3827</v>
      </c>
      <c r="Y3720" s="220">
        <v>6</v>
      </c>
    </row>
    <row r="3721" spans="23:25" x14ac:dyDescent="0.25">
      <c r="W3721" s="214" t="s">
        <v>258</v>
      </c>
      <c r="X3721" s="214" t="s">
        <v>3828</v>
      </c>
      <c r="Y3721" s="220">
        <v>4</v>
      </c>
    </row>
    <row r="3722" spans="23:25" x14ac:dyDescent="0.25">
      <c r="W3722" s="214" t="s">
        <v>258</v>
      </c>
      <c r="X3722" s="214" t="s">
        <v>3829</v>
      </c>
      <c r="Y3722" s="220">
        <v>3</v>
      </c>
    </row>
    <row r="3723" spans="23:25" x14ac:dyDescent="0.25">
      <c r="W3723" s="214" t="s">
        <v>258</v>
      </c>
      <c r="X3723" s="214" t="s">
        <v>3830</v>
      </c>
      <c r="Y3723" s="220">
        <v>6</v>
      </c>
    </row>
    <row r="3724" spans="23:25" x14ac:dyDescent="0.25">
      <c r="W3724" s="214" t="s">
        <v>258</v>
      </c>
      <c r="X3724" s="214" t="s">
        <v>3831</v>
      </c>
      <c r="Y3724" s="220">
        <v>6</v>
      </c>
    </row>
    <row r="3725" spans="23:25" x14ac:dyDescent="0.25">
      <c r="W3725" s="214" t="s">
        <v>258</v>
      </c>
      <c r="X3725" s="214" t="s">
        <v>3832</v>
      </c>
      <c r="Y3725" s="220">
        <v>6</v>
      </c>
    </row>
    <row r="3726" spans="23:25" x14ac:dyDescent="0.25">
      <c r="W3726" s="214" t="s">
        <v>258</v>
      </c>
      <c r="X3726" s="214" t="s">
        <v>3833</v>
      </c>
      <c r="Y3726" s="220">
        <v>6</v>
      </c>
    </row>
    <row r="3727" spans="23:25" x14ac:dyDescent="0.25">
      <c r="W3727" s="214" t="s">
        <v>258</v>
      </c>
      <c r="X3727" s="214" t="s">
        <v>3834</v>
      </c>
      <c r="Y3727" s="220">
        <v>6</v>
      </c>
    </row>
    <row r="3728" spans="23:25" x14ac:dyDescent="0.25">
      <c r="W3728" s="214" t="s">
        <v>258</v>
      </c>
      <c r="X3728" s="214" t="s">
        <v>3835</v>
      </c>
      <c r="Y3728" s="220">
        <v>6</v>
      </c>
    </row>
    <row r="3729" spans="23:25" x14ac:dyDescent="0.25">
      <c r="W3729" s="214" t="s">
        <v>258</v>
      </c>
      <c r="X3729" s="214" t="s">
        <v>3836</v>
      </c>
      <c r="Y3729" s="220">
        <v>6</v>
      </c>
    </row>
    <row r="3730" spans="23:25" x14ac:dyDescent="0.25">
      <c r="W3730" s="214" t="s">
        <v>258</v>
      </c>
      <c r="X3730" s="214" t="s">
        <v>3837</v>
      </c>
      <c r="Y3730" s="220">
        <v>6</v>
      </c>
    </row>
    <row r="3731" spans="23:25" x14ac:dyDescent="0.25">
      <c r="W3731" s="214" t="s">
        <v>258</v>
      </c>
      <c r="X3731" s="214" t="s">
        <v>3838</v>
      </c>
      <c r="Y3731" s="220">
        <v>6</v>
      </c>
    </row>
    <row r="3732" spans="23:25" x14ac:dyDescent="0.25">
      <c r="W3732" s="214" t="s">
        <v>258</v>
      </c>
      <c r="X3732" s="214" t="s">
        <v>3839</v>
      </c>
      <c r="Y3732" s="220">
        <v>3</v>
      </c>
    </row>
    <row r="3733" spans="23:25" x14ac:dyDescent="0.25">
      <c r="W3733" s="214" t="s">
        <v>258</v>
      </c>
      <c r="X3733" s="214" t="s">
        <v>3840</v>
      </c>
      <c r="Y3733" s="220">
        <v>3</v>
      </c>
    </row>
    <row r="3734" spans="23:25" x14ac:dyDescent="0.25">
      <c r="W3734" s="214" t="s">
        <v>258</v>
      </c>
      <c r="X3734" s="214" t="s">
        <v>3841</v>
      </c>
      <c r="Y3734" s="220">
        <v>6</v>
      </c>
    </row>
    <row r="3735" spans="23:25" x14ac:dyDescent="0.25">
      <c r="W3735" s="214" t="s">
        <v>239</v>
      </c>
      <c r="X3735" s="214" t="s">
        <v>3842</v>
      </c>
      <c r="Y3735" s="220">
        <v>3</v>
      </c>
    </row>
    <row r="3736" spans="23:25" x14ac:dyDescent="0.25">
      <c r="W3736" s="214" t="s">
        <v>258</v>
      </c>
      <c r="X3736" s="214" t="s">
        <v>3843</v>
      </c>
      <c r="Y3736" s="220">
        <v>6</v>
      </c>
    </row>
    <row r="3737" spans="23:25" x14ac:dyDescent="0.25">
      <c r="W3737" s="214" t="s">
        <v>258</v>
      </c>
      <c r="X3737" s="214" t="s">
        <v>3844</v>
      </c>
      <c r="Y3737" s="220">
        <v>6</v>
      </c>
    </row>
    <row r="3738" spans="23:25" x14ac:dyDescent="0.25">
      <c r="W3738" s="214" t="s">
        <v>258</v>
      </c>
      <c r="X3738" s="214" t="s">
        <v>3845</v>
      </c>
      <c r="Y3738" s="220">
        <v>6</v>
      </c>
    </row>
    <row r="3739" spans="23:25" x14ac:dyDescent="0.25">
      <c r="W3739" s="214" t="s">
        <v>258</v>
      </c>
      <c r="X3739" s="214" t="s">
        <v>3846</v>
      </c>
      <c r="Y3739" s="220">
        <v>6</v>
      </c>
    </row>
    <row r="3740" spans="23:25" x14ac:dyDescent="0.25">
      <c r="W3740" s="214" t="s">
        <v>258</v>
      </c>
      <c r="X3740" s="214" t="s">
        <v>3847</v>
      </c>
      <c r="Y3740" s="220">
        <v>3</v>
      </c>
    </row>
    <row r="3741" spans="23:25" x14ac:dyDescent="0.25">
      <c r="W3741" s="214" t="s">
        <v>258</v>
      </c>
      <c r="X3741" s="214" t="s">
        <v>3848</v>
      </c>
      <c r="Y3741" s="220">
        <v>6</v>
      </c>
    </row>
    <row r="3742" spans="23:25" x14ac:dyDescent="0.25">
      <c r="W3742" s="214" t="s">
        <v>258</v>
      </c>
      <c r="X3742" s="214" t="s">
        <v>3849</v>
      </c>
      <c r="Y3742" s="220">
        <v>6</v>
      </c>
    </row>
    <row r="3743" spans="23:25" x14ac:dyDescent="0.25">
      <c r="W3743" s="214" t="s">
        <v>258</v>
      </c>
      <c r="X3743" s="214" t="s">
        <v>3850</v>
      </c>
      <c r="Y3743" s="220">
        <v>4</v>
      </c>
    </row>
    <row r="3744" spans="23:25" x14ac:dyDescent="0.25">
      <c r="W3744" s="214" t="s">
        <v>258</v>
      </c>
      <c r="X3744" s="214" t="s">
        <v>3851</v>
      </c>
      <c r="Y3744" s="220">
        <v>4</v>
      </c>
    </row>
    <row r="3745" spans="23:25" x14ac:dyDescent="0.25">
      <c r="W3745" s="214" t="s">
        <v>258</v>
      </c>
      <c r="X3745" s="214" t="s">
        <v>3852</v>
      </c>
      <c r="Y3745" s="220">
        <v>3</v>
      </c>
    </row>
    <row r="3746" spans="23:25" x14ac:dyDescent="0.25">
      <c r="W3746" s="214" t="s">
        <v>258</v>
      </c>
      <c r="X3746" s="214" t="s">
        <v>3853</v>
      </c>
      <c r="Y3746" s="220">
        <v>6</v>
      </c>
    </row>
    <row r="3747" spans="23:25" x14ac:dyDescent="0.25">
      <c r="W3747" s="214" t="s">
        <v>258</v>
      </c>
      <c r="X3747" s="214" t="s">
        <v>3854</v>
      </c>
      <c r="Y3747" s="220">
        <v>6</v>
      </c>
    </row>
    <row r="3748" spans="23:25" x14ac:dyDescent="0.25">
      <c r="W3748" s="214" t="s">
        <v>258</v>
      </c>
      <c r="X3748" s="214" t="s">
        <v>3855</v>
      </c>
      <c r="Y3748" s="220">
        <v>6</v>
      </c>
    </row>
    <row r="3749" spans="23:25" x14ac:dyDescent="0.25">
      <c r="W3749" s="214" t="s">
        <v>258</v>
      </c>
      <c r="X3749" s="214" t="s">
        <v>2100</v>
      </c>
      <c r="Y3749" s="220">
        <v>3</v>
      </c>
    </row>
    <row r="3750" spans="23:25" x14ac:dyDescent="0.25">
      <c r="W3750" s="214" t="s">
        <v>258</v>
      </c>
      <c r="X3750" s="214" t="s">
        <v>3856</v>
      </c>
      <c r="Y3750" s="220">
        <v>3</v>
      </c>
    </row>
    <row r="3751" spans="23:25" x14ac:dyDescent="0.25">
      <c r="W3751" s="214" t="s">
        <v>258</v>
      </c>
      <c r="X3751" s="214" t="s">
        <v>3857</v>
      </c>
      <c r="Y3751" s="220">
        <v>6</v>
      </c>
    </row>
    <row r="3752" spans="23:25" x14ac:dyDescent="0.25">
      <c r="W3752" s="214" t="s">
        <v>258</v>
      </c>
      <c r="X3752" s="214" t="s">
        <v>3858</v>
      </c>
      <c r="Y3752" s="220">
        <v>6</v>
      </c>
    </row>
    <row r="3753" spans="23:25" x14ac:dyDescent="0.25">
      <c r="W3753" s="214" t="s">
        <v>258</v>
      </c>
      <c r="X3753" s="214" t="s">
        <v>3859</v>
      </c>
      <c r="Y3753" s="220">
        <v>5</v>
      </c>
    </row>
    <row r="3754" spans="23:25" x14ac:dyDescent="0.25">
      <c r="W3754" s="214" t="s">
        <v>258</v>
      </c>
      <c r="X3754" s="214" t="s">
        <v>3860</v>
      </c>
      <c r="Y3754" s="220">
        <v>3</v>
      </c>
    </row>
    <row r="3755" spans="23:25" x14ac:dyDescent="0.25">
      <c r="W3755" s="214" t="s">
        <v>258</v>
      </c>
      <c r="X3755" s="214" t="s">
        <v>3861</v>
      </c>
      <c r="Y3755" s="220">
        <v>6</v>
      </c>
    </row>
    <row r="3756" spans="23:25" x14ac:dyDescent="0.25">
      <c r="W3756" s="214" t="s">
        <v>258</v>
      </c>
      <c r="X3756" s="214" t="s">
        <v>3862</v>
      </c>
      <c r="Y3756" s="220">
        <v>3</v>
      </c>
    </row>
    <row r="3757" spans="23:25" x14ac:dyDescent="0.25">
      <c r="W3757" s="214" t="s">
        <v>258</v>
      </c>
      <c r="X3757" s="214" t="s">
        <v>343</v>
      </c>
      <c r="Y3757" s="220">
        <v>3</v>
      </c>
    </row>
    <row r="3758" spans="23:25" x14ac:dyDescent="0.25">
      <c r="W3758" s="214" t="s">
        <v>258</v>
      </c>
      <c r="X3758" s="214" t="s">
        <v>3863</v>
      </c>
      <c r="Y3758" s="220">
        <v>6</v>
      </c>
    </row>
    <row r="3759" spans="23:25" x14ac:dyDescent="0.25">
      <c r="W3759" s="214" t="s">
        <v>258</v>
      </c>
      <c r="X3759" s="214" t="s">
        <v>3864</v>
      </c>
      <c r="Y3759" s="220">
        <v>3</v>
      </c>
    </row>
    <row r="3760" spans="23:25" x14ac:dyDescent="0.25">
      <c r="W3760" s="214" t="s">
        <v>258</v>
      </c>
      <c r="X3760" s="214" t="s">
        <v>3865</v>
      </c>
      <c r="Y3760" s="220">
        <v>3</v>
      </c>
    </row>
    <row r="3761" spans="23:25" x14ac:dyDescent="0.25">
      <c r="W3761" s="214" t="s">
        <v>29</v>
      </c>
      <c r="X3761" s="214" t="s">
        <v>3866</v>
      </c>
      <c r="Y3761" s="220">
        <v>8</v>
      </c>
    </row>
    <row r="3762" spans="23:25" x14ac:dyDescent="0.25">
      <c r="W3762" s="214" t="s">
        <v>29</v>
      </c>
      <c r="X3762" s="214" t="s">
        <v>3867</v>
      </c>
      <c r="Y3762" s="220">
        <v>8</v>
      </c>
    </row>
    <row r="3763" spans="23:25" x14ac:dyDescent="0.25">
      <c r="W3763" s="214" t="s">
        <v>1667</v>
      </c>
      <c r="X3763" s="214" t="s">
        <v>3868</v>
      </c>
      <c r="Y3763" s="220">
        <v>8</v>
      </c>
    </row>
    <row r="3764" spans="23:25" x14ac:dyDescent="0.25">
      <c r="W3764" s="214" t="s">
        <v>242</v>
      </c>
      <c r="X3764" s="214" t="s">
        <v>3869</v>
      </c>
      <c r="Y3764" s="220">
        <v>8</v>
      </c>
    </row>
    <row r="3765" spans="23:25" x14ac:dyDescent="0.25">
      <c r="W3765" s="214" t="s">
        <v>3870</v>
      </c>
      <c r="X3765" s="214" t="s">
        <v>3871</v>
      </c>
      <c r="Y3765" s="220">
        <v>6</v>
      </c>
    </row>
    <row r="3766" spans="23:25" x14ac:dyDescent="0.25">
      <c r="W3766" s="214" t="s">
        <v>3872</v>
      </c>
      <c r="X3766" s="214" t="s">
        <v>3873</v>
      </c>
      <c r="Y3766" s="220">
        <v>8</v>
      </c>
    </row>
    <row r="3767" spans="23:25" x14ac:dyDescent="0.25">
      <c r="W3767" s="214" t="s">
        <v>29</v>
      </c>
      <c r="X3767" s="214" t="s">
        <v>3874</v>
      </c>
      <c r="Y3767" s="220">
        <v>8</v>
      </c>
    </row>
    <row r="3768" spans="23:25" x14ac:dyDescent="0.25">
      <c r="W3768" s="214" t="s">
        <v>1667</v>
      </c>
      <c r="X3768" s="214" t="s">
        <v>3875</v>
      </c>
      <c r="Y3768" s="220">
        <v>8</v>
      </c>
    </row>
    <row r="3769" spans="23:25" x14ac:dyDescent="0.25">
      <c r="W3769" s="214" t="s">
        <v>242</v>
      </c>
      <c r="X3769" s="214" t="s">
        <v>3876</v>
      </c>
      <c r="Y3769" s="220">
        <v>8</v>
      </c>
    </row>
    <row r="3770" spans="23:25" x14ac:dyDescent="0.25">
      <c r="W3770" s="214" t="s">
        <v>242</v>
      </c>
      <c r="X3770" s="214" t="s">
        <v>3877</v>
      </c>
      <c r="Y3770" s="220">
        <v>8</v>
      </c>
    </row>
    <row r="3771" spans="23:25" x14ac:dyDescent="0.25">
      <c r="W3771" s="214" t="s">
        <v>29</v>
      </c>
      <c r="X3771" s="214" t="s">
        <v>3878</v>
      </c>
      <c r="Y3771" s="220">
        <v>8</v>
      </c>
    </row>
    <row r="3772" spans="23:25" x14ac:dyDescent="0.25">
      <c r="W3772" s="214" t="s">
        <v>242</v>
      </c>
      <c r="X3772" s="214" t="s">
        <v>3879</v>
      </c>
      <c r="Y3772" s="220">
        <v>8</v>
      </c>
    </row>
    <row r="3773" spans="23:25" x14ac:dyDescent="0.25">
      <c r="W3773" s="214" t="s">
        <v>3872</v>
      </c>
      <c r="X3773" s="214" t="s">
        <v>3880</v>
      </c>
      <c r="Y3773" s="220">
        <v>8</v>
      </c>
    </row>
    <row r="3774" spans="23:25" x14ac:dyDescent="0.25">
      <c r="W3774" s="214" t="s">
        <v>29</v>
      </c>
      <c r="X3774" s="214" t="s">
        <v>3881</v>
      </c>
      <c r="Y3774" s="220">
        <v>8</v>
      </c>
    </row>
    <row r="3775" spans="23:25" x14ac:dyDescent="0.25">
      <c r="W3775" s="214" t="s">
        <v>3872</v>
      </c>
      <c r="X3775" s="214" t="s">
        <v>3882</v>
      </c>
      <c r="Y3775" s="220">
        <v>8</v>
      </c>
    </row>
    <row r="3776" spans="23:25" x14ac:dyDescent="0.25">
      <c r="W3776" s="214" t="s">
        <v>1763</v>
      </c>
      <c r="X3776" s="214" t="s">
        <v>3883</v>
      </c>
      <c r="Y3776" s="220">
        <v>8</v>
      </c>
    </row>
    <row r="3777" spans="23:25" x14ac:dyDescent="0.25">
      <c r="W3777" s="214" t="s">
        <v>29</v>
      </c>
      <c r="X3777" s="214" t="s">
        <v>3884</v>
      </c>
      <c r="Y3777" s="220">
        <v>8</v>
      </c>
    </row>
    <row r="3778" spans="23:25" x14ac:dyDescent="0.25">
      <c r="W3778" s="214" t="s">
        <v>29</v>
      </c>
      <c r="X3778" s="214" t="s">
        <v>3885</v>
      </c>
      <c r="Y3778" s="220">
        <v>8</v>
      </c>
    </row>
    <row r="3779" spans="23:25" x14ac:dyDescent="0.25">
      <c r="W3779" s="214" t="s">
        <v>1667</v>
      </c>
      <c r="X3779" s="214" t="s">
        <v>3886</v>
      </c>
      <c r="Y3779" s="220">
        <v>8</v>
      </c>
    </row>
    <row r="3780" spans="23:25" x14ac:dyDescent="0.25">
      <c r="W3780" s="214" t="s">
        <v>1763</v>
      </c>
      <c r="X3780" s="214" t="s">
        <v>3887</v>
      </c>
      <c r="Y3780" s="220">
        <v>8</v>
      </c>
    </row>
    <row r="3781" spans="23:25" x14ac:dyDescent="0.25">
      <c r="W3781" s="214" t="s">
        <v>29</v>
      </c>
      <c r="X3781" s="214" t="s">
        <v>3888</v>
      </c>
      <c r="Y3781" s="220">
        <v>8</v>
      </c>
    </row>
    <row r="3782" spans="23:25" x14ac:dyDescent="0.25">
      <c r="W3782" s="214" t="s">
        <v>29</v>
      </c>
      <c r="X3782" s="214" t="s">
        <v>3889</v>
      </c>
      <c r="Y3782" s="220">
        <v>8</v>
      </c>
    </row>
    <row r="3783" spans="23:25" x14ac:dyDescent="0.25">
      <c r="W3783" s="214" t="s">
        <v>29</v>
      </c>
      <c r="X3783" s="214" t="s">
        <v>3890</v>
      </c>
      <c r="Y3783" s="220">
        <v>8</v>
      </c>
    </row>
    <row r="3784" spans="23:25" x14ac:dyDescent="0.25">
      <c r="W3784" s="214" t="s">
        <v>3872</v>
      </c>
      <c r="X3784" s="214" t="s">
        <v>3891</v>
      </c>
      <c r="Y3784" s="220">
        <v>8</v>
      </c>
    </row>
    <row r="3785" spans="23:25" x14ac:dyDescent="0.25">
      <c r="W3785" s="214" t="s">
        <v>3872</v>
      </c>
      <c r="X3785" s="214" t="s">
        <v>3892</v>
      </c>
      <c r="Y3785" s="220">
        <v>8</v>
      </c>
    </row>
    <row r="3786" spans="23:25" x14ac:dyDescent="0.25">
      <c r="W3786" s="214" t="s">
        <v>29</v>
      </c>
      <c r="X3786" s="214" t="s">
        <v>3893</v>
      </c>
      <c r="Y3786" s="220">
        <v>8</v>
      </c>
    </row>
    <row r="3787" spans="23:25" x14ac:dyDescent="0.25">
      <c r="W3787" s="214" t="s">
        <v>398</v>
      </c>
      <c r="X3787" s="214" t="s">
        <v>3894</v>
      </c>
      <c r="Y3787" s="220">
        <v>8</v>
      </c>
    </row>
    <row r="3788" spans="23:25" x14ac:dyDescent="0.25">
      <c r="W3788" s="214" t="s">
        <v>3872</v>
      </c>
      <c r="X3788" s="214" t="s">
        <v>3895</v>
      </c>
      <c r="Y3788" s="220">
        <v>8</v>
      </c>
    </row>
    <row r="3789" spans="23:25" x14ac:dyDescent="0.25">
      <c r="W3789" s="214" t="s">
        <v>29</v>
      </c>
      <c r="X3789" s="214" t="s">
        <v>3896</v>
      </c>
      <c r="Y3789" s="220">
        <v>8</v>
      </c>
    </row>
    <row r="3790" spans="23:25" x14ac:dyDescent="0.25">
      <c r="W3790" s="214" t="s">
        <v>3872</v>
      </c>
      <c r="X3790" s="214" t="s">
        <v>3897</v>
      </c>
      <c r="Y3790" s="220">
        <v>8</v>
      </c>
    </row>
    <row r="3791" spans="23:25" x14ac:dyDescent="0.25">
      <c r="W3791" s="214" t="s">
        <v>242</v>
      </c>
      <c r="X3791" s="214" t="s">
        <v>3898</v>
      </c>
      <c r="Y3791" s="220">
        <v>8</v>
      </c>
    </row>
    <row r="3792" spans="23:25" x14ac:dyDescent="0.25">
      <c r="W3792" s="214" t="s">
        <v>1763</v>
      </c>
      <c r="X3792" s="214" t="s">
        <v>3899</v>
      </c>
      <c r="Y3792" s="220">
        <v>8</v>
      </c>
    </row>
    <row r="3793" spans="23:25" x14ac:dyDescent="0.25">
      <c r="W3793" s="214" t="s">
        <v>242</v>
      </c>
      <c r="X3793" s="214" t="s">
        <v>3900</v>
      </c>
      <c r="Y3793" s="220">
        <v>8</v>
      </c>
    </row>
    <row r="3794" spans="23:25" x14ac:dyDescent="0.25">
      <c r="W3794" s="214" t="s">
        <v>1667</v>
      </c>
      <c r="X3794" s="214" t="s">
        <v>3901</v>
      </c>
      <c r="Y3794" s="220">
        <v>8</v>
      </c>
    </row>
    <row r="3795" spans="23:25" x14ac:dyDescent="0.25">
      <c r="W3795" s="214" t="s">
        <v>3872</v>
      </c>
      <c r="X3795" s="214" t="s">
        <v>3902</v>
      </c>
      <c r="Y3795" s="220">
        <v>8</v>
      </c>
    </row>
    <row r="3796" spans="23:25" x14ac:dyDescent="0.25">
      <c r="W3796" s="214" t="s">
        <v>1667</v>
      </c>
      <c r="X3796" s="214" t="s">
        <v>3903</v>
      </c>
      <c r="Y3796" s="220">
        <v>8</v>
      </c>
    </row>
    <row r="3797" spans="23:25" x14ac:dyDescent="0.25">
      <c r="W3797" s="214" t="s">
        <v>1667</v>
      </c>
      <c r="X3797" s="214" t="s">
        <v>3904</v>
      </c>
      <c r="Y3797" s="220">
        <v>8</v>
      </c>
    </row>
    <row r="3798" spans="23:25" x14ac:dyDescent="0.25">
      <c r="W3798" s="214" t="s">
        <v>1667</v>
      </c>
      <c r="X3798" s="214" t="s">
        <v>3905</v>
      </c>
      <c r="Y3798" s="220">
        <v>8</v>
      </c>
    </row>
    <row r="3799" spans="23:25" x14ac:dyDescent="0.25">
      <c r="W3799" s="214" t="s">
        <v>29</v>
      </c>
      <c r="X3799" s="214" t="s">
        <v>3906</v>
      </c>
      <c r="Y3799" s="220">
        <v>8</v>
      </c>
    </row>
    <row r="3800" spans="23:25" x14ac:dyDescent="0.25">
      <c r="W3800" s="214" t="s">
        <v>3872</v>
      </c>
      <c r="X3800" s="214" t="s">
        <v>3907</v>
      </c>
      <c r="Y3800" s="220">
        <v>8</v>
      </c>
    </row>
    <row r="3801" spans="23:25" x14ac:dyDescent="0.25">
      <c r="W3801" s="214" t="s">
        <v>1943</v>
      </c>
      <c r="X3801" s="214" t="s">
        <v>284</v>
      </c>
      <c r="Y3801" s="220">
        <v>8</v>
      </c>
    </row>
    <row r="3802" spans="23:25" x14ac:dyDescent="0.25">
      <c r="W3802" s="214" t="s">
        <v>3872</v>
      </c>
      <c r="X3802" s="214" t="s">
        <v>3908</v>
      </c>
      <c r="Y3802" s="220">
        <v>8</v>
      </c>
    </row>
    <row r="3803" spans="23:25" x14ac:dyDescent="0.25">
      <c r="W3803" s="214" t="s">
        <v>3872</v>
      </c>
      <c r="X3803" s="214" t="s">
        <v>3578</v>
      </c>
      <c r="Y3803" s="220">
        <v>8</v>
      </c>
    </row>
    <row r="3804" spans="23:25" x14ac:dyDescent="0.25">
      <c r="W3804" s="214" t="s">
        <v>1943</v>
      </c>
      <c r="X3804" s="214" t="s">
        <v>3909</v>
      </c>
      <c r="Y3804" s="220">
        <v>8</v>
      </c>
    </row>
    <row r="3805" spans="23:25" x14ac:dyDescent="0.25">
      <c r="W3805" s="214" t="s">
        <v>1667</v>
      </c>
      <c r="X3805" s="214" t="s">
        <v>3910</v>
      </c>
      <c r="Y3805" s="220">
        <v>8</v>
      </c>
    </row>
    <row r="3806" spans="23:25" x14ac:dyDescent="0.25">
      <c r="W3806" s="214" t="s">
        <v>1667</v>
      </c>
      <c r="X3806" s="214" t="s">
        <v>3911</v>
      </c>
      <c r="Y3806" s="220">
        <v>8</v>
      </c>
    </row>
    <row r="3807" spans="23:25" x14ac:dyDescent="0.25">
      <c r="W3807" s="214" t="s">
        <v>1667</v>
      </c>
      <c r="X3807" s="214" t="s">
        <v>1649</v>
      </c>
      <c r="Y3807" s="220">
        <v>8</v>
      </c>
    </row>
    <row r="3808" spans="23:25" x14ac:dyDescent="0.25">
      <c r="W3808" s="214" t="s">
        <v>3872</v>
      </c>
      <c r="X3808" s="214" t="s">
        <v>3912</v>
      </c>
      <c r="Y3808" s="220">
        <v>8</v>
      </c>
    </row>
    <row r="3809" spans="23:25" x14ac:dyDescent="0.25">
      <c r="W3809" s="214" t="s">
        <v>1667</v>
      </c>
      <c r="X3809" s="214" t="s">
        <v>3913</v>
      </c>
      <c r="Y3809" s="220">
        <v>8</v>
      </c>
    </row>
    <row r="3810" spans="23:25" x14ac:dyDescent="0.25">
      <c r="W3810" s="214" t="s">
        <v>29</v>
      </c>
      <c r="X3810" s="214" t="s">
        <v>3914</v>
      </c>
      <c r="Y3810" s="220">
        <v>8</v>
      </c>
    </row>
    <row r="3811" spans="23:25" x14ac:dyDescent="0.25">
      <c r="W3811" s="214" t="s">
        <v>1667</v>
      </c>
      <c r="X3811" s="214" t="s">
        <v>3915</v>
      </c>
      <c r="Y3811" s="220">
        <v>8</v>
      </c>
    </row>
    <row r="3812" spans="23:25" x14ac:dyDescent="0.25">
      <c r="W3812" s="214" t="s">
        <v>1667</v>
      </c>
      <c r="X3812" s="214" t="s">
        <v>3916</v>
      </c>
      <c r="Y3812" s="220">
        <v>8</v>
      </c>
    </row>
    <row r="3813" spans="23:25" x14ac:dyDescent="0.25">
      <c r="W3813" s="214" t="s">
        <v>1763</v>
      </c>
      <c r="X3813" s="214" t="s">
        <v>3917</v>
      </c>
      <c r="Y3813" s="220">
        <v>8</v>
      </c>
    </row>
    <row r="3814" spans="23:25" x14ac:dyDescent="0.25">
      <c r="W3814" s="214" t="s">
        <v>29</v>
      </c>
      <c r="X3814" s="214" t="s">
        <v>3918</v>
      </c>
      <c r="Y3814" s="220">
        <v>8</v>
      </c>
    </row>
    <row r="3815" spans="23:25" x14ac:dyDescent="0.25">
      <c r="W3815" s="214" t="s">
        <v>29</v>
      </c>
      <c r="X3815" s="214" t="s">
        <v>3919</v>
      </c>
      <c r="Y3815" s="220">
        <v>8</v>
      </c>
    </row>
    <row r="3816" spans="23:25" x14ac:dyDescent="0.25">
      <c r="W3816" s="214" t="s">
        <v>1667</v>
      </c>
      <c r="X3816" s="214" t="s">
        <v>3920</v>
      </c>
      <c r="Y3816" s="220">
        <v>8</v>
      </c>
    </row>
    <row r="3817" spans="23:25" x14ac:dyDescent="0.25">
      <c r="W3817" s="214" t="s">
        <v>1943</v>
      </c>
      <c r="X3817" s="214" t="s">
        <v>3921</v>
      </c>
      <c r="Y3817" s="220">
        <v>8</v>
      </c>
    </row>
    <row r="3818" spans="23:25" x14ac:dyDescent="0.25">
      <c r="W3818" s="214" t="s">
        <v>3872</v>
      </c>
      <c r="X3818" s="214" t="s">
        <v>3922</v>
      </c>
      <c r="Y3818" s="220">
        <v>8</v>
      </c>
    </row>
    <row r="3819" spans="23:25" x14ac:dyDescent="0.25">
      <c r="W3819" s="214" t="s">
        <v>1667</v>
      </c>
      <c r="X3819" s="214" t="s">
        <v>3923</v>
      </c>
      <c r="Y3819" s="220">
        <v>8</v>
      </c>
    </row>
    <row r="3820" spans="23:25" x14ac:dyDescent="0.25">
      <c r="W3820" s="214" t="s">
        <v>1667</v>
      </c>
      <c r="X3820" s="214" t="s">
        <v>3924</v>
      </c>
      <c r="Y3820" s="220">
        <v>8</v>
      </c>
    </row>
    <row r="3821" spans="23:25" x14ac:dyDescent="0.25">
      <c r="W3821" s="214" t="s">
        <v>398</v>
      </c>
      <c r="X3821" s="214" t="s">
        <v>3925</v>
      </c>
      <c r="Y3821" s="220">
        <v>8</v>
      </c>
    </row>
    <row r="3822" spans="23:25" x14ac:dyDescent="0.25">
      <c r="W3822" s="214" t="s">
        <v>1667</v>
      </c>
      <c r="X3822" s="214" t="s">
        <v>3926</v>
      </c>
      <c r="Y3822" s="220">
        <v>8</v>
      </c>
    </row>
    <row r="3823" spans="23:25" x14ac:dyDescent="0.25">
      <c r="W3823" s="214" t="s">
        <v>1943</v>
      </c>
      <c r="X3823" s="214" t="s">
        <v>3927</v>
      </c>
      <c r="Y3823" s="220">
        <v>8</v>
      </c>
    </row>
    <row r="3824" spans="23:25" x14ac:dyDescent="0.25">
      <c r="W3824" s="214" t="s">
        <v>242</v>
      </c>
      <c r="X3824" s="214" t="s">
        <v>3928</v>
      </c>
      <c r="Y3824" s="220">
        <v>8</v>
      </c>
    </row>
    <row r="3825" spans="23:25" x14ac:dyDescent="0.25">
      <c r="W3825" s="214" t="s">
        <v>29</v>
      </c>
      <c r="X3825" s="214" t="s">
        <v>3929</v>
      </c>
      <c r="Y3825" s="220">
        <v>8</v>
      </c>
    </row>
    <row r="3826" spans="23:25" x14ac:dyDescent="0.25">
      <c r="W3826" s="214" t="s">
        <v>1667</v>
      </c>
      <c r="X3826" s="214" t="s">
        <v>3930</v>
      </c>
      <c r="Y3826" s="220">
        <v>8</v>
      </c>
    </row>
    <row r="3827" spans="23:25" x14ac:dyDescent="0.25">
      <c r="W3827" s="214" t="s">
        <v>29</v>
      </c>
      <c r="X3827" s="214" t="s">
        <v>28</v>
      </c>
      <c r="Y3827" s="220">
        <v>8</v>
      </c>
    </row>
    <row r="3828" spans="23:25" x14ac:dyDescent="0.25">
      <c r="W3828" s="214" t="s">
        <v>1943</v>
      </c>
      <c r="X3828" s="214" t="s">
        <v>3931</v>
      </c>
      <c r="Y3828" s="220">
        <v>8</v>
      </c>
    </row>
    <row r="3829" spans="23:25" x14ac:dyDescent="0.25">
      <c r="W3829" s="214" t="s">
        <v>29</v>
      </c>
      <c r="X3829" s="214" t="s">
        <v>3932</v>
      </c>
      <c r="Y3829" s="220">
        <v>8</v>
      </c>
    </row>
    <row r="3830" spans="23:25" x14ac:dyDescent="0.25">
      <c r="W3830" s="214" t="s">
        <v>3872</v>
      </c>
      <c r="X3830" s="214" t="s">
        <v>3933</v>
      </c>
      <c r="Y3830" s="220">
        <v>8</v>
      </c>
    </row>
    <row r="3831" spans="23:25" x14ac:dyDescent="0.25">
      <c r="W3831" s="214" t="s">
        <v>3872</v>
      </c>
      <c r="X3831" s="214" t="s">
        <v>3934</v>
      </c>
      <c r="Y3831" s="220">
        <v>8</v>
      </c>
    </row>
    <row r="3832" spans="23:25" x14ac:dyDescent="0.25">
      <c r="W3832" s="214" t="s">
        <v>29</v>
      </c>
      <c r="X3832" s="214" t="s">
        <v>3935</v>
      </c>
      <c r="Y3832" s="220">
        <v>8</v>
      </c>
    </row>
    <row r="3833" spans="23:25" x14ac:dyDescent="0.25">
      <c r="W3833" s="214" t="s">
        <v>1763</v>
      </c>
      <c r="X3833" s="214" t="s">
        <v>3936</v>
      </c>
      <c r="Y3833" s="220">
        <v>8</v>
      </c>
    </row>
    <row r="3834" spans="23:25" x14ac:dyDescent="0.25">
      <c r="W3834" s="214" t="s">
        <v>1667</v>
      </c>
      <c r="X3834" s="214" t="s">
        <v>3937</v>
      </c>
      <c r="Y3834" s="220">
        <v>8</v>
      </c>
    </row>
    <row r="3835" spans="23:25" x14ac:dyDescent="0.25">
      <c r="W3835" s="214" t="s">
        <v>1667</v>
      </c>
      <c r="X3835" s="214" t="s">
        <v>3938</v>
      </c>
      <c r="Y3835" s="220">
        <v>8</v>
      </c>
    </row>
    <row r="3836" spans="23:25" x14ac:dyDescent="0.25">
      <c r="W3836" s="214" t="s">
        <v>29</v>
      </c>
      <c r="X3836" s="214" t="s">
        <v>3939</v>
      </c>
      <c r="Y3836" s="220">
        <v>8</v>
      </c>
    </row>
    <row r="3837" spans="23:25" x14ac:dyDescent="0.25">
      <c r="W3837" s="214" t="s">
        <v>29</v>
      </c>
      <c r="X3837" s="214" t="s">
        <v>3940</v>
      </c>
      <c r="Y3837" s="220">
        <v>8</v>
      </c>
    </row>
    <row r="3838" spans="23:25" x14ac:dyDescent="0.25">
      <c r="W3838" s="214" t="s">
        <v>29</v>
      </c>
      <c r="X3838" s="214" t="s">
        <v>3941</v>
      </c>
      <c r="Y3838" s="220">
        <v>8</v>
      </c>
    </row>
    <row r="3839" spans="23:25" x14ac:dyDescent="0.25">
      <c r="W3839" s="214" t="s">
        <v>29</v>
      </c>
      <c r="X3839" s="214" t="s">
        <v>3942</v>
      </c>
      <c r="Y3839" s="220">
        <v>8</v>
      </c>
    </row>
    <row r="3840" spans="23:25" x14ac:dyDescent="0.25">
      <c r="W3840" s="214" t="s">
        <v>29</v>
      </c>
      <c r="X3840" s="214" t="s">
        <v>3943</v>
      </c>
      <c r="Y3840" s="220">
        <v>8</v>
      </c>
    </row>
    <row r="3841" spans="23:25" x14ac:dyDescent="0.25">
      <c r="W3841" s="214" t="s">
        <v>1943</v>
      </c>
      <c r="X3841" s="214" t="s">
        <v>3944</v>
      </c>
      <c r="Y3841" s="220">
        <v>8</v>
      </c>
    </row>
    <row r="3842" spans="23:25" x14ac:dyDescent="0.25">
      <c r="W3842" s="214" t="s">
        <v>1943</v>
      </c>
      <c r="X3842" s="214" t="s">
        <v>3945</v>
      </c>
      <c r="Y3842" s="220">
        <v>8</v>
      </c>
    </row>
    <row r="3843" spans="23:25" x14ac:dyDescent="0.25">
      <c r="W3843" s="214" t="s">
        <v>29</v>
      </c>
      <c r="X3843" s="214" t="s">
        <v>3946</v>
      </c>
      <c r="Y3843" s="220">
        <v>8</v>
      </c>
    </row>
    <row r="3844" spans="23:25" x14ac:dyDescent="0.25">
      <c r="W3844" s="214" t="s">
        <v>1667</v>
      </c>
      <c r="X3844" s="214" t="s">
        <v>3947</v>
      </c>
      <c r="Y3844" s="220">
        <v>8</v>
      </c>
    </row>
    <row r="3845" spans="23:25" x14ac:dyDescent="0.25">
      <c r="W3845" s="214" t="s">
        <v>242</v>
      </c>
      <c r="X3845" s="214" t="s">
        <v>3948</v>
      </c>
      <c r="Y3845" s="220">
        <v>8</v>
      </c>
    </row>
    <row r="3846" spans="23:25" x14ac:dyDescent="0.25">
      <c r="W3846" s="214" t="s">
        <v>1943</v>
      </c>
      <c r="X3846" s="214" t="s">
        <v>3949</v>
      </c>
      <c r="Y3846" s="220">
        <v>8</v>
      </c>
    </row>
    <row r="3847" spans="23:25" x14ac:dyDescent="0.25">
      <c r="W3847" s="214" t="s">
        <v>3872</v>
      </c>
      <c r="X3847" s="214" t="s">
        <v>3950</v>
      </c>
      <c r="Y3847" s="220">
        <v>8</v>
      </c>
    </row>
    <row r="3848" spans="23:25" x14ac:dyDescent="0.25">
      <c r="W3848" s="214" t="s">
        <v>1667</v>
      </c>
      <c r="X3848" s="214" t="s">
        <v>3951</v>
      </c>
      <c r="Y3848" s="220">
        <v>8</v>
      </c>
    </row>
    <row r="3849" spans="23:25" x14ac:dyDescent="0.25">
      <c r="W3849" s="214" t="s">
        <v>231</v>
      </c>
      <c r="X3849" s="214" t="s">
        <v>3952</v>
      </c>
      <c r="Y3849" s="220">
        <v>8</v>
      </c>
    </row>
    <row r="3850" spans="23:25" x14ac:dyDescent="0.25">
      <c r="W3850" s="214" t="s">
        <v>1667</v>
      </c>
      <c r="X3850" s="214" t="s">
        <v>3953</v>
      </c>
      <c r="Y3850" s="220">
        <v>8</v>
      </c>
    </row>
    <row r="3851" spans="23:25" x14ac:dyDescent="0.25">
      <c r="W3851" s="214" t="s">
        <v>1976</v>
      </c>
      <c r="X3851" s="214" t="s">
        <v>3954</v>
      </c>
      <c r="Y3851" s="220">
        <v>7</v>
      </c>
    </row>
    <row r="3852" spans="23:25" x14ac:dyDescent="0.25">
      <c r="W3852" s="214" t="s">
        <v>29</v>
      </c>
      <c r="X3852" s="214" t="s">
        <v>3955</v>
      </c>
      <c r="Y3852" s="220">
        <v>8</v>
      </c>
    </row>
    <row r="3853" spans="23:25" x14ac:dyDescent="0.25">
      <c r="W3853" s="214" t="s">
        <v>3872</v>
      </c>
      <c r="X3853" s="214" t="s">
        <v>3956</v>
      </c>
      <c r="Y3853" s="220">
        <v>8</v>
      </c>
    </row>
    <row r="3854" spans="23:25" x14ac:dyDescent="0.25">
      <c r="W3854" s="214" t="s">
        <v>1763</v>
      </c>
      <c r="X3854" s="214" t="s">
        <v>3957</v>
      </c>
      <c r="Y3854" s="220">
        <v>8</v>
      </c>
    </row>
    <row r="3855" spans="23:25" x14ac:dyDescent="0.25">
      <c r="W3855" s="214" t="s">
        <v>1667</v>
      </c>
      <c r="X3855" s="214" t="s">
        <v>3958</v>
      </c>
      <c r="Y3855" s="220">
        <v>8</v>
      </c>
    </row>
    <row r="3856" spans="23:25" x14ac:dyDescent="0.25">
      <c r="W3856" s="214" t="s">
        <v>3872</v>
      </c>
      <c r="X3856" s="214" t="s">
        <v>3959</v>
      </c>
      <c r="Y3856" s="220">
        <v>8</v>
      </c>
    </row>
    <row r="3857" spans="23:25" x14ac:dyDescent="0.25">
      <c r="W3857" s="214" t="s">
        <v>29</v>
      </c>
      <c r="X3857" s="214" t="s">
        <v>3960</v>
      </c>
      <c r="Y3857" s="220">
        <v>8</v>
      </c>
    </row>
    <row r="3858" spans="23:25" x14ac:dyDescent="0.25">
      <c r="W3858" s="214" t="s">
        <v>1667</v>
      </c>
      <c r="X3858" s="214" t="s">
        <v>3961</v>
      </c>
      <c r="Y3858" s="220">
        <v>8</v>
      </c>
    </row>
    <row r="3859" spans="23:25" x14ac:dyDescent="0.25">
      <c r="W3859" s="214" t="s">
        <v>398</v>
      </c>
      <c r="X3859" s="214" t="s">
        <v>3962</v>
      </c>
      <c r="Y3859" s="220">
        <v>8</v>
      </c>
    </row>
    <row r="3860" spans="23:25" x14ac:dyDescent="0.25">
      <c r="W3860" s="214" t="s">
        <v>231</v>
      </c>
      <c r="X3860" s="214" t="s">
        <v>3963</v>
      </c>
      <c r="Y3860" s="220">
        <v>8</v>
      </c>
    </row>
    <row r="3861" spans="23:25" x14ac:dyDescent="0.25">
      <c r="W3861" s="214" t="s">
        <v>3872</v>
      </c>
      <c r="X3861" s="214" t="s">
        <v>3964</v>
      </c>
      <c r="Y3861" s="220">
        <v>8</v>
      </c>
    </row>
    <row r="3862" spans="23:25" x14ac:dyDescent="0.25">
      <c r="W3862" s="214" t="s">
        <v>1943</v>
      </c>
      <c r="X3862" s="214" t="s">
        <v>3965</v>
      </c>
      <c r="Y3862" s="220">
        <v>8</v>
      </c>
    </row>
    <row r="3863" spans="23:25" x14ac:dyDescent="0.25">
      <c r="W3863" s="214" t="s">
        <v>1667</v>
      </c>
      <c r="X3863" s="214" t="s">
        <v>3966</v>
      </c>
      <c r="Y3863" s="220">
        <v>8</v>
      </c>
    </row>
    <row r="3864" spans="23:25" x14ac:dyDescent="0.25">
      <c r="W3864" s="214" t="s">
        <v>1667</v>
      </c>
      <c r="X3864" s="214" t="s">
        <v>3967</v>
      </c>
      <c r="Y3864" s="220">
        <v>8</v>
      </c>
    </row>
    <row r="3865" spans="23:25" x14ac:dyDescent="0.25">
      <c r="W3865" s="214" t="s">
        <v>1943</v>
      </c>
      <c r="X3865" s="214" t="s">
        <v>3968</v>
      </c>
      <c r="Y3865" s="220">
        <v>8</v>
      </c>
    </row>
    <row r="3866" spans="23:25" x14ac:dyDescent="0.25">
      <c r="W3866" s="214" t="s">
        <v>1943</v>
      </c>
      <c r="X3866" s="214" t="s">
        <v>3969</v>
      </c>
      <c r="Y3866" s="220">
        <v>8</v>
      </c>
    </row>
    <row r="3867" spans="23:25" x14ac:dyDescent="0.25">
      <c r="W3867" s="214" t="s">
        <v>231</v>
      </c>
      <c r="X3867" s="214" t="s">
        <v>3970</v>
      </c>
      <c r="Y3867" s="220">
        <v>8</v>
      </c>
    </row>
    <row r="3868" spans="23:25" x14ac:dyDescent="0.25">
      <c r="W3868" s="214" t="s">
        <v>1943</v>
      </c>
      <c r="X3868" s="214" t="s">
        <v>3971</v>
      </c>
      <c r="Y3868" s="220">
        <v>8</v>
      </c>
    </row>
    <row r="3869" spans="23:25" x14ac:dyDescent="0.25">
      <c r="W3869" s="214" t="s">
        <v>1763</v>
      </c>
      <c r="X3869" s="214" t="s">
        <v>3972</v>
      </c>
      <c r="Y3869" s="220">
        <v>8</v>
      </c>
    </row>
    <row r="3870" spans="23:25" x14ac:dyDescent="0.25">
      <c r="W3870" s="214" t="s">
        <v>1763</v>
      </c>
      <c r="X3870" s="214" t="s">
        <v>3973</v>
      </c>
      <c r="Y3870" s="220">
        <v>8</v>
      </c>
    </row>
    <row r="3871" spans="23:25" x14ac:dyDescent="0.25">
      <c r="W3871" s="214" t="s">
        <v>1667</v>
      </c>
      <c r="X3871" s="214" t="s">
        <v>3974</v>
      </c>
      <c r="Y3871" s="220">
        <v>8</v>
      </c>
    </row>
    <row r="3872" spans="23:25" x14ac:dyDescent="0.25">
      <c r="W3872" s="214" t="s">
        <v>1943</v>
      </c>
      <c r="X3872" s="214" t="s">
        <v>3975</v>
      </c>
      <c r="Y3872" s="220">
        <v>8</v>
      </c>
    </row>
    <row r="3873" spans="23:25" x14ac:dyDescent="0.25">
      <c r="W3873" s="214" t="s">
        <v>1667</v>
      </c>
      <c r="X3873" s="214" t="s">
        <v>3976</v>
      </c>
      <c r="Y3873" s="220">
        <v>8</v>
      </c>
    </row>
    <row r="3874" spans="23:25" x14ac:dyDescent="0.25">
      <c r="W3874" s="214" t="s">
        <v>1667</v>
      </c>
      <c r="X3874" s="214" t="s">
        <v>3977</v>
      </c>
      <c r="Y3874" s="220">
        <v>8</v>
      </c>
    </row>
    <row r="3875" spans="23:25" x14ac:dyDescent="0.25">
      <c r="W3875" s="214" t="s">
        <v>3872</v>
      </c>
      <c r="X3875" s="214" t="s">
        <v>3978</v>
      </c>
      <c r="Y3875" s="220">
        <v>8</v>
      </c>
    </row>
    <row r="3876" spans="23:25" x14ac:dyDescent="0.25">
      <c r="W3876" s="214" t="s">
        <v>231</v>
      </c>
      <c r="X3876" s="214" t="s">
        <v>3979</v>
      </c>
      <c r="Y3876" s="220">
        <v>8</v>
      </c>
    </row>
    <row r="3877" spans="23:25" x14ac:dyDescent="0.25">
      <c r="W3877" s="214" t="s">
        <v>1694</v>
      </c>
      <c r="X3877" s="214" t="s">
        <v>3980</v>
      </c>
      <c r="Y3877" s="220">
        <v>8</v>
      </c>
    </row>
    <row r="3878" spans="23:25" x14ac:dyDescent="0.25">
      <c r="W3878" s="214" t="s">
        <v>1763</v>
      </c>
      <c r="X3878" s="214" t="s">
        <v>3981</v>
      </c>
      <c r="Y3878" s="220">
        <v>8</v>
      </c>
    </row>
    <row r="3879" spans="23:25" x14ac:dyDescent="0.25">
      <c r="W3879" s="214" t="s">
        <v>1943</v>
      </c>
      <c r="X3879" s="214" t="s">
        <v>3982</v>
      </c>
      <c r="Y3879" s="220">
        <v>8</v>
      </c>
    </row>
    <row r="3880" spans="23:25" x14ac:dyDescent="0.25">
      <c r="W3880" s="214" t="s">
        <v>1740</v>
      </c>
      <c r="X3880" s="214" t="s">
        <v>2008</v>
      </c>
      <c r="Y3880" s="220">
        <v>7</v>
      </c>
    </row>
    <row r="3881" spans="23:25" x14ac:dyDescent="0.25">
      <c r="W3881" s="214" t="s">
        <v>3872</v>
      </c>
      <c r="X3881" s="214" t="s">
        <v>3983</v>
      </c>
      <c r="Y3881" s="220">
        <v>8</v>
      </c>
    </row>
    <row r="3882" spans="23:25" x14ac:dyDescent="0.25">
      <c r="W3882" s="214" t="s">
        <v>1667</v>
      </c>
      <c r="X3882" s="214" t="s">
        <v>3984</v>
      </c>
      <c r="Y3882" s="220">
        <v>8</v>
      </c>
    </row>
    <row r="3883" spans="23:25" x14ac:dyDescent="0.25">
      <c r="W3883" s="214" t="s">
        <v>1667</v>
      </c>
      <c r="X3883" s="214" t="s">
        <v>3985</v>
      </c>
      <c r="Y3883" s="220">
        <v>7</v>
      </c>
    </row>
    <row r="3884" spans="23:25" x14ac:dyDescent="0.25">
      <c r="W3884" s="214" t="s">
        <v>1667</v>
      </c>
      <c r="X3884" s="214" t="s">
        <v>3986</v>
      </c>
      <c r="Y3884" s="220">
        <v>8</v>
      </c>
    </row>
    <row r="3885" spans="23:25" x14ac:dyDescent="0.25">
      <c r="W3885" s="214" t="s">
        <v>1943</v>
      </c>
      <c r="X3885" s="214" t="s">
        <v>3987</v>
      </c>
      <c r="Y3885" s="220">
        <v>8</v>
      </c>
    </row>
    <row r="3886" spans="23:25" x14ac:dyDescent="0.25">
      <c r="W3886" s="214" t="s">
        <v>29</v>
      </c>
      <c r="X3886" s="214" t="s">
        <v>3988</v>
      </c>
      <c r="Y3886" s="220">
        <v>8</v>
      </c>
    </row>
    <row r="3887" spans="23:25" x14ac:dyDescent="0.25">
      <c r="W3887" s="214" t="s">
        <v>231</v>
      </c>
      <c r="X3887" s="214" t="s">
        <v>3989</v>
      </c>
      <c r="Y3887" s="220">
        <v>8</v>
      </c>
    </row>
    <row r="3888" spans="23:25" x14ac:dyDescent="0.25">
      <c r="W3888" s="214" t="s">
        <v>3872</v>
      </c>
      <c r="X3888" s="214" t="s">
        <v>3990</v>
      </c>
      <c r="Y3888" s="220">
        <v>8</v>
      </c>
    </row>
    <row r="3889" spans="23:25" x14ac:dyDescent="0.25">
      <c r="W3889" s="214" t="s">
        <v>1694</v>
      </c>
      <c r="X3889" s="214" t="s">
        <v>3991</v>
      </c>
      <c r="Y3889" s="220">
        <v>8</v>
      </c>
    </row>
    <row r="3890" spans="23:25" x14ac:dyDescent="0.25">
      <c r="W3890" s="214" t="s">
        <v>1667</v>
      </c>
      <c r="X3890" s="214" t="s">
        <v>3992</v>
      </c>
      <c r="Y3890" s="220">
        <v>8</v>
      </c>
    </row>
    <row r="3891" spans="23:25" x14ac:dyDescent="0.25">
      <c r="W3891" s="214" t="s">
        <v>3872</v>
      </c>
      <c r="X3891" s="214" t="s">
        <v>3993</v>
      </c>
      <c r="Y3891" s="220">
        <v>8</v>
      </c>
    </row>
    <row r="3892" spans="23:25" x14ac:dyDescent="0.25">
      <c r="W3892" s="214" t="s">
        <v>3872</v>
      </c>
      <c r="X3892" s="214" t="s">
        <v>2525</v>
      </c>
      <c r="Y3892" s="220">
        <v>8</v>
      </c>
    </row>
    <row r="3893" spans="23:25" x14ac:dyDescent="0.25">
      <c r="W3893" s="214" t="s">
        <v>1943</v>
      </c>
      <c r="X3893" s="214" t="s">
        <v>3994</v>
      </c>
      <c r="Y3893" s="220">
        <v>8</v>
      </c>
    </row>
    <row r="3894" spans="23:25" x14ac:dyDescent="0.25">
      <c r="W3894" s="214" t="s">
        <v>3872</v>
      </c>
      <c r="X3894" s="214" t="s">
        <v>3995</v>
      </c>
      <c r="Y3894" s="220">
        <v>8</v>
      </c>
    </row>
    <row r="3895" spans="23:25" x14ac:dyDescent="0.25">
      <c r="W3895" s="214" t="s">
        <v>1943</v>
      </c>
      <c r="X3895" s="214" t="s">
        <v>3996</v>
      </c>
      <c r="Y3895" s="220">
        <v>8</v>
      </c>
    </row>
    <row r="3896" spans="23:25" x14ac:dyDescent="0.25">
      <c r="W3896" s="214" t="s">
        <v>29</v>
      </c>
      <c r="X3896" s="214" t="s">
        <v>3997</v>
      </c>
      <c r="Y3896" s="220">
        <v>8</v>
      </c>
    </row>
    <row r="3897" spans="23:25" x14ac:dyDescent="0.25">
      <c r="W3897" s="214" t="s">
        <v>29</v>
      </c>
      <c r="X3897" s="214" t="s">
        <v>3998</v>
      </c>
      <c r="Y3897" s="220">
        <v>8</v>
      </c>
    </row>
    <row r="3898" spans="23:25" x14ac:dyDescent="0.25">
      <c r="W3898" s="214" t="s">
        <v>3872</v>
      </c>
      <c r="X3898" s="214" t="s">
        <v>3999</v>
      </c>
      <c r="Y3898" s="220">
        <v>8</v>
      </c>
    </row>
    <row r="3899" spans="23:25" x14ac:dyDescent="0.25">
      <c r="W3899" s="214" t="s">
        <v>1763</v>
      </c>
      <c r="X3899" s="214" t="s">
        <v>4000</v>
      </c>
      <c r="Y3899" s="220">
        <v>8</v>
      </c>
    </row>
    <row r="3900" spans="23:25" x14ac:dyDescent="0.25">
      <c r="W3900" s="214" t="s">
        <v>29</v>
      </c>
      <c r="X3900" s="214" t="s">
        <v>4001</v>
      </c>
      <c r="Y3900" s="220">
        <v>8</v>
      </c>
    </row>
    <row r="3901" spans="23:25" x14ac:dyDescent="0.25">
      <c r="W3901" s="214" t="s">
        <v>1667</v>
      </c>
      <c r="X3901" s="214" t="s">
        <v>4002</v>
      </c>
      <c r="Y3901" s="220">
        <v>8</v>
      </c>
    </row>
    <row r="3902" spans="23:25" x14ac:dyDescent="0.25">
      <c r="W3902" s="214" t="s">
        <v>29</v>
      </c>
      <c r="X3902" s="214" t="s">
        <v>4003</v>
      </c>
      <c r="Y3902" s="220">
        <v>8</v>
      </c>
    </row>
    <row r="3903" spans="23:25" x14ac:dyDescent="0.25">
      <c r="W3903" s="214" t="s">
        <v>4004</v>
      </c>
      <c r="X3903" s="214" t="s">
        <v>4005</v>
      </c>
      <c r="Y3903" s="220">
        <v>8</v>
      </c>
    </row>
    <row r="3904" spans="23:25" x14ac:dyDescent="0.25">
      <c r="W3904" s="214" t="s">
        <v>1667</v>
      </c>
      <c r="X3904" s="214" t="s">
        <v>4006</v>
      </c>
      <c r="Y3904" s="220">
        <v>8</v>
      </c>
    </row>
    <row r="3905" spans="23:25" x14ac:dyDescent="0.25">
      <c r="W3905" s="214" t="s">
        <v>3872</v>
      </c>
      <c r="X3905" s="214" t="s">
        <v>4007</v>
      </c>
      <c r="Y3905" s="220">
        <v>8</v>
      </c>
    </row>
    <row r="3906" spans="23:25" x14ac:dyDescent="0.25">
      <c r="W3906" s="214" t="s">
        <v>231</v>
      </c>
      <c r="X3906" s="214" t="s">
        <v>3649</v>
      </c>
      <c r="Y3906" s="220">
        <v>8</v>
      </c>
    </row>
    <row r="3907" spans="23:25" x14ac:dyDescent="0.25">
      <c r="W3907" s="214" t="s">
        <v>29</v>
      </c>
      <c r="X3907" s="214" t="s">
        <v>4008</v>
      </c>
      <c r="Y3907" s="220">
        <v>8</v>
      </c>
    </row>
    <row r="3908" spans="23:25" x14ac:dyDescent="0.25">
      <c r="W3908" s="214" t="s">
        <v>1694</v>
      </c>
      <c r="X3908" s="214" t="s">
        <v>1383</v>
      </c>
      <c r="Y3908" s="220">
        <v>8</v>
      </c>
    </row>
    <row r="3909" spans="23:25" x14ac:dyDescent="0.25">
      <c r="W3909" s="214" t="s">
        <v>1976</v>
      </c>
      <c r="X3909" s="214" t="s">
        <v>4009</v>
      </c>
      <c r="Y3909" s="220">
        <v>7</v>
      </c>
    </row>
    <row r="3910" spans="23:25" x14ac:dyDescent="0.25">
      <c r="W3910" s="214" t="s">
        <v>4004</v>
      </c>
      <c r="X3910" s="214" t="s">
        <v>4010</v>
      </c>
      <c r="Y3910" s="220">
        <v>8</v>
      </c>
    </row>
    <row r="3911" spans="23:25" x14ac:dyDescent="0.25">
      <c r="W3911" s="214" t="s">
        <v>29</v>
      </c>
      <c r="X3911" s="214" t="s">
        <v>4011</v>
      </c>
      <c r="Y3911" s="220">
        <v>8</v>
      </c>
    </row>
    <row r="3912" spans="23:25" x14ac:dyDescent="0.25">
      <c r="W3912" s="214" t="s">
        <v>29</v>
      </c>
      <c r="X3912" s="214" t="s">
        <v>4012</v>
      </c>
      <c r="Y3912" s="220">
        <v>8</v>
      </c>
    </row>
    <row r="3913" spans="23:25" x14ac:dyDescent="0.25">
      <c r="W3913" s="214" t="s">
        <v>29</v>
      </c>
      <c r="X3913" s="214" t="s">
        <v>4013</v>
      </c>
      <c r="Y3913" s="220">
        <v>8</v>
      </c>
    </row>
    <row r="3914" spans="23:25" x14ac:dyDescent="0.25">
      <c r="W3914" s="214" t="s">
        <v>1694</v>
      </c>
      <c r="X3914" s="214" t="s">
        <v>4014</v>
      </c>
      <c r="Y3914" s="220">
        <v>8</v>
      </c>
    </row>
    <row r="3915" spans="23:25" x14ac:dyDescent="0.25">
      <c r="W3915" s="214" t="s">
        <v>1667</v>
      </c>
      <c r="X3915" s="214" t="s">
        <v>4015</v>
      </c>
      <c r="Y3915" s="220">
        <v>8</v>
      </c>
    </row>
    <row r="3916" spans="23:25" x14ac:dyDescent="0.25">
      <c r="W3916" s="214" t="s">
        <v>1667</v>
      </c>
      <c r="X3916" s="214" t="s">
        <v>4016</v>
      </c>
      <c r="Y3916" s="220">
        <v>8</v>
      </c>
    </row>
    <row r="3917" spans="23:25" x14ac:dyDescent="0.25">
      <c r="W3917" s="214" t="s">
        <v>230</v>
      </c>
      <c r="X3917" s="214" t="s">
        <v>4017</v>
      </c>
      <c r="Y3917" s="220">
        <v>8</v>
      </c>
    </row>
    <row r="3918" spans="23:25" x14ac:dyDescent="0.25">
      <c r="W3918" s="214" t="s">
        <v>398</v>
      </c>
      <c r="X3918" s="214" t="s">
        <v>4018</v>
      </c>
      <c r="Y3918" s="220">
        <v>7</v>
      </c>
    </row>
    <row r="3919" spans="23:25" x14ac:dyDescent="0.25">
      <c r="W3919" s="214" t="s">
        <v>3872</v>
      </c>
      <c r="X3919" s="214" t="s">
        <v>4019</v>
      </c>
      <c r="Y3919" s="220">
        <v>8</v>
      </c>
    </row>
    <row r="3920" spans="23:25" x14ac:dyDescent="0.25">
      <c r="W3920" s="214" t="s">
        <v>1694</v>
      </c>
      <c r="X3920" s="214" t="s">
        <v>4020</v>
      </c>
      <c r="Y3920" s="220">
        <v>8</v>
      </c>
    </row>
    <row r="3921" spans="23:25" x14ac:dyDescent="0.25">
      <c r="W3921" s="214" t="s">
        <v>231</v>
      </c>
      <c r="X3921" s="214" t="s">
        <v>4021</v>
      </c>
      <c r="Y3921" s="220">
        <v>8</v>
      </c>
    </row>
    <row r="3922" spans="23:25" x14ac:dyDescent="0.25">
      <c r="W3922" s="214" t="s">
        <v>1667</v>
      </c>
      <c r="X3922" s="214" t="s">
        <v>4022</v>
      </c>
      <c r="Y3922" s="220">
        <v>8</v>
      </c>
    </row>
    <row r="3923" spans="23:25" x14ac:dyDescent="0.25">
      <c r="W3923" s="214" t="s">
        <v>29</v>
      </c>
      <c r="X3923" s="214" t="s">
        <v>4023</v>
      </c>
      <c r="Y3923" s="220">
        <v>8</v>
      </c>
    </row>
    <row r="3924" spans="23:25" x14ac:dyDescent="0.25">
      <c r="W3924" s="214" t="s">
        <v>29</v>
      </c>
      <c r="X3924" s="214" t="s">
        <v>4024</v>
      </c>
      <c r="Y3924" s="220">
        <v>8</v>
      </c>
    </row>
    <row r="3925" spans="23:25" x14ac:dyDescent="0.25">
      <c r="W3925" s="214" t="s">
        <v>1943</v>
      </c>
      <c r="X3925" s="214" t="s">
        <v>4025</v>
      </c>
      <c r="Y3925" s="220">
        <v>8</v>
      </c>
    </row>
    <row r="3926" spans="23:25" x14ac:dyDescent="0.25">
      <c r="W3926" s="214" t="s">
        <v>1694</v>
      </c>
      <c r="X3926" s="214" t="s">
        <v>4026</v>
      </c>
      <c r="Y3926" s="220">
        <v>8</v>
      </c>
    </row>
    <row r="3927" spans="23:25" x14ac:dyDescent="0.25">
      <c r="W3927" s="214" t="s">
        <v>1694</v>
      </c>
      <c r="X3927" s="214" t="s">
        <v>4027</v>
      </c>
      <c r="Y3927" s="220">
        <v>8</v>
      </c>
    </row>
    <row r="3928" spans="23:25" x14ac:dyDescent="0.25">
      <c r="W3928" s="214" t="s">
        <v>1763</v>
      </c>
      <c r="X3928" s="214" t="s">
        <v>4028</v>
      </c>
      <c r="Y3928" s="220">
        <v>8</v>
      </c>
    </row>
    <row r="3929" spans="23:25" x14ac:dyDescent="0.25">
      <c r="W3929" s="214" t="s">
        <v>1667</v>
      </c>
      <c r="X3929" s="214" t="s">
        <v>4029</v>
      </c>
      <c r="Y3929" s="220">
        <v>8</v>
      </c>
    </row>
    <row r="3930" spans="23:25" x14ac:dyDescent="0.25">
      <c r="W3930" s="214" t="s">
        <v>1667</v>
      </c>
      <c r="X3930" s="214" t="s">
        <v>2324</v>
      </c>
      <c r="Y3930" s="220">
        <v>8</v>
      </c>
    </row>
    <row r="3931" spans="23:25" x14ac:dyDescent="0.25">
      <c r="W3931" s="214" t="s">
        <v>1694</v>
      </c>
      <c r="X3931" s="214" t="s">
        <v>4030</v>
      </c>
      <c r="Y3931" s="220">
        <v>8</v>
      </c>
    </row>
    <row r="3932" spans="23:25" x14ac:dyDescent="0.25">
      <c r="W3932" s="214" t="s">
        <v>29</v>
      </c>
      <c r="X3932" s="214" t="s">
        <v>4031</v>
      </c>
      <c r="Y3932" s="220">
        <v>8</v>
      </c>
    </row>
    <row r="3933" spans="23:25" x14ac:dyDescent="0.25">
      <c r="W3933" s="214" t="s">
        <v>29</v>
      </c>
      <c r="X3933" s="214" t="s">
        <v>4032</v>
      </c>
      <c r="Y3933" s="220">
        <v>8</v>
      </c>
    </row>
    <row r="3934" spans="23:25" x14ac:dyDescent="0.25">
      <c r="W3934" s="214" t="s">
        <v>29</v>
      </c>
      <c r="X3934" s="214" t="s">
        <v>4033</v>
      </c>
      <c r="Y3934" s="220">
        <v>8</v>
      </c>
    </row>
    <row r="3935" spans="23:25" x14ac:dyDescent="0.25">
      <c r="W3935" s="214" t="s">
        <v>1740</v>
      </c>
      <c r="X3935" s="214" t="s">
        <v>1312</v>
      </c>
      <c r="Y3935" s="220">
        <v>7</v>
      </c>
    </row>
    <row r="3936" spans="23:25" x14ac:dyDescent="0.25">
      <c r="W3936" s="214" t="s">
        <v>29</v>
      </c>
      <c r="X3936" s="214" t="s">
        <v>4034</v>
      </c>
      <c r="Y3936" s="220">
        <v>8</v>
      </c>
    </row>
    <row r="3937" spans="23:25" x14ac:dyDescent="0.25">
      <c r="W3937" s="214" t="s">
        <v>29</v>
      </c>
      <c r="X3937" s="214" t="s">
        <v>4035</v>
      </c>
      <c r="Y3937" s="220">
        <v>8</v>
      </c>
    </row>
    <row r="3938" spans="23:25" x14ac:dyDescent="0.25">
      <c r="W3938" s="214" t="s">
        <v>29</v>
      </c>
      <c r="X3938" s="214" t="s">
        <v>4036</v>
      </c>
      <c r="Y3938" s="220">
        <v>8</v>
      </c>
    </row>
    <row r="3939" spans="23:25" x14ac:dyDescent="0.25">
      <c r="W3939" s="214" t="s">
        <v>29</v>
      </c>
      <c r="X3939" s="214" t="s">
        <v>4037</v>
      </c>
      <c r="Y3939" s="220">
        <v>8</v>
      </c>
    </row>
    <row r="3940" spans="23:25" x14ac:dyDescent="0.25">
      <c r="W3940" s="214" t="s">
        <v>29</v>
      </c>
      <c r="X3940" s="214" t="s">
        <v>4038</v>
      </c>
      <c r="Y3940" s="220">
        <v>8</v>
      </c>
    </row>
    <row r="3941" spans="23:25" x14ac:dyDescent="0.25">
      <c r="W3941" s="214" t="s">
        <v>1667</v>
      </c>
      <c r="X3941" s="214" t="s">
        <v>4039</v>
      </c>
      <c r="Y3941" s="220">
        <v>7</v>
      </c>
    </row>
    <row r="3942" spans="23:25" x14ac:dyDescent="0.25">
      <c r="W3942" s="214" t="s">
        <v>29</v>
      </c>
      <c r="X3942" s="214" t="s">
        <v>4040</v>
      </c>
      <c r="Y3942" s="220">
        <v>8</v>
      </c>
    </row>
    <row r="3943" spans="23:25" x14ac:dyDescent="0.25">
      <c r="W3943" s="214" t="s">
        <v>3872</v>
      </c>
      <c r="X3943" s="214" t="s">
        <v>4041</v>
      </c>
      <c r="Y3943" s="220">
        <v>8</v>
      </c>
    </row>
    <row r="3944" spans="23:25" x14ac:dyDescent="0.25">
      <c r="W3944" s="214" t="s">
        <v>3872</v>
      </c>
      <c r="X3944" s="214" t="s">
        <v>4042</v>
      </c>
      <c r="Y3944" s="220">
        <v>8</v>
      </c>
    </row>
    <row r="3945" spans="23:25" x14ac:dyDescent="0.25">
      <c r="W3945" s="214" t="s">
        <v>1943</v>
      </c>
      <c r="X3945" s="214" t="s">
        <v>4043</v>
      </c>
      <c r="Y3945" s="220">
        <v>8</v>
      </c>
    </row>
    <row r="3946" spans="23:25" x14ac:dyDescent="0.25">
      <c r="W3946" s="214" t="s">
        <v>29</v>
      </c>
      <c r="X3946" s="214" t="s">
        <v>4044</v>
      </c>
      <c r="Y3946" s="220">
        <v>8</v>
      </c>
    </row>
    <row r="3947" spans="23:25" x14ac:dyDescent="0.25">
      <c r="W3947" s="214" t="s">
        <v>231</v>
      </c>
      <c r="X3947" s="214" t="s">
        <v>4045</v>
      </c>
      <c r="Y3947" s="220">
        <v>8</v>
      </c>
    </row>
    <row r="3948" spans="23:25" x14ac:dyDescent="0.25">
      <c r="W3948" s="214" t="s">
        <v>3872</v>
      </c>
      <c r="X3948" s="214" t="s">
        <v>4046</v>
      </c>
      <c r="Y3948" s="220">
        <v>8</v>
      </c>
    </row>
    <row r="3949" spans="23:25" x14ac:dyDescent="0.25">
      <c r="W3949" s="214" t="s">
        <v>29</v>
      </c>
      <c r="X3949" s="214" t="s">
        <v>4047</v>
      </c>
      <c r="Y3949" s="220">
        <v>8</v>
      </c>
    </row>
    <row r="3950" spans="23:25" x14ac:dyDescent="0.25">
      <c r="W3950" s="214" t="s">
        <v>1694</v>
      </c>
      <c r="X3950" s="214" t="s">
        <v>2057</v>
      </c>
      <c r="Y3950" s="220">
        <v>8</v>
      </c>
    </row>
    <row r="3951" spans="23:25" x14ac:dyDescent="0.25">
      <c r="W3951" s="214" t="s">
        <v>29</v>
      </c>
      <c r="X3951" s="214" t="s">
        <v>4048</v>
      </c>
      <c r="Y3951" s="220">
        <v>8</v>
      </c>
    </row>
    <row r="3952" spans="23:25" x14ac:dyDescent="0.25">
      <c r="W3952" s="214" t="s">
        <v>231</v>
      </c>
      <c r="X3952" s="214" t="s">
        <v>4049</v>
      </c>
      <c r="Y3952" s="220">
        <v>8</v>
      </c>
    </row>
    <row r="3953" spans="23:25" x14ac:dyDescent="0.25">
      <c r="W3953" s="214" t="s">
        <v>29</v>
      </c>
      <c r="X3953" s="214" t="s">
        <v>4050</v>
      </c>
      <c r="Y3953" s="220">
        <v>8</v>
      </c>
    </row>
    <row r="3954" spans="23:25" x14ac:dyDescent="0.25">
      <c r="W3954" s="214" t="s">
        <v>1667</v>
      </c>
      <c r="X3954" s="214" t="s">
        <v>4051</v>
      </c>
      <c r="Y3954" s="220">
        <v>8</v>
      </c>
    </row>
    <row r="3955" spans="23:25" x14ac:dyDescent="0.25">
      <c r="W3955" s="214" t="s">
        <v>1740</v>
      </c>
      <c r="X3955" s="214" t="s">
        <v>4052</v>
      </c>
      <c r="Y3955" s="220">
        <v>7</v>
      </c>
    </row>
    <row r="3956" spans="23:25" x14ac:dyDescent="0.25">
      <c r="W3956" s="214" t="s">
        <v>1763</v>
      </c>
      <c r="X3956" s="214" t="s">
        <v>4053</v>
      </c>
      <c r="Y3956" s="220">
        <v>8</v>
      </c>
    </row>
    <row r="3957" spans="23:25" x14ac:dyDescent="0.25">
      <c r="W3957" s="214" t="s">
        <v>1667</v>
      </c>
      <c r="X3957" s="214" t="s">
        <v>4043</v>
      </c>
      <c r="Y3957" s="220">
        <v>8</v>
      </c>
    </row>
    <row r="3958" spans="23:25" x14ac:dyDescent="0.25">
      <c r="W3958" s="214" t="s">
        <v>4004</v>
      </c>
      <c r="X3958" s="214" t="s">
        <v>4054</v>
      </c>
      <c r="Y3958" s="220">
        <v>8</v>
      </c>
    </row>
    <row r="3959" spans="23:25" x14ac:dyDescent="0.25">
      <c r="W3959" s="214" t="s">
        <v>242</v>
      </c>
      <c r="X3959" s="214" t="s">
        <v>4055</v>
      </c>
      <c r="Y3959" s="220">
        <v>8</v>
      </c>
    </row>
    <row r="3960" spans="23:25" x14ac:dyDescent="0.25">
      <c r="W3960" s="214" t="s">
        <v>1943</v>
      </c>
      <c r="X3960" s="214" t="s">
        <v>4056</v>
      </c>
      <c r="Y3960" s="220">
        <v>8</v>
      </c>
    </row>
    <row r="3961" spans="23:25" x14ac:dyDescent="0.25">
      <c r="W3961" s="214" t="s">
        <v>1763</v>
      </c>
      <c r="X3961" s="214" t="s">
        <v>4057</v>
      </c>
      <c r="Y3961" s="220">
        <v>8</v>
      </c>
    </row>
    <row r="3962" spans="23:25" x14ac:dyDescent="0.25">
      <c r="W3962" s="214" t="s">
        <v>1763</v>
      </c>
      <c r="X3962" s="214" t="s">
        <v>4058</v>
      </c>
      <c r="Y3962" s="220">
        <v>8</v>
      </c>
    </row>
    <row r="3963" spans="23:25" x14ac:dyDescent="0.25">
      <c r="W3963" s="214" t="s">
        <v>1763</v>
      </c>
      <c r="X3963" s="214" t="s">
        <v>4059</v>
      </c>
      <c r="Y3963" s="220">
        <v>8</v>
      </c>
    </row>
    <row r="3964" spans="23:25" x14ac:dyDescent="0.25">
      <c r="W3964" s="214" t="s">
        <v>29</v>
      </c>
      <c r="X3964" s="214" t="s">
        <v>4060</v>
      </c>
      <c r="Y3964" s="220">
        <v>8</v>
      </c>
    </row>
    <row r="3965" spans="23:25" x14ac:dyDescent="0.25">
      <c r="W3965" s="214" t="s">
        <v>1943</v>
      </c>
      <c r="X3965" s="214" t="s">
        <v>4061</v>
      </c>
      <c r="Y3965" s="220">
        <v>8</v>
      </c>
    </row>
    <row r="3966" spans="23:25" x14ac:dyDescent="0.25">
      <c r="W3966" s="214" t="s">
        <v>29</v>
      </c>
      <c r="X3966" s="214" t="s">
        <v>4062</v>
      </c>
      <c r="Y3966" s="220">
        <v>8</v>
      </c>
    </row>
    <row r="3967" spans="23:25" x14ac:dyDescent="0.25">
      <c r="W3967" s="214" t="s">
        <v>1943</v>
      </c>
      <c r="X3967" s="214" t="s">
        <v>4063</v>
      </c>
      <c r="Y3967" s="220">
        <v>8</v>
      </c>
    </row>
    <row r="3968" spans="23:25" x14ac:dyDescent="0.25">
      <c r="W3968" s="214" t="s">
        <v>29</v>
      </c>
      <c r="X3968" s="214" t="s">
        <v>4064</v>
      </c>
      <c r="Y3968" s="220">
        <v>8</v>
      </c>
    </row>
    <row r="3969" spans="23:25" x14ac:dyDescent="0.25">
      <c r="W3969" s="214" t="s">
        <v>3870</v>
      </c>
      <c r="X3969" s="214" t="s">
        <v>4065</v>
      </c>
      <c r="Y3969" s="220">
        <v>7</v>
      </c>
    </row>
    <row r="3970" spans="23:25" x14ac:dyDescent="0.25">
      <c r="W3970" s="214" t="s">
        <v>29</v>
      </c>
      <c r="X3970" s="214" t="s">
        <v>4066</v>
      </c>
      <c r="Y3970" s="220">
        <v>8</v>
      </c>
    </row>
    <row r="3971" spans="23:25" x14ac:dyDescent="0.25">
      <c r="W3971" s="214" t="s">
        <v>231</v>
      </c>
      <c r="X3971" s="214" t="s">
        <v>4067</v>
      </c>
      <c r="Y3971" s="220">
        <v>8</v>
      </c>
    </row>
    <row r="3972" spans="23:25" x14ac:dyDescent="0.25">
      <c r="W3972" s="214" t="s">
        <v>3872</v>
      </c>
      <c r="X3972" s="214" t="s">
        <v>4068</v>
      </c>
      <c r="Y3972" s="220">
        <v>8</v>
      </c>
    </row>
    <row r="3973" spans="23:25" x14ac:dyDescent="0.25">
      <c r="W3973" s="214" t="s">
        <v>231</v>
      </c>
      <c r="X3973" s="214" t="s">
        <v>4069</v>
      </c>
      <c r="Y3973" s="220">
        <v>8</v>
      </c>
    </row>
    <row r="3974" spans="23:25" x14ac:dyDescent="0.25">
      <c r="W3974" s="214" t="s">
        <v>1943</v>
      </c>
      <c r="X3974" s="214" t="s">
        <v>4070</v>
      </c>
      <c r="Y3974" s="220">
        <v>8</v>
      </c>
    </row>
    <row r="3975" spans="23:25" x14ac:dyDescent="0.25">
      <c r="W3975" s="214" t="s">
        <v>231</v>
      </c>
      <c r="X3975" s="214" t="s">
        <v>4071</v>
      </c>
      <c r="Y3975" s="220">
        <v>8</v>
      </c>
    </row>
    <row r="3976" spans="23:25" x14ac:dyDescent="0.25">
      <c r="W3976" s="214" t="s">
        <v>1667</v>
      </c>
      <c r="X3976" s="214" t="s">
        <v>2849</v>
      </c>
      <c r="Y3976" s="220">
        <v>7</v>
      </c>
    </row>
    <row r="3977" spans="23:25" x14ac:dyDescent="0.25">
      <c r="W3977" s="214" t="s">
        <v>231</v>
      </c>
      <c r="X3977" s="214" t="s">
        <v>4072</v>
      </c>
      <c r="Y3977" s="220">
        <v>8</v>
      </c>
    </row>
    <row r="3978" spans="23:25" x14ac:dyDescent="0.25">
      <c r="W3978" s="214" t="s">
        <v>231</v>
      </c>
      <c r="X3978" s="214" t="s">
        <v>4073</v>
      </c>
      <c r="Y3978" s="220">
        <v>8</v>
      </c>
    </row>
    <row r="3979" spans="23:25" x14ac:dyDescent="0.25">
      <c r="W3979" s="214" t="s">
        <v>29</v>
      </c>
      <c r="X3979" s="214" t="s">
        <v>4074</v>
      </c>
      <c r="Y3979" s="220">
        <v>8</v>
      </c>
    </row>
    <row r="3980" spans="23:25" x14ac:dyDescent="0.25">
      <c r="W3980" s="214" t="s">
        <v>29</v>
      </c>
      <c r="X3980" s="214" t="s">
        <v>4075</v>
      </c>
      <c r="Y3980" s="220">
        <v>8</v>
      </c>
    </row>
    <row r="3981" spans="23:25" x14ac:dyDescent="0.25">
      <c r="W3981" s="214" t="s">
        <v>231</v>
      </c>
      <c r="X3981" s="214" t="s">
        <v>4076</v>
      </c>
      <c r="Y3981" s="220">
        <v>8</v>
      </c>
    </row>
    <row r="3982" spans="23:25" x14ac:dyDescent="0.25">
      <c r="W3982" s="214" t="s">
        <v>1943</v>
      </c>
      <c r="X3982" s="214" t="s">
        <v>4077</v>
      </c>
      <c r="Y3982" s="220">
        <v>8</v>
      </c>
    </row>
    <row r="3983" spans="23:25" x14ac:dyDescent="0.25">
      <c r="W3983" s="214" t="s">
        <v>1667</v>
      </c>
      <c r="X3983" s="214" t="s">
        <v>4078</v>
      </c>
      <c r="Y3983" s="220">
        <v>8</v>
      </c>
    </row>
    <row r="3984" spans="23:25" x14ac:dyDescent="0.25">
      <c r="W3984" s="214" t="s">
        <v>231</v>
      </c>
      <c r="X3984" s="214" t="s">
        <v>4079</v>
      </c>
      <c r="Y3984" s="220">
        <v>8</v>
      </c>
    </row>
    <row r="3985" spans="23:25" x14ac:dyDescent="0.25">
      <c r="W3985" s="214" t="s">
        <v>29</v>
      </c>
      <c r="X3985" s="214" t="s">
        <v>4080</v>
      </c>
      <c r="Y3985" s="220">
        <v>8</v>
      </c>
    </row>
    <row r="3986" spans="23:25" x14ac:dyDescent="0.25">
      <c r="W3986" s="214" t="s">
        <v>3872</v>
      </c>
      <c r="X3986" s="214" t="s">
        <v>4081</v>
      </c>
      <c r="Y3986" s="220">
        <v>8</v>
      </c>
    </row>
    <row r="3987" spans="23:25" x14ac:dyDescent="0.25">
      <c r="W3987" s="214" t="s">
        <v>29</v>
      </c>
      <c r="X3987" s="214" t="s">
        <v>4082</v>
      </c>
      <c r="Y3987" s="220">
        <v>8</v>
      </c>
    </row>
    <row r="3988" spans="23:25" x14ac:dyDescent="0.25">
      <c r="W3988" s="214" t="s">
        <v>231</v>
      </c>
      <c r="X3988" s="214" t="s">
        <v>4083</v>
      </c>
      <c r="Y3988" s="220">
        <v>8</v>
      </c>
    </row>
    <row r="3989" spans="23:25" x14ac:dyDescent="0.25">
      <c r="W3989" s="214" t="s">
        <v>231</v>
      </c>
      <c r="X3989" s="214" t="s">
        <v>4084</v>
      </c>
      <c r="Y3989" s="220">
        <v>8</v>
      </c>
    </row>
    <row r="3990" spans="23:25" x14ac:dyDescent="0.25">
      <c r="W3990" s="214" t="s">
        <v>231</v>
      </c>
      <c r="X3990" s="214" t="s">
        <v>4085</v>
      </c>
      <c r="Y3990" s="220">
        <v>8</v>
      </c>
    </row>
    <row r="3991" spans="23:25" x14ac:dyDescent="0.25">
      <c r="W3991" s="214" t="s">
        <v>231</v>
      </c>
      <c r="X3991" s="214" t="s">
        <v>3431</v>
      </c>
      <c r="Y3991" s="220">
        <v>8</v>
      </c>
    </row>
    <row r="3992" spans="23:25" x14ac:dyDescent="0.25">
      <c r="W3992" s="214" t="s">
        <v>1943</v>
      </c>
      <c r="X3992" s="214" t="s">
        <v>4086</v>
      </c>
      <c r="Y3992" s="220">
        <v>8</v>
      </c>
    </row>
    <row r="3993" spans="23:25" x14ac:dyDescent="0.25">
      <c r="W3993" s="214" t="s">
        <v>231</v>
      </c>
      <c r="X3993" s="214" t="s">
        <v>4087</v>
      </c>
      <c r="Y3993" s="220">
        <v>8</v>
      </c>
    </row>
    <row r="3994" spans="23:25" x14ac:dyDescent="0.25">
      <c r="W3994" s="214" t="s">
        <v>29</v>
      </c>
      <c r="X3994" s="214" t="s">
        <v>4088</v>
      </c>
      <c r="Y3994" s="220">
        <v>8</v>
      </c>
    </row>
    <row r="3995" spans="23:25" x14ac:dyDescent="0.25">
      <c r="W3995" s="214" t="s">
        <v>29</v>
      </c>
      <c r="X3995" s="214" t="s">
        <v>4089</v>
      </c>
      <c r="Y3995" s="220">
        <v>8</v>
      </c>
    </row>
    <row r="3996" spans="23:25" x14ac:dyDescent="0.25">
      <c r="W3996" s="214" t="s">
        <v>4004</v>
      </c>
      <c r="X3996" s="214" t="s">
        <v>4090</v>
      </c>
      <c r="Y3996" s="220">
        <v>8</v>
      </c>
    </row>
    <row r="3997" spans="23:25" x14ac:dyDescent="0.25">
      <c r="W3997" s="214" t="s">
        <v>3872</v>
      </c>
      <c r="X3997" s="214" t="s">
        <v>4091</v>
      </c>
      <c r="Y3997" s="220">
        <v>8</v>
      </c>
    </row>
    <row r="3998" spans="23:25" x14ac:dyDescent="0.25">
      <c r="W3998" s="214" t="s">
        <v>29</v>
      </c>
      <c r="X3998" s="214" t="s">
        <v>4092</v>
      </c>
      <c r="Y3998" s="220">
        <v>8</v>
      </c>
    </row>
    <row r="3999" spans="23:25" x14ac:dyDescent="0.25">
      <c r="W3999" s="214" t="s">
        <v>231</v>
      </c>
      <c r="X3999" s="214" t="s">
        <v>4093</v>
      </c>
      <c r="Y3999" s="220">
        <v>8</v>
      </c>
    </row>
    <row r="4000" spans="23:25" x14ac:dyDescent="0.25">
      <c r="W4000" s="214" t="s">
        <v>3872</v>
      </c>
      <c r="X4000" s="214" t="s">
        <v>4094</v>
      </c>
      <c r="Y4000" s="220">
        <v>8</v>
      </c>
    </row>
    <row r="4001" spans="23:25" x14ac:dyDescent="0.25">
      <c r="W4001" s="214" t="s">
        <v>1667</v>
      </c>
      <c r="X4001" s="214" t="s">
        <v>4095</v>
      </c>
      <c r="Y4001" s="220">
        <v>8</v>
      </c>
    </row>
    <row r="4002" spans="23:25" x14ac:dyDescent="0.25">
      <c r="W4002" s="214" t="s">
        <v>398</v>
      </c>
      <c r="X4002" s="214" t="s">
        <v>4096</v>
      </c>
      <c r="Y4002" s="220">
        <v>8</v>
      </c>
    </row>
    <row r="4003" spans="23:25" x14ac:dyDescent="0.25">
      <c r="W4003" s="214" t="s">
        <v>231</v>
      </c>
      <c r="X4003" s="214" t="s">
        <v>4097</v>
      </c>
      <c r="Y4003" s="220">
        <v>8</v>
      </c>
    </row>
    <row r="4004" spans="23:25" x14ac:dyDescent="0.25">
      <c r="W4004" s="214" t="s">
        <v>3872</v>
      </c>
      <c r="X4004" s="214" t="s">
        <v>4098</v>
      </c>
      <c r="Y4004" s="220">
        <v>8</v>
      </c>
    </row>
    <row r="4005" spans="23:25" x14ac:dyDescent="0.25">
      <c r="W4005" s="214" t="s">
        <v>29</v>
      </c>
      <c r="X4005" s="214" t="s">
        <v>4099</v>
      </c>
      <c r="Y4005" s="220">
        <v>8</v>
      </c>
    </row>
    <row r="4006" spans="23:25" x14ac:dyDescent="0.25">
      <c r="W4006" s="214" t="s">
        <v>1943</v>
      </c>
      <c r="X4006" s="214" t="s">
        <v>4100</v>
      </c>
      <c r="Y4006" s="220">
        <v>8</v>
      </c>
    </row>
    <row r="4007" spans="23:25" x14ac:dyDescent="0.25">
      <c r="W4007" s="214" t="s">
        <v>231</v>
      </c>
      <c r="X4007" s="214" t="s">
        <v>4101</v>
      </c>
      <c r="Y4007" s="220">
        <v>8</v>
      </c>
    </row>
    <row r="4008" spans="23:25" x14ac:dyDescent="0.25">
      <c r="W4008" s="214" t="s">
        <v>1976</v>
      </c>
      <c r="X4008" s="214" t="s">
        <v>4102</v>
      </c>
      <c r="Y4008" s="220">
        <v>7</v>
      </c>
    </row>
    <row r="4009" spans="23:25" x14ac:dyDescent="0.25">
      <c r="W4009" s="214" t="s">
        <v>29</v>
      </c>
      <c r="X4009" s="214" t="s">
        <v>4103</v>
      </c>
      <c r="Y4009" s="220">
        <v>8</v>
      </c>
    </row>
    <row r="4010" spans="23:25" x14ac:dyDescent="0.25">
      <c r="W4010" s="214" t="s">
        <v>3872</v>
      </c>
      <c r="X4010" s="214" t="s">
        <v>4104</v>
      </c>
      <c r="Y4010" s="220">
        <v>8</v>
      </c>
    </row>
    <row r="4011" spans="23:25" x14ac:dyDescent="0.25">
      <c r="W4011" s="214" t="s">
        <v>1943</v>
      </c>
      <c r="X4011" s="214" t="s">
        <v>4105</v>
      </c>
      <c r="Y4011" s="220">
        <v>8</v>
      </c>
    </row>
    <row r="4012" spans="23:25" x14ac:dyDescent="0.25">
      <c r="W4012" s="214" t="s">
        <v>1976</v>
      </c>
      <c r="X4012" s="214" t="s">
        <v>4106</v>
      </c>
      <c r="Y4012" s="220">
        <v>7</v>
      </c>
    </row>
    <row r="4013" spans="23:25" x14ac:dyDescent="0.25">
      <c r="W4013" s="214" t="s">
        <v>1943</v>
      </c>
      <c r="X4013" s="214" t="s">
        <v>5902</v>
      </c>
      <c r="Y4013" s="220">
        <v>8</v>
      </c>
    </row>
    <row r="4014" spans="23:25" x14ac:dyDescent="0.25">
      <c r="W4014" s="214" t="s">
        <v>1943</v>
      </c>
      <c r="X4014" s="214" t="s">
        <v>4107</v>
      </c>
      <c r="Y4014" s="220">
        <v>8</v>
      </c>
    </row>
    <row r="4015" spans="23:25" x14ac:dyDescent="0.25">
      <c r="W4015" s="214" t="s">
        <v>3870</v>
      </c>
      <c r="X4015" s="214" t="s">
        <v>4108</v>
      </c>
      <c r="Y4015" s="220">
        <v>7</v>
      </c>
    </row>
    <row r="4016" spans="23:25" x14ac:dyDescent="0.25">
      <c r="W4016" s="214" t="s">
        <v>29</v>
      </c>
      <c r="X4016" s="214" t="s">
        <v>4109</v>
      </c>
      <c r="Y4016" s="220">
        <v>8</v>
      </c>
    </row>
    <row r="4017" spans="23:25" x14ac:dyDescent="0.25">
      <c r="W4017" s="214" t="s">
        <v>231</v>
      </c>
      <c r="X4017" s="214" t="s">
        <v>4110</v>
      </c>
      <c r="Y4017" s="220">
        <v>8</v>
      </c>
    </row>
    <row r="4018" spans="23:25" x14ac:dyDescent="0.25">
      <c r="W4018" s="214" t="s">
        <v>1943</v>
      </c>
      <c r="X4018" s="214" t="s">
        <v>4111</v>
      </c>
      <c r="Y4018" s="220">
        <v>8</v>
      </c>
    </row>
    <row r="4019" spans="23:25" x14ac:dyDescent="0.25">
      <c r="W4019" s="214" t="s">
        <v>29</v>
      </c>
      <c r="X4019" s="214" t="s">
        <v>4112</v>
      </c>
      <c r="Y4019" s="220">
        <v>8</v>
      </c>
    </row>
    <row r="4020" spans="23:25" x14ac:dyDescent="0.25">
      <c r="W4020" s="214" t="s">
        <v>29</v>
      </c>
      <c r="X4020" s="214" t="s">
        <v>4113</v>
      </c>
      <c r="Y4020" s="220">
        <v>8</v>
      </c>
    </row>
    <row r="4021" spans="23:25" x14ac:dyDescent="0.25">
      <c r="W4021" s="214" t="s">
        <v>1763</v>
      </c>
      <c r="X4021" s="214" t="s">
        <v>4114</v>
      </c>
      <c r="Y4021" s="220">
        <v>8</v>
      </c>
    </row>
    <row r="4022" spans="23:25" x14ac:dyDescent="0.25">
      <c r="W4022" s="214" t="s">
        <v>29</v>
      </c>
      <c r="X4022" s="214" t="s">
        <v>4115</v>
      </c>
      <c r="Y4022" s="220">
        <v>8</v>
      </c>
    </row>
    <row r="4023" spans="23:25" x14ac:dyDescent="0.25">
      <c r="W4023" s="214" t="s">
        <v>29</v>
      </c>
      <c r="X4023" s="214" t="s">
        <v>4116</v>
      </c>
      <c r="Y4023" s="220">
        <v>8</v>
      </c>
    </row>
    <row r="4024" spans="23:25" x14ac:dyDescent="0.25">
      <c r="W4024" s="214" t="s">
        <v>29</v>
      </c>
      <c r="X4024" s="214" t="s">
        <v>4117</v>
      </c>
      <c r="Y4024" s="220">
        <v>8</v>
      </c>
    </row>
    <row r="4025" spans="23:25" x14ac:dyDescent="0.25">
      <c r="W4025" s="214" t="s">
        <v>3872</v>
      </c>
      <c r="X4025" s="214" t="s">
        <v>4118</v>
      </c>
      <c r="Y4025" s="220">
        <v>8</v>
      </c>
    </row>
    <row r="4026" spans="23:25" x14ac:dyDescent="0.25">
      <c r="W4026" s="214" t="s">
        <v>3872</v>
      </c>
      <c r="X4026" s="214" t="s">
        <v>4119</v>
      </c>
      <c r="Y4026" s="220">
        <v>8</v>
      </c>
    </row>
    <row r="4027" spans="23:25" x14ac:dyDescent="0.25">
      <c r="W4027" s="214" t="s">
        <v>3872</v>
      </c>
      <c r="X4027" s="214" t="s">
        <v>4120</v>
      </c>
      <c r="Y4027" s="220">
        <v>8</v>
      </c>
    </row>
    <row r="4028" spans="23:25" x14ac:dyDescent="0.25">
      <c r="W4028" s="214" t="s">
        <v>1976</v>
      </c>
      <c r="X4028" s="214" t="s">
        <v>4121</v>
      </c>
      <c r="Y4028" s="220">
        <v>7</v>
      </c>
    </row>
    <row r="4029" spans="23:25" x14ac:dyDescent="0.25">
      <c r="W4029" s="214" t="s">
        <v>1976</v>
      </c>
      <c r="X4029" s="214" t="s">
        <v>1511</v>
      </c>
      <c r="Y4029" s="220">
        <v>7</v>
      </c>
    </row>
    <row r="4030" spans="23:25" x14ac:dyDescent="0.25">
      <c r="W4030" s="214" t="s">
        <v>1943</v>
      </c>
      <c r="X4030" s="214" t="s">
        <v>4122</v>
      </c>
      <c r="Y4030" s="220">
        <v>7</v>
      </c>
    </row>
    <row r="4031" spans="23:25" x14ac:dyDescent="0.25">
      <c r="W4031" s="214" t="s">
        <v>231</v>
      </c>
      <c r="X4031" s="214" t="s">
        <v>4123</v>
      </c>
      <c r="Y4031" s="220">
        <v>8</v>
      </c>
    </row>
    <row r="4032" spans="23:25" x14ac:dyDescent="0.25">
      <c r="W4032" s="214" t="s">
        <v>231</v>
      </c>
      <c r="X4032" s="214" t="s">
        <v>4124</v>
      </c>
      <c r="Y4032" s="220">
        <v>8</v>
      </c>
    </row>
    <row r="4033" spans="23:25" x14ac:dyDescent="0.25">
      <c r="W4033" s="214" t="s">
        <v>29</v>
      </c>
      <c r="X4033" s="214" t="s">
        <v>4125</v>
      </c>
      <c r="Y4033" s="220">
        <v>8</v>
      </c>
    </row>
    <row r="4034" spans="23:25" x14ac:dyDescent="0.25">
      <c r="W4034" s="214" t="s">
        <v>3872</v>
      </c>
      <c r="X4034" s="214" t="s">
        <v>3972</v>
      </c>
      <c r="Y4034" s="220">
        <v>8</v>
      </c>
    </row>
    <row r="4035" spans="23:25" x14ac:dyDescent="0.25">
      <c r="W4035" s="214" t="s">
        <v>398</v>
      </c>
      <c r="X4035" s="214" t="s">
        <v>4126</v>
      </c>
      <c r="Y4035" s="220">
        <v>8</v>
      </c>
    </row>
    <row r="4036" spans="23:25" x14ac:dyDescent="0.25">
      <c r="W4036" s="214" t="s">
        <v>1667</v>
      </c>
      <c r="X4036" s="214" t="s">
        <v>4127</v>
      </c>
      <c r="Y4036" s="220">
        <v>7</v>
      </c>
    </row>
    <row r="4037" spans="23:25" x14ac:dyDescent="0.25">
      <c r="W4037" s="214" t="s">
        <v>1943</v>
      </c>
      <c r="X4037" s="214" t="s">
        <v>4128</v>
      </c>
      <c r="Y4037" s="220">
        <v>7</v>
      </c>
    </row>
    <row r="4038" spans="23:25" x14ac:dyDescent="0.25">
      <c r="W4038" s="214" t="s">
        <v>1943</v>
      </c>
      <c r="X4038" s="214" t="s">
        <v>4129</v>
      </c>
      <c r="Y4038" s="220">
        <v>8</v>
      </c>
    </row>
    <row r="4039" spans="23:25" x14ac:dyDescent="0.25">
      <c r="W4039" s="214" t="s">
        <v>29</v>
      </c>
      <c r="X4039" s="214" t="s">
        <v>3131</v>
      </c>
      <c r="Y4039" s="220">
        <v>8</v>
      </c>
    </row>
    <row r="4040" spans="23:25" x14ac:dyDescent="0.25">
      <c r="W4040" s="214" t="s">
        <v>29</v>
      </c>
      <c r="X4040" s="214" t="s">
        <v>1843</v>
      </c>
      <c r="Y4040" s="220">
        <v>8</v>
      </c>
    </row>
    <row r="4041" spans="23:25" x14ac:dyDescent="0.25">
      <c r="W4041" s="214" t="s">
        <v>29</v>
      </c>
      <c r="X4041" s="214" t="s">
        <v>4130</v>
      </c>
      <c r="Y4041" s="220">
        <v>8</v>
      </c>
    </row>
    <row r="4042" spans="23:25" x14ac:dyDescent="0.25">
      <c r="W4042" s="214" t="s">
        <v>29</v>
      </c>
      <c r="X4042" s="214" t="s">
        <v>4131</v>
      </c>
      <c r="Y4042" s="220">
        <v>8</v>
      </c>
    </row>
    <row r="4043" spans="23:25" x14ac:dyDescent="0.25">
      <c r="W4043" s="214" t="s">
        <v>3872</v>
      </c>
      <c r="X4043" s="214" t="s">
        <v>4132</v>
      </c>
      <c r="Y4043" s="220">
        <v>7</v>
      </c>
    </row>
    <row r="4044" spans="23:25" x14ac:dyDescent="0.25">
      <c r="W4044" s="214" t="s">
        <v>29</v>
      </c>
      <c r="X4044" s="214" t="s">
        <v>4133</v>
      </c>
      <c r="Y4044" s="220">
        <v>8</v>
      </c>
    </row>
    <row r="4045" spans="23:25" x14ac:dyDescent="0.25">
      <c r="W4045" s="214" t="s">
        <v>1943</v>
      </c>
      <c r="X4045" s="214" t="s">
        <v>4134</v>
      </c>
      <c r="Y4045" s="220">
        <v>8</v>
      </c>
    </row>
    <row r="4046" spans="23:25" x14ac:dyDescent="0.25">
      <c r="W4046" s="214" t="s">
        <v>1667</v>
      </c>
      <c r="X4046" s="214" t="s">
        <v>4135</v>
      </c>
      <c r="Y4046" s="220">
        <v>8</v>
      </c>
    </row>
    <row r="4047" spans="23:25" x14ac:dyDescent="0.25">
      <c r="W4047" s="214" t="s">
        <v>29</v>
      </c>
      <c r="X4047" s="214" t="s">
        <v>4136</v>
      </c>
      <c r="Y4047" s="220">
        <v>8</v>
      </c>
    </row>
    <row r="4048" spans="23:25" x14ac:dyDescent="0.25">
      <c r="W4048" s="214" t="s">
        <v>1667</v>
      </c>
      <c r="X4048" s="214" t="s">
        <v>4137</v>
      </c>
      <c r="Y4048" s="220">
        <v>7</v>
      </c>
    </row>
    <row r="4049" spans="23:25" x14ac:dyDescent="0.25">
      <c r="W4049" s="214" t="s">
        <v>1943</v>
      </c>
      <c r="X4049" s="214" t="s">
        <v>4138</v>
      </c>
      <c r="Y4049" s="220">
        <v>7</v>
      </c>
    </row>
    <row r="4050" spans="23:25" x14ac:dyDescent="0.25">
      <c r="W4050" s="214" t="s">
        <v>3872</v>
      </c>
      <c r="X4050" s="214" t="s">
        <v>4139</v>
      </c>
      <c r="Y4050" s="220">
        <v>8</v>
      </c>
    </row>
    <row r="4051" spans="23:25" x14ac:dyDescent="0.25">
      <c r="W4051" s="214" t="s">
        <v>1667</v>
      </c>
      <c r="X4051" s="214" t="s">
        <v>4140</v>
      </c>
      <c r="Y4051" s="220">
        <v>7</v>
      </c>
    </row>
    <row r="4052" spans="23:25" x14ac:dyDescent="0.25">
      <c r="W4052" s="214" t="s">
        <v>1943</v>
      </c>
      <c r="X4052" s="214" t="s">
        <v>4141</v>
      </c>
      <c r="Y4052" s="220">
        <v>8</v>
      </c>
    </row>
    <row r="4053" spans="23:25" x14ac:dyDescent="0.25">
      <c r="W4053" s="214" t="s">
        <v>230</v>
      </c>
      <c r="X4053" s="214" t="s">
        <v>4142</v>
      </c>
      <c r="Y4053" s="220">
        <v>8</v>
      </c>
    </row>
    <row r="4054" spans="23:25" x14ac:dyDescent="0.25">
      <c r="W4054" s="214" t="s">
        <v>3872</v>
      </c>
      <c r="X4054" s="214" t="s">
        <v>4143</v>
      </c>
      <c r="Y4054" s="220">
        <v>7</v>
      </c>
    </row>
    <row r="4055" spans="23:25" x14ac:dyDescent="0.25">
      <c r="W4055" s="214" t="s">
        <v>1667</v>
      </c>
      <c r="X4055" s="214" t="s">
        <v>4144</v>
      </c>
      <c r="Y4055" s="220">
        <v>8</v>
      </c>
    </row>
    <row r="4056" spans="23:25" x14ac:dyDescent="0.25">
      <c r="W4056" s="214" t="s">
        <v>1667</v>
      </c>
      <c r="X4056" s="214" t="s">
        <v>4145</v>
      </c>
      <c r="Y4056" s="220">
        <v>8</v>
      </c>
    </row>
    <row r="4057" spans="23:25" x14ac:dyDescent="0.25">
      <c r="W4057" s="214" t="s">
        <v>1943</v>
      </c>
      <c r="X4057" s="214" t="s">
        <v>4146</v>
      </c>
      <c r="Y4057" s="220">
        <v>8</v>
      </c>
    </row>
    <row r="4058" spans="23:25" x14ac:dyDescent="0.25">
      <c r="W4058" s="214" t="s">
        <v>3872</v>
      </c>
      <c r="X4058" s="214" t="s">
        <v>4147</v>
      </c>
      <c r="Y4058" s="220">
        <v>8</v>
      </c>
    </row>
    <row r="4059" spans="23:25" x14ac:dyDescent="0.25">
      <c r="W4059" s="214" t="s">
        <v>1943</v>
      </c>
      <c r="X4059" s="214" t="s">
        <v>4148</v>
      </c>
      <c r="Y4059" s="220">
        <v>7</v>
      </c>
    </row>
    <row r="4060" spans="23:25" x14ac:dyDescent="0.25">
      <c r="W4060" s="214" t="s">
        <v>29</v>
      </c>
      <c r="X4060" s="214" t="s">
        <v>4149</v>
      </c>
      <c r="Y4060" s="220">
        <v>8</v>
      </c>
    </row>
    <row r="4061" spans="23:25" x14ac:dyDescent="0.25">
      <c r="W4061" s="214" t="s">
        <v>3872</v>
      </c>
      <c r="X4061" s="214" t="s">
        <v>4150</v>
      </c>
      <c r="Y4061" s="220">
        <v>8</v>
      </c>
    </row>
    <row r="4062" spans="23:25" x14ac:dyDescent="0.25">
      <c r="W4062" s="214" t="s">
        <v>29</v>
      </c>
      <c r="X4062" s="214" t="s">
        <v>4151</v>
      </c>
      <c r="Y4062" s="220">
        <v>8</v>
      </c>
    </row>
    <row r="4063" spans="23:25" x14ac:dyDescent="0.25">
      <c r="W4063" s="214" t="s">
        <v>3872</v>
      </c>
      <c r="X4063" s="214" t="s">
        <v>1530</v>
      </c>
      <c r="Y4063" s="220">
        <v>8</v>
      </c>
    </row>
    <row r="4064" spans="23:25" x14ac:dyDescent="0.25">
      <c r="W4064" s="214" t="s">
        <v>3872</v>
      </c>
      <c r="X4064" s="214" t="s">
        <v>4152</v>
      </c>
      <c r="Y4064" s="220">
        <v>8</v>
      </c>
    </row>
    <row r="4065" spans="23:25" x14ac:dyDescent="0.25">
      <c r="W4065" s="214" t="s">
        <v>29</v>
      </c>
      <c r="X4065" s="214" t="s">
        <v>4153</v>
      </c>
      <c r="Y4065" s="220">
        <v>8</v>
      </c>
    </row>
    <row r="4066" spans="23:25" x14ac:dyDescent="0.25">
      <c r="W4066" s="214" t="s">
        <v>29</v>
      </c>
      <c r="X4066" s="214" t="s">
        <v>4154</v>
      </c>
      <c r="Y4066" s="220">
        <v>8</v>
      </c>
    </row>
    <row r="4067" spans="23:25" x14ac:dyDescent="0.25">
      <c r="W4067" s="214" t="s">
        <v>29</v>
      </c>
      <c r="X4067" s="214" t="s">
        <v>4155</v>
      </c>
      <c r="Y4067" s="220">
        <v>8</v>
      </c>
    </row>
    <row r="4068" spans="23:25" x14ac:dyDescent="0.25">
      <c r="W4068" s="214" t="s">
        <v>29</v>
      </c>
      <c r="X4068" s="214" t="s">
        <v>4156</v>
      </c>
      <c r="Y4068" s="220">
        <v>8</v>
      </c>
    </row>
    <row r="4069" spans="23:25" x14ac:dyDescent="0.25">
      <c r="W4069" s="214" t="s">
        <v>29</v>
      </c>
      <c r="X4069" s="214" t="s">
        <v>4157</v>
      </c>
      <c r="Y4069" s="220">
        <v>8</v>
      </c>
    </row>
    <row r="4070" spans="23:25" x14ac:dyDescent="0.25">
      <c r="W4070" s="214" t="s">
        <v>1943</v>
      </c>
      <c r="X4070" s="214" t="s">
        <v>4158</v>
      </c>
      <c r="Y4070" s="220">
        <v>7</v>
      </c>
    </row>
    <row r="4071" spans="23:25" x14ac:dyDescent="0.25">
      <c r="W4071" s="214" t="s">
        <v>1976</v>
      </c>
      <c r="X4071" s="214" t="s">
        <v>4159</v>
      </c>
      <c r="Y4071" s="220">
        <v>7</v>
      </c>
    </row>
    <row r="4072" spans="23:25" x14ac:dyDescent="0.25">
      <c r="W4072" s="214" t="s">
        <v>1943</v>
      </c>
      <c r="X4072" s="214" t="s">
        <v>2875</v>
      </c>
      <c r="Y4072" s="220">
        <v>8</v>
      </c>
    </row>
    <row r="4073" spans="23:25" x14ac:dyDescent="0.25">
      <c r="W4073" s="214" t="s">
        <v>29</v>
      </c>
      <c r="X4073" s="214" t="s">
        <v>4160</v>
      </c>
      <c r="Y4073" s="220">
        <v>8</v>
      </c>
    </row>
    <row r="4074" spans="23:25" x14ac:dyDescent="0.25">
      <c r="W4074" s="214" t="s">
        <v>3872</v>
      </c>
      <c r="X4074" s="214" t="s">
        <v>4161</v>
      </c>
      <c r="Y4074" s="220">
        <v>8</v>
      </c>
    </row>
    <row r="4075" spans="23:25" x14ac:dyDescent="0.25">
      <c r="W4075" s="214" t="s">
        <v>29</v>
      </c>
      <c r="X4075" s="214" t="s">
        <v>4162</v>
      </c>
      <c r="Y4075" s="220">
        <v>8</v>
      </c>
    </row>
    <row r="4076" spans="23:25" x14ac:dyDescent="0.25">
      <c r="W4076" s="214" t="s">
        <v>1943</v>
      </c>
      <c r="X4076" s="214" t="s">
        <v>4163</v>
      </c>
      <c r="Y4076" s="220">
        <v>8</v>
      </c>
    </row>
    <row r="4077" spans="23:25" x14ac:dyDescent="0.25">
      <c r="W4077" s="214" t="s">
        <v>1943</v>
      </c>
      <c r="X4077" s="214" t="s">
        <v>4164</v>
      </c>
      <c r="Y4077" s="220">
        <v>7</v>
      </c>
    </row>
    <row r="4078" spans="23:25" x14ac:dyDescent="0.25">
      <c r="W4078" s="214" t="s">
        <v>1943</v>
      </c>
      <c r="X4078" s="214" t="s">
        <v>4165</v>
      </c>
      <c r="Y4078" s="220">
        <v>8</v>
      </c>
    </row>
    <row r="4079" spans="23:25" x14ac:dyDescent="0.25">
      <c r="W4079" s="214" t="s">
        <v>1943</v>
      </c>
      <c r="X4079" s="214" t="s">
        <v>4166</v>
      </c>
      <c r="Y4079" s="220">
        <v>8</v>
      </c>
    </row>
    <row r="4080" spans="23:25" x14ac:dyDescent="0.25">
      <c r="W4080" s="214" t="s">
        <v>1667</v>
      </c>
      <c r="X4080" s="214" t="s">
        <v>4167</v>
      </c>
      <c r="Y4080" s="220">
        <v>8</v>
      </c>
    </row>
    <row r="4081" spans="23:25" x14ac:dyDescent="0.25">
      <c r="W4081" s="214" t="s">
        <v>3872</v>
      </c>
      <c r="X4081" s="214" t="s">
        <v>4168</v>
      </c>
      <c r="Y4081" s="220">
        <v>8</v>
      </c>
    </row>
    <row r="4082" spans="23:25" x14ac:dyDescent="0.25">
      <c r="W4082" s="214" t="s">
        <v>3870</v>
      </c>
      <c r="X4082" s="214" t="s">
        <v>4169</v>
      </c>
      <c r="Y4082" s="220">
        <v>8</v>
      </c>
    </row>
    <row r="4083" spans="23:25" x14ac:dyDescent="0.25">
      <c r="W4083" s="214" t="s">
        <v>3872</v>
      </c>
      <c r="X4083" s="214" t="s">
        <v>4170</v>
      </c>
      <c r="Y4083" s="220">
        <v>8</v>
      </c>
    </row>
    <row r="4084" spans="23:25" x14ac:dyDescent="0.25">
      <c r="W4084" s="214" t="s">
        <v>1943</v>
      </c>
      <c r="X4084" s="214" t="s">
        <v>4171</v>
      </c>
      <c r="Y4084" s="220">
        <v>8</v>
      </c>
    </row>
    <row r="4085" spans="23:25" x14ac:dyDescent="0.25">
      <c r="W4085" s="214" t="s">
        <v>3872</v>
      </c>
      <c r="X4085" s="214" t="s">
        <v>4172</v>
      </c>
      <c r="Y4085" s="220">
        <v>8</v>
      </c>
    </row>
    <row r="4086" spans="23:25" x14ac:dyDescent="0.25">
      <c r="W4086" s="214" t="s">
        <v>1943</v>
      </c>
      <c r="X4086" s="214" t="s">
        <v>4173</v>
      </c>
      <c r="Y4086" s="220">
        <v>7</v>
      </c>
    </row>
    <row r="4087" spans="23:25" x14ac:dyDescent="0.25">
      <c r="W4087" s="214" t="s">
        <v>1943</v>
      </c>
      <c r="X4087" s="214" t="s">
        <v>4174</v>
      </c>
      <c r="Y4087" s="220">
        <v>7</v>
      </c>
    </row>
    <row r="4088" spans="23:25" x14ac:dyDescent="0.25">
      <c r="W4088" s="214" t="s">
        <v>29</v>
      </c>
      <c r="X4088" s="214" t="s">
        <v>4175</v>
      </c>
      <c r="Y4088" s="220">
        <v>8</v>
      </c>
    </row>
    <row r="4089" spans="23:25" x14ac:dyDescent="0.25">
      <c r="W4089" s="214" t="s">
        <v>1943</v>
      </c>
      <c r="X4089" s="214" t="s">
        <v>4176</v>
      </c>
      <c r="Y4089" s="220">
        <v>8</v>
      </c>
    </row>
    <row r="4090" spans="23:25" x14ac:dyDescent="0.25">
      <c r="W4090" s="214" t="s">
        <v>1943</v>
      </c>
      <c r="X4090" s="214" t="s">
        <v>4177</v>
      </c>
      <c r="Y4090" s="220">
        <v>7</v>
      </c>
    </row>
    <row r="4091" spans="23:25" x14ac:dyDescent="0.25">
      <c r="W4091" s="214" t="s">
        <v>231</v>
      </c>
      <c r="X4091" s="214" t="s">
        <v>4178</v>
      </c>
      <c r="Y4091" s="220">
        <v>8</v>
      </c>
    </row>
    <row r="4092" spans="23:25" x14ac:dyDescent="0.25">
      <c r="W4092" s="214" t="s">
        <v>29</v>
      </c>
      <c r="X4092" s="214" t="s">
        <v>4179</v>
      </c>
      <c r="Y4092" s="220">
        <v>8</v>
      </c>
    </row>
    <row r="4093" spans="23:25" x14ac:dyDescent="0.25">
      <c r="W4093" s="214" t="s">
        <v>29</v>
      </c>
      <c r="X4093" s="214" t="s">
        <v>4180</v>
      </c>
      <c r="Y4093" s="220">
        <v>8</v>
      </c>
    </row>
    <row r="4094" spans="23:25" x14ac:dyDescent="0.25">
      <c r="W4094" s="214" t="s">
        <v>1943</v>
      </c>
      <c r="X4094" s="214" t="s">
        <v>4181</v>
      </c>
      <c r="Y4094" s="220">
        <v>8</v>
      </c>
    </row>
    <row r="4095" spans="23:25" x14ac:dyDescent="0.25">
      <c r="W4095" s="214" t="s">
        <v>3872</v>
      </c>
      <c r="X4095" s="214" t="s">
        <v>4182</v>
      </c>
      <c r="Y4095" s="220">
        <v>7</v>
      </c>
    </row>
    <row r="4096" spans="23:25" x14ac:dyDescent="0.25">
      <c r="W4096" s="214" t="s">
        <v>1943</v>
      </c>
      <c r="X4096" s="214" t="s">
        <v>4183</v>
      </c>
      <c r="Y4096" s="220">
        <v>8</v>
      </c>
    </row>
    <row r="4097" spans="23:25" x14ac:dyDescent="0.25">
      <c r="W4097" s="214" t="s">
        <v>1943</v>
      </c>
      <c r="X4097" s="214" t="s">
        <v>4184</v>
      </c>
      <c r="Y4097" s="220">
        <v>8</v>
      </c>
    </row>
    <row r="4098" spans="23:25" x14ac:dyDescent="0.25">
      <c r="W4098" s="214" t="s">
        <v>1976</v>
      </c>
      <c r="X4098" s="214" t="s">
        <v>4185</v>
      </c>
      <c r="Y4098" s="220">
        <v>7</v>
      </c>
    </row>
    <row r="4099" spans="23:25" x14ac:dyDescent="0.25">
      <c r="W4099" s="214" t="s">
        <v>29</v>
      </c>
      <c r="X4099" s="214" t="s">
        <v>4186</v>
      </c>
      <c r="Y4099" s="220">
        <v>8</v>
      </c>
    </row>
    <row r="4100" spans="23:25" x14ac:dyDescent="0.25">
      <c r="W4100" s="214" t="s">
        <v>1943</v>
      </c>
      <c r="X4100" s="214" t="s">
        <v>4187</v>
      </c>
      <c r="Y4100" s="220">
        <v>7</v>
      </c>
    </row>
    <row r="4101" spans="23:25" x14ac:dyDescent="0.25">
      <c r="W4101" s="214" t="s">
        <v>1667</v>
      </c>
      <c r="X4101" s="214" t="s">
        <v>4188</v>
      </c>
      <c r="Y4101" s="220">
        <v>7</v>
      </c>
    </row>
    <row r="4102" spans="23:25" x14ac:dyDescent="0.25">
      <c r="W4102" s="214" t="s">
        <v>29</v>
      </c>
      <c r="X4102" s="214" t="s">
        <v>4189</v>
      </c>
      <c r="Y4102" s="220">
        <v>8</v>
      </c>
    </row>
    <row r="4103" spans="23:25" x14ac:dyDescent="0.25">
      <c r="W4103" s="214" t="s">
        <v>1943</v>
      </c>
      <c r="X4103" s="214" t="s">
        <v>4190</v>
      </c>
      <c r="Y4103" s="220">
        <v>7</v>
      </c>
    </row>
    <row r="4104" spans="23:25" x14ac:dyDescent="0.25">
      <c r="W4104" s="214" t="s">
        <v>1943</v>
      </c>
      <c r="X4104" s="214" t="s">
        <v>4191</v>
      </c>
      <c r="Y4104" s="220">
        <v>8</v>
      </c>
    </row>
    <row r="4105" spans="23:25" x14ac:dyDescent="0.25">
      <c r="W4105" s="214" t="s">
        <v>29</v>
      </c>
      <c r="X4105" s="214" t="s">
        <v>4192</v>
      </c>
      <c r="Y4105" s="220">
        <v>8</v>
      </c>
    </row>
    <row r="4106" spans="23:25" x14ac:dyDescent="0.25">
      <c r="W4106" s="214" t="s">
        <v>398</v>
      </c>
      <c r="X4106" s="214" t="s">
        <v>4193</v>
      </c>
      <c r="Y4106" s="220">
        <v>8</v>
      </c>
    </row>
    <row r="4107" spans="23:25" x14ac:dyDescent="0.25">
      <c r="W4107" s="214" t="s">
        <v>1667</v>
      </c>
      <c r="X4107" s="214" t="s">
        <v>4194</v>
      </c>
      <c r="Y4107" s="220">
        <v>7</v>
      </c>
    </row>
    <row r="4108" spans="23:25" x14ac:dyDescent="0.25">
      <c r="W4108" s="214" t="s">
        <v>231</v>
      </c>
      <c r="X4108" s="214" t="s">
        <v>4195</v>
      </c>
      <c r="Y4108" s="220">
        <v>8</v>
      </c>
    </row>
    <row r="4109" spans="23:25" x14ac:dyDescent="0.25">
      <c r="W4109" s="214" t="s">
        <v>231</v>
      </c>
      <c r="X4109" s="214" t="s">
        <v>4196</v>
      </c>
      <c r="Y4109" s="220">
        <v>8</v>
      </c>
    </row>
    <row r="4110" spans="23:25" x14ac:dyDescent="0.25">
      <c r="W4110" s="214" t="s">
        <v>231</v>
      </c>
      <c r="X4110" s="214" t="s">
        <v>4197</v>
      </c>
      <c r="Y4110" s="220">
        <v>8</v>
      </c>
    </row>
    <row r="4111" spans="23:25" x14ac:dyDescent="0.25">
      <c r="W4111" s="214" t="s">
        <v>1943</v>
      </c>
      <c r="X4111" s="214" t="s">
        <v>4198</v>
      </c>
      <c r="Y4111" s="220">
        <v>7</v>
      </c>
    </row>
    <row r="4112" spans="23:25" x14ac:dyDescent="0.25">
      <c r="W4112" s="214" t="s">
        <v>231</v>
      </c>
      <c r="X4112" s="214" t="s">
        <v>4199</v>
      </c>
      <c r="Y4112" s="220">
        <v>8</v>
      </c>
    </row>
    <row r="4113" spans="23:25" x14ac:dyDescent="0.25">
      <c r="W4113" s="214" t="s">
        <v>1943</v>
      </c>
      <c r="X4113" s="214" t="s">
        <v>4200</v>
      </c>
      <c r="Y4113" s="220">
        <v>7</v>
      </c>
    </row>
    <row r="4114" spans="23:25" x14ac:dyDescent="0.25">
      <c r="W4114" s="214" t="s">
        <v>1976</v>
      </c>
      <c r="X4114" s="214" t="s">
        <v>4201</v>
      </c>
      <c r="Y4114" s="220">
        <v>7</v>
      </c>
    </row>
    <row r="4115" spans="23:25" x14ac:dyDescent="0.25">
      <c r="W4115" s="214" t="s">
        <v>3872</v>
      </c>
      <c r="X4115" s="214" t="s">
        <v>4202</v>
      </c>
      <c r="Y4115" s="220">
        <v>8</v>
      </c>
    </row>
    <row r="4116" spans="23:25" x14ac:dyDescent="0.25">
      <c r="W4116" s="214" t="s">
        <v>1943</v>
      </c>
      <c r="X4116" s="214" t="s">
        <v>4203</v>
      </c>
      <c r="Y4116" s="220">
        <v>8</v>
      </c>
    </row>
    <row r="4117" spans="23:25" x14ac:dyDescent="0.25">
      <c r="W4117" s="214" t="s">
        <v>4004</v>
      </c>
      <c r="X4117" s="214" t="s">
        <v>4204</v>
      </c>
      <c r="Y4117" s="220">
        <v>8</v>
      </c>
    </row>
    <row r="4118" spans="23:25" x14ac:dyDescent="0.25">
      <c r="W4118" s="214" t="s">
        <v>1943</v>
      </c>
      <c r="X4118" s="214" t="s">
        <v>4205</v>
      </c>
      <c r="Y4118" s="220">
        <v>5</v>
      </c>
    </row>
    <row r="4119" spans="23:25" x14ac:dyDescent="0.25">
      <c r="W4119" s="214" t="s">
        <v>1943</v>
      </c>
      <c r="X4119" s="214" t="s">
        <v>4206</v>
      </c>
      <c r="Y4119" s="220">
        <v>7</v>
      </c>
    </row>
    <row r="4120" spans="23:25" x14ac:dyDescent="0.25">
      <c r="W4120" s="214" t="s">
        <v>3872</v>
      </c>
      <c r="X4120" s="214" t="s">
        <v>4207</v>
      </c>
      <c r="Y4120" s="220">
        <v>7</v>
      </c>
    </row>
    <row r="4121" spans="23:25" x14ac:dyDescent="0.25">
      <c r="W4121" s="214" t="s">
        <v>3872</v>
      </c>
      <c r="X4121" s="214" t="s">
        <v>4208</v>
      </c>
      <c r="Y4121" s="220">
        <v>8</v>
      </c>
    </row>
    <row r="4122" spans="23:25" x14ac:dyDescent="0.25">
      <c r="W4122" s="214" t="s">
        <v>29</v>
      </c>
      <c r="X4122" s="214" t="s">
        <v>4209</v>
      </c>
      <c r="Y4122" s="220">
        <v>8</v>
      </c>
    </row>
    <row r="4123" spans="23:25" x14ac:dyDescent="0.25">
      <c r="W4123" s="214" t="s">
        <v>1943</v>
      </c>
      <c r="X4123" s="214" t="s">
        <v>4210</v>
      </c>
      <c r="Y4123" s="220">
        <v>8</v>
      </c>
    </row>
    <row r="4124" spans="23:25" x14ac:dyDescent="0.25">
      <c r="W4124" s="214" t="s">
        <v>1976</v>
      </c>
      <c r="X4124" s="214" t="s">
        <v>4211</v>
      </c>
      <c r="Y4124" s="220">
        <v>7</v>
      </c>
    </row>
    <row r="4125" spans="23:25" x14ac:dyDescent="0.25">
      <c r="W4125" s="214" t="s">
        <v>1943</v>
      </c>
      <c r="X4125" s="214" t="s">
        <v>4212</v>
      </c>
      <c r="Y4125" s="220">
        <v>8</v>
      </c>
    </row>
    <row r="4126" spans="23:25" x14ac:dyDescent="0.25">
      <c r="W4126" s="214" t="s">
        <v>29</v>
      </c>
      <c r="X4126" s="214" t="s">
        <v>4213</v>
      </c>
      <c r="Y4126" s="220">
        <v>8</v>
      </c>
    </row>
    <row r="4127" spans="23:25" x14ac:dyDescent="0.25">
      <c r="W4127" s="214" t="s">
        <v>231</v>
      </c>
      <c r="X4127" s="214" t="s">
        <v>4214</v>
      </c>
      <c r="Y4127" s="220">
        <v>8</v>
      </c>
    </row>
    <row r="4128" spans="23:25" x14ac:dyDescent="0.25">
      <c r="W4128" s="214" t="s">
        <v>29</v>
      </c>
      <c r="X4128" s="214" t="s">
        <v>4215</v>
      </c>
      <c r="Y4128" s="220">
        <v>8</v>
      </c>
    </row>
    <row r="4129" spans="23:25" x14ac:dyDescent="0.25">
      <c r="W4129" s="214" t="s">
        <v>29</v>
      </c>
      <c r="X4129" s="214" t="s">
        <v>4216</v>
      </c>
      <c r="Y4129" s="220">
        <v>8</v>
      </c>
    </row>
    <row r="4130" spans="23:25" x14ac:dyDescent="0.25">
      <c r="W4130" s="214" t="s">
        <v>231</v>
      </c>
      <c r="X4130" s="214" t="s">
        <v>3422</v>
      </c>
      <c r="Y4130" s="220">
        <v>8</v>
      </c>
    </row>
    <row r="4131" spans="23:25" x14ac:dyDescent="0.25">
      <c r="W4131" s="214" t="s">
        <v>1976</v>
      </c>
      <c r="X4131" s="214" t="s">
        <v>4217</v>
      </c>
      <c r="Y4131" s="220">
        <v>7</v>
      </c>
    </row>
    <row r="4132" spans="23:25" x14ac:dyDescent="0.25">
      <c r="W4132" s="214" t="s">
        <v>1976</v>
      </c>
      <c r="X4132" s="214" t="s">
        <v>4218</v>
      </c>
      <c r="Y4132" s="220">
        <v>7</v>
      </c>
    </row>
    <row r="4133" spans="23:25" x14ac:dyDescent="0.25">
      <c r="W4133" s="214" t="s">
        <v>1943</v>
      </c>
      <c r="X4133" s="214" t="s">
        <v>4219</v>
      </c>
      <c r="Y4133" s="220">
        <v>8</v>
      </c>
    </row>
    <row r="4134" spans="23:25" x14ac:dyDescent="0.25">
      <c r="W4134" s="214" t="s">
        <v>3872</v>
      </c>
      <c r="X4134" s="214" t="s">
        <v>4220</v>
      </c>
      <c r="Y4134" s="220">
        <v>7</v>
      </c>
    </row>
    <row r="4135" spans="23:25" x14ac:dyDescent="0.25">
      <c r="W4135" s="214" t="s">
        <v>2185</v>
      </c>
      <c r="X4135" s="214" t="s">
        <v>4221</v>
      </c>
      <c r="Y4135" s="220">
        <v>7</v>
      </c>
    </row>
    <row r="4136" spans="23:25" x14ac:dyDescent="0.25">
      <c r="W4136" s="214" t="s">
        <v>3872</v>
      </c>
      <c r="X4136" s="214" t="s">
        <v>4222</v>
      </c>
      <c r="Y4136" s="220">
        <v>8</v>
      </c>
    </row>
    <row r="4137" spans="23:25" x14ac:dyDescent="0.25">
      <c r="W4137" s="214" t="s">
        <v>230</v>
      </c>
      <c r="X4137" s="214" t="s">
        <v>4223</v>
      </c>
      <c r="Y4137" s="220">
        <v>8</v>
      </c>
    </row>
    <row r="4138" spans="23:25" x14ac:dyDescent="0.25">
      <c r="W4138" s="214" t="s">
        <v>3872</v>
      </c>
      <c r="X4138" s="214" t="s">
        <v>4224</v>
      </c>
      <c r="Y4138" s="220">
        <v>8</v>
      </c>
    </row>
    <row r="4139" spans="23:25" x14ac:dyDescent="0.25">
      <c r="W4139" s="214" t="s">
        <v>3872</v>
      </c>
      <c r="X4139" s="214" t="s">
        <v>4225</v>
      </c>
      <c r="Y4139" s="220">
        <v>8</v>
      </c>
    </row>
    <row r="4140" spans="23:25" x14ac:dyDescent="0.25">
      <c r="W4140" s="214" t="s">
        <v>29</v>
      </c>
      <c r="X4140" s="214" t="s">
        <v>4226</v>
      </c>
      <c r="Y4140" s="220">
        <v>8</v>
      </c>
    </row>
    <row r="4141" spans="23:25" x14ac:dyDescent="0.25">
      <c r="W4141" s="214" t="s">
        <v>1976</v>
      </c>
      <c r="X4141" s="214" t="s">
        <v>4227</v>
      </c>
      <c r="Y4141" s="220">
        <v>7</v>
      </c>
    </row>
    <row r="4142" spans="23:25" x14ac:dyDescent="0.25">
      <c r="W4142" s="214" t="s">
        <v>1976</v>
      </c>
      <c r="X4142" s="214" t="s">
        <v>4228</v>
      </c>
      <c r="Y4142" s="220">
        <v>8</v>
      </c>
    </row>
    <row r="4143" spans="23:25" x14ac:dyDescent="0.25">
      <c r="W4143" s="214" t="s">
        <v>3872</v>
      </c>
      <c r="X4143" s="214" t="s">
        <v>4229</v>
      </c>
      <c r="Y4143" s="220">
        <v>8</v>
      </c>
    </row>
    <row r="4144" spans="23:25" x14ac:dyDescent="0.25">
      <c r="W4144" s="214" t="s">
        <v>3872</v>
      </c>
      <c r="X4144" s="214" t="s">
        <v>4230</v>
      </c>
      <c r="Y4144" s="220">
        <v>8</v>
      </c>
    </row>
    <row r="4145" spans="23:25" x14ac:dyDescent="0.25">
      <c r="W4145" s="214" t="s">
        <v>1976</v>
      </c>
      <c r="X4145" s="214" t="s">
        <v>4231</v>
      </c>
      <c r="Y4145" s="220">
        <v>8</v>
      </c>
    </row>
    <row r="4146" spans="23:25" x14ac:dyDescent="0.25">
      <c r="W4146" s="214" t="s">
        <v>1976</v>
      </c>
      <c r="X4146" s="214" t="s">
        <v>4232</v>
      </c>
      <c r="Y4146" s="220">
        <v>8</v>
      </c>
    </row>
    <row r="4147" spans="23:25" x14ac:dyDescent="0.25">
      <c r="W4147" s="214" t="s">
        <v>29</v>
      </c>
      <c r="X4147" s="214" t="s">
        <v>4233</v>
      </c>
      <c r="Y4147" s="220">
        <v>8</v>
      </c>
    </row>
    <row r="4148" spans="23:25" x14ac:dyDescent="0.25">
      <c r="W4148" s="214" t="s">
        <v>29</v>
      </c>
      <c r="X4148" s="214" t="s">
        <v>4234</v>
      </c>
      <c r="Y4148" s="220">
        <v>8</v>
      </c>
    </row>
    <row r="4149" spans="23:25" x14ac:dyDescent="0.25">
      <c r="W4149" s="214" t="s">
        <v>1976</v>
      </c>
      <c r="X4149" s="214" t="s">
        <v>4235</v>
      </c>
      <c r="Y4149" s="220">
        <v>7</v>
      </c>
    </row>
    <row r="4150" spans="23:25" x14ac:dyDescent="0.25">
      <c r="W4150" s="214" t="s">
        <v>1976</v>
      </c>
      <c r="X4150" s="214" t="s">
        <v>4236</v>
      </c>
      <c r="Y4150" s="220">
        <v>8</v>
      </c>
    </row>
    <row r="4151" spans="23:25" x14ac:dyDescent="0.25">
      <c r="W4151" s="214" t="s">
        <v>29</v>
      </c>
      <c r="X4151" s="214" t="s">
        <v>4237</v>
      </c>
      <c r="Y4151" s="220">
        <v>8</v>
      </c>
    </row>
    <row r="4152" spans="23:25" x14ac:dyDescent="0.25">
      <c r="W4152" s="214" t="s">
        <v>29</v>
      </c>
      <c r="X4152" s="214" t="s">
        <v>4238</v>
      </c>
      <c r="Y4152" s="220">
        <v>8</v>
      </c>
    </row>
    <row r="4153" spans="23:25" x14ac:dyDescent="0.25">
      <c r="W4153" s="214" t="s">
        <v>1976</v>
      </c>
      <c r="X4153" s="214" t="s">
        <v>4239</v>
      </c>
      <c r="Y4153" s="220">
        <v>7</v>
      </c>
    </row>
    <row r="4154" spans="23:25" x14ac:dyDescent="0.25">
      <c r="W4154" s="214" t="s">
        <v>1976</v>
      </c>
      <c r="X4154" s="214" t="s">
        <v>4240</v>
      </c>
      <c r="Y4154" s="220">
        <v>7</v>
      </c>
    </row>
    <row r="4155" spans="23:25" x14ac:dyDescent="0.25">
      <c r="W4155" s="214" t="s">
        <v>29</v>
      </c>
      <c r="X4155" s="214" t="s">
        <v>4241</v>
      </c>
      <c r="Y4155" s="220">
        <v>8</v>
      </c>
    </row>
    <row r="4156" spans="23:25" x14ac:dyDescent="0.25">
      <c r="W4156" s="214" t="s">
        <v>3872</v>
      </c>
      <c r="X4156" s="214" t="s">
        <v>4242</v>
      </c>
      <c r="Y4156" s="220">
        <v>8</v>
      </c>
    </row>
    <row r="4157" spans="23:25" x14ac:dyDescent="0.25">
      <c r="W4157" s="214" t="s">
        <v>3872</v>
      </c>
      <c r="X4157" s="214" t="s">
        <v>4243</v>
      </c>
      <c r="Y4157" s="220">
        <v>8</v>
      </c>
    </row>
    <row r="4158" spans="23:25" x14ac:dyDescent="0.25">
      <c r="W4158" s="214" t="s">
        <v>29</v>
      </c>
      <c r="X4158" s="214" t="s">
        <v>4244</v>
      </c>
      <c r="Y4158" s="220">
        <v>8</v>
      </c>
    </row>
    <row r="4159" spans="23:25" x14ac:dyDescent="0.25">
      <c r="W4159" s="214" t="s">
        <v>1976</v>
      </c>
      <c r="X4159" s="214" t="s">
        <v>4245</v>
      </c>
      <c r="Y4159" s="220">
        <v>7</v>
      </c>
    </row>
    <row r="4160" spans="23:25" x14ac:dyDescent="0.25">
      <c r="W4160" s="214" t="s">
        <v>1976</v>
      </c>
      <c r="X4160" s="214" t="s">
        <v>4246</v>
      </c>
      <c r="Y4160" s="220">
        <v>8</v>
      </c>
    </row>
    <row r="4161" spans="23:25" x14ac:dyDescent="0.25">
      <c r="W4161" s="214" t="s">
        <v>3872</v>
      </c>
      <c r="X4161" s="214" t="s">
        <v>4247</v>
      </c>
      <c r="Y4161" s="220">
        <v>8</v>
      </c>
    </row>
    <row r="4162" spans="23:25" x14ac:dyDescent="0.25">
      <c r="W4162" s="214" t="s">
        <v>3872</v>
      </c>
      <c r="X4162" s="214" t="s">
        <v>4248</v>
      </c>
      <c r="Y4162" s="220">
        <v>8</v>
      </c>
    </row>
    <row r="4163" spans="23:25" x14ac:dyDescent="0.25">
      <c r="W4163" s="214" t="s">
        <v>29</v>
      </c>
      <c r="X4163" s="214" t="s">
        <v>4249</v>
      </c>
      <c r="Y4163" s="220">
        <v>8</v>
      </c>
    </row>
    <row r="4164" spans="23:25" x14ac:dyDescent="0.25">
      <c r="W4164" s="214" t="s">
        <v>1943</v>
      </c>
      <c r="X4164" s="214" t="s">
        <v>4250</v>
      </c>
      <c r="Y4164" s="220">
        <v>8</v>
      </c>
    </row>
    <row r="4165" spans="23:25" x14ac:dyDescent="0.25">
      <c r="W4165" s="214" t="s">
        <v>1976</v>
      </c>
      <c r="X4165" s="214" t="s">
        <v>4251</v>
      </c>
      <c r="Y4165" s="220">
        <v>8</v>
      </c>
    </row>
    <row r="4166" spans="23:25" x14ac:dyDescent="0.25">
      <c r="W4166" s="214" t="s">
        <v>4004</v>
      </c>
      <c r="X4166" s="214" t="s">
        <v>4252</v>
      </c>
      <c r="Y4166" s="220">
        <v>8</v>
      </c>
    </row>
    <row r="4167" spans="23:25" x14ac:dyDescent="0.25">
      <c r="W4167" s="214" t="s">
        <v>1976</v>
      </c>
      <c r="X4167" s="214" t="s">
        <v>4253</v>
      </c>
      <c r="Y4167" s="220">
        <v>8</v>
      </c>
    </row>
    <row r="4168" spans="23:25" x14ac:dyDescent="0.25">
      <c r="W4168" s="214" t="s">
        <v>4004</v>
      </c>
      <c r="X4168" s="214" t="s">
        <v>4254</v>
      </c>
      <c r="Y4168" s="220">
        <v>8</v>
      </c>
    </row>
    <row r="4169" spans="23:25" x14ac:dyDescent="0.25">
      <c r="W4169" s="214" t="s">
        <v>29</v>
      </c>
      <c r="X4169" s="214" t="s">
        <v>4255</v>
      </c>
      <c r="Y4169" s="220">
        <v>8</v>
      </c>
    </row>
    <row r="4170" spans="23:25" x14ac:dyDescent="0.25">
      <c r="W4170" s="214" t="s">
        <v>1976</v>
      </c>
      <c r="X4170" s="214" t="s">
        <v>1253</v>
      </c>
      <c r="Y4170" s="220">
        <v>7</v>
      </c>
    </row>
    <row r="4171" spans="23:25" x14ac:dyDescent="0.25">
      <c r="W4171" s="214" t="s">
        <v>4004</v>
      </c>
      <c r="X4171" s="214" t="s">
        <v>4256</v>
      </c>
      <c r="Y4171" s="220">
        <v>8</v>
      </c>
    </row>
    <row r="4172" spans="23:25" x14ac:dyDescent="0.25">
      <c r="W4172" s="214" t="s">
        <v>230</v>
      </c>
      <c r="X4172" s="214" t="s">
        <v>4257</v>
      </c>
      <c r="Y4172" s="220">
        <v>8</v>
      </c>
    </row>
    <row r="4173" spans="23:25" x14ac:dyDescent="0.25">
      <c r="W4173" s="214" t="s">
        <v>231</v>
      </c>
      <c r="X4173" s="214" t="s">
        <v>2993</v>
      </c>
      <c r="Y4173" s="220">
        <v>8</v>
      </c>
    </row>
    <row r="4174" spans="23:25" x14ac:dyDescent="0.25">
      <c r="W4174" s="214" t="s">
        <v>2185</v>
      </c>
      <c r="X4174" s="214" t="s">
        <v>4258</v>
      </c>
      <c r="Y4174" s="220">
        <v>8</v>
      </c>
    </row>
    <row r="4175" spans="23:25" x14ac:dyDescent="0.25">
      <c r="W4175" s="214" t="s">
        <v>1976</v>
      </c>
      <c r="X4175" s="214" t="s">
        <v>4259</v>
      </c>
      <c r="Y4175" s="220">
        <v>7</v>
      </c>
    </row>
    <row r="4176" spans="23:25" x14ac:dyDescent="0.25">
      <c r="W4176" s="214" t="s">
        <v>1976</v>
      </c>
      <c r="X4176" s="214" t="s">
        <v>4260</v>
      </c>
      <c r="Y4176" s="220">
        <v>7</v>
      </c>
    </row>
    <row r="4177" spans="23:25" x14ac:dyDescent="0.25">
      <c r="W4177" s="214" t="s">
        <v>230</v>
      </c>
      <c r="X4177" s="214" t="s">
        <v>4261</v>
      </c>
      <c r="Y4177" s="220">
        <v>8</v>
      </c>
    </row>
    <row r="4178" spans="23:25" x14ac:dyDescent="0.25">
      <c r="W4178" s="214" t="s">
        <v>2198</v>
      </c>
      <c r="X4178" s="214" t="s">
        <v>4262</v>
      </c>
      <c r="Y4178" s="220">
        <v>8</v>
      </c>
    </row>
    <row r="4179" spans="23:25" x14ac:dyDescent="0.25">
      <c r="W4179" s="214" t="s">
        <v>1976</v>
      </c>
      <c r="X4179" s="214" t="s">
        <v>4263</v>
      </c>
      <c r="Y4179" s="220">
        <v>8</v>
      </c>
    </row>
    <row r="4180" spans="23:25" x14ac:dyDescent="0.25">
      <c r="W4180" s="214" t="s">
        <v>1976</v>
      </c>
      <c r="X4180" s="214" t="s">
        <v>2987</v>
      </c>
      <c r="Y4180" s="220">
        <v>8</v>
      </c>
    </row>
    <row r="4181" spans="23:25" x14ac:dyDescent="0.25">
      <c r="W4181" s="214" t="s">
        <v>1976</v>
      </c>
      <c r="X4181" s="214" t="s">
        <v>4264</v>
      </c>
      <c r="Y4181" s="220">
        <v>8</v>
      </c>
    </row>
    <row r="4182" spans="23:25" x14ac:dyDescent="0.25">
      <c r="W4182" s="214" t="s">
        <v>3872</v>
      </c>
      <c r="X4182" s="214" t="s">
        <v>4265</v>
      </c>
      <c r="Y4182" s="220">
        <v>7</v>
      </c>
    </row>
    <row r="4183" spans="23:25" x14ac:dyDescent="0.25">
      <c r="W4183" s="214" t="s">
        <v>4004</v>
      </c>
      <c r="X4183" s="214" t="s">
        <v>4266</v>
      </c>
      <c r="Y4183" s="220">
        <v>8</v>
      </c>
    </row>
    <row r="4184" spans="23:25" x14ac:dyDescent="0.25">
      <c r="W4184" s="214" t="s">
        <v>2198</v>
      </c>
      <c r="X4184" s="214" t="s">
        <v>4267</v>
      </c>
      <c r="Y4184" s="220">
        <v>8</v>
      </c>
    </row>
    <row r="4185" spans="23:25" x14ac:dyDescent="0.25">
      <c r="W4185" s="214" t="s">
        <v>2198</v>
      </c>
      <c r="X4185" s="214" t="s">
        <v>4268</v>
      </c>
      <c r="Y4185" s="220">
        <v>8</v>
      </c>
    </row>
    <row r="4186" spans="23:25" x14ac:dyDescent="0.25">
      <c r="W4186" s="214" t="s">
        <v>2198</v>
      </c>
      <c r="X4186" s="214" t="s">
        <v>4269</v>
      </c>
      <c r="Y4186" s="220">
        <v>8</v>
      </c>
    </row>
    <row r="4187" spans="23:25" x14ac:dyDescent="0.25">
      <c r="W4187" s="214" t="s">
        <v>2198</v>
      </c>
      <c r="X4187" s="214" t="s">
        <v>4270</v>
      </c>
      <c r="Y4187" s="220">
        <v>8</v>
      </c>
    </row>
    <row r="4188" spans="23:25" x14ac:dyDescent="0.25">
      <c r="W4188" s="214" t="s">
        <v>231</v>
      </c>
      <c r="X4188" s="214" t="s">
        <v>4271</v>
      </c>
      <c r="Y4188" s="220">
        <v>8</v>
      </c>
    </row>
    <row r="4189" spans="23:25" x14ac:dyDescent="0.25">
      <c r="W4189" s="214" t="s">
        <v>2198</v>
      </c>
      <c r="X4189" s="214" t="s">
        <v>4272</v>
      </c>
      <c r="Y4189" s="220">
        <v>8</v>
      </c>
    </row>
    <row r="4190" spans="23:25" x14ac:dyDescent="0.25">
      <c r="W4190" s="214" t="s">
        <v>4004</v>
      </c>
      <c r="X4190" s="214" t="s">
        <v>4273</v>
      </c>
      <c r="Y4190" s="220">
        <v>8</v>
      </c>
    </row>
    <row r="4191" spans="23:25" x14ac:dyDescent="0.25">
      <c r="W4191" s="214" t="s">
        <v>29</v>
      </c>
      <c r="X4191" s="214" t="s">
        <v>4274</v>
      </c>
      <c r="Y4191" s="220">
        <v>8</v>
      </c>
    </row>
    <row r="4192" spans="23:25" x14ac:dyDescent="0.25">
      <c r="W4192" s="214" t="s">
        <v>4004</v>
      </c>
      <c r="X4192" s="214" t="s">
        <v>4275</v>
      </c>
      <c r="Y4192" s="220">
        <v>8</v>
      </c>
    </row>
    <row r="4193" spans="23:25" x14ac:dyDescent="0.25">
      <c r="W4193" s="214" t="s">
        <v>4004</v>
      </c>
      <c r="X4193" s="214" t="s">
        <v>4276</v>
      </c>
      <c r="Y4193" s="220">
        <v>8</v>
      </c>
    </row>
    <row r="4194" spans="23:25" x14ac:dyDescent="0.25">
      <c r="W4194" s="214" t="s">
        <v>3872</v>
      </c>
      <c r="X4194" s="214" t="s">
        <v>4277</v>
      </c>
      <c r="Y4194" s="220">
        <v>8</v>
      </c>
    </row>
    <row r="4195" spans="23:25" x14ac:dyDescent="0.25">
      <c r="W4195" s="214" t="s">
        <v>231</v>
      </c>
      <c r="X4195" s="214" t="s">
        <v>4278</v>
      </c>
      <c r="Y4195" s="220">
        <v>8</v>
      </c>
    </row>
    <row r="4196" spans="23:25" x14ac:dyDescent="0.25">
      <c r="W4196" s="214" t="s">
        <v>4004</v>
      </c>
      <c r="X4196" s="214" t="s">
        <v>4279</v>
      </c>
      <c r="Y4196" s="220">
        <v>8</v>
      </c>
    </row>
    <row r="4197" spans="23:25" x14ac:dyDescent="0.25">
      <c r="W4197" s="214" t="s">
        <v>4004</v>
      </c>
      <c r="X4197" s="214" t="s">
        <v>4280</v>
      </c>
      <c r="Y4197" s="220">
        <v>8</v>
      </c>
    </row>
    <row r="4198" spans="23:25" x14ac:dyDescent="0.25">
      <c r="W4198" s="214" t="s">
        <v>2198</v>
      </c>
      <c r="X4198" s="214" t="s">
        <v>3012</v>
      </c>
      <c r="Y4198" s="220">
        <v>8</v>
      </c>
    </row>
    <row r="4199" spans="23:25" x14ac:dyDescent="0.25">
      <c r="W4199" s="214" t="s">
        <v>2185</v>
      </c>
      <c r="X4199" s="214" t="s">
        <v>4281</v>
      </c>
      <c r="Y4199" s="220">
        <v>8</v>
      </c>
    </row>
    <row r="4200" spans="23:25" x14ac:dyDescent="0.25">
      <c r="W4200" s="214" t="s">
        <v>2185</v>
      </c>
      <c r="X4200" s="214" t="s">
        <v>4282</v>
      </c>
      <c r="Y4200" s="220">
        <v>8</v>
      </c>
    </row>
    <row r="4201" spans="23:25" x14ac:dyDescent="0.25">
      <c r="W4201" s="214" t="s">
        <v>2198</v>
      </c>
      <c r="X4201" s="214" t="s">
        <v>4283</v>
      </c>
      <c r="Y4201" s="220">
        <v>8</v>
      </c>
    </row>
    <row r="4202" spans="23:25" x14ac:dyDescent="0.25">
      <c r="W4202" s="214" t="s">
        <v>398</v>
      </c>
      <c r="X4202" s="214" t="s">
        <v>4284</v>
      </c>
      <c r="Y4202" s="220">
        <v>6</v>
      </c>
    </row>
    <row r="4203" spans="23:25" x14ac:dyDescent="0.25">
      <c r="W4203" s="214" t="s">
        <v>398</v>
      </c>
      <c r="X4203" s="214" t="s">
        <v>4285</v>
      </c>
      <c r="Y4203" s="220">
        <v>7</v>
      </c>
    </row>
    <row r="4204" spans="23:25" x14ac:dyDescent="0.25">
      <c r="W4204" s="214" t="s">
        <v>1740</v>
      </c>
      <c r="X4204" s="214" t="s">
        <v>4286</v>
      </c>
      <c r="Y4204" s="220">
        <v>7</v>
      </c>
    </row>
    <row r="4205" spans="23:25" x14ac:dyDescent="0.25">
      <c r="W4205" s="214" t="s">
        <v>3870</v>
      </c>
      <c r="X4205" s="214" t="s">
        <v>4287</v>
      </c>
      <c r="Y4205" s="220">
        <v>7</v>
      </c>
    </row>
    <row r="4206" spans="23:25" x14ac:dyDescent="0.25">
      <c r="W4206" s="214" t="s">
        <v>1740</v>
      </c>
      <c r="X4206" s="214" t="s">
        <v>4288</v>
      </c>
      <c r="Y4206" s="220">
        <v>7</v>
      </c>
    </row>
    <row r="4207" spans="23:25" x14ac:dyDescent="0.25">
      <c r="W4207" s="214" t="s">
        <v>3870</v>
      </c>
      <c r="X4207" s="214" t="s">
        <v>4289</v>
      </c>
      <c r="Y4207" s="220">
        <v>7</v>
      </c>
    </row>
    <row r="4208" spans="23:25" x14ac:dyDescent="0.25">
      <c r="W4208" s="214" t="s">
        <v>3870</v>
      </c>
      <c r="X4208" s="214" t="s">
        <v>4290</v>
      </c>
      <c r="Y4208" s="220">
        <v>7</v>
      </c>
    </row>
    <row r="4209" spans="23:25" x14ac:dyDescent="0.25">
      <c r="W4209" s="214" t="s">
        <v>3870</v>
      </c>
      <c r="X4209" s="214" t="s">
        <v>4291</v>
      </c>
      <c r="Y4209" s="220">
        <v>7</v>
      </c>
    </row>
    <row r="4210" spans="23:25" x14ac:dyDescent="0.25">
      <c r="W4210" s="214" t="s">
        <v>3870</v>
      </c>
      <c r="X4210" s="214" t="s">
        <v>4292</v>
      </c>
      <c r="Y4210" s="220">
        <v>7</v>
      </c>
    </row>
    <row r="4211" spans="23:25" x14ac:dyDescent="0.25">
      <c r="W4211" s="214" t="s">
        <v>231</v>
      </c>
      <c r="X4211" s="214" t="s">
        <v>4293</v>
      </c>
      <c r="Y4211" s="220">
        <v>8</v>
      </c>
    </row>
    <row r="4212" spans="23:25" x14ac:dyDescent="0.25">
      <c r="W4212" s="214" t="s">
        <v>231</v>
      </c>
      <c r="X4212" s="214" t="s">
        <v>4294</v>
      </c>
      <c r="Y4212" s="220">
        <v>8</v>
      </c>
    </row>
    <row r="4213" spans="23:25" x14ac:dyDescent="0.25">
      <c r="W4213" s="214" t="s">
        <v>398</v>
      </c>
      <c r="X4213" s="214" t="s">
        <v>4295</v>
      </c>
      <c r="Y4213" s="220">
        <v>7</v>
      </c>
    </row>
    <row r="4214" spans="23:25" x14ac:dyDescent="0.25">
      <c r="W4214" s="214" t="s">
        <v>3870</v>
      </c>
      <c r="X4214" s="214" t="s">
        <v>4296</v>
      </c>
      <c r="Y4214" s="220">
        <v>7</v>
      </c>
    </row>
    <row r="4215" spans="23:25" x14ac:dyDescent="0.25">
      <c r="W4215" s="214" t="s">
        <v>3870</v>
      </c>
      <c r="X4215" s="214" t="s">
        <v>4297</v>
      </c>
      <c r="Y4215" s="220">
        <v>7</v>
      </c>
    </row>
    <row r="4216" spans="23:25" x14ac:dyDescent="0.25">
      <c r="W4216" s="214" t="s">
        <v>398</v>
      </c>
      <c r="X4216" s="214" t="s">
        <v>4298</v>
      </c>
      <c r="Y4216" s="220">
        <v>6</v>
      </c>
    </row>
    <row r="4217" spans="23:25" x14ac:dyDescent="0.25">
      <c r="W4217" s="214" t="s">
        <v>1667</v>
      </c>
      <c r="X4217" s="214" t="s">
        <v>4299</v>
      </c>
      <c r="Y4217" s="220">
        <v>7</v>
      </c>
    </row>
    <row r="4218" spans="23:25" x14ac:dyDescent="0.25">
      <c r="W4218" s="214" t="s">
        <v>1667</v>
      </c>
      <c r="X4218" s="214" t="s">
        <v>4300</v>
      </c>
      <c r="Y4218" s="220">
        <v>7</v>
      </c>
    </row>
    <row r="4219" spans="23:25" x14ac:dyDescent="0.25">
      <c r="W4219" s="214" t="s">
        <v>1694</v>
      </c>
      <c r="X4219" s="214" t="s">
        <v>4301</v>
      </c>
      <c r="Y4219" s="220">
        <v>8</v>
      </c>
    </row>
    <row r="4220" spans="23:25" x14ac:dyDescent="0.25">
      <c r="W4220" s="214" t="s">
        <v>3870</v>
      </c>
      <c r="X4220" s="214" t="s">
        <v>4302</v>
      </c>
      <c r="Y4220" s="220">
        <v>7</v>
      </c>
    </row>
    <row r="4221" spans="23:25" x14ac:dyDescent="0.25">
      <c r="W4221" s="214" t="s">
        <v>1667</v>
      </c>
      <c r="X4221" s="214" t="s">
        <v>4303</v>
      </c>
      <c r="Y4221" s="220">
        <v>7</v>
      </c>
    </row>
    <row r="4222" spans="23:25" x14ac:dyDescent="0.25">
      <c r="W4222" s="214" t="s">
        <v>231</v>
      </c>
      <c r="X4222" s="214" t="s">
        <v>4304</v>
      </c>
      <c r="Y4222" s="220">
        <v>8</v>
      </c>
    </row>
    <row r="4223" spans="23:25" x14ac:dyDescent="0.25">
      <c r="W4223" s="214" t="s">
        <v>3870</v>
      </c>
      <c r="X4223" s="214" t="s">
        <v>4305</v>
      </c>
      <c r="Y4223" s="220">
        <v>7</v>
      </c>
    </row>
    <row r="4224" spans="23:25" x14ac:dyDescent="0.25">
      <c r="W4224" s="214" t="s">
        <v>1976</v>
      </c>
      <c r="X4224" s="214" t="s">
        <v>4306</v>
      </c>
      <c r="Y4224" s="220">
        <v>7</v>
      </c>
    </row>
    <row r="4225" spans="23:25" x14ac:dyDescent="0.25">
      <c r="W4225" s="214" t="s">
        <v>3870</v>
      </c>
      <c r="X4225" s="214" t="s">
        <v>4307</v>
      </c>
      <c r="Y4225" s="220">
        <v>6</v>
      </c>
    </row>
    <row r="4226" spans="23:25" x14ac:dyDescent="0.25">
      <c r="W4226" s="214" t="s">
        <v>3870</v>
      </c>
      <c r="X4226" s="214" t="s">
        <v>4308</v>
      </c>
      <c r="Y4226" s="220">
        <v>7</v>
      </c>
    </row>
    <row r="4227" spans="23:25" x14ac:dyDescent="0.25">
      <c r="W4227" s="214" t="s">
        <v>1763</v>
      </c>
      <c r="X4227" s="214" t="s">
        <v>1270</v>
      </c>
      <c r="Y4227" s="220">
        <v>7</v>
      </c>
    </row>
    <row r="4228" spans="23:25" x14ac:dyDescent="0.25">
      <c r="W4228" s="214" t="s">
        <v>1763</v>
      </c>
      <c r="X4228" s="214" t="s">
        <v>4309</v>
      </c>
      <c r="Y4228" s="220">
        <v>7</v>
      </c>
    </row>
    <row r="4229" spans="23:25" x14ac:dyDescent="0.25">
      <c r="W4229" s="214" t="s">
        <v>1740</v>
      </c>
      <c r="X4229" s="214" t="s">
        <v>4310</v>
      </c>
      <c r="Y4229" s="220">
        <v>7</v>
      </c>
    </row>
    <row r="4230" spans="23:25" x14ac:dyDescent="0.25">
      <c r="W4230" s="214" t="s">
        <v>1976</v>
      </c>
      <c r="X4230" s="214" t="s">
        <v>4311</v>
      </c>
      <c r="Y4230" s="220">
        <v>7</v>
      </c>
    </row>
    <row r="4231" spans="23:25" x14ac:dyDescent="0.25">
      <c r="W4231" s="214" t="s">
        <v>1763</v>
      </c>
      <c r="X4231" s="214" t="s">
        <v>4312</v>
      </c>
      <c r="Y4231" s="220">
        <v>7</v>
      </c>
    </row>
    <row r="4232" spans="23:25" x14ac:dyDescent="0.25">
      <c r="W4232" s="214" t="s">
        <v>3870</v>
      </c>
      <c r="X4232" s="214" t="s">
        <v>1030</v>
      </c>
      <c r="Y4232" s="220">
        <v>7</v>
      </c>
    </row>
    <row r="4233" spans="23:25" x14ac:dyDescent="0.25">
      <c r="W4233" s="214" t="s">
        <v>1976</v>
      </c>
      <c r="X4233" s="214" t="s">
        <v>4313</v>
      </c>
      <c r="Y4233" s="220">
        <v>7</v>
      </c>
    </row>
    <row r="4234" spans="23:25" x14ac:dyDescent="0.25">
      <c r="W4234" s="214" t="s">
        <v>1667</v>
      </c>
      <c r="X4234" s="214" t="s">
        <v>4314</v>
      </c>
      <c r="Y4234" s="220">
        <v>7</v>
      </c>
    </row>
    <row r="4235" spans="23:25" x14ac:dyDescent="0.25">
      <c r="W4235" s="214" t="s">
        <v>1667</v>
      </c>
      <c r="X4235" s="214" t="s">
        <v>4315</v>
      </c>
      <c r="Y4235" s="220">
        <v>7</v>
      </c>
    </row>
    <row r="4236" spans="23:25" x14ac:dyDescent="0.25">
      <c r="W4236" s="214" t="s">
        <v>1763</v>
      </c>
      <c r="X4236" s="214" t="s">
        <v>4316</v>
      </c>
      <c r="Y4236" s="220">
        <v>7</v>
      </c>
    </row>
    <row r="4237" spans="23:25" x14ac:dyDescent="0.25">
      <c r="W4237" s="214" t="s">
        <v>1763</v>
      </c>
      <c r="X4237" s="214" t="s">
        <v>4317</v>
      </c>
      <c r="Y4237" s="220">
        <v>7</v>
      </c>
    </row>
    <row r="4238" spans="23:25" x14ac:dyDescent="0.25">
      <c r="W4238" s="214" t="s">
        <v>1763</v>
      </c>
      <c r="X4238" s="214" t="s">
        <v>4318</v>
      </c>
      <c r="Y4238" s="220">
        <v>7</v>
      </c>
    </row>
    <row r="4239" spans="23:25" x14ac:dyDescent="0.25">
      <c r="W4239" s="214" t="s">
        <v>1763</v>
      </c>
      <c r="X4239" s="214" t="s">
        <v>4319</v>
      </c>
      <c r="Y4239" s="220">
        <v>7</v>
      </c>
    </row>
    <row r="4240" spans="23:25" x14ac:dyDescent="0.25">
      <c r="W4240" s="214" t="s">
        <v>1763</v>
      </c>
      <c r="X4240" s="214" t="s">
        <v>4320</v>
      </c>
      <c r="Y4240" s="220">
        <v>7</v>
      </c>
    </row>
    <row r="4241" spans="23:25" x14ac:dyDescent="0.25">
      <c r="W4241" s="214" t="s">
        <v>231</v>
      </c>
      <c r="X4241" s="214" t="s">
        <v>4321</v>
      </c>
      <c r="Y4241" s="220">
        <v>8</v>
      </c>
    </row>
    <row r="4242" spans="23:25" x14ac:dyDescent="0.25">
      <c r="W4242" s="214" t="s">
        <v>1763</v>
      </c>
      <c r="X4242" s="214" t="s">
        <v>4322</v>
      </c>
      <c r="Y4242" s="220">
        <v>7</v>
      </c>
    </row>
    <row r="4243" spans="23:25" x14ac:dyDescent="0.25">
      <c r="W4243" s="214" t="s">
        <v>1763</v>
      </c>
      <c r="X4243" s="214" t="s">
        <v>4034</v>
      </c>
      <c r="Y4243" s="220">
        <v>7</v>
      </c>
    </row>
    <row r="4244" spans="23:25" x14ac:dyDescent="0.25">
      <c r="W4244" s="214" t="s">
        <v>1763</v>
      </c>
      <c r="X4244" s="214" t="s">
        <v>4323</v>
      </c>
      <c r="Y4244" s="220">
        <v>7</v>
      </c>
    </row>
    <row r="4245" spans="23:25" x14ac:dyDescent="0.25">
      <c r="W4245" s="214" t="s">
        <v>1976</v>
      </c>
      <c r="X4245" s="214" t="s">
        <v>4324</v>
      </c>
      <c r="Y4245" s="220">
        <v>7</v>
      </c>
    </row>
    <row r="4246" spans="23:25" x14ac:dyDescent="0.25">
      <c r="W4246" s="214" t="s">
        <v>1763</v>
      </c>
      <c r="X4246" s="214" t="s">
        <v>4325</v>
      </c>
      <c r="Y4246" s="220">
        <v>7</v>
      </c>
    </row>
    <row r="4247" spans="23:25" x14ac:dyDescent="0.25">
      <c r="W4247" s="214" t="s">
        <v>1667</v>
      </c>
      <c r="X4247" s="214" t="s">
        <v>4326</v>
      </c>
      <c r="Y4247" s="220">
        <v>7</v>
      </c>
    </row>
    <row r="4248" spans="23:25" x14ac:dyDescent="0.25">
      <c r="W4248" s="214" t="s">
        <v>1667</v>
      </c>
      <c r="X4248" s="214" t="s">
        <v>4327</v>
      </c>
      <c r="Y4248" s="220">
        <v>7</v>
      </c>
    </row>
    <row r="4249" spans="23:25" x14ac:dyDescent="0.25">
      <c r="W4249" s="214" t="s">
        <v>1763</v>
      </c>
      <c r="X4249" s="214" t="s">
        <v>4328</v>
      </c>
      <c r="Y4249" s="220">
        <v>7</v>
      </c>
    </row>
    <row r="4250" spans="23:25" x14ac:dyDescent="0.25">
      <c r="W4250" s="214" t="s">
        <v>1763</v>
      </c>
      <c r="X4250" s="214" t="s">
        <v>4329</v>
      </c>
      <c r="Y4250" s="220">
        <v>7</v>
      </c>
    </row>
    <row r="4251" spans="23:25" x14ac:dyDescent="0.25">
      <c r="W4251" s="214" t="s">
        <v>1943</v>
      </c>
      <c r="X4251" s="214" t="s">
        <v>4330</v>
      </c>
      <c r="Y4251" s="220">
        <v>7</v>
      </c>
    </row>
    <row r="4252" spans="23:25" x14ac:dyDescent="0.25">
      <c r="W4252" s="214" t="s">
        <v>1667</v>
      </c>
      <c r="X4252" s="214" t="s">
        <v>4331</v>
      </c>
      <c r="Y4252" s="220">
        <v>7</v>
      </c>
    </row>
    <row r="4253" spans="23:25" x14ac:dyDescent="0.25">
      <c r="W4253" s="214" t="s">
        <v>1667</v>
      </c>
      <c r="X4253" s="214" t="s">
        <v>4332</v>
      </c>
      <c r="Y4253" s="220">
        <v>7</v>
      </c>
    </row>
    <row r="4254" spans="23:25" x14ac:dyDescent="0.25">
      <c r="W4254" s="214" t="s">
        <v>1763</v>
      </c>
      <c r="X4254" s="214" t="s">
        <v>4333</v>
      </c>
      <c r="Y4254" s="220">
        <v>7</v>
      </c>
    </row>
    <row r="4255" spans="23:25" x14ac:dyDescent="0.25">
      <c r="W4255" s="214" t="s">
        <v>1763</v>
      </c>
      <c r="X4255" s="214" t="s">
        <v>4161</v>
      </c>
      <c r="Y4255" s="220">
        <v>7</v>
      </c>
    </row>
    <row r="4256" spans="23:25" x14ac:dyDescent="0.25">
      <c r="W4256" s="214" t="s">
        <v>1763</v>
      </c>
      <c r="X4256" s="214" t="s">
        <v>4334</v>
      </c>
      <c r="Y4256" s="220">
        <v>8</v>
      </c>
    </row>
    <row r="4257" spans="23:25" x14ac:dyDescent="0.25">
      <c r="W4257" s="214" t="s">
        <v>1763</v>
      </c>
      <c r="X4257" s="214" t="s">
        <v>4335</v>
      </c>
      <c r="Y4257" s="220">
        <v>7</v>
      </c>
    </row>
    <row r="4258" spans="23:25" x14ac:dyDescent="0.25">
      <c r="W4258" s="214" t="s">
        <v>1667</v>
      </c>
      <c r="X4258" s="214" t="s">
        <v>4336</v>
      </c>
      <c r="Y4258" s="220">
        <v>7</v>
      </c>
    </row>
    <row r="4259" spans="23:25" x14ac:dyDescent="0.25">
      <c r="W4259" s="214" t="s">
        <v>231</v>
      </c>
      <c r="X4259" s="214" t="s">
        <v>4337</v>
      </c>
      <c r="Y4259" s="220">
        <v>8</v>
      </c>
    </row>
    <row r="4260" spans="23:25" x14ac:dyDescent="0.25">
      <c r="W4260" s="214" t="s">
        <v>1667</v>
      </c>
      <c r="X4260" s="214" t="s">
        <v>4338</v>
      </c>
      <c r="Y4260" s="220">
        <v>7</v>
      </c>
    </row>
    <row r="4261" spans="23:25" x14ac:dyDescent="0.25">
      <c r="W4261" s="214" t="s">
        <v>1763</v>
      </c>
      <c r="X4261" s="214" t="s">
        <v>4339</v>
      </c>
      <c r="Y4261" s="220">
        <v>7</v>
      </c>
    </row>
    <row r="4262" spans="23:25" x14ac:dyDescent="0.25">
      <c r="W4262" s="214" t="s">
        <v>1763</v>
      </c>
      <c r="X4262" s="214" t="s">
        <v>4340</v>
      </c>
      <c r="Y4262" s="220">
        <v>7</v>
      </c>
    </row>
    <row r="4263" spans="23:25" x14ac:dyDescent="0.25">
      <c r="W4263" s="214" t="s">
        <v>1763</v>
      </c>
      <c r="X4263" s="214" t="s">
        <v>4341</v>
      </c>
      <c r="Y4263" s="220">
        <v>7</v>
      </c>
    </row>
    <row r="4264" spans="23:25" x14ac:dyDescent="0.25">
      <c r="W4264" s="214" t="s">
        <v>1976</v>
      </c>
      <c r="X4264" s="214" t="s">
        <v>4342</v>
      </c>
      <c r="Y4264" s="220">
        <v>7</v>
      </c>
    </row>
    <row r="4265" spans="23:25" x14ac:dyDescent="0.25">
      <c r="W4265" s="214" t="s">
        <v>1667</v>
      </c>
      <c r="X4265" s="214" t="s">
        <v>4343</v>
      </c>
      <c r="Y4265" s="220">
        <v>7</v>
      </c>
    </row>
    <row r="4266" spans="23:25" x14ac:dyDescent="0.25">
      <c r="W4266" s="214" t="s">
        <v>1763</v>
      </c>
      <c r="X4266" s="214" t="s">
        <v>1689</v>
      </c>
      <c r="Y4266" s="220">
        <v>7</v>
      </c>
    </row>
    <row r="4267" spans="23:25" x14ac:dyDescent="0.25">
      <c r="W4267" s="214" t="s">
        <v>1763</v>
      </c>
      <c r="X4267" s="214" t="s">
        <v>4344</v>
      </c>
      <c r="Y4267" s="220">
        <v>7</v>
      </c>
    </row>
    <row r="4268" spans="23:25" x14ac:dyDescent="0.25">
      <c r="W4268" s="214" t="s">
        <v>1763</v>
      </c>
      <c r="X4268" s="214" t="s">
        <v>4345</v>
      </c>
      <c r="Y4268" s="220">
        <v>7</v>
      </c>
    </row>
    <row r="4269" spans="23:25" x14ac:dyDescent="0.25">
      <c r="W4269" s="214" t="s">
        <v>1763</v>
      </c>
      <c r="X4269" s="214" t="s">
        <v>4346</v>
      </c>
      <c r="Y4269" s="220">
        <v>7</v>
      </c>
    </row>
    <row r="4270" spans="23:25" x14ac:dyDescent="0.25">
      <c r="W4270" s="214" t="s">
        <v>1667</v>
      </c>
      <c r="X4270" s="214" t="s">
        <v>372</v>
      </c>
      <c r="Y4270" s="220">
        <v>7</v>
      </c>
    </row>
    <row r="4271" spans="23:25" x14ac:dyDescent="0.25">
      <c r="W4271" s="214" t="s">
        <v>1667</v>
      </c>
      <c r="X4271" s="214" t="s">
        <v>4347</v>
      </c>
      <c r="Y4271" s="220">
        <v>7</v>
      </c>
    </row>
    <row r="4272" spans="23:25" x14ac:dyDescent="0.25">
      <c r="W4272" s="214" t="s">
        <v>230</v>
      </c>
      <c r="X4272" s="214" t="s">
        <v>4348</v>
      </c>
      <c r="Y4272" s="220">
        <v>8</v>
      </c>
    </row>
    <row r="4273" spans="23:25" x14ac:dyDescent="0.25">
      <c r="W4273" s="214" t="s">
        <v>1667</v>
      </c>
      <c r="X4273" s="214" t="s">
        <v>4349</v>
      </c>
      <c r="Y4273" s="220">
        <v>7</v>
      </c>
    </row>
    <row r="4274" spans="23:25" x14ac:dyDescent="0.25">
      <c r="W4274" s="214" t="s">
        <v>1667</v>
      </c>
      <c r="X4274" s="214" t="s">
        <v>4350</v>
      </c>
      <c r="Y4274" s="220">
        <v>7</v>
      </c>
    </row>
    <row r="4275" spans="23:25" x14ac:dyDescent="0.25">
      <c r="W4275" s="214" t="s">
        <v>1667</v>
      </c>
      <c r="X4275" s="214" t="s">
        <v>4351</v>
      </c>
      <c r="Y4275" s="220">
        <v>7</v>
      </c>
    </row>
    <row r="4276" spans="23:25" x14ac:dyDescent="0.25">
      <c r="W4276" s="214" t="s">
        <v>1763</v>
      </c>
      <c r="X4276" s="214" t="s">
        <v>4352</v>
      </c>
      <c r="Y4276" s="220">
        <v>7</v>
      </c>
    </row>
    <row r="4277" spans="23:25" x14ac:dyDescent="0.25">
      <c r="W4277" s="214" t="s">
        <v>1667</v>
      </c>
      <c r="X4277" s="214" t="s">
        <v>4353</v>
      </c>
      <c r="Y4277" s="220">
        <v>7</v>
      </c>
    </row>
    <row r="4278" spans="23:25" x14ac:dyDescent="0.25">
      <c r="W4278" s="214" t="s">
        <v>1667</v>
      </c>
      <c r="X4278" s="214" t="s">
        <v>4354</v>
      </c>
      <c r="Y4278" s="220">
        <v>7</v>
      </c>
    </row>
    <row r="4279" spans="23:25" x14ac:dyDescent="0.25">
      <c r="W4279" s="214" t="s">
        <v>1763</v>
      </c>
      <c r="X4279" s="214" t="s">
        <v>423</v>
      </c>
      <c r="Y4279" s="220">
        <v>7</v>
      </c>
    </row>
    <row r="4280" spans="23:25" x14ac:dyDescent="0.25">
      <c r="W4280" s="214" t="s">
        <v>1667</v>
      </c>
      <c r="X4280" s="214" t="s">
        <v>4355</v>
      </c>
      <c r="Y4280" s="220">
        <v>7</v>
      </c>
    </row>
    <row r="4281" spans="23:25" x14ac:dyDescent="0.25">
      <c r="W4281" s="214" t="s">
        <v>1667</v>
      </c>
      <c r="X4281" s="214" t="s">
        <v>4356</v>
      </c>
      <c r="Y4281" s="220">
        <v>7</v>
      </c>
    </row>
    <row r="4282" spans="23:25" x14ac:dyDescent="0.25">
      <c r="W4282" s="214" t="s">
        <v>1976</v>
      </c>
      <c r="X4282" s="214" t="s">
        <v>4357</v>
      </c>
      <c r="Y4282" s="220">
        <v>7</v>
      </c>
    </row>
    <row r="4283" spans="23:25" x14ac:dyDescent="0.25">
      <c r="W4283" s="214" t="s">
        <v>1667</v>
      </c>
      <c r="X4283" s="214" t="s">
        <v>4358</v>
      </c>
      <c r="Y4283" s="220">
        <v>7</v>
      </c>
    </row>
    <row r="4284" spans="23:25" x14ac:dyDescent="0.25">
      <c r="W4284" s="214" t="s">
        <v>1667</v>
      </c>
      <c r="X4284" s="214" t="s">
        <v>4359</v>
      </c>
      <c r="Y4284" s="220">
        <v>7</v>
      </c>
    </row>
    <row r="4285" spans="23:25" x14ac:dyDescent="0.25">
      <c r="W4285" s="214" t="s">
        <v>1667</v>
      </c>
      <c r="X4285" s="214" t="s">
        <v>4360</v>
      </c>
      <c r="Y4285" s="220">
        <v>7</v>
      </c>
    </row>
    <row r="4286" spans="23:25" x14ac:dyDescent="0.25">
      <c r="W4286" s="214" t="s">
        <v>1667</v>
      </c>
      <c r="X4286" s="214" t="s">
        <v>4361</v>
      </c>
      <c r="Y4286" s="220">
        <v>7</v>
      </c>
    </row>
    <row r="4287" spans="23:25" x14ac:dyDescent="0.25">
      <c r="W4287" s="214" t="s">
        <v>1667</v>
      </c>
      <c r="X4287" s="214" t="s">
        <v>4362</v>
      </c>
      <c r="Y4287" s="220">
        <v>7</v>
      </c>
    </row>
    <row r="4288" spans="23:25" x14ac:dyDescent="0.25">
      <c r="W4288" s="214" t="s">
        <v>1667</v>
      </c>
      <c r="X4288" s="214" t="s">
        <v>4363</v>
      </c>
      <c r="Y4288" s="220">
        <v>7</v>
      </c>
    </row>
    <row r="4289" spans="23:25" x14ac:dyDescent="0.25">
      <c r="W4289" s="214" t="s">
        <v>1667</v>
      </c>
      <c r="X4289" s="214" t="s">
        <v>4364</v>
      </c>
      <c r="Y4289" s="220">
        <v>7</v>
      </c>
    </row>
    <row r="4290" spans="23:25" x14ac:dyDescent="0.25">
      <c r="W4290" s="214" t="s">
        <v>1763</v>
      </c>
      <c r="X4290" s="214" t="s">
        <v>4365</v>
      </c>
      <c r="Y4290" s="220">
        <v>7</v>
      </c>
    </row>
    <row r="4291" spans="23:25" x14ac:dyDescent="0.25">
      <c r="W4291" s="214" t="s">
        <v>1667</v>
      </c>
      <c r="X4291" s="214" t="s">
        <v>4366</v>
      </c>
      <c r="Y4291" s="220">
        <v>7</v>
      </c>
    </row>
    <row r="4292" spans="23:25" x14ac:dyDescent="0.25">
      <c r="W4292" s="214" t="s">
        <v>1667</v>
      </c>
      <c r="X4292" s="214" t="s">
        <v>2917</v>
      </c>
      <c r="Y4292" s="220">
        <v>7</v>
      </c>
    </row>
    <row r="4293" spans="23:25" x14ac:dyDescent="0.25">
      <c r="W4293" s="214" t="s">
        <v>1667</v>
      </c>
      <c r="X4293" s="214" t="s">
        <v>4367</v>
      </c>
      <c r="Y4293" s="220">
        <v>8</v>
      </c>
    </row>
    <row r="4294" spans="23:25" x14ac:dyDescent="0.25">
      <c r="W4294" s="214" t="s">
        <v>231</v>
      </c>
      <c r="X4294" s="214" t="s">
        <v>4368</v>
      </c>
      <c r="Y4294" s="220">
        <v>8</v>
      </c>
    </row>
    <row r="4295" spans="23:25" x14ac:dyDescent="0.25">
      <c r="W4295" s="214" t="s">
        <v>1763</v>
      </c>
      <c r="X4295" s="214" t="s">
        <v>4369</v>
      </c>
      <c r="Y4295" s="220">
        <v>7</v>
      </c>
    </row>
    <row r="4296" spans="23:25" x14ac:dyDescent="0.25">
      <c r="W4296" s="214" t="s">
        <v>1667</v>
      </c>
      <c r="X4296" s="214" t="s">
        <v>2105</v>
      </c>
      <c r="Y4296" s="220">
        <v>7</v>
      </c>
    </row>
    <row r="4297" spans="23:25" x14ac:dyDescent="0.25">
      <c r="W4297" s="214" t="s">
        <v>1667</v>
      </c>
      <c r="X4297" s="214" t="s">
        <v>4370</v>
      </c>
      <c r="Y4297" s="220">
        <v>7</v>
      </c>
    </row>
    <row r="4298" spans="23:25" x14ac:dyDescent="0.25">
      <c r="W4298" s="214" t="s">
        <v>1667</v>
      </c>
      <c r="X4298" s="214" t="s">
        <v>4371</v>
      </c>
      <c r="Y4298" s="220">
        <v>7</v>
      </c>
    </row>
    <row r="4299" spans="23:25" x14ac:dyDescent="0.25">
      <c r="W4299" s="214" t="s">
        <v>1667</v>
      </c>
      <c r="X4299" s="214" t="s">
        <v>4372</v>
      </c>
      <c r="Y4299" s="220">
        <v>7</v>
      </c>
    </row>
    <row r="4300" spans="23:25" x14ac:dyDescent="0.25">
      <c r="W4300" s="214" t="s">
        <v>1667</v>
      </c>
      <c r="X4300" s="214" t="s">
        <v>537</v>
      </c>
      <c r="Y4300" s="220">
        <v>7</v>
      </c>
    </row>
    <row r="4301" spans="23:25" x14ac:dyDescent="0.25">
      <c r="W4301" s="214" t="s">
        <v>1667</v>
      </c>
      <c r="X4301" s="214" t="s">
        <v>4373</v>
      </c>
      <c r="Y4301" s="220">
        <v>7</v>
      </c>
    </row>
    <row r="4302" spans="23:25" x14ac:dyDescent="0.25">
      <c r="W4302" s="214" t="s">
        <v>1667</v>
      </c>
      <c r="X4302" s="214" t="s">
        <v>4374</v>
      </c>
      <c r="Y4302" s="220">
        <v>7</v>
      </c>
    </row>
    <row r="4303" spans="23:25" x14ac:dyDescent="0.25">
      <c r="W4303" s="214" t="s">
        <v>1667</v>
      </c>
      <c r="X4303" s="214" t="s">
        <v>4375</v>
      </c>
      <c r="Y4303" s="220">
        <v>7</v>
      </c>
    </row>
    <row r="4304" spans="23:25" x14ac:dyDescent="0.25">
      <c r="W4304" s="214" t="s">
        <v>1667</v>
      </c>
      <c r="X4304" s="214" t="s">
        <v>4376</v>
      </c>
      <c r="Y4304" s="220">
        <v>7</v>
      </c>
    </row>
    <row r="4305" spans="23:25" x14ac:dyDescent="0.25">
      <c r="W4305" s="214" t="s">
        <v>1667</v>
      </c>
      <c r="X4305" s="214" t="s">
        <v>4377</v>
      </c>
      <c r="Y4305" s="220">
        <v>7</v>
      </c>
    </row>
    <row r="4306" spans="23:25" x14ac:dyDescent="0.25">
      <c r="W4306" s="214" t="s">
        <v>1976</v>
      </c>
      <c r="X4306" s="214" t="s">
        <v>4378</v>
      </c>
      <c r="Y4306" s="220">
        <v>7</v>
      </c>
    </row>
    <row r="4307" spans="23:25" x14ac:dyDescent="0.25">
      <c r="W4307" s="214" t="s">
        <v>230</v>
      </c>
      <c r="X4307" s="214" t="s">
        <v>4379</v>
      </c>
      <c r="Y4307" s="220">
        <v>8</v>
      </c>
    </row>
    <row r="4308" spans="23:25" x14ac:dyDescent="0.25">
      <c r="W4308" s="214" t="s">
        <v>1667</v>
      </c>
      <c r="X4308" s="214" t="s">
        <v>4380</v>
      </c>
      <c r="Y4308" s="220">
        <v>7</v>
      </c>
    </row>
    <row r="4309" spans="23:25" x14ac:dyDescent="0.25">
      <c r="W4309" s="214" t="s">
        <v>1763</v>
      </c>
      <c r="X4309" s="214" t="s">
        <v>2316</v>
      </c>
      <c r="Y4309" s="220">
        <v>7</v>
      </c>
    </row>
    <row r="4310" spans="23:25" x14ac:dyDescent="0.25">
      <c r="W4310" s="214" t="s">
        <v>29</v>
      </c>
      <c r="X4310" s="214" t="s">
        <v>4381</v>
      </c>
      <c r="Y4310" s="220">
        <v>8</v>
      </c>
    </row>
    <row r="4311" spans="23:25" x14ac:dyDescent="0.25">
      <c r="W4311" s="214" t="s">
        <v>1667</v>
      </c>
      <c r="X4311" s="214" t="s">
        <v>4382</v>
      </c>
      <c r="Y4311" s="220">
        <v>7</v>
      </c>
    </row>
    <row r="4312" spans="23:25" x14ac:dyDescent="0.25">
      <c r="W4312" s="214" t="s">
        <v>1763</v>
      </c>
      <c r="X4312" s="214" t="s">
        <v>4383</v>
      </c>
      <c r="Y4312" s="220">
        <v>7</v>
      </c>
    </row>
    <row r="4313" spans="23:25" x14ac:dyDescent="0.25">
      <c r="W4313" s="214" t="s">
        <v>1667</v>
      </c>
      <c r="X4313" s="214" t="s">
        <v>4384</v>
      </c>
      <c r="Y4313" s="220">
        <v>7</v>
      </c>
    </row>
    <row r="4314" spans="23:25" x14ac:dyDescent="0.25">
      <c r="W4314" s="214" t="s">
        <v>1667</v>
      </c>
      <c r="X4314" s="214" t="s">
        <v>4385</v>
      </c>
      <c r="Y4314" s="220">
        <v>7</v>
      </c>
    </row>
    <row r="4315" spans="23:25" x14ac:dyDescent="0.25">
      <c r="W4315" s="214" t="s">
        <v>1667</v>
      </c>
      <c r="X4315" s="214" t="s">
        <v>4386</v>
      </c>
      <c r="Y4315" s="220">
        <v>7</v>
      </c>
    </row>
    <row r="4316" spans="23:25" x14ac:dyDescent="0.25">
      <c r="W4316" s="214" t="s">
        <v>1667</v>
      </c>
      <c r="X4316" s="214" t="s">
        <v>4387</v>
      </c>
      <c r="Y4316" s="220">
        <v>7</v>
      </c>
    </row>
    <row r="4317" spans="23:25" x14ac:dyDescent="0.25">
      <c r="W4317" s="214" t="s">
        <v>1667</v>
      </c>
      <c r="X4317" s="214" t="s">
        <v>4388</v>
      </c>
      <c r="Y4317" s="220">
        <v>7</v>
      </c>
    </row>
    <row r="4318" spans="23:25" x14ac:dyDescent="0.25">
      <c r="W4318" s="214" t="s">
        <v>230</v>
      </c>
      <c r="X4318" s="214" t="s">
        <v>1251</v>
      </c>
      <c r="Y4318" s="220">
        <v>8</v>
      </c>
    </row>
    <row r="4319" spans="23:25" x14ac:dyDescent="0.25">
      <c r="W4319" s="214" t="s">
        <v>1667</v>
      </c>
      <c r="X4319" s="214" t="s">
        <v>4389</v>
      </c>
      <c r="Y4319" s="220">
        <v>7</v>
      </c>
    </row>
    <row r="4320" spans="23:25" x14ac:dyDescent="0.25">
      <c r="W4320" s="214" t="s">
        <v>1667</v>
      </c>
      <c r="X4320" s="214" t="s">
        <v>4390</v>
      </c>
      <c r="Y4320" s="220">
        <v>7</v>
      </c>
    </row>
    <row r="4321" spans="23:25" x14ac:dyDescent="0.25">
      <c r="W4321" s="214" t="s">
        <v>1763</v>
      </c>
      <c r="X4321" s="214" t="s">
        <v>2761</v>
      </c>
      <c r="Y4321" s="220">
        <v>7</v>
      </c>
    </row>
    <row r="4322" spans="23:25" x14ac:dyDescent="0.25">
      <c r="W4322" s="214" t="s">
        <v>3872</v>
      </c>
      <c r="X4322" s="214" t="s">
        <v>4391</v>
      </c>
      <c r="Y4322" s="220">
        <v>8</v>
      </c>
    </row>
    <row r="4323" spans="23:25" x14ac:dyDescent="0.25">
      <c r="W4323" s="214" t="s">
        <v>1763</v>
      </c>
      <c r="X4323" s="214" t="s">
        <v>3483</v>
      </c>
      <c r="Y4323" s="220">
        <v>7</v>
      </c>
    </row>
    <row r="4324" spans="23:25" x14ac:dyDescent="0.25">
      <c r="W4324" s="214" t="s">
        <v>1667</v>
      </c>
      <c r="X4324" s="214" t="s">
        <v>4392</v>
      </c>
      <c r="Y4324" s="220">
        <v>7</v>
      </c>
    </row>
    <row r="4325" spans="23:25" x14ac:dyDescent="0.25">
      <c r="W4325" s="214" t="s">
        <v>1740</v>
      </c>
      <c r="X4325" s="214" t="s">
        <v>4393</v>
      </c>
      <c r="Y4325" s="220">
        <v>7</v>
      </c>
    </row>
    <row r="4326" spans="23:25" x14ac:dyDescent="0.25">
      <c r="W4326" s="214" t="s">
        <v>1943</v>
      </c>
      <c r="X4326" s="214" t="s">
        <v>4394</v>
      </c>
      <c r="Y4326" s="220">
        <v>7</v>
      </c>
    </row>
    <row r="4327" spans="23:25" x14ac:dyDescent="0.25">
      <c r="W4327" s="214" t="s">
        <v>3872</v>
      </c>
      <c r="X4327" s="214" t="s">
        <v>1108</v>
      </c>
      <c r="Y4327" s="220">
        <v>8</v>
      </c>
    </row>
    <row r="4328" spans="23:25" x14ac:dyDescent="0.25">
      <c r="W4328" s="214" t="s">
        <v>3872</v>
      </c>
      <c r="X4328" s="214" t="s">
        <v>4395</v>
      </c>
      <c r="Y4328" s="220">
        <v>8</v>
      </c>
    </row>
    <row r="4329" spans="23:25" x14ac:dyDescent="0.25">
      <c r="W4329" s="214" t="s">
        <v>1943</v>
      </c>
      <c r="X4329" s="214" t="s">
        <v>4396</v>
      </c>
      <c r="Y4329" s="220">
        <v>7</v>
      </c>
    </row>
    <row r="4330" spans="23:25" x14ac:dyDescent="0.25">
      <c r="W4330" s="214" t="s">
        <v>1943</v>
      </c>
      <c r="X4330" s="214" t="s">
        <v>4397</v>
      </c>
      <c r="Y4330" s="220">
        <v>7</v>
      </c>
    </row>
    <row r="4331" spans="23:25" x14ac:dyDescent="0.25">
      <c r="W4331" s="214" t="s">
        <v>3870</v>
      </c>
      <c r="X4331" s="214" t="s">
        <v>4398</v>
      </c>
      <c r="Y4331" s="220">
        <v>7</v>
      </c>
    </row>
    <row r="4332" spans="23:25" x14ac:dyDescent="0.25">
      <c r="W4332" s="214" t="s">
        <v>1667</v>
      </c>
      <c r="X4332" s="214" t="s">
        <v>4399</v>
      </c>
      <c r="Y4332" s="220">
        <v>7</v>
      </c>
    </row>
    <row r="4333" spans="23:25" x14ac:dyDescent="0.25">
      <c r="W4333" s="214" t="s">
        <v>1667</v>
      </c>
      <c r="X4333" s="214" t="s">
        <v>4400</v>
      </c>
      <c r="Y4333" s="220">
        <v>7</v>
      </c>
    </row>
    <row r="4334" spans="23:25" x14ac:dyDescent="0.25">
      <c r="W4334" s="214" t="s">
        <v>1976</v>
      </c>
      <c r="X4334" s="214" t="s">
        <v>4401</v>
      </c>
      <c r="Y4334" s="220">
        <v>7</v>
      </c>
    </row>
    <row r="4335" spans="23:25" x14ac:dyDescent="0.25">
      <c r="W4335" s="214" t="s">
        <v>231</v>
      </c>
      <c r="X4335" s="214" t="s">
        <v>4402</v>
      </c>
      <c r="Y4335" s="220">
        <v>8</v>
      </c>
    </row>
    <row r="4336" spans="23:25" x14ac:dyDescent="0.25">
      <c r="W4336" s="214" t="s">
        <v>1667</v>
      </c>
      <c r="X4336" s="214" t="s">
        <v>4403</v>
      </c>
      <c r="Y4336" s="220">
        <v>7</v>
      </c>
    </row>
    <row r="4337" spans="23:25" x14ac:dyDescent="0.25">
      <c r="W4337" s="214" t="s">
        <v>3872</v>
      </c>
      <c r="X4337" s="214" t="s">
        <v>4404</v>
      </c>
      <c r="Y4337" s="220">
        <v>8</v>
      </c>
    </row>
    <row r="4338" spans="23:25" x14ac:dyDescent="0.25">
      <c r="W4338" s="214" t="s">
        <v>3872</v>
      </c>
      <c r="X4338" s="214" t="s">
        <v>4405</v>
      </c>
      <c r="Y4338" s="220">
        <v>8</v>
      </c>
    </row>
    <row r="4339" spans="23:25" x14ac:dyDescent="0.25">
      <c r="W4339" s="214" t="s">
        <v>1943</v>
      </c>
      <c r="X4339" s="214" t="s">
        <v>4406</v>
      </c>
      <c r="Y4339" s="220">
        <v>7</v>
      </c>
    </row>
    <row r="4340" spans="23:25" x14ac:dyDescent="0.25">
      <c r="W4340" s="214" t="s">
        <v>3872</v>
      </c>
      <c r="X4340" s="214" t="s">
        <v>4407</v>
      </c>
      <c r="Y4340" s="220">
        <v>8</v>
      </c>
    </row>
    <row r="4341" spans="23:25" x14ac:dyDescent="0.25">
      <c r="W4341" s="214" t="s">
        <v>1667</v>
      </c>
      <c r="X4341" s="214" t="s">
        <v>4408</v>
      </c>
      <c r="Y4341" s="220">
        <v>7</v>
      </c>
    </row>
    <row r="4342" spans="23:25" x14ac:dyDescent="0.25">
      <c r="W4342" s="214" t="s">
        <v>1943</v>
      </c>
      <c r="X4342" s="214" t="s">
        <v>4409</v>
      </c>
      <c r="Y4342" s="220">
        <v>7</v>
      </c>
    </row>
    <row r="4343" spans="23:25" x14ac:dyDescent="0.25">
      <c r="W4343" s="214" t="s">
        <v>1943</v>
      </c>
      <c r="X4343" s="214" t="s">
        <v>4410</v>
      </c>
      <c r="Y4343" s="220">
        <v>7</v>
      </c>
    </row>
    <row r="4344" spans="23:25" x14ac:dyDescent="0.25">
      <c r="W4344" s="214" t="s">
        <v>29</v>
      </c>
      <c r="X4344" s="214" t="s">
        <v>4411</v>
      </c>
      <c r="Y4344" s="220">
        <v>8</v>
      </c>
    </row>
    <row r="4345" spans="23:25" x14ac:dyDescent="0.25">
      <c r="W4345" s="214" t="s">
        <v>3872</v>
      </c>
      <c r="X4345" s="214" t="s">
        <v>4412</v>
      </c>
      <c r="Y4345" s="220">
        <v>8</v>
      </c>
    </row>
    <row r="4346" spans="23:25" x14ac:dyDescent="0.25">
      <c r="W4346" s="214" t="s">
        <v>3872</v>
      </c>
      <c r="X4346" s="214" t="s">
        <v>4413</v>
      </c>
      <c r="Y4346" s="220">
        <v>8</v>
      </c>
    </row>
    <row r="4347" spans="23:25" x14ac:dyDescent="0.25">
      <c r="W4347" s="214" t="s">
        <v>3870</v>
      </c>
      <c r="X4347" s="214" t="s">
        <v>4414</v>
      </c>
      <c r="Y4347" s="220">
        <v>7</v>
      </c>
    </row>
    <row r="4348" spans="23:25" x14ac:dyDescent="0.25">
      <c r="W4348" s="214" t="s">
        <v>3870</v>
      </c>
      <c r="X4348" s="214" t="s">
        <v>4415</v>
      </c>
      <c r="Y4348" s="220">
        <v>7</v>
      </c>
    </row>
    <row r="4349" spans="23:25" x14ac:dyDescent="0.25">
      <c r="W4349" s="214" t="s">
        <v>1943</v>
      </c>
      <c r="X4349" s="214" t="s">
        <v>4416</v>
      </c>
      <c r="Y4349" s="220">
        <v>7</v>
      </c>
    </row>
    <row r="4350" spans="23:25" x14ac:dyDescent="0.25">
      <c r="W4350" s="214" t="s">
        <v>1667</v>
      </c>
      <c r="X4350" s="214" t="s">
        <v>4417</v>
      </c>
      <c r="Y4350" s="220">
        <v>7</v>
      </c>
    </row>
    <row r="4351" spans="23:25" x14ac:dyDescent="0.25">
      <c r="W4351" s="214" t="s">
        <v>3872</v>
      </c>
      <c r="X4351" s="214" t="s">
        <v>4418</v>
      </c>
      <c r="Y4351" s="220">
        <v>8</v>
      </c>
    </row>
    <row r="4352" spans="23:25" x14ac:dyDescent="0.25">
      <c r="W4352" s="214" t="s">
        <v>1943</v>
      </c>
      <c r="X4352" s="214" t="s">
        <v>4419</v>
      </c>
      <c r="Y4352" s="220">
        <v>7</v>
      </c>
    </row>
    <row r="4353" spans="23:25" x14ac:dyDescent="0.25">
      <c r="W4353" s="214" t="s">
        <v>1943</v>
      </c>
      <c r="X4353" s="214" t="s">
        <v>4420</v>
      </c>
      <c r="Y4353" s="220">
        <v>7</v>
      </c>
    </row>
    <row r="4354" spans="23:25" x14ac:dyDescent="0.25">
      <c r="W4354" s="214" t="s">
        <v>3870</v>
      </c>
      <c r="X4354" s="214" t="s">
        <v>4421</v>
      </c>
      <c r="Y4354" s="220">
        <v>8</v>
      </c>
    </row>
    <row r="4355" spans="23:25" x14ac:dyDescent="0.25">
      <c r="W4355" s="214" t="s">
        <v>3870</v>
      </c>
      <c r="X4355" s="214" t="s">
        <v>4422</v>
      </c>
      <c r="Y4355" s="220">
        <v>7</v>
      </c>
    </row>
    <row r="4356" spans="23:25" x14ac:dyDescent="0.25">
      <c r="W4356" s="214" t="s">
        <v>3872</v>
      </c>
      <c r="X4356" s="214" t="s">
        <v>4423</v>
      </c>
      <c r="Y4356" s="220">
        <v>8</v>
      </c>
    </row>
    <row r="4357" spans="23:25" x14ac:dyDescent="0.25">
      <c r="W4357" s="214" t="s">
        <v>3872</v>
      </c>
      <c r="X4357" s="214" t="s">
        <v>4424</v>
      </c>
      <c r="Y4357" s="220">
        <v>8</v>
      </c>
    </row>
    <row r="4358" spans="23:25" x14ac:dyDescent="0.25">
      <c r="W4358" s="214" t="s">
        <v>1943</v>
      </c>
      <c r="X4358" s="214" t="s">
        <v>4425</v>
      </c>
      <c r="Y4358" s="220">
        <v>7</v>
      </c>
    </row>
    <row r="4359" spans="23:25" x14ac:dyDescent="0.25">
      <c r="W4359" s="214" t="s">
        <v>1976</v>
      </c>
      <c r="X4359" s="214" t="s">
        <v>4426</v>
      </c>
      <c r="Y4359" s="220">
        <v>7</v>
      </c>
    </row>
    <row r="4360" spans="23:25" x14ac:dyDescent="0.25">
      <c r="W4360" s="214" t="s">
        <v>1943</v>
      </c>
      <c r="X4360" s="214" t="s">
        <v>4427</v>
      </c>
      <c r="Y4360" s="220">
        <v>7</v>
      </c>
    </row>
    <row r="4361" spans="23:25" x14ac:dyDescent="0.25">
      <c r="W4361" s="214" t="s">
        <v>1943</v>
      </c>
      <c r="X4361" s="214" t="s">
        <v>4428</v>
      </c>
      <c r="Y4361" s="220">
        <v>7</v>
      </c>
    </row>
    <row r="4362" spans="23:25" x14ac:dyDescent="0.25">
      <c r="W4362" s="214" t="s">
        <v>1667</v>
      </c>
      <c r="X4362" s="214" t="s">
        <v>4429</v>
      </c>
      <c r="Y4362" s="220">
        <v>7</v>
      </c>
    </row>
    <row r="4363" spans="23:25" x14ac:dyDescent="0.25">
      <c r="W4363" s="214" t="s">
        <v>1943</v>
      </c>
      <c r="X4363" s="214" t="s">
        <v>4430</v>
      </c>
      <c r="Y4363" s="220">
        <v>7</v>
      </c>
    </row>
    <row r="4364" spans="23:25" x14ac:dyDescent="0.25">
      <c r="W4364" s="214" t="s">
        <v>1943</v>
      </c>
      <c r="X4364" s="214" t="s">
        <v>4431</v>
      </c>
      <c r="Y4364" s="220">
        <v>8</v>
      </c>
    </row>
    <row r="4365" spans="23:25" x14ac:dyDescent="0.25">
      <c r="W4365" s="214" t="s">
        <v>3872</v>
      </c>
      <c r="X4365" s="214" t="s">
        <v>4432</v>
      </c>
      <c r="Y4365" s="220">
        <v>8</v>
      </c>
    </row>
    <row r="4366" spans="23:25" x14ac:dyDescent="0.25">
      <c r="W4366" s="214" t="s">
        <v>1943</v>
      </c>
      <c r="X4366" s="214" t="s">
        <v>4433</v>
      </c>
      <c r="Y4366" s="220">
        <v>7</v>
      </c>
    </row>
    <row r="4367" spans="23:25" x14ac:dyDescent="0.25">
      <c r="W4367" s="214" t="s">
        <v>3872</v>
      </c>
      <c r="X4367" s="214" t="s">
        <v>4434</v>
      </c>
      <c r="Y4367" s="220">
        <v>8</v>
      </c>
    </row>
    <row r="4368" spans="23:25" x14ac:dyDescent="0.25">
      <c r="W4368" s="214" t="s">
        <v>3872</v>
      </c>
      <c r="X4368" s="214" t="s">
        <v>4435</v>
      </c>
      <c r="Y4368" s="220">
        <v>8</v>
      </c>
    </row>
    <row r="4369" spans="23:25" x14ac:dyDescent="0.25">
      <c r="W4369" s="214" t="s">
        <v>1667</v>
      </c>
      <c r="X4369" s="214" t="s">
        <v>2010</v>
      </c>
      <c r="Y4369" s="220">
        <v>8</v>
      </c>
    </row>
    <row r="4370" spans="23:25" x14ac:dyDescent="0.25">
      <c r="W4370" s="214" t="s">
        <v>1943</v>
      </c>
      <c r="X4370" s="214" t="s">
        <v>4436</v>
      </c>
      <c r="Y4370" s="220">
        <v>8</v>
      </c>
    </row>
    <row r="4371" spans="23:25" x14ac:dyDescent="0.25">
      <c r="W4371" s="214" t="s">
        <v>3872</v>
      </c>
      <c r="X4371" s="214" t="s">
        <v>360</v>
      </c>
      <c r="Y4371" s="220">
        <v>8</v>
      </c>
    </row>
    <row r="4372" spans="23:25" x14ac:dyDescent="0.25">
      <c r="W4372" s="214" t="s">
        <v>1943</v>
      </c>
      <c r="X4372" s="214" t="s">
        <v>4437</v>
      </c>
      <c r="Y4372" s="220">
        <v>7</v>
      </c>
    </row>
    <row r="4373" spans="23:25" x14ac:dyDescent="0.25">
      <c r="W4373" s="214" t="s">
        <v>3872</v>
      </c>
      <c r="X4373" s="214" t="s">
        <v>4438</v>
      </c>
      <c r="Y4373" s="220">
        <v>8</v>
      </c>
    </row>
    <row r="4374" spans="23:25" x14ac:dyDescent="0.25">
      <c r="W4374" s="214" t="s">
        <v>3872</v>
      </c>
      <c r="X4374" s="214" t="s">
        <v>4439</v>
      </c>
      <c r="Y4374" s="220">
        <v>8</v>
      </c>
    </row>
    <row r="4375" spans="23:25" x14ac:dyDescent="0.25">
      <c r="W4375" s="214" t="s">
        <v>3872</v>
      </c>
      <c r="X4375" s="214" t="s">
        <v>4440</v>
      </c>
      <c r="Y4375" s="220">
        <v>8</v>
      </c>
    </row>
    <row r="4376" spans="23:25" x14ac:dyDescent="0.25">
      <c r="W4376" s="214" t="s">
        <v>1943</v>
      </c>
      <c r="X4376" s="214" t="s">
        <v>4441</v>
      </c>
      <c r="Y4376" s="220">
        <v>7</v>
      </c>
    </row>
    <row r="4377" spans="23:25" x14ac:dyDescent="0.25">
      <c r="W4377" s="214" t="s">
        <v>398</v>
      </c>
      <c r="X4377" s="214" t="s">
        <v>4442</v>
      </c>
      <c r="Y4377" s="220">
        <v>6</v>
      </c>
    </row>
    <row r="4378" spans="23:25" x14ac:dyDescent="0.25">
      <c r="W4378" s="214" t="s">
        <v>3872</v>
      </c>
      <c r="X4378" s="214" t="s">
        <v>4443</v>
      </c>
      <c r="Y4378" s="220">
        <v>8</v>
      </c>
    </row>
    <row r="4379" spans="23:25" x14ac:dyDescent="0.25">
      <c r="W4379" s="214" t="s">
        <v>1976</v>
      </c>
      <c r="X4379" s="214" t="s">
        <v>4444</v>
      </c>
      <c r="Y4379" s="220">
        <v>7</v>
      </c>
    </row>
    <row r="4380" spans="23:25" x14ac:dyDescent="0.25">
      <c r="W4380" s="214" t="s">
        <v>1763</v>
      </c>
      <c r="X4380" s="214" t="s">
        <v>4445</v>
      </c>
      <c r="Y4380" s="220">
        <v>7</v>
      </c>
    </row>
    <row r="4381" spans="23:25" x14ac:dyDescent="0.25">
      <c r="W4381" s="214" t="s">
        <v>2198</v>
      </c>
      <c r="X4381" s="214" t="s">
        <v>4446</v>
      </c>
      <c r="Y4381" s="220">
        <v>8</v>
      </c>
    </row>
    <row r="4382" spans="23:25" x14ac:dyDescent="0.25">
      <c r="W4382" s="214" t="s">
        <v>1943</v>
      </c>
      <c r="X4382" s="214" t="s">
        <v>4447</v>
      </c>
      <c r="Y4382" s="220">
        <v>7</v>
      </c>
    </row>
    <row r="4383" spans="23:25" x14ac:dyDescent="0.25">
      <c r="W4383" s="214" t="s">
        <v>29</v>
      </c>
      <c r="X4383" s="214" t="s">
        <v>4448</v>
      </c>
      <c r="Y4383" s="220">
        <v>8</v>
      </c>
    </row>
    <row r="4384" spans="23:25" x14ac:dyDescent="0.25">
      <c r="W4384" s="214" t="s">
        <v>1943</v>
      </c>
      <c r="X4384" s="214" t="s">
        <v>4449</v>
      </c>
      <c r="Y4384" s="220">
        <v>7</v>
      </c>
    </row>
    <row r="4385" spans="23:25" x14ac:dyDescent="0.25">
      <c r="W4385" s="214" t="s">
        <v>1943</v>
      </c>
      <c r="X4385" s="214" t="s">
        <v>4450</v>
      </c>
      <c r="Y4385" s="220">
        <v>8</v>
      </c>
    </row>
    <row r="4386" spans="23:25" x14ac:dyDescent="0.25">
      <c r="W4386" s="214" t="s">
        <v>2198</v>
      </c>
      <c r="X4386" s="214" t="s">
        <v>4451</v>
      </c>
      <c r="Y4386" s="220">
        <v>8</v>
      </c>
    </row>
    <row r="4387" spans="23:25" x14ac:dyDescent="0.25">
      <c r="W4387" s="214" t="s">
        <v>3872</v>
      </c>
      <c r="X4387" s="214" t="s">
        <v>3408</v>
      </c>
      <c r="Y4387" s="220">
        <v>8</v>
      </c>
    </row>
    <row r="4388" spans="23:25" x14ac:dyDescent="0.25">
      <c r="W4388" s="214" t="s">
        <v>3870</v>
      </c>
      <c r="X4388" s="214" t="s">
        <v>4452</v>
      </c>
      <c r="Y4388" s="220">
        <v>7</v>
      </c>
    </row>
    <row r="4389" spans="23:25" x14ac:dyDescent="0.25">
      <c r="W4389" s="214" t="s">
        <v>1943</v>
      </c>
      <c r="X4389" s="214" t="s">
        <v>4453</v>
      </c>
      <c r="Y4389" s="220">
        <v>8</v>
      </c>
    </row>
    <row r="4390" spans="23:25" x14ac:dyDescent="0.25">
      <c r="W4390" s="214" t="s">
        <v>231</v>
      </c>
      <c r="X4390" s="214" t="s">
        <v>4454</v>
      </c>
      <c r="Y4390" s="220">
        <v>8</v>
      </c>
    </row>
    <row r="4391" spans="23:25" x14ac:dyDescent="0.25">
      <c r="W4391" s="214" t="s">
        <v>1943</v>
      </c>
      <c r="X4391" s="214" t="s">
        <v>4455</v>
      </c>
      <c r="Y4391" s="220">
        <v>8</v>
      </c>
    </row>
    <row r="4392" spans="23:25" x14ac:dyDescent="0.25">
      <c r="W4392" s="214" t="s">
        <v>1667</v>
      </c>
      <c r="X4392" s="214" t="s">
        <v>4456</v>
      </c>
      <c r="Y4392" s="220">
        <v>7</v>
      </c>
    </row>
    <row r="4393" spans="23:25" x14ac:dyDescent="0.25">
      <c r="W4393" s="214" t="s">
        <v>2185</v>
      </c>
      <c r="X4393" s="214" t="s">
        <v>4457</v>
      </c>
      <c r="Y4393" s="220">
        <v>6</v>
      </c>
    </row>
    <row r="4394" spans="23:25" x14ac:dyDescent="0.25">
      <c r="W4394" s="214" t="s">
        <v>3870</v>
      </c>
      <c r="X4394" s="214" t="s">
        <v>4458</v>
      </c>
      <c r="Y4394" s="220">
        <v>7</v>
      </c>
    </row>
    <row r="4395" spans="23:25" x14ac:dyDescent="0.25">
      <c r="W4395" s="214" t="s">
        <v>1943</v>
      </c>
      <c r="X4395" s="214" t="s">
        <v>4459</v>
      </c>
      <c r="Y4395" s="220">
        <v>7</v>
      </c>
    </row>
    <row r="4396" spans="23:25" x14ac:dyDescent="0.25">
      <c r="W4396" s="214" t="s">
        <v>3872</v>
      </c>
      <c r="X4396" s="214" t="s">
        <v>4460</v>
      </c>
      <c r="Y4396" s="220">
        <v>8</v>
      </c>
    </row>
    <row r="4397" spans="23:25" x14ac:dyDescent="0.25">
      <c r="W4397" s="214" t="s">
        <v>1943</v>
      </c>
      <c r="X4397" s="214" t="s">
        <v>4461</v>
      </c>
      <c r="Y4397" s="220">
        <v>7</v>
      </c>
    </row>
    <row r="4398" spans="23:25" x14ac:dyDescent="0.25">
      <c r="W4398" s="214" t="s">
        <v>2198</v>
      </c>
      <c r="X4398" s="214" t="s">
        <v>2524</v>
      </c>
      <c r="Y4398" s="220">
        <v>8</v>
      </c>
    </row>
    <row r="4399" spans="23:25" x14ac:dyDescent="0.25">
      <c r="W4399" s="214" t="s">
        <v>3870</v>
      </c>
      <c r="X4399" s="214" t="s">
        <v>4462</v>
      </c>
      <c r="Y4399" s="220">
        <v>7</v>
      </c>
    </row>
    <row r="4400" spans="23:25" x14ac:dyDescent="0.25">
      <c r="W4400" s="214" t="s">
        <v>1667</v>
      </c>
      <c r="X4400" s="214" t="s">
        <v>4463</v>
      </c>
      <c r="Y4400" s="220">
        <v>7</v>
      </c>
    </row>
    <row r="4401" spans="23:25" x14ac:dyDescent="0.25">
      <c r="W4401" s="214" t="s">
        <v>3870</v>
      </c>
      <c r="X4401" s="214" t="s">
        <v>4464</v>
      </c>
      <c r="Y4401" s="220">
        <v>7</v>
      </c>
    </row>
    <row r="4402" spans="23:25" x14ac:dyDescent="0.25">
      <c r="W4402" s="214" t="s">
        <v>1943</v>
      </c>
      <c r="X4402" s="214" t="s">
        <v>4465</v>
      </c>
      <c r="Y4402" s="220">
        <v>7</v>
      </c>
    </row>
    <row r="4403" spans="23:25" x14ac:dyDescent="0.25">
      <c r="W4403" s="214" t="s">
        <v>1740</v>
      </c>
      <c r="X4403" s="214" t="s">
        <v>4466</v>
      </c>
      <c r="Y4403" s="220">
        <v>7</v>
      </c>
    </row>
    <row r="4404" spans="23:25" x14ac:dyDescent="0.25">
      <c r="W4404" s="214" t="s">
        <v>3872</v>
      </c>
      <c r="X4404" s="214" t="s">
        <v>4467</v>
      </c>
      <c r="Y4404" s="220">
        <v>8</v>
      </c>
    </row>
    <row r="4405" spans="23:25" x14ac:dyDescent="0.25">
      <c r="W4405" s="214" t="s">
        <v>1943</v>
      </c>
      <c r="X4405" s="214" t="s">
        <v>4468</v>
      </c>
      <c r="Y4405" s="220">
        <v>7</v>
      </c>
    </row>
    <row r="4406" spans="23:25" x14ac:dyDescent="0.25">
      <c r="W4406" s="214" t="s">
        <v>3870</v>
      </c>
      <c r="X4406" s="214" t="s">
        <v>4469</v>
      </c>
      <c r="Y4406" s="220">
        <v>7</v>
      </c>
    </row>
    <row r="4407" spans="23:25" x14ac:dyDescent="0.25">
      <c r="W4407" s="214" t="s">
        <v>3872</v>
      </c>
      <c r="X4407" s="214" t="s">
        <v>4470</v>
      </c>
      <c r="Y4407" s="220">
        <v>8</v>
      </c>
    </row>
    <row r="4408" spans="23:25" x14ac:dyDescent="0.25">
      <c r="W4408" s="214" t="s">
        <v>1943</v>
      </c>
      <c r="X4408" s="214" t="s">
        <v>4471</v>
      </c>
      <c r="Y4408" s="220">
        <v>7</v>
      </c>
    </row>
    <row r="4409" spans="23:25" x14ac:dyDescent="0.25">
      <c r="W4409" s="214" t="s">
        <v>1943</v>
      </c>
      <c r="X4409" s="214" t="s">
        <v>4472</v>
      </c>
      <c r="Y4409" s="220">
        <v>7</v>
      </c>
    </row>
    <row r="4410" spans="23:25" x14ac:dyDescent="0.25">
      <c r="W4410" s="214" t="s">
        <v>1943</v>
      </c>
      <c r="X4410" s="214" t="s">
        <v>1818</v>
      </c>
      <c r="Y4410" s="220">
        <v>7</v>
      </c>
    </row>
    <row r="4411" spans="23:25" x14ac:dyDescent="0.25">
      <c r="W4411" s="214" t="s">
        <v>3870</v>
      </c>
      <c r="X4411" s="214" t="s">
        <v>4473</v>
      </c>
      <c r="Y4411" s="220">
        <v>7</v>
      </c>
    </row>
    <row r="4412" spans="23:25" x14ac:dyDescent="0.25">
      <c r="W4412" s="214" t="s">
        <v>1943</v>
      </c>
      <c r="X4412" s="214" t="s">
        <v>4474</v>
      </c>
      <c r="Y4412" s="220">
        <v>7</v>
      </c>
    </row>
    <row r="4413" spans="23:25" x14ac:dyDescent="0.25">
      <c r="W4413" s="214" t="s">
        <v>1943</v>
      </c>
      <c r="X4413" s="214" t="s">
        <v>4475</v>
      </c>
      <c r="Y4413" s="220">
        <v>7</v>
      </c>
    </row>
    <row r="4414" spans="23:25" x14ac:dyDescent="0.25">
      <c r="W4414" s="214" t="s">
        <v>1943</v>
      </c>
      <c r="X4414" s="214" t="s">
        <v>4476</v>
      </c>
      <c r="Y4414" s="220">
        <v>7</v>
      </c>
    </row>
    <row r="4415" spans="23:25" x14ac:dyDescent="0.25">
      <c r="W4415" s="214" t="s">
        <v>3872</v>
      </c>
      <c r="X4415" s="214" t="s">
        <v>4477</v>
      </c>
      <c r="Y4415" s="220">
        <v>8</v>
      </c>
    </row>
    <row r="4416" spans="23:25" x14ac:dyDescent="0.25">
      <c r="W4416" s="214" t="s">
        <v>3870</v>
      </c>
      <c r="X4416" s="214" t="s">
        <v>4478</v>
      </c>
      <c r="Y4416" s="220">
        <v>7</v>
      </c>
    </row>
    <row r="4417" spans="23:25" x14ac:dyDescent="0.25">
      <c r="W4417" s="214" t="s">
        <v>3872</v>
      </c>
      <c r="X4417" s="214" t="s">
        <v>4479</v>
      </c>
      <c r="Y4417" s="220">
        <v>8</v>
      </c>
    </row>
    <row r="4418" spans="23:25" x14ac:dyDescent="0.25">
      <c r="W4418" s="214" t="s">
        <v>3870</v>
      </c>
      <c r="X4418" s="214" t="s">
        <v>4480</v>
      </c>
      <c r="Y4418" s="220">
        <v>6</v>
      </c>
    </row>
    <row r="4419" spans="23:25" x14ac:dyDescent="0.25">
      <c r="W4419" s="214" t="s">
        <v>3870</v>
      </c>
      <c r="X4419" s="214" t="s">
        <v>4481</v>
      </c>
      <c r="Y4419" s="220">
        <v>8</v>
      </c>
    </row>
    <row r="4420" spans="23:25" x14ac:dyDescent="0.25">
      <c r="W4420" s="214" t="s">
        <v>3870</v>
      </c>
      <c r="X4420" s="214" t="s">
        <v>4482</v>
      </c>
      <c r="Y4420" s="220">
        <v>7</v>
      </c>
    </row>
    <row r="4421" spans="23:25" x14ac:dyDescent="0.25">
      <c r="W4421" s="214" t="s">
        <v>3872</v>
      </c>
      <c r="X4421" s="214" t="s">
        <v>4483</v>
      </c>
      <c r="Y4421" s="220">
        <v>8</v>
      </c>
    </row>
    <row r="4422" spans="23:25" x14ac:dyDescent="0.25">
      <c r="W4422" s="214" t="s">
        <v>29</v>
      </c>
      <c r="X4422" s="214" t="s">
        <v>4484</v>
      </c>
      <c r="Y4422" s="220">
        <v>8</v>
      </c>
    </row>
    <row r="4423" spans="23:25" x14ac:dyDescent="0.25">
      <c r="W4423" s="214" t="s">
        <v>398</v>
      </c>
      <c r="X4423" s="214" t="s">
        <v>4485</v>
      </c>
      <c r="Y4423" s="220">
        <v>7</v>
      </c>
    </row>
    <row r="4424" spans="23:25" x14ac:dyDescent="0.25">
      <c r="W4424" s="214" t="s">
        <v>3872</v>
      </c>
      <c r="X4424" s="214" t="s">
        <v>4486</v>
      </c>
      <c r="Y4424" s="220">
        <v>8</v>
      </c>
    </row>
    <row r="4425" spans="23:25" x14ac:dyDescent="0.25">
      <c r="W4425" s="214" t="s">
        <v>1943</v>
      </c>
      <c r="X4425" s="214" t="s">
        <v>4487</v>
      </c>
      <c r="Y4425" s="220">
        <v>7</v>
      </c>
    </row>
    <row r="4426" spans="23:25" x14ac:dyDescent="0.25">
      <c r="W4426" s="214" t="s">
        <v>231</v>
      </c>
      <c r="X4426" s="214" t="s">
        <v>4488</v>
      </c>
      <c r="Y4426" s="220">
        <v>8</v>
      </c>
    </row>
    <row r="4427" spans="23:25" x14ac:dyDescent="0.25">
      <c r="W4427" s="214" t="s">
        <v>4004</v>
      </c>
      <c r="X4427" s="214" t="s">
        <v>4489</v>
      </c>
      <c r="Y4427" s="220">
        <v>8</v>
      </c>
    </row>
    <row r="4428" spans="23:25" x14ac:dyDescent="0.25">
      <c r="W4428" s="214" t="s">
        <v>1943</v>
      </c>
      <c r="X4428" s="214" t="s">
        <v>4490</v>
      </c>
      <c r="Y4428" s="220">
        <v>7</v>
      </c>
    </row>
    <row r="4429" spans="23:25" x14ac:dyDescent="0.25">
      <c r="W4429" s="214" t="s">
        <v>230</v>
      </c>
      <c r="X4429" s="214" t="s">
        <v>4491</v>
      </c>
      <c r="Y4429" s="220">
        <v>8</v>
      </c>
    </row>
    <row r="4430" spans="23:25" x14ac:dyDescent="0.25">
      <c r="W4430" s="214" t="s">
        <v>1943</v>
      </c>
      <c r="X4430" s="214" t="s">
        <v>4492</v>
      </c>
      <c r="Y4430" s="220">
        <v>8</v>
      </c>
    </row>
    <row r="4431" spans="23:25" x14ac:dyDescent="0.25">
      <c r="W4431" s="214" t="s">
        <v>3872</v>
      </c>
      <c r="X4431" s="214" t="s">
        <v>4493</v>
      </c>
      <c r="Y4431" s="220">
        <v>8</v>
      </c>
    </row>
    <row r="4432" spans="23:25" x14ac:dyDescent="0.25">
      <c r="W4432" s="214" t="s">
        <v>3870</v>
      </c>
      <c r="X4432" s="214" t="s">
        <v>4494</v>
      </c>
      <c r="Y4432" s="220">
        <v>8</v>
      </c>
    </row>
    <row r="4433" spans="23:25" x14ac:dyDescent="0.25">
      <c r="W4433" s="214" t="s">
        <v>3870</v>
      </c>
      <c r="X4433" s="214" t="s">
        <v>4495</v>
      </c>
      <c r="Y4433" s="220">
        <v>7</v>
      </c>
    </row>
    <row r="4434" spans="23:25" x14ac:dyDescent="0.25">
      <c r="W4434" s="214" t="s">
        <v>3870</v>
      </c>
      <c r="X4434" s="214" t="s">
        <v>4496</v>
      </c>
      <c r="Y4434" s="220">
        <v>7</v>
      </c>
    </row>
    <row r="4435" spans="23:25" x14ac:dyDescent="0.25">
      <c r="W4435" s="214" t="s">
        <v>29</v>
      </c>
      <c r="X4435" s="214" t="s">
        <v>4497</v>
      </c>
      <c r="Y4435" s="220">
        <v>8</v>
      </c>
    </row>
    <row r="4436" spans="23:25" x14ac:dyDescent="0.25">
      <c r="W4436" s="214" t="s">
        <v>3870</v>
      </c>
      <c r="X4436" s="214" t="s">
        <v>4498</v>
      </c>
      <c r="Y4436" s="220">
        <v>7</v>
      </c>
    </row>
    <row r="4437" spans="23:25" x14ac:dyDescent="0.25">
      <c r="W4437" s="214" t="s">
        <v>1943</v>
      </c>
      <c r="X4437" s="214" t="s">
        <v>4499</v>
      </c>
      <c r="Y4437" s="220">
        <v>7</v>
      </c>
    </row>
    <row r="4438" spans="23:25" x14ac:dyDescent="0.25">
      <c r="W4438" s="214" t="s">
        <v>1943</v>
      </c>
      <c r="X4438" s="214" t="s">
        <v>4500</v>
      </c>
      <c r="Y4438" s="220">
        <v>7</v>
      </c>
    </row>
    <row r="4439" spans="23:25" x14ac:dyDescent="0.25">
      <c r="W4439" s="214" t="s">
        <v>3870</v>
      </c>
      <c r="X4439" s="214" t="s">
        <v>4501</v>
      </c>
      <c r="Y4439" s="220">
        <v>8</v>
      </c>
    </row>
    <row r="4440" spans="23:25" x14ac:dyDescent="0.25">
      <c r="W4440" s="214" t="s">
        <v>1976</v>
      </c>
      <c r="X4440" s="214" t="s">
        <v>4502</v>
      </c>
      <c r="Y4440" s="220">
        <v>7</v>
      </c>
    </row>
    <row r="4441" spans="23:25" x14ac:dyDescent="0.25">
      <c r="W4441" s="214" t="s">
        <v>3870</v>
      </c>
      <c r="X4441" s="214" t="s">
        <v>4503</v>
      </c>
      <c r="Y4441" s="220">
        <v>7</v>
      </c>
    </row>
    <row r="4442" spans="23:25" x14ac:dyDescent="0.25">
      <c r="W4442" s="214" t="s">
        <v>3872</v>
      </c>
      <c r="X4442" s="214" t="s">
        <v>4504</v>
      </c>
      <c r="Y4442" s="220">
        <v>8</v>
      </c>
    </row>
    <row r="4443" spans="23:25" x14ac:dyDescent="0.25">
      <c r="W4443" s="214" t="s">
        <v>3870</v>
      </c>
      <c r="X4443" s="214" t="s">
        <v>4505</v>
      </c>
      <c r="Y4443" s="220">
        <v>7</v>
      </c>
    </row>
    <row r="4444" spans="23:25" x14ac:dyDescent="0.25">
      <c r="W4444" s="214" t="s">
        <v>1943</v>
      </c>
      <c r="X4444" s="214" t="s">
        <v>4506</v>
      </c>
      <c r="Y4444" s="220">
        <v>7</v>
      </c>
    </row>
    <row r="4445" spans="23:25" x14ac:dyDescent="0.25">
      <c r="W4445" s="214" t="s">
        <v>3870</v>
      </c>
      <c r="X4445" s="214" t="s">
        <v>4507</v>
      </c>
      <c r="Y4445" s="220">
        <v>7</v>
      </c>
    </row>
    <row r="4446" spans="23:25" x14ac:dyDescent="0.25">
      <c r="W4446" s="214" t="s">
        <v>1943</v>
      </c>
      <c r="X4446" s="214" t="s">
        <v>4508</v>
      </c>
      <c r="Y4446" s="220">
        <v>7</v>
      </c>
    </row>
    <row r="4447" spans="23:25" x14ac:dyDescent="0.25">
      <c r="W4447" s="214" t="s">
        <v>3870</v>
      </c>
      <c r="X4447" s="214" t="s">
        <v>4509</v>
      </c>
      <c r="Y4447" s="220">
        <v>8</v>
      </c>
    </row>
    <row r="4448" spans="23:25" x14ac:dyDescent="0.25">
      <c r="W4448" s="214" t="s">
        <v>3872</v>
      </c>
      <c r="X4448" s="214" t="s">
        <v>1689</v>
      </c>
      <c r="Y4448" s="220">
        <v>8</v>
      </c>
    </row>
    <row r="4449" spans="23:25" x14ac:dyDescent="0.25">
      <c r="W4449" s="214" t="s">
        <v>3872</v>
      </c>
      <c r="X4449" s="214" t="s">
        <v>4510</v>
      </c>
      <c r="Y4449" s="220">
        <v>8</v>
      </c>
    </row>
    <row r="4450" spans="23:25" x14ac:dyDescent="0.25">
      <c r="W4450" s="214" t="s">
        <v>2198</v>
      </c>
      <c r="X4450" s="214" t="s">
        <v>2067</v>
      </c>
      <c r="Y4450" s="220">
        <v>8</v>
      </c>
    </row>
    <row r="4451" spans="23:25" x14ac:dyDescent="0.25">
      <c r="W4451" s="214" t="s">
        <v>1943</v>
      </c>
      <c r="X4451" s="214" t="s">
        <v>4511</v>
      </c>
      <c r="Y4451" s="220">
        <v>7</v>
      </c>
    </row>
    <row r="4452" spans="23:25" x14ac:dyDescent="0.25">
      <c r="W4452" s="214" t="s">
        <v>3872</v>
      </c>
      <c r="X4452" s="214" t="s">
        <v>4512</v>
      </c>
      <c r="Y4452" s="220">
        <v>8</v>
      </c>
    </row>
    <row r="4453" spans="23:25" x14ac:dyDescent="0.25">
      <c r="W4453" s="214" t="s">
        <v>1943</v>
      </c>
      <c r="X4453" s="214" t="s">
        <v>4513</v>
      </c>
      <c r="Y4453" s="220">
        <v>8</v>
      </c>
    </row>
    <row r="4454" spans="23:25" x14ac:dyDescent="0.25">
      <c r="W4454" s="214" t="s">
        <v>3870</v>
      </c>
      <c r="X4454" s="214" t="s">
        <v>4514</v>
      </c>
      <c r="Y4454" s="220">
        <v>7</v>
      </c>
    </row>
    <row r="4455" spans="23:25" x14ac:dyDescent="0.25">
      <c r="W4455" s="214" t="s">
        <v>3870</v>
      </c>
      <c r="X4455" s="214" t="s">
        <v>4515</v>
      </c>
      <c r="Y4455" s="220">
        <v>7</v>
      </c>
    </row>
    <row r="4456" spans="23:25" x14ac:dyDescent="0.25">
      <c r="W4456" s="214" t="s">
        <v>1943</v>
      </c>
      <c r="X4456" s="214" t="s">
        <v>4516</v>
      </c>
      <c r="Y4456" s="220">
        <v>7</v>
      </c>
    </row>
    <row r="4457" spans="23:25" x14ac:dyDescent="0.25">
      <c r="W4457" s="214" t="s">
        <v>3872</v>
      </c>
      <c r="X4457" s="214" t="s">
        <v>4517</v>
      </c>
      <c r="Y4457" s="220">
        <v>8</v>
      </c>
    </row>
    <row r="4458" spans="23:25" x14ac:dyDescent="0.25">
      <c r="W4458" s="214" t="s">
        <v>3870</v>
      </c>
      <c r="X4458" s="214" t="s">
        <v>4518</v>
      </c>
      <c r="Y4458" s="220">
        <v>7</v>
      </c>
    </row>
    <row r="4459" spans="23:25" x14ac:dyDescent="0.25">
      <c r="W4459" s="214" t="s">
        <v>3870</v>
      </c>
      <c r="X4459" s="214" t="s">
        <v>4519</v>
      </c>
      <c r="Y4459" s="220">
        <v>7</v>
      </c>
    </row>
    <row r="4460" spans="23:25" x14ac:dyDescent="0.25">
      <c r="W4460" s="214" t="s">
        <v>1740</v>
      </c>
      <c r="X4460" s="214" t="s">
        <v>4520</v>
      </c>
      <c r="Y4460" s="220">
        <v>7</v>
      </c>
    </row>
    <row r="4461" spans="23:25" x14ac:dyDescent="0.25">
      <c r="W4461" s="214" t="s">
        <v>3870</v>
      </c>
      <c r="X4461" s="214" t="s">
        <v>4521</v>
      </c>
      <c r="Y4461" s="220">
        <v>8</v>
      </c>
    </row>
    <row r="4462" spans="23:25" x14ac:dyDescent="0.25">
      <c r="W4462" s="214" t="s">
        <v>1943</v>
      </c>
      <c r="X4462" s="214" t="s">
        <v>4522</v>
      </c>
      <c r="Y4462" s="220">
        <v>7</v>
      </c>
    </row>
    <row r="4463" spans="23:25" x14ac:dyDescent="0.25">
      <c r="W4463" s="214" t="s">
        <v>3870</v>
      </c>
      <c r="X4463" s="214" t="s">
        <v>2023</v>
      </c>
      <c r="Y4463" s="220">
        <v>7</v>
      </c>
    </row>
    <row r="4464" spans="23:25" x14ac:dyDescent="0.25">
      <c r="W4464" s="214" t="s">
        <v>231</v>
      </c>
      <c r="X4464" s="214" t="s">
        <v>4523</v>
      </c>
      <c r="Y4464" s="220">
        <v>8</v>
      </c>
    </row>
    <row r="4465" spans="23:25" x14ac:dyDescent="0.25">
      <c r="W4465" s="214" t="s">
        <v>1976</v>
      </c>
      <c r="X4465" s="214" t="s">
        <v>4524</v>
      </c>
      <c r="Y4465" s="220">
        <v>7</v>
      </c>
    </row>
    <row r="4466" spans="23:25" x14ac:dyDescent="0.25">
      <c r="W4466" s="214" t="s">
        <v>1976</v>
      </c>
      <c r="X4466" s="214" t="s">
        <v>4525</v>
      </c>
      <c r="Y4466" s="220">
        <v>7</v>
      </c>
    </row>
    <row r="4467" spans="23:25" x14ac:dyDescent="0.25">
      <c r="W4467" s="214" t="s">
        <v>3870</v>
      </c>
      <c r="X4467" s="214" t="s">
        <v>4526</v>
      </c>
      <c r="Y4467" s="220">
        <v>7</v>
      </c>
    </row>
    <row r="4468" spans="23:25" x14ac:dyDescent="0.25">
      <c r="W4468" s="214" t="s">
        <v>3870</v>
      </c>
      <c r="X4468" s="214" t="s">
        <v>4527</v>
      </c>
      <c r="Y4468" s="220">
        <v>7</v>
      </c>
    </row>
    <row r="4469" spans="23:25" x14ac:dyDescent="0.25">
      <c r="W4469" s="214" t="s">
        <v>3870</v>
      </c>
      <c r="X4469" s="214" t="s">
        <v>4528</v>
      </c>
      <c r="Y4469" s="220">
        <v>7</v>
      </c>
    </row>
    <row r="4470" spans="23:25" x14ac:dyDescent="0.25">
      <c r="W4470" s="214" t="s">
        <v>3872</v>
      </c>
      <c r="X4470" s="214" t="s">
        <v>4529</v>
      </c>
      <c r="Y4470" s="220">
        <v>7</v>
      </c>
    </row>
    <row r="4471" spans="23:25" x14ac:dyDescent="0.25">
      <c r="W4471" s="214" t="s">
        <v>3870</v>
      </c>
      <c r="X4471" s="214" t="s">
        <v>4530</v>
      </c>
      <c r="Y4471" s="220">
        <v>7</v>
      </c>
    </row>
    <row r="4472" spans="23:25" x14ac:dyDescent="0.25">
      <c r="W4472" s="214" t="s">
        <v>3870</v>
      </c>
      <c r="X4472" s="214" t="s">
        <v>4531</v>
      </c>
      <c r="Y4472" s="220">
        <v>7</v>
      </c>
    </row>
    <row r="4473" spans="23:25" x14ac:dyDescent="0.25">
      <c r="W4473" s="214" t="s">
        <v>1740</v>
      </c>
      <c r="X4473" s="214" t="s">
        <v>4532</v>
      </c>
      <c r="Y4473" s="220">
        <v>6</v>
      </c>
    </row>
    <row r="4474" spans="23:25" x14ac:dyDescent="0.25">
      <c r="W4474" s="214" t="s">
        <v>1943</v>
      </c>
      <c r="X4474" s="214" t="s">
        <v>4533</v>
      </c>
      <c r="Y4474" s="220">
        <v>7</v>
      </c>
    </row>
    <row r="4475" spans="23:25" x14ac:dyDescent="0.25">
      <c r="W4475" s="214" t="s">
        <v>1943</v>
      </c>
      <c r="X4475" s="214" t="s">
        <v>4534</v>
      </c>
      <c r="Y4475" s="220">
        <v>7</v>
      </c>
    </row>
    <row r="4476" spans="23:25" x14ac:dyDescent="0.25">
      <c r="W4476" s="214" t="s">
        <v>29</v>
      </c>
      <c r="X4476" s="214" t="s">
        <v>4535</v>
      </c>
      <c r="Y4476" s="220">
        <v>8</v>
      </c>
    </row>
    <row r="4477" spans="23:25" x14ac:dyDescent="0.25">
      <c r="W4477" s="214" t="s">
        <v>3870</v>
      </c>
      <c r="X4477" s="214" t="s">
        <v>4536</v>
      </c>
      <c r="Y4477" s="220">
        <v>7</v>
      </c>
    </row>
    <row r="4478" spans="23:25" x14ac:dyDescent="0.25">
      <c r="W4478" s="214" t="s">
        <v>3870</v>
      </c>
      <c r="X4478" s="214" t="s">
        <v>4537</v>
      </c>
      <c r="Y4478" s="220">
        <v>7</v>
      </c>
    </row>
    <row r="4479" spans="23:25" x14ac:dyDescent="0.25">
      <c r="W4479" s="214" t="s">
        <v>2198</v>
      </c>
      <c r="X4479" s="214" t="s">
        <v>4538</v>
      </c>
      <c r="Y4479" s="220">
        <v>8</v>
      </c>
    </row>
    <row r="4480" spans="23:25" x14ac:dyDescent="0.25">
      <c r="W4480" s="214" t="s">
        <v>3872</v>
      </c>
      <c r="X4480" s="214" t="s">
        <v>4539</v>
      </c>
      <c r="Y4480" s="220">
        <v>8</v>
      </c>
    </row>
    <row r="4481" spans="23:25" x14ac:dyDescent="0.25">
      <c r="W4481" s="214" t="s">
        <v>2198</v>
      </c>
      <c r="X4481" s="214" t="s">
        <v>4540</v>
      </c>
      <c r="Y4481" s="220">
        <v>8</v>
      </c>
    </row>
    <row r="4482" spans="23:25" x14ac:dyDescent="0.25">
      <c r="W4482" s="214" t="s">
        <v>1943</v>
      </c>
      <c r="X4482" s="214" t="s">
        <v>4541</v>
      </c>
      <c r="Y4482" s="220">
        <v>8</v>
      </c>
    </row>
    <row r="4483" spans="23:25" x14ac:dyDescent="0.25">
      <c r="W4483" s="214" t="s">
        <v>2198</v>
      </c>
      <c r="X4483" s="214" t="s">
        <v>4542</v>
      </c>
      <c r="Y4483" s="220">
        <v>8</v>
      </c>
    </row>
    <row r="4484" spans="23:25" x14ac:dyDescent="0.25">
      <c r="W4484" s="214" t="s">
        <v>3872</v>
      </c>
      <c r="X4484" s="214" t="s">
        <v>4543</v>
      </c>
      <c r="Y4484" s="220">
        <v>8</v>
      </c>
    </row>
    <row r="4485" spans="23:25" x14ac:dyDescent="0.25">
      <c r="W4485" s="214" t="s">
        <v>3870</v>
      </c>
      <c r="X4485" s="214" t="s">
        <v>4544</v>
      </c>
      <c r="Y4485" s="220">
        <v>7</v>
      </c>
    </row>
    <row r="4486" spans="23:25" x14ac:dyDescent="0.25">
      <c r="W4486" s="214" t="s">
        <v>3870</v>
      </c>
      <c r="X4486" s="214" t="s">
        <v>4545</v>
      </c>
      <c r="Y4486" s="220">
        <v>7</v>
      </c>
    </row>
    <row r="4487" spans="23:25" x14ac:dyDescent="0.25">
      <c r="W4487" s="214" t="s">
        <v>1740</v>
      </c>
      <c r="X4487" s="214" t="s">
        <v>4546</v>
      </c>
      <c r="Y4487" s="220">
        <v>6</v>
      </c>
    </row>
    <row r="4488" spans="23:25" x14ac:dyDescent="0.25">
      <c r="W4488" s="214" t="s">
        <v>230</v>
      </c>
      <c r="X4488" s="214" t="s">
        <v>4547</v>
      </c>
      <c r="Y4488" s="220">
        <v>8</v>
      </c>
    </row>
    <row r="4489" spans="23:25" x14ac:dyDescent="0.25">
      <c r="W4489" s="214" t="s">
        <v>3870</v>
      </c>
      <c r="X4489" s="214" t="s">
        <v>4548</v>
      </c>
      <c r="Y4489" s="220">
        <v>7</v>
      </c>
    </row>
    <row r="4490" spans="23:25" x14ac:dyDescent="0.25">
      <c r="W4490" s="214" t="s">
        <v>3872</v>
      </c>
      <c r="X4490" s="214" t="s">
        <v>4549</v>
      </c>
      <c r="Y4490" s="220">
        <v>8</v>
      </c>
    </row>
    <row r="4491" spans="23:25" x14ac:dyDescent="0.25">
      <c r="W4491" s="214" t="s">
        <v>398</v>
      </c>
      <c r="X4491" s="214" t="s">
        <v>4550</v>
      </c>
      <c r="Y4491" s="220">
        <v>6</v>
      </c>
    </row>
    <row r="4492" spans="23:25" x14ac:dyDescent="0.25">
      <c r="W4492" s="214" t="s">
        <v>3870</v>
      </c>
      <c r="X4492" s="214" t="s">
        <v>4551</v>
      </c>
      <c r="Y4492" s="220">
        <v>7</v>
      </c>
    </row>
    <row r="4493" spans="23:25" x14ac:dyDescent="0.25">
      <c r="W4493" s="214" t="s">
        <v>1740</v>
      </c>
      <c r="X4493" s="214" t="s">
        <v>4552</v>
      </c>
      <c r="Y4493" s="220">
        <v>6</v>
      </c>
    </row>
    <row r="4494" spans="23:25" x14ac:dyDescent="0.25">
      <c r="W4494" s="214" t="s">
        <v>3870</v>
      </c>
      <c r="X4494" s="214" t="s">
        <v>4553</v>
      </c>
      <c r="Y4494" s="220">
        <v>7</v>
      </c>
    </row>
    <row r="4495" spans="23:25" x14ac:dyDescent="0.25">
      <c r="W4495" s="214" t="s">
        <v>1976</v>
      </c>
      <c r="X4495" s="214" t="s">
        <v>4554</v>
      </c>
      <c r="Y4495" s="220">
        <v>7</v>
      </c>
    </row>
    <row r="4496" spans="23:25" x14ac:dyDescent="0.25">
      <c r="W4496" s="214" t="s">
        <v>1976</v>
      </c>
      <c r="X4496" s="214" t="s">
        <v>4555</v>
      </c>
      <c r="Y4496" s="220">
        <v>8</v>
      </c>
    </row>
    <row r="4497" spans="23:25" x14ac:dyDescent="0.25">
      <c r="W4497" s="214" t="s">
        <v>2198</v>
      </c>
      <c r="X4497" s="214" t="s">
        <v>4556</v>
      </c>
      <c r="Y4497" s="220">
        <v>8</v>
      </c>
    </row>
    <row r="4498" spans="23:25" x14ac:dyDescent="0.25">
      <c r="W4498" s="214" t="s">
        <v>3870</v>
      </c>
      <c r="X4498" s="214" t="s">
        <v>4557</v>
      </c>
      <c r="Y4498" s="220">
        <v>7</v>
      </c>
    </row>
    <row r="4499" spans="23:25" x14ac:dyDescent="0.25">
      <c r="W4499" s="214" t="s">
        <v>3872</v>
      </c>
      <c r="X4499" s="214" t="s">
        <v>1638</v>
      </c>
      <c r="Y4499" s="220">
        <v>8</v>
      </c>
    </row>
    <row r="4500" spans="23:25" x14ac:dyDescent="0.25">
      <c r="W4500" s="214" t="s">
        <v>3872</v>
      </c>
      <c r="X4500" s="214" t="s">
        <v>4558</v>
      </c>
      <c r="Y4500" s="220">
        <v>8</v>
      </c>
    </row>
    <row r="4501" spans="23:25" x14ac:dyDescent="0.25">
      <c r="W4501" s="214" t="s">
        <v>3870</v>
      </c>
      <c r="X4501" s="214" t="s">
        <v>4559</v>
      </c>
      <c r="Y4501" s="220">
        <v>8</v>
      </c>
    </row>
    <row r="4502" spans="23:25" x14ac:dyDescent="0.25">
      <c r="W4502" s="214" t="s">
        <v>3870</v>
      </c>
      <c r="X4502" s="214" t="s">
        <v>4560</v>
      </c>
      <c r="Y4502" s="220">
        <v>7</v>
      </c>
    </row>
    <row r="4503" spans="23:25" x14ac:dyDescent="0.25">
      <c r="W4503" s="214" t="s">
        <v>2198</v>
      </c>
      <c r="X4503" s="214" t="s">
        <v>4561</v>
      </c>
      <c r="Y4503" s="220">
        <v>8</v>
      </c>
    </row>
    <row r="4504" spans="23:25" x14ac:dyDescent="0.25">
      <c r="W4504" s="214" t="s">
        <v>3872</v>
      </c>
      <c r="X4504" s="214" t="s">
        <v>4562</v>
      </c>
      <c r="Y4504" s="220">
        <v>8</v>
      </c>
    </row>
    <row r="4505" spans="23:25" x14ac:dyDescent="0.25">
      <c r="W4505" s="214" t="s">
        <v>3870</v>
      </c>
      <c r="X4505" s="214" t="s">
        <v>4563</v>
      </c>
      <c r="Y4505" s="220">
        <v>8</v>
      </c>
    </row>
    <row r="4506" spans="23:25" x14ac:dyDescent="0.25">
      <c r="W4506" s="214" t="s">
        <v>3870</v>
      </c>
      <c r="X4506" s="214" t="s">
        <v>4564</v>
      </c>
      <c r="Y4506" s="220">
        <v>7</v>
      </c>
    </row>
    <row r="4507" spans="23:25" x14ac:dyDescent="0.25">
      <c r="W4507" s="214" t="s">
        <v>3870</v>
      </c>
      <c r="X4507" s="214" t="s">
        <v>4565</v>
      </c>
      <c r="Y4507" s="220">
        <v>8</v>
      </c>
    </row>
    <row r="4508" spans="23:25" x14ac:dyDescent="0.25">
      <c r="W4508" s="214" t="s">
        <v>3872</v>
      </c>
      <c r="X4508" s="214" t="s">
        <v>4566</v>
      </c>
      <c r="Y4508" s="220">
        <v>8</v>
      </c>
    </row>
    <row r="4509" spans="23:25" x14ac:dyDescent="0.25">
      <c r="W4509" s="214" t="s">
        <v>3870</v>
      </c>
      <c r="X4509" s="214" t="s">
        <v>1708</v>
      </c>
      <c r="Y4509" s="220">
        <v>8</v>
      </c>
    </row>
    <row r="4510" spans="23:25" x14ac:dyDescent="0.25">
      <c r="W4510" s="214" t="s">
        <v>2185</v>
      </c>
      <c r="X4510" s="214" t="s">
        <v>4567</v>
      </c>
      <c r="Y4510" s="220">
        <v>7</v>
      </c>
    </row>
    <row r="4511" spans="23:25" x14ac:dyDescent="0.25">
      <c r="W4511" s="214" t="s">
        <v>1943</v>
      </c>
      <c r="X4511" s="214" t="s">
        <v>4568</v>
      </c>
      <c r="Y4511" s="220">
        <v>7</v>
      </c>
    </row>
    <row r="4512" spans="23:25" x14ac:dyDescent="0.25">
      <c r="W4512" s="214" t="s">
        <v>1943</v>
      </c>
      <c r="X4512" s="214" t="s">
        <v>4569</v>
      </c>
      <c r="Y4512" s="220">
        <v>7</v>
      </c>
    </row>
    <row r="4513" spans="23:25" x14ac:dyDescent="0.25">
      <c r="W4513" s="214" t="s">
        <v>29</v>
      </c>
      <c r="X4513" s="214" t="s">
        <v>4570</v>
      </c>
      <c r="Y4513" s="220">
        <v>8</v>
      </c>
    </row>
    <row r="4514" spans="23:25" x14ac:dyDescent="0.25">
      <c r="W4514" s="214" t="s">
        <v>3870</v>
      </c>
      <c r="X4514" s="214" t="s">
        <v>4571</v>
      </c>
      <c r="Y4514" s="220">
        <v>7</v>
      </c>
    </row>
    <row r="4515" spans="23:25" x14ac:dyDescent="0.25">
      <c r="W4515" s="214" t="s">
        <v>29</v>
      </c>
      <c r="X4515" s="214" t="s">
        <v>4572</v>
      </c>
      <c r="Y4515" s="220">
        <v>8</v>
      </c>
    </row>
    <row r="4516" spans="23:25" x14ac:dyDescent="0.25">
      <c r="W4516" s="214" t="s">
        <v>3870</v>
      </c>
      <c r="X4516" s="214" t="s">
        <v>4573</v>
      </c>
      <c r="Y4516" s="220">
        <v>7</v>
      </c>
    </row>
    <row r="4517" spans="23:25" x14ac:dyDescent="0.25">
      <c r="W4517" s="214" t="s">
        <v>3872</v>
      </c>
      <c r="X4517" s="214" t="s">
        <v>4574</v>
      </c>
      <c r="Y4517" s="220">
        <v>8</v>
      </c>
    </row>
    <row r="4518" spans="23:25" x14ac:dyDescent="0.25">
      <c r="W4518" s="214" t="s">
        <v>3872</v>
      </c>
      <c r="X4518" s="214" t="s">
        <v>4575</v>
      </c>
      <c r="Y4518" s="220">
        <v>8</v>
      </c>
    </row>
    <row r="4519" spans="23:25" x14ac:dyDescent="0.25">
      <c r="W4519" s="214" t="s">
        <v>3872</v>
      </c>
      <c r="X4519" s="214" t="s">
        <v>4576</v>
      </c>
      <c r="Y4519" s="220">
        <v>8</v>
      </c>
    </row>
    <row r="4520" spans="23:25" x14ac:dyDescent="0.25">
      <c r="W4520" s="214" t="s">
        <v>3870</v>
      </c>
      <c r="X4520" s="214" t="s">
        <v>4577</v>
      </c>
      <c r="Y4520" s="220">
        <v>7</v>
      </c>
    </row>
    <row r="4521" spans="23:25" x14ac:dyDescent="0.25">
      <c r="W4521" s="214" t="s">
        <v>1976</v>
      </c>
      <c r="X4521" s="214" t="s">
        <v>3451</v>
      </c>
      <c r="Y4521" s="220">
        <v>7</v>
      </c>
    </row>
    <row r="4522" spans="23:25" x14ac:dyDescent="0.25">
      <c r="W4522" s="214" t="s">
        <v>3870</v>
      </c>
      <c r="X4522" s="214" t="s">
        <v>4578</v>
      </c>
      <c r="Y4522" s="220">
        <v>8</v>
      </c>
    </row>
    <row r="4523" spans="23:25" x14ac:dyDescent="0.25">
      <c r="W4523" s="214" t="s">
        <v>3872</v>
      </c>
      <c r="X4523" s="214" t="s">
        <v>4579</v>
      </c>
      <c r="Y4523" s="220">
        <v>8</v>
      </c>
    </row>
    <row r="4524" spans="23:25" x14ac:dyDescent="0.25">
      <c r="W4524" s="214" t="s">
        <v>398</v>
      </c>
      <c r="X4524" s="214" t="s">
        <v>4580</v>
      </c>
      <c r="Y4524" s="220">
        <v>6</v>
      </c>
    </row>
    <row r="4525" spans="23:25" x14ac:dyDescent="0.25">
      <c r="W4525" s="214" t="s">
        <v>3870</v>
      </c>
      <c r="X4525" s="214" t="s">
        <v>4581</v>
      </c>
      <c r="Y4525" s="220">
        <v>7</v>
      </c>
    </row>
    <row r="4526" spans="23:25" x14ac:dyDescent="0.25">
      <c r="W4526" s="214" t="s">
        <v>1976</v>
      </c>
      <c r="X4526" s="214" t="s">
        <v>4582</v>
      </c>
      <c r="Y4526" s="220">
        <v>7</v>
      </c>
    </row>
    <row r="4527" spans="23:25" x14ac:dyDescent="0.25">
      <c r="W4527" s="214" t="s">
        <v>1976</v>
      </c>
      <c r="X4527" s="214" t="s">
        <v>4583</v>
      </c>
      <c r="Y4527" s="220">
        <v>8</v>
      </c>
    </row>
    <row r="4528" spans="23:25" x14ac:dyDescent="0.25">
      <c r="W4528" s="214" t="s">
        <v>2198</v>
      </c>
      <c r="X4528" s="214" t="s">
        <v>4584</v>
      </c>
      <c r="Y4528" s="220">
        <v>8</v>
      </c>
    </row>
    <row r="4529" spans="23:25" x14ac:dyDescent="0.25">
      <c r="W4529" s="214" t="s">
        <v>3870</v>
      </c>
      <c r="X4529" s="214" t="s">
        <v>4585</v>
      </c>
      <c r="Y4529" s="220">
        <v>7</v>
      </c>
    </row>
    <row r="4530" spans="23:25" x14ac:dyDescent="0.25">
      <c r="W4530" s="214" t="s">
        <v>3870</v>
      </c>
      <c r="X4530" s="214" t="s">
        <v>4586</v>
      </c>
      <c r="Y4530" s="220">
        <v>7</v>
      </c>
    </row>
    <row r="4531" spans="23:25" x14ac:dyDescent="0.25">
      <c r="W4531" s="214" t="s">
        <v>3870</v>
      </c>
      <c r="X4531" s="214" t="s">
        <v>4587</v>
      </c>
      <c r="Y4531" s="220">
        <v>7</v>
      </c>
    </row>
    <row r="4532" spans="23:25" x14ac:dyDescent="0.25">
      <c r="W4532" s="214" t="s">
        <v>1976</v>
      </c>
      <c r="X4532" s="214" t="s">
        <v>4588</v>
      </c>
      <c r="Y4532" s="220">
        <v>8</v>
      </c>
    </row>
    <row r="4533" spans="23:25" x14ac:dyDescent="0.25">
      <c r="W4533" s="214" t="s">
        <v>1740</v>
      </c>
      <c r="X4533" s="214" t="s">
        <v>4589</v>
      </c>
      <c r="Y4533" s="220">
        <v>6</v>
      </c>
    </row>
    <row r="4534" spans="23:25" x14ac:dyDescent="0.25">
      <c r="W4534" s="214" t="s">
        <v>1740</v>
      </c>
      <c r="X4534" s="214" t="s">
        <v>4590</v>
      </c>
      <c r="Y4534" s="220">
        <v>6</v>
      </c>
    </row>
    <row r="4535" spans="23:25" x14ac:dyDescent="0.25">
      <c r="W4535" s="214" t="s">
        <v>1740</v>
      </c>
      <c r="X4535" s="214" t="s">
        <v>4591</v>
      </c>
      <c r="Y4535" s="220">
        <v>6</v>
      </c>
    </row>
    <row r="4536" spans="23:25" x14ac:dyDescent="0.25">
      <c r="W4536" s="214" t="s">
        <v>2185</v>
      </c>
      <c r="X4536" s="214" t="s">
        <v>4592</v>
      </c>
      <c r="Y4536" s="220">
        <v>8</v>
      </c>
    </row>
    <row r="4537" spans="23:25" x14ac:dyDescent="0.25">
      <c r="W4537" s="214" t="s">
        <v>3870</v>
      </c>
      <c r="X4537" s="214" t="s">
        <v>4593</v>
      </c>
      <c r="Y4537" s="220">
        <v>7</v>
      </c>
    </row>
    <row r="4538" spans="23:25" x14ac:dyDescent="0.25">
      <c r="W4538" s="214" t="s">
        <v>230</v>
      </c>
      <c r="X4538" s="214" t="s">
        <v>4594</v>
      </c>
      <c r="Y4538" s="220">
        <v>8</v>
      </c>
    </row>
    <row r="4539" spans="23:25" x14ac:dyDescent="0.25">
      <c r="W4539" s="214" t="s">
        <v>3872</v>
      </c>
      <c r="X4539" s="214" t="s">
        <v>4595</v>
      </c>
      <c r="Y4539" s="220">
        <v>7</v>
      </c>
    </row>
    <row r="4540" spans="23:25" x14ac:dyDescent="0.25">
      <c r="W4540" s="214" t="s">
        <v>3870</v>
      </c>
      <c r="X4540" s="214" t="s">
        <v>4596</v>
      </c>
      <c r="Y4540" s="220">
        <v>7</v>
      </c>
    </row>
    <row r="4541" spans="23:25" x14ac:dyDescent="0.25">
      <c r="W4541" s="214" t="s">
        <v>3872</v>
      </c>
      <c r="X4541" s="214" t="s">
        <v>4597</v>
      </c>
      <c r="Y4541" s="220">
        <v>8</v>
      </c>
    </row>
    <row r="4542" spans="23:25" x14ac:dyDescent="0.25">
      <c r="W4542" s="214" t="s">
        <v>1740</v>
      </c>
      <c r="X4542" s="214" t="s">
        <v>4598</v>
      </c>
      <c r="Y4542" s="220">
        <v>6</v>
      </c>
    </row>
    <row r="4543" spans="23:25" x14ac:dyDescent="0.25">
      <c r="W4543" s="214" t="s">
        <v>3870</v>
      </c>
      <c r="X4543" s="214" t="s">
        <v>4599</v>
      </c>
      <c r="Y4543" s="220">
        <v>7</v>
      </c>
    </row>
    <row r="4544" spans="23:25" x14ac:dyDescent="0.25">
      <c r="W4544" s="214" t="s">
        <v>1976</v>
      </c>
      <c r="X4544" s="214" t="s">
        <v>4600</v>
      </c>
      <c r="Y4544" s="220">
        <v>7</v>
      </c>
    </row>
    <row r="4545" spans="23:25" x14ac:dyDescent="0.25">
      <c r="W4545" s="214" t="s">
        <v>1943</v>
      </c>
      <c r="X4545" s="214" t="s">
        <v>4601</v>
      </c>
      <c r="Y4545" s="220">
        <v>8</v>
      </c>
    </row>
    <row r="4546" spans="23:25" x14ac:dyDescent="0.25">
      <c r="W4546" s="214" t="s">
        <v>1976</v>
      </c>
      <c r="X4546" s="214" t="s">
        <v>4602</v>
      </c>
      <c r="Y4546" s="220">
        <v>8</v>
      </c>
    </row>
    <row r="4547" spans="23:25" x14ac:dyDescent="0.25">
      <c r="W4547" s="214" t="s">
        <v>1976</v>
      </c>
      <c r="X4547" s="214" t="s">
        <v>4603</v>
      </c>
      <c r="Y4547" s="220">
        <v>7</v>
      </c>
    </row>
    <row r="4548" spans="23:25" x14ac:dyDescent="0.25">
      <c r="W4548" s="214" t="s">
        <v>3872</v>
      </c>
      <c r="X4548" s="214" t="s">
        <v>4604</v>
      </c>
      <c r="Y4548" s="220">
        <v>8</v>
      </c>
    </row>
    <row r="4549" spans="23:25" x14ac:dyDescent="0.25">
      <c r="W4549" s="214" t="s">
        <v>3870</v>
      </c>
      <c r="X4549" s="214" t="s">
        <v>4605</v>
      </c>
      <c r="Y4549" s="220">
        <v>8</v>
      </c>
    </row>
    <row r="4550" spans="23:25" x14ac:dyDescent="0.25">
      <c r="W4550" s="214" t="s">
        <v>29</v>
      </c>
      <c r="X4550" s="214" t="s">
        <v>4606</v>
      </c>
      <c r="Y4550" s="220">
        <v>8</v>
      </c>
    </row>
    <row r="4551" spans="23:25" x14ac:dyDescent="0.25">
      <c r="W4551" s="214" t="s">
        <v>3870</v>
      </c>
      <c r="X4551" s="214" t="s">
        <v>4607</v>
      </c>
      <c r="Y4551" s="220">
        <v>7</v>
      </c>
    </row>
    <row r="4552" spans="23:25" x14ac:dyDescent="0.25">
      <c r="W4552" s="214" t="s">
        <v>3872</v>
      </c>
      <c r="X4552" s="214" t="s">
        <v>4608</v>
      </c>
      <c r="Y4552" s="220">
        <v>8</v>
      </c>
    </row>
    <row r="4553" spans="23:25" x14ac:dyDescent="0.25">
      <c r="W4553" s="214" t="s">
        <v>1976</v>
      </c>
      <c r="X4553" s="214" t="s">
        <v>4609</v>
      </c>
      <c r="Y4553" s="220">
        <v>7</v>
      </c>
    </row>
    <row r="4554" spans="23:25" x14ac:dyDescent="0.25">
      <c r="W4554" s="214" t="s">
        <v>1976</v>
      </c>
      <c r="X4554" s="214" t="s">
        <v>4610</v>
      </c>
      <c r="Y4554" s="220">
        <v>8</v>
      </c>
    </row>
    <row r="4555" spans="23:25" x14ac:dyDescent="0.25">
      <c r="W4555" s="214" t="s">
        <v>3872</v>
      </c>
      <c r="X4555" s="214" t="s">
        <v>4611</v>
      </c>
      <c r="Y4555" s="220">
        <v>8</v>
      </c>
    </row>
    <row r="4556" spans="23:25" x14ac:dyDescent="0.25">
      <c r="W4556" s="214" t="s">
        <v>1976</v>
      </c>
      <c r="X4556" s="214" t="s">
        <v>4612</v>
      </c>
      <c r="Y4556" s="220">
        <v>8</v>
      </c>
    </row>
    <row r="4557" spans="23:25" x14ac:dyDescent="0.25">
      <c r="W4557" s="214" t="s">
        <v>1763</v>
      </c>
      <c r="X4557" s="214" t="s">
        <v>4613</v>
      </c>
      <c r="Y4557" s="220">
        <v>7</v>
      </c>
    </row>
    <row r="4558" spans="23:25" x14ac:dyDescent="0.25">
      <c r="W4558" s="214" t="s">
        <v>1943</v>
      </c>
      <c r="X4558" s="214" t="s">
        <v>4614</v>
      </c>
      <c r="Y4558" s="220">
        <v>7</v>
      </c>
    </row>
    <row r="4559" spans="23:25" x14ac:dyDescent="0.25">
      <c r="W4559" s="214" t="s">
        <v>2185</v>
      </c>
      <c r="X4559" s="214" t="s">
        <v>4615</v>
      </c>
      <c r="Y4559" s="220">
        <v>7</v>
      </c>
    </row>
    <row r="4560" spans="23:25" x14ac:dyDescent="0.25">
      <c r="W4560" s="214" t="s">
        <v>2185</v>
      </c>
      <c r="X4560" s="214" t="s">
        <v>4616</v>
      </c>
      <c r="Y4560" s="220">
        <v>6</v>
      </c>
    </row>
    <row r="4561" spans="23:25" x14ac:dyDescent="0.25">
      <c r="W4561" s="214" t="s">
        <v>3870</v>
      </c>
      <c r="X4561" s="214" t="s">
        <v>4617</v>
      </c>
      <c r="Y4561" s="220">
        <v>7</v>
      </c>
    </row>
    <row r="4562" spans="23:25" x14ac:dyDescent="0.25">
      <c r="W4562" s="214" t="s">
        <v>230</v>
      </c>
      <c r="X4562" s="214" t="s">
        <v>4618</v>
      </c>
      <c r="Y4562" s="220">
        <v>8</v>
      </c>
    </row>
    <row r="4563" spans="23:25" x14ac:dyDescent="0.25">
      <c r="W4563" s="214" t="s">
        <v>230</v>
      </c>
      <c r="X4563" s="214" t="s">
        <v>4619</v>
      </c>
      <c r="Y4563" s="220">
        <v>8</v>
      </c>
    </row>
    <row r="4564" spans="23:25" x14ac:dyDescent="0.25">
      <c r="W4564" s="214" t="s">
        <v>3872</v>
      </c>
      <c r="X4564" s="214" t="s">
        <v>4620</v>
      </c>
      <c r="Y4564" s="220">
        <v>7</v>
      </c>
    </row>
    <row r="4565" spans="23:25" x14ac:dyDescent="0.25">
      <c r="W4565" s="214" t="s">
        <v>3872</v>
      </c>
      <c r="X4565" s="214" t="s">
        <v>4621</v>
      </c>
      <c r="Y4565" s="220">
        <v>7</v>
      </c>
    </row>
    <row r="4566" spans="23:25" x14ac:dyDescent="0.25">
      <c r="W4566" s="214" t="s">
        <v>230</v>
      </c>
      <c r="X4566" s="214" t="s">
        <v>4622</v>
      </c>
      <c r="Y4566" s="220">
        <v>8</v>
      </c>
    </row>
    <row r="4567" spans="23:25" x14ac:dyDescent="0.25">
      <c r="W4567" s="214" t="s">
        <v>29</v>
      </c>
      <c r="X4567" s="214" t="s">
        <v>4623</v>
      </c>
      <c r="Y4567" s="220">
        <v>8</v>
      </c>
    </row>
    <row r="4568" spans="23:25" x14ac:dyDescent="0.25">
      <c r="W4568" s="214" t="s">
        <v>3872</v>
      </c>
      <c r="X4568" s="214" t="s">
        <v>4624</v>
      </c>
      <c r="Y4568" s="220">
        <v>8</v>
      </c>
    </row>
    <row r="4569" spans="23:25" x14ac:dyDescent="0.25">
      <c r="W4569" s="214" t="s">
        <v>3872</v>
      </c>
      <c r="X4569" s="214" t="s">
        <v>4625</v>
      </c>
      <c r="Y4569" s="220">
        <v>7</v>
      </c>
    </row>
    <row r="4570" spans="23:25" x14ac:dyDescent="0.25">
      <c r="W4570" s="214" t="s">
        <v>3872</v>
      </c>
      <c r="X4570" s="214" t="s">
        <v>4626</v>
      </c>
      <c r="Y4570" s="220">
        <v>8</v>
      </c>
    </row>
    <row r="4571" spans="23:25" x14ac:dyDescent="0.25">
      <c r="W4571" s="214" t="s">
        <v>3872</v>
      </c>
      <c r="X4571" s="214" t="s">
        <v>4627</v>
      </c>
      <c r="Y4571" s="220">
        <v>8</v>
      </c>
    </row>
    <row r="4572" spans="23:25" x14ac:dyDescent="0.25">
      <c r="W4572" s="214" t="s">
        <v>3872</v>
      </c>
      <c r="X4572" s="214" t="s">
        <v>4628</v>
      </c>
      <c r="Y4572" s="220">
        <v>7</v>
      </c>
    </row>
    <row r="4573" spans="23:25" x14ac:dyDescent="0.25">
      <c r="W4573" s="214" t="s">
        <v>1943</v>
      </c>
      <c r="X4573" s="214" t="s">
        <v>4629</v>
      </c>
      <c r="Y4573" s="220">
        <v>8</v>
      </c>
    </row>
    <row r="4574" spans="23:25" x14ac:dyDescent="0.25">
      <c r="W4574" s="214" t="s">
        <v>3872</v>
      </c>
      <c r="X4574" s="214" t="s">
        <v>4630</v>
      </c>
      <c r="Y4574" s="220">
        <v>7</v>
      </c>
    </row>
    <row r="4575" spans="23:25" x14ac:dyDescent="0.25">
      <c r="W4575" s="214" t="s">
        <v>1976</v>
      </c>
      <c r="X4575" s="214" t="s">
        <v>4631</v>
      </c>
      <c r="Y4575" s="220">
        <v>8</v>
      </c>
    </row>
    <row r="4576" spans="23:25" x14ac:dyDescent="0.25">
      <c r="W4576" s="214" t="s">
        <v>3872</v>
      </c>
      <c r="X4576" s="214" t="s">
        <v>4632</v>
      </c>
      <c r="Y4576" s="220">
        <v>8</v>
      </c>
    </row>
    <row r="4577" spans="23:25" x14ac:dyDescent="0.25">
      <c r="W4577" s="214" t="s">
        <v>3870</v>
      </c>
      <c r="X4577" s="214" t="s">
        <v>4633</v>
      </c>
      <c r="Y4577" s="220">
        <v>7</v>
      </c>
    </row>
    <row r="4578" spans="23:25" x14ac:dyDescent="0.25">
      <c r="W4578" s="214" t="s">
        <v>1976</v>
      </c>
      <c r="X4578" s="214" t="s">
        <v>4634</v>
      </c>
      <c r="Y4578" s="220">
        <v>7</v>
      </c>
    </row>
    <row r="4579" spans="23:25" x14ac:dyDescent="0.25">
      <c r="W4579" s="214" t="s">
        <v>230</v>
      </c>
      <c r="X4579" s="214" t="s">
        <v>4635</v>
      </c>
      <c r="Y4579" s="220">
        <v>8</v>
      </c>
    </row>
    <row r="4580" spans="23:25" x14ac:dyDescent="0.25">
      <c r="W4580" s="214" t="s">
        <v>29</v>
      </c>
      <c r="X4580" s="214" t="s">
        <v>4636</v>
      </c>
      <c r="Y4580" s="220">
        <v>8</v>
      </c>
    </row>
    <row r="4581" spans="23:25" x14ac:dyDescent="0.25">
      <c r="W4581" s="214" t="s">
        <v>230</v>
      </c>
      <c r="X4581" s="214" t="s">
        <v>4637</v>
      </c>
      <c r="Y4581" s="220">
        <v>8</v>
      </c>
    </row>
    <row r="4582" spans="23:25" x14ac:dyDescent="0.25">
      <c r="W4582" s="214" t="s">
        <v>29</v>
      </c>
      <c r="X4582" s="214" t="s">
        <v>4638</v>
      </c>
      <c r="Y4582" s="220">
        <v>8</v>
      </c>
    </row>
    <row r="4583" spans="23:25" x14ac:dyDescent="0.25">
      <c r="W4583" s="214" t="s">
        <v>1976</v>
      </c>
      <c r="X4583" s="214" t="s">
        <v>4639</v>
      </c>
      <c r="Y4583" s="220">
        <v>7</v>
      </c>
    </row>
    <row r="4584" spans="23:25" x14ac:dyDescent="0.25">
      <c r="W4584" s="214" t="s">
        <v>3870</v>
      </c>
      <c r="X4584" s="214" t="s">
        <v>4640</v>
      </c>
      <c r="Y4584" s="220">
        <v>7</v>
      </c>
    </row>
    <row r="4585" spans="23:25" x14ac:dyDescent="0.25">
      <c r="W4585" s="214" t="s">
        <v>2198</v>
      </c>
      <c r="X4585" s="214" t="s">
        <v>4641</v>
      </c>
      <c r="Y4585" s="220">
        <v>8</v>
      </c>
    </row>
    <row r="4586" spans="23:25" x14ac:dyDescent="0.25">
      <c r="W4586" s="214" t="s">
        <v>3872</v>
      </c>
      <c r="X4586" s="214" t="s">
        <v>4642</v>
      </c>
      <c r="Y4586" s="220">
        <v>7</v>
      </c>
    </row>
    <row r="4587" spans="23:25" x14ac:dyDescent="0.25">
      <c r="W4587" s="214" t="s">
        <v>2185</v>
      </c>
      <c r="X4587" s="214" t="s">
        <v>4643</v>
      </c>
      <c r="Y4587" s="220">
        <v>8</v>
      </c>
    </row>
    <row r="4588" spans="23:25" x14ac:dyDescent="0.25">
      <c r="W4588" s="214" t="s">
        <v>3872</v>
      </c>
      <c r="X4588" s="214" t="s">
        <v>4644</v>
      </c>
      <c r="Y4588" s="220">
        <v>8</v>
      </c>
    </row>
    <row r="4589" spans="23:25" x14ac:dyDescent="0.25">
      <c r="W4589" s="214" t="s">
        <v>1976</v>
      </c>
      <c r="X4589" s="214" t="s">
        <v>4645</v>
      </c>
      <c r="Y4589" s="220">
        <v>8</v>
      </c>
    </row>
    <row r="4590" spans="23:25" x14ac:dyDescent="0.25">
      <c r="W4590" s="214" t="s">
        <v>1976</v>
      </c>
      <c r="X4590" s="214" t="s">
        <v>4646</v>
      </c>
      <c r="Y4590" s="220">
        <v>7</v>
      </c>
    </row>
    <row r="4591" spans="23:25" x14ac:dyDescent="0.25">
      <c r="W4591" s="214" t="s">
        <v>3872</v>
      </c>
      <c r="X4591" s="214" t="s">
        <v>4647</v>
      </c>
      <c r="Y4591" s="220">
        <v>8</v>
      </c>
    </row>
    <row r="4592" spans="23:25" x14ac:dyDescent="0.25">
      <c r="W4592" s="214" t="s">
        <v>3872</v>
      </c>
      <c r="X4592" s="214" t="s">
        <v>4648</v>
      </c>
      <c r="Y4592" s="220">
        <v>7</v>
      </c>
    </row>
    <row r="4593" spans="23:25" x14ac:dyDescent="0.25">
      <c r="W4593" s="214" t="s">
        <v>1976</v>
      </c>
      <c r="X4593" s="214" t="s">
        <v>4649</v>
      </c>
      <c r="Y4593" s="220">
        <v>7</v>
      </c>
    </row>
    <row r="4594" spans="23:25" x14ac:dyDescent="0.25">
      <c r="W4594" s="214" t="s">
        <v>1976</v>
      </c>
      <c r="X4594" s="214" t="s">
        <v>4650</v>
      </c>
      <c r="Y4594" s="220">
        <v>8</v>
      </c>
    </row>
    <row r="4595" spans="23:25" x14ac:dyDescent="0.25">
      <c r="W4595" s="214" t="s">
        <v>3872</v>
      </c>
      <c r="X4595" s="214" t="s">
        <v>4651</v>
      </c>
      <c r="Y4595" s="220">
        <v>8</v>
      </c>
    </row>
    <row r="4596" spans="23:25" x14ac:dyDescent="0.25">
      <c r="W4596" s="214" t="s">
        <v>3870</v>
      </c>
      <c r="X4596" s="214" t="s">
        <v>4652</v>
      </c>
      <c r="Y4596" s="220">
        <v>7</v>
      </c>
    </row>
    <row r="4597" spans="23:25" x14ac:dyDescent="0.25">
      <c r="W4597" s="214" t="s">
        <v>3872</v>
      </c>
      <c r="X4597" s="214" t="s">
        <v>4653</v>
      </c>
      <c r="Y4597" s="220">
        <v>8</v>
      </c>
    </row>
    <row r="4598" spans="23:25" x14ac:dyDescent="0.25">
      <c r="W4598" s="214" t="s">
        <v>1976</v>
      </c>
      <c r="X4598" s="214" t="s">
        <v>4654</v>
      </c>
      <c r="Y4598" s="220">
        <v>7</v>
      </c>
    </row>
    <row r="4599" spans="23:25" x14ac:dyDescent="0.25">
      <c r="W4599" s="214" t="s">
        <v>1976</v>
      </c>
      <c r="X4599" s="214" t="s">
        <v>1463</v>
      </c>
      <c r="Y4599" s="220">
        <v>7</v>
      </c>
    </row>
    <row r="4600" spans="23:25" x14ac:dyDescent="0.25">
      <c r="W4600" s="214" t="s">
        <v>2198</v>
      </c>
      <c r="X4600" s="214" t="s">
        <v>4655</v>
      </c>
      <c r="Y4600" s="220">
        <v>8</v>
      </c>
    </row>
    <row r="4601" spans="23:25" x14ac:dyDescent="0.25">
      <c r="W4601" s="214" t="s">
        <v>1976</v>
      </c>
      <c r="X4601" s="214" t="s">
        <v>4656</v>
      </c>
      <c r="Y4601" s="220">
        <v>8</v>
      </c>
    </row>
    <row r="4602" spans="23:25" x14ac:dyDescent="0.25">
      <c r="W4602" s="214" t="s">
        <v>3872</v>
      </c>
      <c r="X4602" s="214" t="s">
        <v>4657</v>
      </c>
      <c r="Y4602" s="220">
        <v>7</v>
      </c>
    </row>
    <row r="4603" spans="23:25" x14ac:dyDescent="0.25">
      <c r="W4603" s="214" t="s">
        <v>3870</v>
      </c>
      <c r="X4603" s="214" t="s">
        <v>4658</v>
      </c>
      <c r="Y4603" s="220">
        <v>7</v>
      </c>
    </row>
    <row r="4604" spans="23:25" x14ac:dyDescent="0.25">
      <c r="W4604" s="214" t="s">
        <v>3872</v>
      </c>
      <c r="X4604" s="214" t="s">
        <v>4659</v>
      </c>
      <c r="Y4604" s="220">
        <v>7</v>
      </c>
    </row>
    <row r="4605" spans="23:25" x14ac:dyDescent="0.25">
      <c r="W4605" s="214" t="s">
        <v>2185</v>
      </c>
      <c r="X4605" s="214" t="s">
        <v>4660</v>
      </c>
      <c r="Y4605" s="220">
        <v>6</v>
      </c>
    </row>
    <row r="4606" spans="23:25" x14ac:dyDescent="0.25">
      <c r="W4606" s="214" t="s">
        <v>3872</v>
      </c>
      <c r="X4606" s="214" t="s">
        <v>4661</v>
      </c>
      <c r="Y4606" s="220">
        <v>8</v>
      </c>
    </row>
    <row r="4607" spans="23:25" x14ac:dyDescent="0.25">
      <c r="W4607" s="214" t="s">
        <v>3872</v>
      </c>
      <c r="X4607" s="214" t="s">
        <v>4662</v>
      </c>
      <c r="Y4607" s="220">
        <v>7</v>
      </c>
    </row>
    <row r="4608" spans="23:25" x14ac:dyDescent="0.25">
      <c r="W4608" s="214" t="s">
        <v>2185</v>
      </c>
      <c r="X4608" s="214" t="s">
        <v>4663</v>
      </c>
      <c r="Y4608" s="220">
        <v>8</v>
      </c>
    </row>
    <row r="4609" spans="23:25" x14ac:dyDescent="0.25">
      <c r="W4609" s="214" t="s">
        <v>3872</v>
      </c>
      <c r="X4609" s="214" t="s">
        <v>3011</v>
      </c>
      <c r="Y4609" s="220">
        <v>7</v>
      </c>
    </row>
    <row r="4610" spans="23:25" x14ac:dyDescent="0.25">
      <c r="W4610" s="214" t="s">
        <v>3872</v>
      </c>
      <c r="X4610" s="214" t="s">
        <v>4664</v>
      </c>
      <c r="Y4610" s="220">
        <v>8</v>
      </c>
    </row>
    <row r="4611" spans="23:25" x14ac:dyDescent="0.25">
      <c r="W4611" s="214" t="s">
        <v>3872</v>
      </c>
      <c r="X4611" s="214" t="s">
        <v>4665</v>
      </c>
      <c r="Y4611" s="220">
        <v>8</v>
      </c>
    </row>
    <row r="4612" spans="23:25" x14ac:dyDescent="0.25">
      <c r="W4612" s="214" t="s">
        <v>1976</v>
      </c>
      <c r="X4612" s="214" t="s">
        <v>4666</v>
      </c>
      <c r="Y4612" s="220">
        <v>7</v>
      </c>
    </row>
    <row r="4613" spans="23:25" x14ac:dyDescent="0.25">
      <c r="W4613" s="214" t="s">
        <v>3872</v>
      </c>
      <c r="X4613" s="214" t="s">
        <v>4667</v>
      </c>
      <c r="Y4613" s="220">
        <v>8</v>
      </c>
    </row>
    <row r="4614" spans="23:25" x14ac:dyDescent="0.25">
      <c r="W4614" s="214" t="s">
        <v>3870</v>
      </c>
      <c r="X4614" s="214" t="s">
        <v>4668</v>
      </c>
      <c r="Y4614" s="220">
        <v>7</v>
      </c>
    </row>
    <row r="4615" spans="23:25" x14ac:dyDescent="0.25">
      <c r="W4615" s="214" t="s">
        <v>3872</v>
      </c>
      <c r="X4615" s="214" t="s">
        <v>4669</v>
      </c>
      <c r="Y4615" s="220">
        <v>8</v>
      </c>
    </row>
    <row r="4616" spans="23:25" x14ac:dyDescent="0.25">
      <c r="W4616" s="214" t="s">
        <v>2185</v>
      </c>
      <c r="X4616" s="214" t="s">
        <v>4670</v>
      </c>
      <c r="Y4616" s="220">
        <v>7</v>
      </c>
    </row>
    <row r="4617" spans="23:25" x14ac:dyDescent="0.25">
      <c r="W4617" s="214" t="s">
        <v>2185</v>
      </c>
      <c r="X4617" s="214" t="s">
        <v>4671</v>
      </c>
      <c r="Y4617" s="220">
        <v>8</v>
      </c>
    </row>
    <row r="4618" spans="23:25" x14ac:dyDescent="0.25">
      <c r="W4618" s="214" t="s">
        <v>3872</v>
      </c>
      <c r="X4618" s="214" t="s">
        <v>4672</v>
      </c>
      <c r="Y4618" s="220">
        <v>7</v>
      </c>
    </row>
    <row r="4619" spans="23:25" x14ac:dyDescent="0.25">
      <c r="W4619" s="214" t="s">
        <v>3870</v>
      </c>
      <c r="X4619" s="214" t="s">
        <v>4673</v>
      </c>
      <c r="Y4619" s="220">
        <v>7</v>
      </c>
    </row>
    <row r="4620" spans="23:25" x14ac:dyDescent="0.25">
      <c r="W4620" s="214" t="s">
        <v>3872</v>
      </c>
      <c r="X4620" s="214" t="s">
        <v>4674</v>
      </c>
      <c r="Y4620" s="220">
        <v>8</v>
      </c>
    </row>
    <row r="4621" spans="23:25" x14ac:dyDescent="0.25">
      <c r="W4621" s="214" t="s">
        <v>2185</v>
      </c>
      <c r="X4621" s="214" t="s">
        <v>4675</v>
      </c>
      <c r="Y4621" s="220">
        <v>7</v>
      </c>
    </row>
    <row r="4622" spans="23:25" x14ac:dyDescent="0.25">
      <c r="W4622" s="214" t="s">
        <v>3870</v>
      </c>
      <c r="X4622" s="214" t="s">
        <v>4676</v>
      </c>
      <c r="Y4622" s="220">
        <v>7</v>
      </c>
    </row>
    <row r="4623" spans="23:25" x14ac:dyDescent="0.25">
      <c r="W4623" s="214" t="s">
        <v>2185</v>
      </c>
      <c r="X4623" s="214" t="s">
        <v>4677</v>
      </c>
      <c r="Y4623" s="220">
        <v>7</v>
      </c>
    </row>
    <row r="4624" spans="23:25" x14ac:dyDescent="0.25">
      <c r="W4624" s="214" t="s">
        <v>3872</v>
      </c>
      <c r="X4624" s="214" t="s">
        <v>4678</v>
      </c>
      <c r="Y4624" s="220">
        <v>8</v>
      </c>
    </row>
    <row r="4625" spans="23:25" x14ac:dyDescent="0.25">
      <c r="W4625" s="214" t="s">
        <v>2198</v>
      </c>
      <c r="X4625" s="214" t="s">
        <v>4679</v>
      </c>
      <c r="Y4625" s="220">
        <v>8</v>
      </c>
    </row>
    <row r="4626" spans="23:25" x14ac:dyDescent="0.25">
      <c r="W4626" s="214" t="s">
        <v>3872</v>
      </c>
      <c r="X4626" s="214" t="s">
        <v>4680</v>
      </c>
      <c r="Y4626" s="220">
        <v>8</v>
      </c>
    </row>
    <row r="4627" spans="23:25" x14ac:dyDescent="0.25">
      <c r="W4627" s="214" t="s">
        <v>3872</v>
      </c>
      <c r="X4627" s="214" t="s">
        <v>4681</v>
      </c>
      <c r="Y4627" s="220">
        <v>8</v>
      </c>
    </row>
    <row r="4628" spans="23:25" x14ac:dyDescent="0.25">
      <c r="W4628" s="214" t="s">
        <v>3872</v>
      </c>
      <c r="X4628" s="214" t="s">
        <v>4682</v>
      </c>
      <c r="Y4628" s="220">
        <v>8</v>
      </c>
    </row>
    <row r="4629" spans="23:25" x14ac:dyDescent="0.25">
      <c r="W4629" s="214" t="s">
        <v>3872</v>
      </c>
      <c r="X4629" s="214" t="s">
        <v>4683</v>
      </c>
      <c r="Y4629" s="220">
        <v>8</v>
      </c>
    </row>
    <row r="4630" spans="23:25" x14ac:dyDescent="0.25">
      <c r="W4630" s="214" t="s">
        <v>3872</v>
      </c>
      <c r="X4630" s="214" t="s">
        <v>4684</v>
      </c>
      <c r="Y4630" s="220">
        <v>8</v>
      </c>
    </row>
    <row r="4631" spans="23:25" x14ac:dyDescent="0.25">
      <c r="W4631" s="214" t="s">
        <v>2185</v>
      </c>
      <c r="X4631" s="214" t="s">
        <v>4685</v>
      </c>
      <c r="Y4631" s="220">
        <v>8</v>
      </c>
    </row>
    <row r="4632" spans="23:25" x14ac:dyDescent="0.25">
      <c r="W4632" s="214" t="s">
        <v>1976</v>
      </c>
      <c r="X4632" s="214" t="s">
        <v>4686</v>
      </c>
      <c r="Y4632" s="220">
        <v>8</v>
      </c>
    </row>
    <row r="4633" spans="23:25" x14ac:dyDescent="0.25">
      <c r="W4633" s="214" t="s">
        <v>1976</v>
      </c>
      <c r="X4633" s="214" t="s">
        <v>4687</v>
      </c>
      <c r="Y4633" s="220">
        <v>8</v>
      </c>
    </row>
    <row r="4634" spans="23:25" x14ac:dyDescent="0.25">
      <c r="W4634" s="214" t="s">
        <v>3872</v>
      </c>
      <c r="X4634" s="214" t="s">
        <v>4688</v>
      </c>
      <c r="Y4634" s="220">
        <v>7</v>
      </c>
    </row>
    <row r="4635" spans="23:25" x14ac:dyDescent="0.25">
      <c r="W4635" s="214" t="s">
        <v>3870</v>
      </c>
      <c r="X4635" s="214" t="s">
        <v>4689</v>
      </c>
      <c r="Y4635" s="220">
        <v>7</v>
      </c>
    </row>
    <row r="4636" spans="23:25" x14ac:dyDescent="0.25">
      <c r="W4636" s="214" t="s">
        <v>230</v>
      </c>
      <c r="X4636" s="214" t="s">
        <v>4690</v>
      </c>
      <c r="Y4636" s="220">
        <v>8</v>
      </c>
    </row>
    <row r="4637" spans="23:25" x14ac:dyDescent="0.25">
      <c r="W4637" s="214" t="s">
        <v>2198</v>
      </c>
      <c r="X4637" s="214" t="s">
        <v>4691</v>
      </c>
      <c r="Y4637" s="220">
        <v>8</v>
      </c>
    </row>
    <row r="4638" spans="23:25" x14ac:dyDescent="0.25">
      <c r="W4638" s="214" t="s">
        <v>1976</v>
      </c>
      <c r="X4638" s="214" t="s">
        <v>4692</v>
      </c>
      <c r="Y4638" s="220">
        <v>8</v>
      </c>
    </row>
    <row r="4639" spans="23:25" x14ac:dyDescent="0.25">
      <c r="W4639" s="214" t="s">
        <v>3872</v>
      </c>
      <c r="X4639" s="214" t="s">
        <v>4693</v>
      </c>
      <c r="Y4639" s="220">
        <v>8</v>
      </c>
    </row>
    <row r="4640" spans="23:25" x14ac:dyDescent="0.25">
      <c r="W4640" s="214" t="s">
        <v>3872</v>
      </c>
      <c r="X4640" s="214" t="s">
        <v>4694</v>
      </c>
      <c r="Y4640" s="220">
        <v>7</v>
      </c>
    </row>
    <row r="4641" spans="23:25" x14ac:dyDescent="0.25">
      <c r="W4641" s="214" t="s">
        <v>29</v>
      </c>
      <c r="X4641" s="214" t="s">
        <v>4695</v>
      </c>
      <c r="Y4641" s="220">
        <v>8</v>
      </c>
    </row>
    <row r="4642" spans="23:25" x14ac:dyDescent="0.25">
      <c r="W4642" s="214" t="s">
        <v>2185</v>
      </c>
      <c r="X4642" s="214" t="s">
        <v>4696</v>
      </c>
      <c r="Y4642" s="220">
        <v>7</v>
      </c>
    </row>
    <row r="4643" spans="23:25" x14ac:dyDescent="0.25">
      <c r="W4643" s="214" t="s">
        <v>2185</v>
      </c>
      <c r="X4643" s="214" t="s">
        <v>4697</v>
      </c>
      <c r="Y4643" s="220">
        <v>8</v>
      </c>
    </row>
    <row r="4644" spans="23:25" x14ac:dyDescent="0.25">
      <c r="W4644" s="214" t="s">
        <v>3872</v>
      </c>
      <c r="X4644" s="214" t="s">
        <v>4698</v>
      </c>
      <c r="Y4644" s="220">
        <v>8</v>
      </c>
    </row>
    <row r="4645" spans="23:25" x14ac:dyDescent="0.25">
      <c r="W4645" s="214" t="s">
        <v>2185</v>
      </c>
      <c r="X4645" s="214" t="s">
        <v>4699</v>
      </c>
      <c r="Y4645" s="220">
        <v>7</v>
      </c>
    </row>
    <row r="4646" spans="23:25" x14ac:dyDescent="0.25">
      <c r="W4646" s="214" t="s">
        <v>29</v>
      </c>
      <c r="X4646" s="214" t="s">
        <v>4700</v>
      </c>
      <c r="Y4646" s="220">
        <v>8</v>
      </c>
    </row>
    <row r="4647" spans="23:25" x14ac:dyDescent="0.25">
      <c r="W4647" s="214" t="s">
        <v>3872</v>
      </c>
      <c r="X4647" s="214" t="s">
        <v>4701</v>
      </c>
      <c r="Y4647" s="220">
        <v>7</v>
      </c>
    </row>
    <row r="4648" spans="23:25" x14ac:dyDescent="0.25">
      <c r="W4648" s="214" t="s">
        <v>3872</v>
      </c>
      <c r="X4648" s="214" t="s">
        <v>4702</v>
      </c>
      <c r="Y4648" s="220">
        <v>7</v>
      </c>
    </row>
    <row r="4649" spans="23:25" x14ac:dyDescent="0.25">
      <c r="W4649" s="214" t="s">
        <v>2185</v>
      </c>
      <c r="X4649" s="214" t="s">
        <v>4703</v>
      </c>
      <c r="Y4649" s="220">
        <v>8</v>
      </c>
    </row>
    <row r="4650" spans="23:25" x14ac:dyDescent="0.25">
      <c r="W4650" s="214" t="s">
        <v>3872</v>
      </c>
      <c r="X4650" s="214" t="s">
        <v>4704</v>
      </c>
      <c r="Y4650" s="220">
        <v>7</v>
      </c>
    </row>
    <row r="4651" spans="23:25" x14ac:dyDescent="0.25">
      <c r="W4651" s="214" t="s">
        <v>2198</v>
      </c>
      <c r="X4651" s="214" t="s">
        <v>4705</v>
      </c>
      <c r="Y4651" s="220">
        <v>8</v>
      </c>
    </row>
    <row r="4652" spans="23:25" x14ac:dyDescent="0.25">
      <c r="W4652" s="214" t="s">
        <v>1976</v>
      </c>
      <c r="X4652" s="214" t="s">
        <v>4706</v>
      </c>
      <c r="Y4652" s="220">
        <v>7</v>
      </c>
    </row>
    <row r="4653" spans="23:25" x14ac:dyDescent="0.25">
      <c r="W4653" s="214" t="s">
        <v>2185</v>
      </c>
      <c r="X4653" s="214" t="s">
        <v>1899</v>
      </c>
      <c r="Y4653" s="220">
        <v>6</v>
      </c>
    </row>
    <row r="4654" spans="23:25" x14ac:dyDescent="0.25">
      <c r="W4654" s="214" t="s">
        <v>3872</v>
      </c>
      <c r="X4654" s="214" t="s">
        <v>4707</v>
      </c>
      <c r="Y4654" s="220">
        <v>8</v>
      </c>
    </row>
    <row r="4655" spans="23:25" x14ac:dyDescent="0.25">
      <c r="W4655" s="214" t="s">
        <v>3872</v>
      </c>
      <c r="X4655" s="214" t="s">
        <v>4708</v>
      </c>
      <c r="Y4655" s="220">
        <v>7</v>
      </c>
    </row>
    <row r="4656" spans="23:25" x14ac:dyDescent="0.25">
      <c r="W4656" s="214" t="s">
        <v>3872</v>
      </c>
      <c r="X4656" s="214" t="s">
        <v>4709</v>
      </c>
      <c r="Y4656" s="220">
        <v>7</v>
      </c>
    </row>
    <row r="4657" spans="23:25" x14ac:dyDescent="0.25">
      <c r="W4657" s="214" t="s">
        <v>1976</v>
      </c>
      <c r="X4657" s="214" t="s">
        <v>4412</v>
      </c>
      <c r="Y4657" s="220">
        <v>8</v>
      </c>
    </row>
    <row r="4658" spans="23:25" x14ac:dyDescent="0.25">
      <c r="W4658" s="214" t="s">
        <v>2185</v>
      </c>
      <c r="X4658" s="214" t="s">
        <v>4710</v>
      </c>
      <c r="Y4658" s="220">
        <v>8</v>
      </c>
    </row>
    <row r="4659" spans="23:25" x14ac:dyDescent="0.25">
      <c r="W4659" s="214" t="s">
        <v>2185</v>
      </c>
      <c r="X4659" s="214" t="s">
        <v>4711</v>
      </c>
      <c r="Y4659" s="220">
        <v>7</v>
      </c>
    </row>
    <row r="4660" spans="23:25" x14ac:dyDescent="0.25">
      <c r="W4660" s="214" t="s">
        <v>1740</v>
      </c>
      <c r="X4660" s="214" t="s">
        <v>698</v>
      </c>
      <c r="Y4660" s="220">
        <v>6</v>
      </c>
    </row>
    <row r="4661" spans="23:25" x14ac:dyDescent="0.25">
      <c r="W4661" s="214" t="s">
        <v>1976</v>
      </c>
      <c r="X4661" s="214" t="s">
        <v>4712</v>
      </c>
      <c r="Y4661" s="220">
        <v>8</v>
      </c>
    </row>
    <row r="4662" spans="23:25" x14ac:dyDescent="0.25">
      <c r="W4662" s="214" t="s">
        <v>3872</v>
      </c>
      <c r="X4662" s="214" t="s">
        <v>4713</v>
      </c>
      <c r="Y4662" s="220">
        <v>8</v>
      </c>
    </row>
    <row r="4663" spans="23:25" x14ac:dyDescent="0.25">
      <c r="W4663" s="214" t="s">
        <v>2185</v>
      </c>
      <c r="X4663" s="214" t="s">
        <v>4714</v>
      </c>
      <c r="Y4663" s="220">
        <v>8</v>
      </c>
    </row>
    <row r="4664" spans="23:25" x14ac:dyDescent="0.25">
      <c r="W4664" s="214" t="s">
        <v>3872</v>
      </c>
      <c r="X4664" s="214" t="s">
        <v>1765</v>
      </c>
      <c r="Y4664" s="220">
        <v>7</v>
      </c>
    </row>
    <row r="4665" spans="23:25" x14ac:dyDescent="0.25">
      <c r="W4665" s="214" t="s">
        <v>2185</v>
      </c>
      <c r="X4665" s="214" t="s">
        <v>4715</v>
      </c>
      <c r="Y4665" s="220">
        <v>7</v>
      </c>
    </row>
    <row r="4666" spans="23:25" x14ac:dyDescent="0.25">
      <c r="W4666" s="214" t="s">
        <v>231</v>
      </c>
      <c r="X4666" s="214" t="s">
        <v>4716</v>
      </c>
      <c r="Y4666" s="220">
        <v>8</v>
      </c>
    </row>
    <row r="4667" spans="23:25" x14ac:dyDescent="0.25">
      <c r="W4667" s="214" t="s">
        <v>1976</v>
      </c>
      <c r="X4667" s="214" t="s">
        <v>4717</v>
      </c>
      <c r="Y4667" s="220">
        <v>8</v>
      </c>
    </row>
    <row r="4668" spans="23:25" x14ac:dyDescent="0.25">
      <c r="W4668" s="214" t="s">
        <v>1976</v>
      </c>
      <c r="X4668" s="214" t="s">
        <v>4718</v>
      </c>
      <c r="Y4668" s="220">
        <v>7</v>
      </c>
    </row>
    <row r="4669" spans="23:25" x14ac:dyDescent="0.25">
      <c r="W4669" s="214" t="s">
        <v>2185</v>
      </c>
      <c r="X4669" s="214" t="s">
        <v>4719</v>
      </c>
      <c r="Y4669" s="220">
        <v>8</v>
      </c>
    </row>
    <row r="4670" spans="23:25" x14ac:dyDescent="0.25">
      <c r="W4670" s="214" t="s">
        <v>2185</v>
      </c>
      <c r="X4670" s="214" t="s">
        <v>4720</v>
      </c>
      <c r="Y4670" s="220">
        <v>8</v>
      </c>
    </row>
    <row r="4671" spans="23:25" x14ac:dyDescent="0.25">
      <c r="W4671" s="214" t="s">
        <v>3872</v>
      </c>
      <c r="X4671" s="214" t="s">
        <v>4721</v>
      </c>
      <c r="Y4671" s="220">
        <v>8</v>
      </c>
    </row>
    <row r="4672" spans="23:25" x14ac:dyDescent="0.25">
      <c r="W4672" s="214" t="s">
        <v>3872</v>
      </c>
      <c r="X4672" s="214" t="s">
        <v>4722</v>
      </c>
      <c r="Y4672" s="220">
        <v>8</v>
      </c>
    </row>
    <row r="4673" spans="23:25" x14ac:dyDescent="0.25">
      <c r="W4673" s="214" t="s">
        <v>2185</v>
      </c>
      <c r="X4673" s="214" t="s">
        <v>4723</v>
      </c>
      <c r="Y4673" s="220">
        <v>7</v>
      </c>
    </row>
    <row r="4674" spans="23:25" x14ac:dyDescent="0.25">
      <c r="W4674" s="214" t="s">
        <v>1976</v>
      </c>
      <c r="X4674" s="214" t="s">
        <v>4724</v>
      </c>
      <c r="Y4674" s="220">
        <v>7</v>
      </c>
    </row>
    <row r="4675" spans="23:25" x14ac:dyDescent="0.25">
      <c r="W4675" s="214" t="s">
        <v>3872</v>
      </c>
      <c r="X4675" s="214" t="s">
        <v>4725</v>
      </c>
      <c r="Y4675" s="220">
        <v>7</v>
      </c>
    </row>
    <row r="4676" spans="23:25" x14ac:dyDescent="0.25">
      <c r="W4676" s="214" t="s">
        <v>1976</v>
      </c>
      <c r="X4676" s="214" t="s">
        <v>4726</v>
      </c>
      <c r="Y4676" s="220">
        <v>8</v>
      </c>
    </row>
    <row r="4677" spans="23:25" x14ac:dyDescent="0.25">
      <c r="W4677" s="214" t="s">
        <v>3872</v>
      </c>
      <c r="X4677" s="214" t="s">
        <v>2405</v>
      </c>
      <c r="Y4677" s="220">
        <v>8</v>
      </c>
    </row>
    <row r="4678" spans="23:25" x14ac:dyDescent="0.25">
      <c r="W4678" s="214" t="s">
        <v>3872</v>
      </c>
      <c r="X4678" s="214" t="s">
        <v>4727</v>
      </c>
      <c r="Y4678" s="220">
        <v>8</v>
      </c>
    </row>
    <row r="4679" spans="23:25" x14ac:dyDescent="0.25">
      <c r="W4679" s="214" t="s">
        <v>3872</v>
      </c>
      <c r="X4679" s="214" t="s">
        <v>4728</v>
      </c>
      <c r="Y4679" s="220">
        <v>7</v>
      </c>
    </row>
    <row r="4680" spans="23:25" x14ac:dyDescent="0.25">
      <c r="W4680" s="214" t="s">
        <v>231</v>
      </c>
      <c r="X4680" s="214" t="s">
        <v>4729</v>
      </c>
      <c r="Y4680" s="220">
        <v>8</v>
      </c>
    </row>
    <row r="4681" spans="23:25" x14ac:dyDescent="0.25">
      <c r="W4681" s="214" t="s">
        <v>3872</v>
      </c>
      <c r="X4681" s="214" t="s">
        <v>4730</v>
      </c>
      <c r="Y4681" s="220">
        <v>7</v>
      </c>
    </row>
    <row r="4682" spans="23:25" x14ac:dyDescent="0.25">
      <c r="W4682" s="214" t="s">
        <v>29</v>
      </c>
      <c r="X4682" s="214" t="s">
        <v>4731</v>
      </c>
      <c r="Y4682" s="220">
        <v>8</v>
      </c>
    </row>
    <row r="4683" spans="23:25" x14ac:dyDescent="0.25">
      <c r="W4683" s="214" t="s">
        <v>1976</v>
      </c>
      <c r="X4683" s="214" t="s">
        <v>4732</v>
      </c>
      <c r="Y4683" s="220">
        <v>8</v>
      </c>
    </row>
    <row r="4684" spans="23:25" x14ac:dyDescent="0.25">
      <c r="W4684" s="214" t="s">
        <v>3870</v>
      </c>
      <c r="X4684" s="214" t="s">
        <v>4555</v>
      </c>
      <c r="Y4684" s="220">
        <v>8</v>
      </c>
    </row>
    <row r="4685" spans="23:25" x14ac:dyDescent="0.25">
      <c r="W4685" s="214" t="s">
        <v>1976</v>
      </c>
      <c r="X4685" s="214" t="s">
        <v>4733</v>
      </c>
      <c r="Y4685" s="220">
        <v>7</v>
      </c>
    </row>
    <row r="4686" spans="23:25" x14ac:dyDescent="0.25">
      <c r="W4686" s="214" t="s">
        <v>1976</v>
      </c>
      <c r="X4686" s="214" t="s">
        <v>4734</v>
      </c>
      <c r="Y4686" s="220">
        <v>7</v>
      </c>
    </row>
    <row r="4687" spans="23:25" x14ac:dyDescent="0.25">
      <c r="W4687" s="214" t="s">
        <v>2198</v>
      </c>
      <c r="X4687" s="214" t="s">
        <v>4735</v>
      </c>
      <c r="Y4687" s="220">
        <v>8</v>
      </c>
    </row>
    <row r="4688" spans="23:25" x14ac:dyDescent="0.25">
      <c r="W4688" s="214" t="s">
        <v>1976</v>
      </c>
      <c r="X4688" s="214" t="s">
        <v>3331</v>
      </c>
      <c r="Y4688" s="220">
        <v>7</v>
      </c>
    </row>
    <row r="4689" spans="23:25" x14ac:dyDescent="0.25">
      <c r="W4689" s="214" t="s">
        <v>1976</v>
      </c>
      <c r="X4689" s="214" t="s">
        <v>4736</v>
      </c>
      <c r="Y4689" s="220">
        <v>7</v>
      </c>
    </row>
    <row r="4690" spans="23:25" x14ac:dyDescent="0.25">
      <c r="W4690" s="214" t="s">
        <v>3872</v>
      </c>
      <c r="X4690" s="214" t="s">
        <v>4737</v>
      </c>
      <c r="Y4690" s="220">
        <v>7</v>
      </c>
    </row>
    <row r="4691" spans="23:25" x14ac:dyDescent="0.25">
      <c r="W4691" s="214" t="s">
        <v>3872</v>
      </c>
      <c r="X4691" s="214" t="s">
        <v>4738</v>
      </c>
      <c r="Y4691" s="220">
        <v>7</v>
      </c>
    </row>
    <row r="4692" spans="23:25" x14ac:dyDescent="0.25">
      <c r="W4692" s="214" t="s">
        <v>2185</v>
      </c>
      <c r="X4692" s="214" t="s">
        <v>4739</v>
      </c>
      <c r="Y4692" s="220">
        <v>8</v>
      </c>
    </row>
    <row r="4693" spans="23:25" x14ac:dyDescent="0.25">
      <c r="W4693" s="214" t="s">
        <v>3872</v>
      </c>
      <c r="X4693" s="214" t="s">
        <v>4740</v>
      </c>
      <c r="Y4693" s="220">
        <v>7</v>
      </c>
    </row>
    <row r="4694" spans="23:25" x14ac:dyDescent="0.25">
      <c r="W4694" s="214" t="s">
        <v>3872</v>
      </c>
      <c r="X4694" s="214" t="s">
        <v>4741</v>
      </c>
      <c r="Y4694" s="220">
        <v>8</v>
      </c>
    </row>
    <row r="4695" spans="23:25" x14ac:dyDescent="0.25">
      <c r="W4695" s="214" t="s">
        <v>230</v>
      </c>
      <c r="X4695" s="214" t="s">
        <v>4742</v>
      </c>
      <c r="Y4695" s="220">
        <v>8</v>
      </c>
    </row>
    <row r="4696" spans="23:25" x14ac:dyDescent="0.25">
      <c r="W4696" s="214" t="s">
        <v>2185</v>
      </c>
      <c r="X4696" s="214" t="s">
        <v>2375</v>
      </c>
      <c r="Y4696" s="220">
        <v>6</v>
      </c>
    </row>
    <row r="4697" spans="23:25" x14ac:dyDescent="0.25">
      <c r="W4697" s="214" t="s">
        <v>3872</v>
      </c>
      <c r="X4697" s="214" t="s">
        <v>4743</v>
      </c>
      <c r="Y4697" s="220">
        <v>8</v>
      </c>
    </row>
    <row r="4698" spans="23:25" x14ac:dyDescent="0.25">
      <c r="W4698" s="214" t="s">
        <v>3872</v>
      </c>
      <c r="X4698" s="214" t="s">
        <v>4744</v>
      </c>
      <c r="Y4698" s="220">
        <v>7</v>
      </c>
    </row>
    <row r="4699" spans="23:25" x14ac:dyDescent="0.25">
      <c r="W4699" s="214" t="s">
        <v>2185</v>
      </c>
      <c r="X4699" s="214" t="s">
        <v>4745</v>
      </c>
      <c r="Y4699" s="220">
        <v>8</v>
      </c>
    </row>
    <row r="4700" spans="23:25" x14ac:dyDescent="0.25">
      <c r="W4700" s="214" t="s">
        <v>230</v>
      </c>
      <c r="X4700" s="214" t="s">
        <v>4746</v>
      </c>
      <c r="Y4700" s="220">
        <v>8</v>
      </c>
    </row>
    <row r="4701" spans="23:25" x14ac:dyDescent="0.25">
      <c r="W4701" s="214" t="s">
        <v>3872</v>
      </c>
      <c r="X4701" s="214" t="s">
        <v>4747</v>
      </c>
      <c r="Y4701" s="220">
        <v>8</v>
      </c>
    </row>
    <row r="4702" spans="23:25" x14ac:dyDescent="0.25">
      <c r="W4702" s="214" t="s">
        <v>1976</v>
      </c>
      <c r="X4702" s="214" t="s">
        <v>1034</v>
      </c>
      <c r="Y4702" s="220">
        <v>7</v>
      </c>
    </row>
    <row r="4703" spans="23:25" x14ac:dyDescent="0.25">
      <c r="W4703" s="214" t="s">
        <v>1976</v>
      </c>
      <c r="X4703" s="214" t="s">
        <v>1092</v>
      </c>
      <c r="Y4703" s="220">
        <v>8</v>
      </c>
    </row>
    <row r="4704" spans="23:25" x14ac:dyDescent="0.25">
      <c r="W4704" s="214" t="s">
        <v>3872</v>
      </c>
      <c r="X4704" s="214" t="s">
        <v>4748</v>
      </c>
      <c r="Y4704" s="220">
        <v>7</v>
      </c>
    </row>
    <row r="4705" spans="23:25" x14ac:dyDescent="0.25">
      <c r="W4705" s="214" t="s">
        <v>2185</v>
      </c>
      <c r="X4705" s="214" t="s">
        <v>4749</v>
      </c>
      <c r="Y4705" s="220">
        <v>7</v>
      </c>
    </row>
    <row r="4706" spans="23:25" x14ac:dyDescent="0.25">
      <c r="W4706" s="214" t="s">
        <v>1976</v>
      </c>
      <c r="X4706" s="214" t="s">
        <v>4750</v>
      </c>
      <c r="Y4706" s="220">
        <v>7</v>
      </c>
    </row>
    <row r="4707" spans="23:25" x14ac:dyDescent="0.25">
      <c r="W4707" s="214" t="s">
        <v>3872</v>
      </c>
      <c r="X4707" s="214" t="s">
        <v>4751</v>
      </c>
      <c r="Y4707" s="220">
        <v>7</v>
      </c>
    </row>
    <row r="4708" spans="23:25" x14ac:dyDescent="0.25">
      <c r="W4708" s="214" t="s">
        <v>1976</v>
      </c>
      <c r="X4708" s="214" t="s">
        <v>2168</v>
      </c>
      <c r="Y4708" s="220">
        <v>7</v>
      </c>
    </row>
    <row r="4709" spans="23:25" x14ac:dyDescent="0.25">
      <c r="W4709" s="214" t="s">
        <v>2185</v>
      </c>
      <c r="X4709" s="214" t="s">
        <v>4752</v>
      </c>
      <c r="Y4709" s="220">
        <v>7</v>
      </c>
    </row>
    <row r="4710" spans="23:25" x14ac:dyDescent="0.25">
      <c r="W4710" s="214" t="s">
        <v>2185</v>
      </c>
      <c r="X4710" s="214" t="s">
        <v>4753</v>
      </c>
      <c r="Y4710" s="220">
        <v>6</v>
      </c>
    </row>
    <row r="4711" spans="23:25" x14ac:dyDescent="0.25">
      <c r="W4711" s="214" t="s">
        <v>2198</v>
      </c>
      <c r="X4711" s="214" t="s">
        <v>4754</v>
      </c>
      <c r="Y4711" s="220">
        <v>8</v>
      </c>
    </row>
    <row r="4712" spans="23:25" x14ac:dyDescent="0.25">
      <c r="W4712" s="214" t="s">
        <v>2185</v>
      </c>
      <c r="X4712" s="214" t="s">
        <v>4755</v>
      </c>
      <c r="Y4712" s="220">
        <v>8</v>
      </c>
    </row>
    <row r="4713" spans="23:25" x14ac:dyDescent="0.25">
      <c r="W4713" s="214" t="s">
        <v>2185</v>
      </c>
      <c r="X4713" s="214" t="s">
        <v>4756</v>
      </c>
      <c r="Y4713" s="220">
        <v>8</v>
      </c>
    </row>
    <row r="4714" spans="23:25" x14ac:dyDescent="0.25">
      <c r="W4714" s="214" t="s">
        <v>3870</v>
      </c>
      <c r="X4714" s="214" t="s">
        <v>4757</v>
      </c>
      <c r="Y4714" s="220">
        <v>8</v>
      </c>
    </row>
    <row r="4715" spans="23:25" x14ac:dyDescent="0.25">
      <c r="W4715" s="214" t="s">
        <v>3870</v>
      </c>
      <c r="X4715" s="214" t="s">
        <v>4758</v>
      </c>
      <c r="Y4715" s="220">
        <v>7</v>
      </c>
    </row>
    <row r="4716" spans="23:25" x14ac:dyDescent="0.25">
      <c r="W4716" s="214" t="s">
        <v>2198</v>
      </c>
      <c r="X4716" s="214" t="s">
        <v>4759</v>
      </c>
      <c r="Y4716" s="220">
        <v>8</v>
      </c>
    </row>
    <row r="4717" spans="23:25" x14ac:dyDescent="0.25">
      <c r="W4717" s="214" t="s">
        <v>3872</v>
      </c>
      <c r="X4717" s="214" t="s">
        <v>4760</v>
      </c>
      <c r="Y4717" s="220">
        <v>7</v>
      </c>
    </row>
    <row r="4718" spans="23:25" x14ac:dyDescent="0.25">
      <c r="W4718" s="214" t="s">
        <v>3872</v>
      </c>
      <c r="X4718" s="214" t="s">
        <v>4761</v>
      </c>
      <c r="Y4718" s="220">
        <v>7</v>
      </c>
    </row>
    <row r="4719" spans="23:25" x14ac:dyDescent="0.25">
      <c r="W4719" s="214" t="s">
        <v>1976</v>
      </c>
      <c r="X4719" s="214" t="s">
        <v>4762</v>
      </c>
      <c r="Y4719" s="220">
        <v>7</v>
      </c>
    </row>
    <row r="4720" spans="23:25" x14ac:dyDescent="0.25">
      <c r="W4720" s="214" t="s">
        <v>1976</v>
      </c>
      <c r="X4720" s="214" t="s">
        <v>4763</v>
      </c>
      <c r="Y4720" s="220">
        <v>8</v>
      </c>
    </row>
    <row r="4721" spans="23:25" x14ac:dyDescent="0.25">
      <c r="W4721" s="214" t="s">
        <v>3872</v>
      </c>
      <c r="X4721" s="214" t="s">
        <v>4764</v>
      </c>
      <c r="Y4721" s="220">
        <v>8</v>
      </c>
    </row>
    <row r="4722" spans="23:25" x14ac:dyDescent="0.25">
      <c r="W4722" s="214" t="s">
        <v>3872</v>
      </c>
      <c r="X4722" s="214" t="s">
        <v>4765</v>
      </c>
      <c r="Y4722" s="220">
        <v>7</v>
      </c>
    </row>
    <row r="4723" spans="23:25" x14ac:dyDescent="0.25">
      <c r="W4723" s="214" t="s">
        <v>3872</v>
      </c>
      <c r="X4723" s="214" t="s">
        <v>1264</v>
      </c>
      <c r="Y4723" s="220">
        <v>7</v>
      </c>
    </row>
    <row r="4724" spans="23:25" x14ac:dyDescent="0.25">
      <c r="W4724" s="214" t="s">
        <v>3872</v>
      </c>
      <c r="X4724" s="214" t="s">
        <v>2419</v>
      </c>
      <c r="Y4724" s="220">
        <v>8</v>
      </c>
    </row>
    <row r="4725" spans="23:25" x14ac:dyDescent="0.25">
      <c r="W4725" s="214" t="s">
        <v>1976</v>
      </c>
      <c r="X4725" s="214" t="s">
        <v>4766</v>
      </c>
      <c r="Y4725" s="220">
        <v>7</v>
      </c>
    </row>
    <row r="4726" spans="23:25" x14ac:dyDescent="0.25">
      <c r="W4726" s="214" t="s">
        <v>2185</v>
      </c>
      <c r="X4726" s="214" t="s">
        <v>4767</v>
      </c>
      <c r="Y4726" s="220">
        <v>5</v>
      </c>
    </row>
    <row r="4727" spans="23:25" x14ac:dyDescent="0.25">
      <c r="W4727" s="214" t="s">
        <v>3872</v>
      </c>
      <c r="X4727" s="214" t="s">
        <v>4768</v>
      </c>
      <c r="Y4727" s="220">
        <v>7</v>
      </c>
    </row>
    <row r="4728" spans="23:25" x14ac:dyDescent="0.25">
      <c r="W4728" s="214" t="s">
        <v>1976</v>
      </c>
      <c r="X4728" s="214" t="s">
        <v>4769</v>
      </c>
      <c r="Y4728" s="220">
        <v>7</v>
      </c>
    </row>
    <row r="4729" spans="23:25" x14ac:dyDescent="0.25">
      <c r="W4729" s="214" t="s">
        <v>3872</v>
      </c>
      <c r="X4729" s="214" t="s">
        <v>4770</v>
      </c>
      <c r="Y4729" s="220">
        <v>7</v>
      </c>
    </row>
    <row r="4730" spans="23:25" x14ac:dyDescent="0.25">
      <c r="W4730" s="214" t="s">
        <v>3872</v>
      </c>
      <c r="X4730" s="214" t="s">
        <v>4771</v>
      </c>
      <c r="Y4730" s="220">
        <v>7</v>
      </c>
    </row>
    <row r="4731" spans="23:25" x14ac:dyDescent="0.25">
      <c r="W4731" s="214" t="s">
        <v>1976</v>
      </c>
      <c r="X4731" s="214" t="s">
        <v>4772</v>
      </c>
      <c r="Y4731" s="220">
        <v>7</v>
      </c>
    </row>
    <row r="4732" spans="23:25" x14ac:dyDescent="0.25">
      <c r="W4732" s="214" t="s">
        <v>3872</v>
      </c>
      <c r="X4732" s="214" t="s">
        <v>4773</v>
      </c>
      <c r="Y4732" s="220">
        <v>8</v>
      </c>
    </row>
    <row r="4733" spans="23:25" x14ac:dyDescent="0.25">
      <c r="W4733" s="214" t="s">
        <v>1976</v>
      </c>
      <c r="X4733" s="214" t="s">
        <v>4774</v>
      </c>
      <c r="Y4733" s="220">
        <v>7</v>
      </c>
    </row>
    <row r="4734" spans="23:25" x14ac:dyDescent="0.25">
      <c r="W4734" s="214" t="s">
        <v>3872</v>
      </c>
      <c r="X4734" s="214" t="s">
        <v>4775</v>
      </c>
      <c r="Y4734" s="220">
        <v>7</v>
      </c>
    </row>
    <row r="4735" spans="23:25" x14ac:dyDescent="0.25">
      <c r="W4735" s="214" t="s">
        <v>230</v>
      </c>
      <c r="X4735" s="214" t="s">
        <v>4776</v>
      </c>
      <c r="Y4735" s="220">
        <v>8</v>
      </c>
    </row>
    <row r="4736" spans="23:25" x14ac:dyDescent="0.25">
      <c r="W4736" s="214" t="s">
        <v>1943</v>
      </c>
      <c r="X4736" s="214" t="s">
        <v>4777</v>
      </c>
      <c r="Y4736" s="220">
        <v>8</v>
      </c>
    </row>
    <row r="4737" spans="23:25" x14ac:dyDescent="0.25">
      <c r="W4737" s="214" t="s">
        <v>3872</v>
      </c>
      <c r="X4737" s="214" t="s">
        <v>4778</v>
      </c>
      <c r="Y4737" s="220">
        <v>7</v>
      </c>
    </row>
    <row r="4738" spans="23:25" x14ac:dyDescent="0.25">
      <c r="W4738" s="214" t="s">
        <v>1976</v>
      </c>
      <c r="X4738" s="214" t="s">
        <v>4779</v>
      </c>
      <c r="Y4738" s="220">
        <v>7</v>
      </c>
    </row>
    <row r="4739" spans="23:25" x14ac:dyDescent="0.25">
      <c r="W4739" s="214" t="s">
        <v>3872</v>
      </c>
      <c r="X4739" s="214" t="s">
        <v>4780</v>
      </c>
      <c r="Y4739" s="220">
        <v>8</v>
      </c>
    </row>
    <row r="4740" spans="23:25" x14ac:dyDescent="0.25">
      <c r="W4740" s="214" t="s">
        <v>2198</v>
      </c>
      <c r="X4740" s="214" t="s">
        <v>4781</v>
      </c>
      <c r="Y4740" s="220">
        <v>8</v>
      </c>
    </row>
    <row r="4741" spans="23:25" x14ac:dyDescent="0.25">
      <c r="W4741" s="214" t="s">
        <v>1976</v>
      </c>
      <c r="X4741" s="214" t="s">
        <v>4782</v>
      </c>
      <c r="Y4741" s="220">
        <v>7</v>
      </c>
    </row>
    <row r="4742" spans="23:25" x14ac:dyDescent="0.25">
      <c r="W4742" s="214" t="s">
        <v>3872</v>
      </c>
      <c r="X4742" s="214" t="s">
        <v>4783</v>
      </c>
      <c r="Y4742" s="220">
        <v>7</v>
      </c>
    </row>
    <row r="4743" spans="23:25" x14ac:dyDescent="0.25">
      <c r="W4743" s="214" t="s">
        <v>1976</v>
      </c>
      <c r="X4743" s="214" t="s">
        <v>4447</v>
      </c>
      <c r="Y4743" s="220">
        <v>7</v>
      </c>
    </row>
    <row r="4744" spans="23:25" x14ac:dyDescent="0.25">
      <c r="W4744" s="214" t="s">
        <v>1976</v>
      </c>
      <c r="X4744" s="214" t="s">
        <v>4784</v>
      </c>
      <c r="Y4744" s="220">
        <v>8</v>
      </c>
    </row>
    <row r="4745" spans="23:25" x14ac:dyDescent="0.25">
      <c r="W4745" s="214" t="s">
        <v>1976</v>
      </c>
      <c r="X4745" s="214" t="s">
        <v>4233</v>
      </c>
      <c r="Y4745" s="220">
        <v>7</v>
      </c>
    </row>
    <row r="4746" spans="23:25" x14ac:dyDescent="0.25">
      <c r="W4746" s="214" t="s">
        <v>1976</v>
      </c>
      <c r="X4746" s="214" t="s">
        <v>4785</v>
      </c>
      <c r="Y4746" s="220">
        <v>7</v>
      </c>
    </row>
    <row r="4747" spans="23:25" x14ac:dyDescent="0.25">
      <c r="W4747" s="214" t="s">
        <v>1976</v>
      </c>
      <c r="X4747" s="214" t="s">
        <v>4786</v>
      </c>
      <c r="Y4747" s="220">
        <v>7</v>
      </c>
    </row>
    <row r="4748" spans="23:25" x14ac:dyDescent="0.25">
      <c r="W4748" s="214" t="s">
        <v>2185</v>
      </c>
      <c r="X4748" s="214" t="s">
        <v>4787</v>
      </c>
      <c r="Y4748" s="220">
        <v>6</v>
      </c>
    </row>
    <row r="4749" spans="23:25" x14ac:dyDescent="0.25">
      <c r="W4749" s="214" t="s">
        <v>3872</v>
      </c>
      <c r="X4749" s="214" t="s">
        <v>4788</v>
      </c>
      <c r="Y4749" s="220">
        <v>8</v>
      </c>
    </row>
    <row r="4750" spans="23:25" x14ac:dyDescent="0.25">
      <c r="W4750" s="214" t="s">
        <v>1976</v>
      </c>
      <c r="X4750" s="214" t="s">
        <v>4789</v>
      </c>
      <c r="Y4750" s="220">
        <v>8</v>
      </c>
    </row>
    <row r="4751" spans="23:25" x14ac:dyDescent="0.25">
      <c r="W4751" s="214" t="s">
        <v>3870</v>
      </c>
      <c r="X4751" s="214" t="s">
        <v>4790</v>
      </c>
      <c r="Y4751" s="220">
        <v>7</v>
      </c>
    </row>
    <row r="4752" spans="23:25" x14ac:dyDescent="0.25">
      <c r="W4752" s="214" t="s">
        <v>2185</v>
      </c>
      <c r="X4752" s="214" t="s">
        <v>4791</v>
      </c>
      <c r="Y4752" s="220">
        <v>5</v>
      </c>
    </row>
    <row r="4753" spans="23:25" x14ac:dyDescent="0.25">
      <c r="W4753" s="214" t="s">
        <v>2185</v>
      </c>
      <c r="X4753" s="214" t="s">
        <v>4792</v>
      </c>
      <c r="Y4753" s="220">
        <v>5</v>
      </c>
    </row>
    <row r="4754" spans="23:25" x14ac:dyDescent="0.25">
      <c r="W4754" s="214" t="s">
        <v>1976</v>
      </c>
      <c r="X4754" s="214" t="s">
        <v>4793</v>
      </c>
      <c r="Y4754" s="220">
        <v>8</v>
      </c>
    </row>
    <row r="4755" spans="23:25" x14ac:dyDescent="0.25">
      <c r="W4755" s="214" t="s">
        <v>3872</v>
      </c>
      <c r="X4755" s="214" t="s">
        <v>1826</v>
      </c>
      <c r="Y4755" s="220">
        <v>7</v>
      </c>
    </row>
    <row r="4756" spans="23:25" x14ac:dyDescent="0.25">
      <c r="W4756" s="214" t="s">
        <v>2185</v>
      </c>
      <c r="X4756" s="214" t="s">
        <v>4794</v>
      </c>
      <c r="Y4756" s="220">
        <v>8</v>
      </c>
    </row>
    <row r="4757" spans="23:25" x14ac:dyDescent="0.25">
      <c r="W4757" s="214" t="s">
        <v>2185</v>
      </c>
      <c r="X4757" s="214" t="s">
        <v>4795</v>
      </c>
      <c r="Y4757" s="220">
        <v>8</v>
      </c>
    </row>
    <row r="4758" spans="23:25" x14ac:dyDescent="0.25">
      <c r="W4758" s="214" t="s">
        <v>1976</v>
      </c>
      <c r="X4758" s="214" t="s">
        <v>4796</v>
      </c>
      <c r="Y4758" s="220">
        <v>7</v>
      </c>
    </row>
    <row r="4759" spans="23:25" x14ac:dyDescent="0.25">
      <c r="W4759" s="214" t="s">
        <v>1976</v>
      </c>
      <c r="X4759" s="214" t="s">
        <v>4797</v>
      </c>
      <c r="Y4759" s="220">
        <v>7</v>
      </c>
    </row>
    <row r="4760" spans="23:25" x14ac:dyDescent="0.25">
      <c r="W4760" s="214" t="s">
        <v>1976</v>
      </c>
      <c r="X4760" s="214" t="s">
        <v>4798</v>
      </c>
      <c r="Y4760" s="220">
        <v>7</v>
      </c>
    </row>
    <row r="4761" spans="23:25" x14ac:dyDescent="0.25">
      <c r="W4761" s="214" t="s">
        <v>3872</v>
      </c>
      <c r="X4761" s="214" t="s">
        <v>4799</v>
      </c>
      <c r="Y4761" s="220">
        <v>7</v>
      </c>
    </row>
    <row r="4762" spans="23:25" x14ac:dyDescent="0.25">
      <c r="W4762" s="214" t="s">
        <v>3870</v>
      </c>
      <c r="X4762" s="214" t="s">
        <v>4800</v>
      </c>
      <c r="Y4762" s="220">
        <v>7</v>
      </c>
    </row>
    <row r="4763" spans="23:25" x14ac:dyDescent="0.25">
      <c r="W4763" s="214" t="s">
        <v>3872</v>
      </c>
      <c r="X4763" s="214" t="s">
        <v>4801</v>
      </c>
      <c r="Y4763" s="220">
        <v>7</v>
      </c>
    </row>
    <row r="4764" spans="23:25" x14ac:dyDescent="0.25">
      <c r="W4764" s="214" t="s">
        <v>2185</v>
      </c>
      <c r="X4764" s="214" t="s">
        <v>4802</v>
      </c>
      <c r="Y4764" s="220">
        <v>8</v>
      </c>
    </row>
    <row r="4765" spans="23:25" x14ac:dyDescent="0.25">
      <c r="W4765" s="214" t="s">
        <v>2198</v>
      </c>
      <c r="X4765" s="214" t="s">
        <v>4803</v>
      </c>
      <c r="Y4765" s="220">
        <v>8</v>
      </c>
    </row>
    <row r="4766" spans="23:25" x14ac:dyDescent="0.25">
      <c r="W4766" s="214" t="s">
        <v>1976</v>
      </c>
      <c r="X4766" s="214" t="s">
        <v>1874</v>
      </c>
      <c r="Y4766" s="220">
        <v>7</v>
      </c>
    </row>
    <row r="4767" spans="23:25" x14ac:dyDescent="0.25">
      <c r="W4767" s="214" t="s">
        <v>2185</v>
      </c>
      <c r="X4767" s="214" t="s">
        <v>4804</v>
      </c>
      <c r="Y4767" s="220">
        <v>8</v>
      </c>
    </row>
    <row r="4768" spans="23:25" x14ac:dyDescent="0.25">
      <c r="W4768" s="214" t="s">
        <v>1976</v>
      </c>
      <c r="X4768" s="214" t="s">
        <v>4805</v>
      </c>
      <c r="Y4768" s="220">
        <v>7</v>
      </c>
    </row>
    <row r="4769" spans="23:25" x14ac:dyDescent="0.25">
      <c r="W4769" s="214" t="s">
        <v>2185</v>
      </c>
      <c r="X4769" s="214" t="s">
        <v>4806</v>
      </c>
      <c r="Y4769" s="220">
        <v>8</v>
      </c>
    </row>
    <row r="4770" spans="23:25" x14ac:dyDescent="0.25">
      <c r="W4770" s="214" t="s">
        <v>231</v>
      </c>
      <c r="X4770" s="214" t="s">
        <v>4807</v>
      </c>
      <c r="Y4770" s="220">
        <v>8</v>
      </c>
    </row>
    <row r="4771" spans="23:25" x14ac:dyDescent="0.25">
      <c r="W4771" s="214" t="s">
        <v>1976</v>
      </c>
      <c r="X4771" s="214" t="s">
        <v>4808</v>
      </c>
      <c r="Y4771" s="220">
        <v>7</v>
      </c>
    </row>
    <row r="4772" spans="23:25" x14ac:dyDescent="0.25">
      <c r="W4772" s="214" t="s">
        <v>1976</v>
      </c>
      <c r="X4772" s="214" t="s">
        <v>4809</v>
      </c>
      <c r="Y4772" s="220">
        <v>7</v>
      </c>
    </row>
    <row r="4773" spans="23:25" x14ac:dyDescent="0.25">
      <c r="W4773" s="214" t="s">
        <v>1976</v>
      </c>
      <c r="X4773" s="214" t="s">
        <v>4810</v>
      </c>
      <c r="Y4773" s="220">
        <v>7</v>
      </c>
    </row>
    <row r="4774" spans="23:25" x14ac:dyDescent="0.25">
      <c r="W4774" s="214" t="s">
        <v>2185</v>
      </c>
      <c r="X4774" s="214" t="s">
        <v>4811</v>
      </c>
      <c r="Y4774" s="220">
        <v>8</v>
      </c>
    </row>
    <row r="4775" spans="23:25" x14ac:dyDescent="0.25">
      <c r="W4775" s="214" t="s">
        <v>1976</v>
      </c>
      <c r="X4775" s="214" t="s">
        <v>4812</v>
      </c>
      <c r="Y4775" s="220">
        <v>7</v>
      </c>
    </row>
    <row r="4776" spans="23:25" x14ac:dyDescent="0.25">
      <c r="W4776" s="214" t="s">
        <v>2185</v>
      </c>
      <c r="X4776" s="214" t="s">
        <v>4813</v>
      </c>
      <c r="Y4776" s="220">
        <v>8</v>
      </c>
    </row>
    <row r="4777" spans="23:25" x14ac:dyDescent="0.25">
      <c r="W4777" s="214" t="s">
        <v>1976</v>
      </c>
      <c r="X4777" s="214" t="s">
        <v>4814</v>
      </c>
      <c r="Y4777" s="220">
        <v>7</v>
      </c>
    </row>
    <row r="4778" spans="23:25" x14ac:dyDescent="0.25">
      <c r="W4778" s="214" t="s">
        <v>1976</v>
      </c>
      <c r="X4778" s="214" t="s">
        <v>4815</v>
      </c>
      <c r="Y4778" s="220">
        <v>7</v>
      </c>
    </row>
    <row r="4779" spans="23:25" x14ac:dyDescent="0.25">
      <c r="W4779" s="214" t="s">
        <v>1976</v>
      </c>
      <c r="X4779" s="214" t="s">
        <v>4816</v>
      </c>
      <c r="Y4779" s="220">
        <v>7</v>
      </c>
    </row>
    <row r="4780" spans="23:25" x14ac:dyDescent="0.25">
      <c r="W4780" s="214" t="s">
        <v>2185</v>
      </c>
      <c r="X4780" s="214" t="s">
        <v>4817</v>
      </c>
      <c r="Y4780" s="220">
        <v>8</v>
      </c>
    </row>
    <row r="4781" spans="23:25" x14ac:dyDescent="0.25">
      <c r="W4781" s="214" t="s">
        <v>3872</v>
      </c>
      <c r="X4781" s="214" t="s">
        <v>4818</v>
      </c>
      <c r="Y4781" s="220">
        <v>7</v>
      </c>
    </row>
    <row r="4782" spans="23:25" x14ac:dyDescent="0.25">
      <c r="W4782" s="214" t="s">
        <v>1976</v>
      </c>
      <c r="X4782" s="214" t="s">
        <v>4819</v>
      </c>
      <c r="Y4782" s="220">
        <v>7</v>
      </c>
    </row>
    <row r="4783" spans="23:25" x14ac:dyDescent="0.25">
      <c r="W4783" s="214" t="s">
        <v>2185</v>
      </c>
      <c r="X4783" s="214" t="s">
        <v>4820</v>
      </c>
      <c r="Y4783" s="220">
        <v>8</v>
      </c>
    </row>
    <row r="4784" spans="23:25" x14ac:dyDescent="0.25">
      <c r="W4784" s="214" t="s">
        <v>2185</v>
      </c>
      <c r="X4784" s="214" t="s">
        <v>4821</v>
      </c>
      <c r="Y4784" s="220">
        <v>8</v>
      </c>
    </row>
    <row r="4785" spans="23:25" x14ac:dyDescent="0.25">
      <c r="W4785" s="214" t="s">
        <v>2185</v>
      </c>
      <c r="X4785" s="214" t="s">
        <v>4822</v>
      </c>
      <c r="Y4785" s="220">
        <v>8</v>
      </c>
    </row>
    <row r="4786" spans="23:25" x14ac:dyDescent="0.25">
      <c r="W4786" s="214" t="s">
        <v>2185</v>
      </c>
      <c r="X4786" s="214" t="s">
        <v>4823</v>
      </c>
      <c r="Y4786" s="220">
        <v>8</v>
      </c>
    </row>
    <row r="4787" spans="23:25" x14ac:dyDescent="0.25">
      <c r="W4787" s="214" t="s">
        <v>1976</v>
      </c>
      <c r="X4787" s="214" t="s">
        <v>4824</v>
      </c>
      <c r="Y4787" s="220">
        <v>7</v>
      </c>
    </row>
    <row r="4788" spans="23:25" x14ac:dyDescent="0.25">
      <c r="W4788" s="214" t="s">
        <v>1976</v>
      </c>
      <c r="X4788" s="214" t="s">
        <v>4825</v>
      </c>
      <c r="Y4788" s="220">
        <v>7</v>
      </c>
    </row>
    <row r="4789" spans="23:25" x14ac:dyDescent="0.25">
      <c r="W4789" s="214" t="s">
        <v>1976</v>
      </c>
      <c r="X4789" s="214" t="s">
        <v>4826</v>
      </c>
      <c r="Y4789" s="220">
        <v>6</v>
      </c>
    </row>
    <row r="4790" spans="23:25" x14ac:dyDescent="0.25">
      <c r="W4790" s="214" t="s">
        <v>1716</v>
      </c>
      <c r="X4790" s="214" t="s">
        <v>4827</v>
      </c>
      <c r="Y4790" s="220">
        <v>8</v>
      </c>
    </row>
    <row r="4791" spans="23:25" x14ac:dyDescent="0.25">
      <c r="W4791" s="214" t="s">
        <v>69</v>
      </c>
      <c r="X4791" s="214" t="s">
        <v>4828</v>
      </c>
      <c r="Y4791" s="220">
        <v>8</v>
      </c>
    </row>
    <row r="4792" spans="23:25" x14ac:dyDescent="0.25">
      <c r="W4792" s="214" t="s">
        <v>1763</v>
      </c>
      <c r="X4792" s="214" t="s">
        <v>4829</v>
      </c>
      <c r="Y4792" s="220">
        <v>8</v>
      </c>
    </row>
    <row r="4793" spans="23:25" x14ac:dyDescent="0.25">
      <c r="W4793" s="214" t="s">
        <v>242</v>
      </c>
      <c r="X4793" s="214" t="s">
        <v>4830</v>
      </c>
      <c r="Y4793" s="220">
        <v>8</v>
      </c>
    </row>
    <row r="4794" spans="23:25" x14ac:dyDescent="0.25">
      <c r="W4794" s="214" t="s">
        <v>1763</v>
      </c>
      <c r="X4794" s="214" t="s">
        <v>4831</v>
      </c>
      <c r="Y4794" s="220">
        <v>8</v>
      </c>
    </row>
    <row r="4795" spans="23:25" x14ac:dyDescent="0.25">
      <c r="W4795" s="214" t="s">
        <v>1763</v>
      </c>
      <c r="X4795" s="214" t="s">
        <v>4832</v>
      </c>
      <c r="Y4795" s="220">
        <v>8</v>
      </c>
    </row>
    <row r="4796" spans="23:25" x14ac:dyDescent="0.25">
      <c r="W4796" s="214" t="s">
        <v>242</v>
      </c>
      <c r="X4796" s="214" t="s">
        <v>4325</v>
      </c>
      <c r="Y4796" s="220">
        <v>8</v>
      </c>
    </row>
    <row r="4797" spans="23:25" x14ac:dyDescent="0.25">
      <c r="W4797" s="214" t="s">
        <v>1763</v>
      </c>
      <c r="X4797" s="214" t="s">
        <v>4833</v>
      </c>
      <c r="Y4797" s="220">
        <v>8</v>
      </c>
    </row>
    <row r="4798" spans="23:25" x14ac:dyDescent="0.25">
      <c r="W4798" s="214" t="s">
        <v>242</v>
      </c>
      <c r="X4798" s="214" t="s">
        <v>4834</v>
      </c>
      <c r="Y4798" s="220">
        <v>8</v>
      </c>
    </row>
    <row r="4799" spans="23:25" x14ac:dyDescent="0.25">
      <c r="W4799" s="214" t="s">
        <v>242</v>
      </c>
      <c r="X4799" s="214" t="s">
        <v>4835</v>
      </c>
      <c r="Y4799" s="220">
        <v>8</v>
      </c>
    </row>
    <row r="4800" spans="23:25" x14ac:dyDescent="0.25">
      <c r="W4800" s="214" t="s">
        <v>242</v>
      </c>
      <c r="X4800" s="214" t="s">
        <v>4836</v>
      </c>
      <c r="Y4800" s="220">
        <v>8</v>
      </c>
    </row>
    <row r="4801" spans="23:25" x14ac:dyDescent="0.25">
      <c r="W4801" s="214" t="s">
        <v>242</v>
      </c>
      <c r="X4801" s="214" t="s">
        <v>4837</v>
      </c>
      <c r="Y4801" s="220">
        <v>8</v>
      </c>
    </row>
    <row r="4802" spans="23:25" x14ac:dyDescent="0.25">
      <c r="W4802" s="214" t="s">
        <v>1716</v>
      </c>
      <c r="X4802" s="214" t="s">
        <v>4838</v>
      </c>
      <c r="Y4802" s="220">
        <v>8</v>
      </c>
    </row>
    <row r="4803" spans="23:25" x14ac:dyDescent="0.25">
      <c r="W4803" s="214" t="s">
        <v>242</v>
      </c>
      <c r="X4803" s="214" t="s">
        <v>4839</v>
      </c>
      <c r="Y4803" s="220">
        <v>8</v>
      </c>
    </row>
    <row r="4804" spans="23:25" x14ac:dyDescent="0.25">
      <c r="W4804" s="214" t="s">
        <v>3872</v>
      </c>
      <c r="X4804" s="214" t="s">
        <v>4840</v>
      </c>
      <c r="Y4804" s="220">
        <v>8</v>
      </c>
    </row>
    <row r="4805" spans="23:25" x14ac:dyDescent="0.25">
      <c r="W4805" s="214" t="s">
        <v>242</v>
      </c>
      <c r="X4805" s="214" t="s">
        <v>4841</v>
      </c>
      <c r="Y4805" s="220">
        <v>8</v>
      </c>
    </row>
    <row r="4806" spans="23:25" x14ac:dyDescent="0.25">
      <c r="W4806" s="214" t="s">
        <v>1763</v>
      </c>
      <c r="X4806" s="214" t="s">
        <v>4842</v>
      </c>
      <c r="Y4806" s="220">
        <v>8</v>
      </c>
    </row>
    <row r="4807" spans="23:25" x14ac:dyDescent="0.25">
      <c r="W4807" s="214" t="s">
        <v>1716</v>
      </c>
      <c r="X4807" s="214" t="s">
        <v>4843</v>
      </c>
      <c r="Y4807" s="220">
        <v>8</v>
      </c>
    </row>
    <row r="4808" spans="23:25" x14ac:dyDescent="0.25">
      <c r="W4808" s="214" t="s">
        <v>242</v>
      </c>
      <c r="X4808" s="214" t="s">
        <v>4844</v>
      </c>
      <c r="Y4808" s="220">
        <v>8</v>
      </c>
    </row>
    <row r="4809" spans="23:25" x14ac:dyDescent="0.25">
      <c r="W4809" s="214" t="s">
        <v>1763</v>
      </c>
      <c r="X4809" s="214" t="s">
        <v>4845</v>
      </c>
      <c r="Y4809" s="220">
        <v>8</v>
      </c>
    </row>
    <row r="4810" spans="23:25" x14ac:dyDescent="0.25">
      <c r="W4810" s="214" t="s">
        <v>69</v>
      </c>
      <c r="X4810" s="214" t="s">
        <v>4846</v>
      </c>
      <c r="Y4810" s="220">
        <v>8</v>
      </c>
    </row>
    <row r="4811" spans="23:25" x14ac:dyDescent="0.25">
      <c r="W4811" s="214" t="s">
        <v>69</v>
      </c>
      <c r="X4811" s="214" t="s">
        <v>3987</v>
      </c>
      <c r="Y4811" s="220">
        <v>8</v>
      </c>
    </row>
    <row r="4812" spans="23:25" x14ac:dyDescent="0.25">
      <c r="W4812" s="214" t="s">
        <v>1763</v>
      </c>
      <c r="X4812" s="214" t="s">
        <v>2050</v>
      </c>
      <c r="Y4812" s="220">
        <v>8</v>
      </c>
    </row>
    <row r="4813" spans="23:25" x14ac:dyDescent="0.25">
      <c r="W4813" s="214" t="s">
        <v>242</v>
      </c>
      <c r="X4813" s="214" t="s">
        <v>4847</v>
      </c>
      <c r="Y4813" s="220">
        <v>8</v>
      </c>
    </row>
    <row r="4814" spans="23:25" x14ac:dyDescent="0.25">
      <c r="W4814" s="214" t="s">
        <v>398</v>
      </c>
      <c r="X4814" s="214" t="s">
        <v>4848</v>
      </c>
      <c r="Y4814" s="220">
        <v>8</v>
      </c>
    </row>
    <row r="4815" spans="23:25" x14ac:dyDescent="0.25">
      <c r="W4815" s="214" t="s">
        <v>398</v>
      </c>
      <c r="X4815" s="214" t="s">
        <v>4849</v>
      </c>
      <c r="Y4815" s="220">
        <v>8</v>
      </c>
    </row>
    <row r="4816" spans="23:25" x14ac:dyDescent="0.25">
      <c r="W4816" s="214" t="s">
        <v>398</v>
      </c>
      <c r="X4816" s="214" t="s">
        <v>4850</v>
      </c>
      <c r="Y4816" s="220">
        <v>8</v>
      </c>
    </row>
    <row r="4817" spans="23:25" x14ac:dyDescent="0.25">
      <c r="W4817" s="214" t="s">
        <v>1667</v>
      </c>
      <c r="X4817" s="214" t="s">
        <v>4851</v>
      </c>
      <c r="Y4817" s="220">
        <v>8</v>
      </c>
    </row>
    <row r="4818" spans="23:25" x14ac:dyDescent="0.25">
      <c r="W4818" s="214" t="s">
        <v>1763</v>
      </c>
      <c r="X4818" s="214" t="s">
        <v>4852</v>
      </c>
      <c r="Y4818" s="220">
        <v>8</v>
      </c>
    </row>
    <row r="4819" spans="23:25" x14ac:dyDescent="0.25">
      <c r="W4819" s="214" t="s">
        <v>1716</v>
      </c>
      <c r="X4819" s="214" t="s">
        <v>4853</v>
      </c>
      <c r="Y4819" s="220">
        <v>8</v>
      </c>
    </row>
    <row r="4820" spans="23:25" x14ac:dyDescent="0.25">
      <c r="W4820" s="214" t="s">
        <v>1667</v>
      </c>
      <c r="X4820" s="214" t="s">
        <v>4854</v>
      </c>
      <c r="Y4820" s="220">
        <v>8</v>
      </c>
    </row>
    <row r="4821" spans="23:25" x14ac:dyDescent="0.25">
      <c r="W4821" s="214" t="s">
        <v>1667</v>
      </c>
      <c r="X4821" s="214" t="s">
        <v>1438</v>
      </c>
      <c r="Y4821" s="220">
        <v>8</v>
      </c>
    </row>
    <row r="4822" spans="23:25" x14ac:dyDescent="0.25">
      <c r="W4822" s="214" t="s">
        <v>242</v>
      </c>
      <c r="X4822" s="214" t="s">
        <v>2370</v>
      </c>
      <c r="Y4822" s="220">
        <v>8</v>
      </c>
    </row>
    <row r="4823" spans="23:25" x14ac:dyDescent="0.25">
      <c r="W4823" s="214" t="s">
        <v>398</v>
      </c>
      <c r="X4823" s="214" t="s">
        <v>4855</v>
      </c>
      <c r="Y4823" s="220">
        <v>8</v>
      </c>
    </row>
    <row r="4824" spans="23:25" x14ac:dyDescent="0.25">
      <c r="W4824" s="214" t="s">
        <v>69</v>
      </c>
      <c r="X4824" s="214" t="s">
        <v>4856</v>
      </c>
      <c r="Y4824" s="220">
        <v>8</v>
      </c>
    </row>
    <row r="4825" spans="23:25" x14ac:dyDescent="0.25">
      <c r="W4825" s="214" t="s">
        <v>69</v>
      </c>
      <c r="X4825" s="214" t="s">
        <v>2761</v>
      </c>
      <c r="Y4825" s="220">
        <v>8</v>
      </c>
    </row>
    <row r="4826" spans="23:25" x14ac:dyDescent="0.25">
      <c r="W4826" s="214" t="s">
        <v>1667</v>
      </c>
      <c r="X4826" s="214" t="s">
        <v>4012</v>
      </c>
      <c r="Y4826" s="220">
        <v>8</v>
      </c>
    </row>
    <row r="4827" spans="23:25" x14ac:dyDescent="0.25">
      <c r="W4827" s="214" t="s">
        <v>242</v>
      </c>
      <c r="X4827" s="214" t="s">
        <v>4857</v>
      </c>
      <c r="Y4827" s="220">
        <v>8</v>
      </c>
    </row>
    <row r="4828" spans="23:25" x14ac:dyDescent="0.25">
      <c r="W4828" s="214" t="s">
        <v>1667</v>
      </c>
      <c r="X4828" s="214" t="s">
        <v>2651</v>
      </c>
      <c r="Y4828" s="220">
        <v>8</v>
      </c>
    </row>
    <row r="4829" spans="23:25" x14ac:dyDescent="0.25">
      <c r="W4829" s="214" t="s">
        <v>1763</v>
      </c>
      <c r="X4829" s="214" t="s">
        <v>4858</v>
      </c>
      <c r="Y4829" s="220">
        <v>8</v>
      </c>
    </row>
    <row r="4830" spans="23:25" x14ac:dyDescent="0.25">
      <c r="W4830" s="214" t="s">
        <v>398</v>
      </c>
      <c r="X4830" s="214" t="s">
        <v>4859</v>
      </c>
      <c r="Y4830" s="220">
        <v>8</v>
      </c>
    </row>
    <row r="4831" spans="23:25" x14ac:dyDescent="0.25">
      <c r="W4831" s="214" t="s">
        <v>1667</v>
      </c>
      <c r="X4831" s="214" t="s">
        <v>4860</v>
      </c>
      <c r="Y4831" s="220">
        <v>8</v>
      </c>
    </row>
    <row r="4832" spans="23:25" x14ac:dyDescent="0.25">
      <c r="W4832" s="214" t="s">
        <v>242</v>
      </c>
      <c r="X4832" s="214" t="s">
        <v>4861</v>
      </c>
      <c r="Y4832" s="220">
        <v>8</v>
      </c>
    </row>
    <row r="4833" spans="23:25" x14ac:dyDescent="0.25">
      <c r="W4833" s="214" t="s">
        <v>1667</v>
      </c>
      <c r="X4833" s="214" t="s">
        <v>1576</v>
      </c>
      <c r="Y4833" s="220">
        <v>8</v>
      </c>
    </row>
    <row r="4834" spans="23:25" x14ac:dyDescent="0.25">
      <c r="W4834" s="214" t="s">
        <v>1763</v>
      </c>
      <c r="X4834" s="214" t="s">
        <v>4862</v>
      </c>
      <c r="Y4834" s="220">
        <v>8</v>
      </c>
    </row>
    <row r="4835" spans="23:25" x14ac:dyDescent="0.25">
      <c r="W4835" s="214" t="s">
        <v>1667</v>
      </c>
      <c r="X4835" s="214" t="s">
        <v>4863</v>
      </c>
      <c r="Y4835" s="220">
        <v>8</v>
      </c>
    </row>
    <row r="4836" spans="23:25" x14ac:dyDescent="0.25">
      <c r="W4836" s="214" t="s">
        <v>69</v>
      </c>
      <c r="X4836" s="214" t="s">
        <v>4864</v>
      </c>
      <c r="Y4836" s="220">
        <v>8</v>
      </c>
    </row>
    <row r="4837" spans="23:25" x14ac:dyDescent="0.25">
      <c r="W4837" s="214" t="s">
        <v>69</v>
      </c>
      <c r="X4837" s="214" t="s">
        <v>4865</v>
      </c>
      <c r="Y4837" s="220">
        <v>8</v>
      </c>
    </row>
    <row r="4838" spans="23:25" x14ac:dyDescent="0.25">
      <c r="W4838" s="214" t="s">
        <v>1667</v>
      </c>
      <c r="X4838" s="214" t="s">
        <v>4866</v>
      </c>
      <c r="Y4838" s="220">
        <v>8</v>
      </c>
    </row>
    <row r="4839" spans="23:25" x14ac:dyDescent="0.25">
      <c r="W4839" s="214" t="s">
        <v>69</v>
      </c>
      <c r="X4839" s="214" t="s">
        <v>4867</v>
      </c>
      <c r="Y4839" s="220">
        <v>8</v>
      </c>
    </row>
    <row r="4840" spans="23:25" x14ac:dyDescent="0.25">
      <c r="W4840" s="214" t="s">
        <v>1716</v>
      </c>
      <c r="X4840" s="214" t="s">
        <v>4868</v>
      </c>
      <c r="Y4840" s="220">
        <v>8</v>
      </c>
    </row>
    <row r="4841" spans="23:25" x14ac:dyDescent="0.25">
      <c r="W4841" s="214" t="s">
        <v>69</v>
      </c>
      <c r="X4841" s="214" t="s">
        <v>4869</v>
      </c>
      <c r="Y4841" s="220">
        <v>8</v>
      </c>
    </row>
    <row r="4842" spans="23:25" x14ac:dyDescent="0.25">
      <c r="W4842" s="214" t="s">
        <v>242</v>
      </c>
      <c r="X4842" s="214" t="s">
        <v>4870</v>
      </c>
      <c r="Y4842" s="220">
        <v>8</v>
      </c>
    </row>
    <row r="4843" spans="23:25" x14ac:dyDescent="0.25">
      <c r="W4843" s="214" t="s">
        <v>1716</v>
      </c>
      <c r="X4843" s="214" t="s">
        <v>4871</v>
      </c>
      <c r="Y4843" s="220">
        <v>8</v>
      </c>
    </row>
    <row r="4844" spans="23:25" x14ac:dyDescent="0.25">
      <c r="W4844" s="214" t="s">
        <v>244</v>
      </c>
      <c r="X4844" s="214" t="s">
        <v>4872</v>
      </c>
      <c r="Y4844" s="220">
        <v>5</v>
      </c>
    </row>
    <row r="4845" spans="23:25" x14ac:dyDescent="0.25">
      <c r="W4845" s="214" t="s">
        <v>242</v>
      </c>
      <c r="X4845" s="214" t="s">
        <v>4873</v>
      </c>
      <c r="Y4845" s="220">
        <v>8</v>
      </c>
    </row>
    <row r="4846" spans="23:25" x14ac:dyDescent="0.25">
      <c r="W4846" s="214" t="s">
        <v>242</v>
      </c>
      <c r="X4846" s="214" t="s">
        <v>4874</v>
      </c>
      <c r="Y4846" s="220">
        <v>8</v>
      </c>
    </row>
    <row r="4847" spans="23:25" x14ac:dyDescent="0.25">
      <c r="W4847" s="214" t="s">
        <v>69</v>
      </c>
      <c r="X4847" s="214" t="s">
        <v>4875</v>
      </c>
      <c r="Y4847" s="220">
        <v>8</v>
      </c>
    </row>
    <row r="4848" spans="23:25" x14ac:dyDescent="0.25">
      <c r="W4848" s="214" t="s">
        <v>1763</v>
      </c>
      <c r="X4848" s="214" t="s">
        <v>4876</v>
      </c>
      <c r="Y4848" s="220">
        <v>8</v>
      </c>
    </row>
    <row r="4849" spans="23:25" x14ac:dyDescent="0.25">
      <c r="W4849" s="214" t="s">
        <v>1716</v>
      </c>
      <c r="X4849" s="214" t="s">
        <v>2071</v>
      </c>
      <c r="Y4849" s="220">
        <v>8</v>
      </c>
    </row>
    <row r="4850" spans="23:25" x14ac:dyDescent="0.25">
      <c r="W4850" s="214" t="s">
        <v>1763</v>
      </c>
      <c r="X4850" s="214" t="s">
        <v>4877</v>
      </c>
      <c r="Y4850" s="220">
        <v>8</v>
      </c>
    </row>
    <row r="4851" spans="23:25" x14ac:dyDescent="0.25">
      <c r="W4851" s="214" t="s">
        <v>398</v>
      </c>
      <c r="X4851" s="214" t="s">
        <v>4878</v>
      </c>
      <c r="Y4851" s="220">
        <v>8</v>
      </c>
    </row>
    <row r="4852" spans="23:25" x14ac:dyDescent="0.25">
      <c r="W4852" s="214" t="s">
        <v>274</v>
      </c>
      <c r="X4852" s="214" t="s">
        <v>4879</v>
      </c>
      <c r="Y4852" s="220">
        <v>5</v>
      </c>
    </row>
    <row r="4853" spans="23:25" x14ac:dyDescent="0.25">
      <c r="W4853" s="214" t="s">
        <v>1667</v>
      </c>
      <c r="X4853" s="214" t="s">
        <v>2525</v>
      </c>
      <c r="Y4853" s="220">
        <v>8</v>
      </c>
    </row>
    <row r="4854" spans="23:25" x14ac:dyDescent="0.25">
      <c r="W4854" s="214" t="s">
        <v>398</v>
      </c>
      <c r="X4854" s="214" t="s">
        <v>2176</v>
      </c>
      <c r="Y4854" s="220">
        <v>8</v>
      </c>
    </row>
    <row r="4855" spans="23:25" x14ac:dyDescent="0.25">
      <c r="W4855" s="214" t="s">
        <v>398</v>
      </c>
      <c r="X4855" s="214" t="s">
        <v>4880</v>
      </c>
      <c r="Y4855" s="220">
        <v>8</v>
      </c>
    </row>
    <row r="4856" spans="23:25" x14ac:dyDescent="0.25">
      <c r="W4856" s="214" t="s">
        <v>398</v>
      </c>
      <c r="X4856" s="214" t="s">
        <v>4881</v>
      </c>
      <c r="Y4856" s="220">
        <v>8</v>
      </c>
    </row>
    <row r="4857" spans="23:25" x14ac:dyDescent="0.25">
      <c r="W4857" s="214" t="s">
        <v>242</v>
      </c>
      <c r="X4857" s="214" t="s">
        <v>4882</v>
      </c>
      <c r="Y4857" s="220">
        <v>8</v>
      </c>
    </row>
    <row r="4858" spans="23:25" x14ac:dyDescent="0.25">
      <c r="W4858" s="214" t="s">
        <v>1763</v>
      </c>
      <c r="X4858" s="214" t="s">
        <v>4883</v>
      </c>
      <c r="Y4858" s="220">
        <v>8</v>
      </c>
    </row>
    <row r="4859" spans="23:25" x14ac:dyDescent="0.25">
      <c r="W4859" s="214" t="s">
        <v>1667</v>
      </c>
      <c r="X4859" s="214" t="s">
        <v>4884</v>
      </c>
      <c r="Y4859" s="220">
        <v>8</v>
      </c>
    </row>
    <row r="4860" spans="23:25" x14ac:dyDescent="0.25">
      <c r="W4860" s="214" t="s">
        <v>1763</v>
      </c>
      <c r="X4860" s="214" t="s">
        <v>4885</v>
      </c>
      <c r="Y4860" s="220">
        <v>8</v>
      </c>
    </row>
    <row r="4861" spans="23:25" x14ac:dyDescent="0.25">
      <c r="W4861" s="214" t="s">
        <v>242</v>
      </c>
      <c r="X4861" s="214" t="s">
        <v>4886</v>
      </c>
      <c r="Y4861" s="220">
        <v>8</v>
      </c>
    </row>
    <row r="4862" spans="23:25" x14ac:dyDescent="0.25">
      <c r="W4862" s="214" t="s">
        <v>242</v>
      </c>
      <c r="X4862" s="214" t="s">
        <v>4887</v>
      </c>
      <c r="Y4862" s="220">
        <v>8</v>
      </c>
    </row>
    <row r="4863" spans="23:25" x14ac:dyDescent="0.25">
      <c r="W4863" s="214" t="s">
        <v>1763</v>
      </c>
      <c r="X4863" s="214" t="s">
        <v>4888</v>
      </c>
      <c r="Y4863" s="220">
        <v>8</v>
      </c>
    </row>
    <row r="4864" spans="23:25" x14ac:dyDescent="0.25">
      <c r="W4864" s="214" t="s">
        <v>244</v>
      </c>
      <c r="X4864" s="214" t="s">
        <v>4889</v>
      </c>
      <c r="Y4864" s="220">
        <v>5</v>
      </c>
    </row>
    <row r="4865" spans="23:25" x14ac:dyDescent="0.25">
      <c r="W4865" s="214" t="s">
        <v>398</v>
      </c>
      <c r="X4865" s="214" t="s">
        <v>4890</v>
      </c>
      <c r="Y4865" s="220">
        <v>8</v>
      </c>
    </row>
    <row r="4866" spans="23:25" x14ac:dyDescent="0.25">
      <c r="W4866" s="214" t="s">
        <v>242</v>
      </c>
      <c r="X4866" s="214" t="s">
        <v>4891</v>
      </c>
      <c r="Y4866" s="220">
        <v>8</v>
      </c>
    </row>
    <row r="4867" spans="23:25" x14ac:dyDescent="0.25">
      <c r="W4867" s="214" t="s">
        <v>242</v>
      </c>
      <c r="X4867" s="214" t="s">
        <v>4892</v>
      </c>
      <c r="Y4867" s="220">
        <v>8</v>
      </c>
    </row>
    <row r="4868" spans="23:25" x14ac:dyDescent="0.25">
      <c r="W4868" s="214" t="s">
        <v>242</v>
      </c>
      <c r="X4868" s="214" t="s">
        <v>4893</v>
      </c>
      <c r="Y4868" s="220">
        <v>8</v>
      </c>
    </row>
    <row r="4869" spans="23:25" x14ac:dyDescent="0.25">
      <c r="W4869" s="214" t="s">
        <v>3870</v>
      </c>
      <c r="X4869" s="214" t="s">
        <v>4894</v>
      </c>
      <c r="Y4869" s="220">
        <v>7</v>
      </c>
    </row>
    <row r="4870" spans="23:25" x14ac:dyDescent="0.25">
      <c r="W4870" s="214" t="s">
        <v>1716</v>
      </c>
      <c r="X4870" s="214" t="s">
        <v>4895</v>
      </c>
      <c r="Y4870" s="220">
        <v>8</v>
      </c>
    </row>
    <row r="4871" spans="23:25" x14ac:dyDescent="0.25">
      <c r="W4871" s="214" t="s">
        <v>398</v>
      </c>
      <c r="X4871" s="214" t="s">
        <v>4896</v>
      </c>
      <c r="Y4871" s="220">
        <v>8</v>
      </c>
    </row>
    <row r="4872" spans="23:25" x14ac:dyDescent="0.25">
      <c r="W4872" s="214" t="s">
        <v>1667</v>
      </c>
      <c r="X4872" s="214" t="s">
        <v>4897</v>
      </c>
      <c r="Y4872" s="220">
        <v>8</v>
      </c>
    </row>
    <row r="4873" spans="23:25" x14ac:dyDescent="0.25">
      <c r="W4873" s="214" t="s">
        <v>242</v>
      </c>
      <c r="X4873" s="214" t="s">
        <v>4312</v>
      </c>
      <c r="Y4873" s="220">
        <v>8</v>
      </c>
    </row>
    <row r="4874" spans="23:25" x14ac:dyDescent="0.25">
      <c r="W4874" s="214" t="s">
        <v>274</v>
      </c>
      <c r="X4874" s="214" t="s">
        <v>4898</v>
      </c>
      <c r="Y4874" s="220">
        <v>5</v>
      </c>
    </row>
    <row r="4875" spans="23:25" x14ac:dyDescent="0.25">
      <c r="W4875" s="214" t="s">
        <v>1716</v>
      </c>
      <c r="X4875" s="214" t="s">
        <v>4899</v>
      </c>
      <c r="Y4875" s="220">
        <v>8</v>
      </c>
    </row>
    <row r="4876" spans="23:25" x14ac:dyDescent="0.25">
      <c r="W4876" s="214" t="s">
        <v>274</v>
      </c>
      <c r="X4876" s="214" t="s">
        <v>4900</v>
      </c>
      <c r="Y4876" s="220">
        <v>5</v>
      </c>
    </row>
    <row r="4877" spans="23:25" x14ac:dyDescent="0.25">
      <c r="W4877" s="214" t="s">
        <v>69</v>
      </c>
      <c r="X4877" s="214" t="s">
        <v>4901</v>
      </c>
      <c r="Y4877" s="220">
        <v>8</v>
      </c>
    </row>
    <row r="4878" spans="23:25" x14ac:dyDescent="0.25">
      <c r="W4878" s="214" t="s">
        <v>1667</v>
      </c>
      <c r="X4878" s="214" t="s">
        <v>3325</v>
      </c>
      <c r="Y4878" s="220">
        <v>8</v>
      </c>
    </row>
    <row r="4879" spans="23:25" x14ac:dyDescent="0.25">
      <c r="W4879" s="214" t="s">
        <v>29</v>
      </c>
      <c r="X4879" s="214" t="s">
        <v>4902</v>
      </c>
      <c r="Y4879" s="220">
        <v>8</v>
      </c>
    </row>
    <row r="4880" spans="23:25" x14ac:dyDescent="0.25">
      <c r="W4880" s="214" t="s">
        <v>1716</v>
      </c>
      <c r="X4880" s="214" t="s">
        <v>4903</v>
      </c>
      <c r="Y4880" s="220">
        <v>8</v>
      </c>
    </row>
    <row r="4881" spans="23:25" x14ac:dyDescent="0.25">
      <c r="W4881" s="214" t="s">
        <v>398</v>
      </c>
      <c r="X4881" s="214" t="s">
        <v>4831</v>
      </c>
      <c r="Y4881" s="220">
        <v>8</v>
      </c>
    </row>
    <row r="4882" spans="23:25" x14ac:dyDescent="0.25">
      <c r="W4882" s="214" t="s">
        <v>1667</v>
      </c>
      <c r="X4882" s="214" t="s">
        <v>4904</v>
      </c>
      <c r="Y4882" s="220">
        <v>8</v>
      </c>
    </row>
    <row r="4883" spans="23:25" x14ac:dyDescent="0.25">
      <c r="W4883" s="214" t="s">
        <v>1694</v>
      </c>
      <c r="X4883" s="214" t="s">
        <v>390</v>
      </c>
      <c r="Y4883" s="220">
        <v>8</v>
      </c>
    </row>
    <row r="4884" spans="23:25" x14ac:dyDescent="0.25">
      <c r="W4884" s="214" t="s">
        <v>29</v>
      </c>
      <c r="X4884" s="214" t="s">
        <v>4905</v>
      </c>
      <c r="Y4884" s="220">
        <v>8</v>
      </c>
    </row>
    <row r="4885" spans="23:25" x14ac:dyDescent="0.25">
      <c r="W4885" s="214" t="s">
        <v>242</v>
      </c>
      <c r="X4885" s="214" t="s">
        <v>4906</v>
      </c>
      <c r="Y4885" s="220">
        <v>8</v>
      </c>
    </row>
    <row r="4886" spans="23:25" x14ac:dyDescent="0.25">
      <c r="W4886" s="214" t="s">
        <v>398</v>
      </c>
      <c r="X4886" s="214" t="s">
        <v>4907</v>
      </c>
      <c r="Y4886" s="220">
        <v>8</v>
      </c>
    </row>
    <row r="4887" spans="23:25" x14ac:dyDescent="0.25">
      <c r="W4887" s="214" t="s">
        <v>1667</v>
      </c>
      <c r="X4887" s="214" t="s">
        <v>4316</v>
      </c>
      <c r="Y4887" s="220">
        <v>8</v>
      </c>
    </row>
    <row r="4888" spans="23:25" x14ac:dyDescent="0.25">
      <c r="W4888" s="214" t="s">
        <v>242</v>
      </c>
      <c r="X4888" s="214" t="s">
        <v>4908</v>
      </c>
      <c r="Y4888" s="220">
        <v>8</v>
      </c>
    </row>
    <row r="4889" spans="23:25" x14ac:dyDescent="0.25">
      <c r="W4889" s="214" t="s">
        <v>1716</v>
      </c>
      <c r="X4889" s="214" t="s">
        <v>4909</v>
      </c>
      <c r="Y4889" s="220">
        <v>8</v>
      </c>
    </row>
    <row r="4890" spans="23:25" x14ac:dyDescent="0.25">
      <c r="W4890" s="214" t="s">
        <v>1763</v>
      </c>
      <c r="X4890" s="214" t="s">
        <v>4910</v>
      </c>
      <c r="Y4890" s="220">
        <v>8</v>
      </c>
    </row>
    <row r="4891" spans="23:25" x14ac:dyDescent="0.25">
      <c r="W4891" s="214" t="s">
        <v>1763</v>
      </c>
      <c r="X4891" s="214" t="s">
        <v>4911</v>
      </c>
      <c r="Y4891" s="220">
        <v>8</v>
      </c>
    </row>
    <row r="4892" spans="23:25" x14ac:dyDescent="0.25">
      <c r="W4892" s="214" t="s">
        <v>398</v>
      </c>
      <c r="X4892" s="214" t="s">
        <v>1438</v>
      </c>
      <c r="Y4892" s="220">
        <v>8</v>
      </c>
    </row>
    <row r="4893" spans="23:25" x14ac:dyDescent="0.25">
      <c r="W4893" s="214" t="s">
        <v>398</v>
      </c>
      <c r="X4893" s="214" t="s">
        <v>4912</v>
      </c>
      <c r="Y4893" s="220">
        <v>8</v>
      </c>
    </row>
    <row r="4894" spans="23:25" x14ac:dyDescent="0.25">
      <c r="W4894" s="214" t="s">
        <v>398</v>
      </c>
      <c r="X4894" s="214" t="s">
        <v>4913</v>
      </c>
      <c r="Y4894" s="220">
        <v>5</v>
      </c>
    </row>
    <row r="4895" spans="23:25" x14ac:dyDescent="0.25">
      <c r="W4895" s="214" t="s">
        <v>3870</v>
      </c>
      <c r="X4895" s="214" t="s">
        <v>4914</v>
      </c>
      <c r="Y4895" s="220">
        <v>7</v>
      </c>
    </row>
    <row r="4896" spans="23:25" x14ac:dyDescent="0.25">
      <c r="W4896" s="214" t="s">
        <v>1667</v>
      </c>
      <c r="X4896" s="214" t="s">
        <v>4915</v>
      </c>
      <c r="Y4896" s="220">
        <v>8</v>
      </c>
    </row>
    <row r="4897" spans="23:25" x14ac:dyDescent="0.25">
      <c r="W4897" s="214" t="s">
        <v>242</v>
      </c>
      <c r="X4897" s="214" t="s">
        <v>4916</v>
      </c>
      <c r="Y4897" s="220">
        <v>8</v>
      </c>
    </row>
    <row r="4898" spans="23:25" x14ac:dyDescent="0.25">
      <c r="W4898" s="214" t="s">
        <v>1763</v>
      </c>
      <c r="X4898" s="214" t="s">
        <v>4917</v>
      </c>
      <c r="Y4898" s="220">
        <v>8</v>
      </c>
    </row>
    <row r="4899" spans="23:25" x14ac:dyDescent="0.25">
      <c r="W4899" s="214" t="s">
        <v>1667</v>
      </c>
      <c r="X4899" s="214" t="s">
        <v>4918</v>
      </c>
      <c r="Y4899" s="220">
        <v>8</v>
      </c>
    </row>
    <row r="4900" spans="23:25" x14ac:dyDescent="0.25">
      <c r="W4900" s="214" t="s">
        <v>1667</v>
      </c>
      <c r="X4900" s="214" t="s">
        <v>2074</v>
      </c>
      <c r="Y4900" s="220">
        <v>8</v>
      </c>
    </row>
    <row r="4901" spans="23:25" x14ac:dyDescent="0.25">
      <c r="W4901" s="214" t="s">
        <v>1763</v>
      </c>
      <c r="X4901" s="214" t="s">
        <v>4919</v>
      </c>
      <c r="Y4901" s="220">
        <v>8</v>
      </c>
    </row>
    <row r="4902" spans="23:25" x14ac:dyDescent="0.25">
      <c r="W4902" s="214" t="s">
        <v>398</v>
      </c>
      <c r="X4902" s="214" t="s">
        <v>4920</v>
      </c>
      <c r="Y4902" s="220">
        <v>8</v>
      </c>
    </row>
    <row r="4903" spans="23:25" x14ac:dyDescent="0.25">
      <c r="W4903" s="214" t="s">
        <v>1716</v>
      </c>
      <c r="X4903" s="214" t="s">
        <v>4921</v>
      </c>
      <c r="Y4903" s="220">
        <v>8</v>
      </c>
    </row>
    <row r="4904" spans="23:25" x14ac:dyDescent="0.25">
      <c r="W4904" s="214" t="s">
        <v>1716</v>
      </c>
      <c r="X4904" s="214" t="s">
        <v>4922</v>
      </c>
      <c r="Y4904" s="220">
        <v>8</v>
      </c>
    </row>
    <row r="4905" spans="23:25" x14ac:dyDescent="0.25">
      <c r="W4905" s="214" t="s">
        <v>1667</v>
      </c>
      <c r="X4905" s="214" t="s">
        <v>4352</v>
      </c>
      <c r="Y4905" s="220">
        <v>8</v>
      </c>
    </row>
    <row r="4906" spans="23:25" x14ac:dyDescent="0.25">
      <c r="W4906" s="214" t="s">
        <v>1667</v>
      </c>
      <c r="X4906" s="214" t="s">
        <v>4923</v>
      </c>
      <c r="Y4906" s="220">
        <v>8</v>
      </c>
    </row>
    <row r="4907" spans="23:25" x14ac:dyDescent="0.25">
      <c r="W4907" s="214" t="s">
        <v>1667</v>
      </c>
      <c r="X4907" s="214" t="s">
        <v>4924</v>
      </c>
      <c r="Y4907" s="220">
        <v>8</v>
      </c>
    </row>
    <row r="4908" spans="23:25" x14ac:dyDescent="0.25">
      <c r="W4908" s="214" t="s">
        <v>1667</v>
      </c>
      <c r="X4908" s="214" t="s">
        <v>4925</v>
      </c>
      <c r="Y4908" s="220">
        <v>8</v>
      </c>
    </row>
    <row r="4909" spans="23:25" x14ac:dyDescent="0.25">
      <c r="W4909" s="214" t="s">
        <v>1740</v>
      </c>
      <c r="X4909" s="214" t="s">
        <v>4926</v>
      </c>
      <c r="Y4909" s="220">
        <v>7</v>
      </c>
    </row>
    <row r="4910" spans="23:25" x14ac:dyDescent="0.25">
      <c r="W4910" s="214" t="s">
        <v>398</v>
      </c>
      <c r="X4910" s="214" t="s">
        <v>4927</v>
      </c>
      <c r="Y4910" s="220">
        <v>8</v>
      </c>
    </row>
    <row r="4911" spans="23:25" x14ac:dyDescent="0.25">
      <c r="W4911" s="214" t="s">
        <v>244</v>
      </c>
      <c r="X4911" s="214" t="s">
        <v>4928</v>
      </c>
      <c r="Y4911" s="220">
        <v>8</v>
      </c>
    </row>
    <row r="4912" spans="23:25" x14ac:dyDescent="0.25">
      <c r="W4912" s="214" t="s">
        <v>69</v>
      </c>
      <c r="X4912" s="214" t="s">
        <v>4929</v>
      </c>
      <c r="Y4912" s="220">
        <v>8</v>
      </c>
    </row>
    <row r="4913" spans="23:25" x14ac:dyDescent="0.25">
      <c r="W4913" s="214" t="s">
        <v>398</v>
      </c>
      <c r="X4913" s="214" t="s">
        <v>4930</v>
      </c>
      <c r="Y4913" s="220">
        <v>8</v>
      </c>
    </row>
    <row r="4914" spans="23:25" x14ac:dyDescent="0.25">
      <c r="W4914" s="214" t="s">
        <v>274</v>
      </c>
      <c r="X4914" s="214" t="s">
        <v>4931</v>
      </c>
      <c r="Y4914" s="220">
        <v>5</v>
      </c>
    </row>
    <row r="4915" spans="23:25" x14ac:dyDescent="0.25">
      <c r="W4915" s="214" t="s">
        <v>242</v>
      </c>
      <c r="X4915" s="214" t="s">
        <v>4932</v>
      </c>
      <c r="Y4915" s="220">
        <v>7</v>
      </c>
    </row>
    <row r="4916" spans="23:25" x14ac:dyDescent="0.25">
      <c r="W4916" s="214" t="s">
        <v>242</v>
      </c>
      <c r="X4916" s="214" t="s">
        <v>4933</v>
      </c>
      <c r="Y4916" s="220">
        <v>8</v>
      </c>
    </row>
    <row r="4917" spans="23:25" x14ac:dyDescent="0.25">
      <c r="W4917" s="214" t="s">
        <v>1716</v>
      </c>
      <c r="X4917" s="214" t="s">
        <v>4934</v>
      </c>
      <c r="Y4917" s="220">
        <v>8</v>
      </c>
    </row>
    <row r="4918" spans="23:25" x14ac:dyDescent="0.25">
      <c r="W4918" s="214" t="s">
        <v>242</v>
      </c>
      <c r="X4918" s="214" t="s">
        <v>4935</v>
      </c>
      <c r="Y4918" s="220">
        <v>8</v>
      </c>
    </row>
    <row r="4919" spans="23:25" x14ac:dyDescent="0.25">
      <c r="W4919" s="214" t="s">
        <v>1716</v>
      </c>
      <c r="X4919" s="214" t="s">
        <v>4936</v>
      </c>
      <c r="Y4919" s="220">
        <v>8</v>
      </c>
    </row>
    <row r="4920" spans="23:25" x14ac:dyDescent="0.25">
      <c r="W4920" s="214" t="s">
        <v>1763</v>
      </c>
      <c r="X4920" s="214" t="s">
        <v>4937</v>
      </c>
      <c r="Y4920" s="220">
        <v>8</v>
      </c>
    </row>
    <row r="4921" spans="23:25" x14ac:dyDescent="0.25">
      <c r="W4921" s="214" t="s">
        <v>398</v>
      </c>
      <c r="X4921" s="214" t="s">
        <v>4938</v>
      </c>
      <c r="Y4921" s="220">
        <v>8</v>
      </c>
    </row>
    <row r="4922" spans="23:25" x14ac:dyDescent="0.25">
      <c r="W4922" s="214" t="s">
        <v>69</v>
      </c>
      <c r="X4922" s="214" t="s">
        <v>4939</v>
      </c>
      <c r="Y4922" s="220">
        <v>8</v>
      </c>
    </row>
    <row r="4923" spans="23:25" x14ac:dyDescent="0.25">
      <c r="W4923" s="214" t="s">
        <v>242</v>
      </c>
      <c r="X4923" s="214" t="s">
        <v>4413</v>
      </c>
      <c r="Y4923" s="220">
        <v>8</v>
      </c>
    </row>
    <row r="4924" spans="23:25" x14ac:dyDescent="0.25">
      <c r="W4924" s="214" t="s">
        <v>3870</v>
      </c>
      <c r="X4924" s="214" t="s">
        <v>4940</v>
      </c>
      <c r="Y4924" s="220">
        <v>7</v>
      </c>
    </row>
    <row r="4925" spans="23:25" x14ac:dyDescent="0.25">
      <c r="W4925" s="214" t="s">
        <v>398</v>
      </c>
      <c r="X4925" s="214" t="s">
        <v>4941</v>
      </c>
      <c r="Y4925" s="220">
        <v>6</v>
      </c>
    </row>
    <row r="4926" spans="23:25" x14ac:dyDescent="0.25">
      <c r="W4926" s="214" t="s">
        <v>398</v>
      </c>
      <c r="X4926" s="214" t="s">
        <v>4942</v>
      </c>
      <c r="Y4926" s="220">
        <v>6</v>
      </c>
    </row>
    <row r="4927" spans="23:25" x14ac:dyDescent="0.25">
      <c r="W4927" s="214" t="s">
        <v>398</v>
      </c>
      <c r="X4927" s="214" t="s">
        <v>4943</v>
      </c>
      <c r="Y4927" s="220">
        <v>8</v>
      </c>
    </row>
    <row r="4928" spans="23:25" x14ac:dyDescent="0.25">
      <c r="W4928" s="214" t="s">
        <v>1667</v>
      </c>
      <c r="X4928" s="214" t="s">
        <v>4688</v>
      </c>
      <c r="Y4928" s="220">
        <v>8</v>
      </c>
    </row>
    <row r="4929" spans="23:25" x14ac:dyDescent="0.25">
      <c r="W4929" s="214" t="s">
        <v>242</v>
      </c>
      <c r="X4929" s="214" t="s">
        <v>4944</v>
      </c>
      <c r="Y4929" s="220">
        <v>8</v>
      </c>
    </row>
    <row r="4930" spans="23:25" x14ac:dyDescent="0.25">
      <c r="W4930" s="214" t="s">
        <v>1943</v>
      </c>
      <c r="X4930" s="214" t="s">
        <v>4945</v>
      </c>
      <c r="Y4930" s="220">
        <v>8</v>
      </c>
    </row>
    <row r="4931" spans="23:25" x14ac:dyDescent="0.25">
      <c r="W4931" s="214" t="s">
        <v>398</v>
      </c>
      <c r="X4931" s="214" t="s">
        <v>4946</v>
      </c>
      <c r="Y4931" s="220">
        <v>8</v>
      </c>
    </row>
    <row r="4932" spans="23:25" x14ac:dyDescent="0.25">
      <c r="W4932" s="214" t="s">
        <v>398</v>
      </c>
      <c r="X4932" s="214" t="s">
        <v>4947</v>
      </c>
      <c r="Y4932" s="220">
        <v>8</v>
      </c>
    </row>
    <row r="4933" spans="23:25" x14ac:dyDescent="0.25">
      <c r="W4933" s="214" t="s">
        <v>29</v>
      </c>
      <c r="X4933" s="214" t="s">
        <v>4948</v>
      </c>
      <c r="Y4933" s="220">
        <v>8</v>
      </c>
    </row>
    <row r="4934" spans="23:25" x14ac:dyDescent="0.25">
      <c r="W4934" s="214" t="s">
        <v>3870</v>
      </c>
      <c r="X4934" s="214" t="s">
        <v>4949</v>
      </c>
      <c r="Y4934" s="220">
        <v>7</v>
      </c>
    </row>
    <row r="4935" spans="23:25" x14ac:dyDescent="0.25">
      <c r="W4935" s="214" t="s">
        <v>398</v>
      </c>
      <c r="X4935" s="214" t="s">
        <v>4950</v>
      </c>
      <c r="Y4935" s="220">
        <v>6</v>
      </c>
    </row>
    <row r="4936" spans="23:25" x14ac:dyDescent="0.25">
      <c r="W4936" s="214" t="s">
        <v>398</v>
      </c>
      <c r="X4936" s="214" t="s">
        <v>4951</v>
      </c>
      <c r="Y4936" s="220">
        <v>8</v>
      </c>
    </row>
    <row r="4937" spans="23:25" x14ac:dyDescent="0.25">
      <c r="W4937" s="214" t="s">
        <v>1716</v>
      </c>
      <c r="X4937" s="214" t="s">
        <v>4952</v>
      </c>
      <c r="Y4937" s="220">
        <v>8</v>
      </c>
    </row>
    <row r="4938" spans="23:25" x14ac:dyDescent="0.25">
      <c r="W4938" s="214" t="s">
        <v>1716</v>
      </c>
      <c r="X4938" s="214" t="s">
        <v>4953</v>
      </c>
      <c r="Y4938" s="220">
        <v>8</v>
      </c>
    </row>
    <row r="4939" spans="23:25" x14ac:dyDescent="0.25">
      <c r="W4939" s="214" t="s">
        <v>1763</v>
      </c>
      <c r="X4939" s="214" t="s">
        <v>2158</v>
      </c>
      <c r="Y4939" s="220">
        <v>8</v>
      </c>
    </row>
    <row r="4940" spans="23:25" x14ac:dyDescent="0.25">
      <c r="W4940" s="214" t="s">
        <v>398</v>
      </c>
      <c r="X4940" s="214" t="s">
        <v>4954</v>
      </c>
      <c r="Y4940" s="220">
        <v>8</v>
      </c>
    </row>
    <row r="4941" spans="23:25" x14ac:dyDescent="0.25">
      <c r="W4941" s="214" t="s">
        <v>398</v>
      </c>
      <c r="X4941" s="214" t="s">
        <v>4955</v>
      </c>
      <c r="Y4941" s="220">
        <v>8</v>
      </c>
    </row>
    <row r="4942" spans="23:25" x14ac:dyDescent="0.25">
      <c r="W4942" s="214" t="s">
        <v>29</v>
      </c>
      <c r="X4942" s="214" t="s">
        <v>4956</v>
      </c>
      <c r="Y4942" s="220">
        <v>8</v>
      </c>
    </row>
    <row r="4943" spans="23:25" x14ac:dyDescent="0.25">
      <c r="W4943" s="214" t="s">
        <v>1667</v>
      </c>
      <c r="X4943" s="214" t="s">
        <v>3429</v>
      </c>
      <c r="Y4943" s="220">
        <v>8</v>
      </c>
    </row>
    <row r="4944" spans="23:25" x14ac:dyDescent="0.25">
      <c r="W4944" s="214" t="s">
        <v>1763</v>
      </c>
      <c r="X4944" s="214" t="s">
        <v>1854</v>
      </c>
      <c r="Y4944" s="220">
        <v>7</v>
      </c>
    </row>
    <row r="4945" spans="23:25" x14ac:dyDescent="0.25">
      <c r="W4945" s="214" t="s">
        <v>398</v>
      </c>
      <c r="X4945" s="214" t="s">
        <v>4957</v>
      </c>
      <c r="Y4945" s="220">
        <v>6</v>
      </c>
    </row>
    <row r="4946" spans="23:25" x14ac:dyDescent="0.25">
      <c r="W4946" s="214" t="s">
        <v>398</v>
      </c>
      <c r="X4946" s="214" t="s">
        <v>4958</v>
      </c>
      <c r="Y4946" s="220">
        <v>8</v>
      </c>
    </row>
    <row r="4947" spans="23:25" x14ac:dyDescent="0.25">
      <c r="W4947" s="214" t="s">
        <v>1763</v>
      </c>
      <c r="X4947" s="214" t="s">
        <v>4959</v>
      </c>
      <c r="Y4947" s="220">
        <v>7</v>
      </c>
    </row>
    <row r="4948" spans="23:25" x14ac:dyDescent="0.25">
      <c r="W4948" s="214" t="s">
        <v>231</v>
      </c>
      <c r="X4948" s="214" t="s">
        <v>4960</v>
      </c>
      <c r="Y4948" s="220">
        <v>8</v>
      </c>
    </row>
    <row r="4949" spans="23:25" x14ac:dyDescent="0.25">
      <c r="W4949" s="214" t="s">
        <v>242</v>
      </c>
      <c r="X4949" s="214" t="s">
        <v>4961</v>
      </c>
      <c r="Y4949" s="220">
        <v>7</v>
      </c>
    </row>
    <row r="4950" spans="23:25" x14ac:dyDescent="0.25">
      <c r="W4950" s="214" t="s">
        <v>1763</v>
      </c>
      <c r="X4950" s="214" t="s">
        <v>4962</v>
      </c>
      <c r="Y4950" s="220">
        <v>7</v>
      </c>
    </row>
    <row r="4951" spans="23:25" x14ac:dyDescent="0.25">
      <c r="W4951" s="214" t="s">
        <v>1976</v>
      </c>
      <c r="X4951" s="214" t="s">
        <v>4963</v>
      </c>
      <c r="Y4951" s="220">
        <v>7</v>
      </c>
    </row>
    <row r="4952" spans="23:25" x14ac:dyDescent="0.25">
      <c r="W4952" s="214" t="s">
        <v>1763</v>
      </c>
      <c r="X4952" s="214" t="s">
        <v>4964</v>
      </c>
      <c r="Y4952" s="220">
        <v>8</v>
      </c>
    </row>
    <row r="4953" spans="23:25" x14ac:dyDescent="0.25">
      <c r="W4953" s="214" t="s">
        <v>231</v>
      </c>
      <c r="X4953" s="214" t="s">
        <v>4965</v>
      </c>
      <c r="Y4953" s="220">
        <v>8</v>
      </c>
    </row>
    <row r="4954" spans="23:25" x14ac:dyDescent="0.25">
      <c r="W4954" s="214" t="s">
        <v>29</v>
      </c>
      <c r="X4954" s="214" t="s">
        <v>4966</v>
      </c>
      <c r="Y4954" s="220">
        <v>8</v>
      </c>
    </row>
    <row r="4955" spans="23:25" x14ac:dyDescent="0.25">
      <c r="W4955" s="214" t="s">
        <v>1716</v>
      </c>
      <c r="X4955" s="214" t="s">
        <v>4967</v>
      </c>
      <c r="Y4955" s="220">
        <v>8</v>
      </c>
    </row>
    <row r="4956" spans="23:25" x14ac:dyDescent="0.25">
      <c r="W4956" s="214" t="s">
        <v>1763</v>
      </c>
      <c r="X4956" s="214" t="s">
        <v>4968</v>
      </c>
      <c r="Y4956" s="220">
        <v>7</v>
      </c>
    </row>
    <row r="4957" spans="23:25" x14ac:dyDescent="0.25">
      <c r="W4957" s="214" t="s">
        <v>398</v>
      </c>
      <c r="X4957" s="214" t="s">
        <v>4969</v>
      </c>
      <c r="Y4957" s="220">
        <v>8</v>
      </c>
    </row>
    <row r="4958" spans="23:25" x14ac:dyDescent="0.25">
      <c r="W4958" s="214" t="s">
        <v>231</v>
      </c>
      <c r="X4958" s="214" t="s">
        <v>4970</v>
      </c>
      <c r="Y4958" s="220">
        <v>8</v>
      </c>
    </row>
    <row r="4959" spans="23:25" x14ac:dyDescent="0.25">
      <c r="W4959" s="214" t="s">
        <v>1763</v>
      </c>
      <c r="X4959" s="214" t="s">
        <v>4971</v>
      </c>
      <c r="Y4959" s="220">
        <v>7</v>
      </c>
    </row>
    <row r="4960" spans="23:25" x14ac:dyDescent="0.25">
      <c r="W4960" s="214" t="s">
        <v>398</v>
      </c>
      <c r="X4960" s="214" t="s">
        <v>4972</v>
      </c>
      <c r="Y4960" s="220">
        <v>8</v>
      </c>
    </row>
    <row r="4961" spans="23:25" x14ac:dyDescent="0.25">
      <c r="W4961" s="214" t="s">
        <v>69</v>
      </c>
      <c r="X4961" s="214" t="s">
        <v>4973</v>
      </c>
      <c r="Y4961" s="220">
        <v>8</v>
      </c>
    </row>
    <row r="4962" spans="23:25" x14ac:dyDescent="0.25">
      <c r="W4962" s="214" t="s">
        <v>1763</v>
      </c>
      <c r="X4962" s="214" t="s">
        <v>1501</v>
      </c>
      <c r="Y4962" s="220">
        <v>8</v>
      </c>
    </row>
    <row r="4963" spans="23:25" x14ac:dyDescent="0.25">
      <c r="W4963" s="214" t="s">
        <v>1763</v>
      </c>
      <c r="X4963" s="214" t="s">
        <v>3625</v>
      </c>
      <c r="Y4963" s="220">
        <v>8</v>
      </c>
    </row>
    <row r="4964" spans="23:25" x14ac:dyDescent="0.25">
      <c r="W4964" s="214" t="s">
        <v>1763</v>
      </c>
      <c r="X4964" s="214" t="s">
        <v>4974</v>
      </c>
      <c r="Y4964" s="220">
        <v>8</v>
      </c>
    </row>
    <row r="4965" spans="23:25" x14ac:dyDescent="0.25">
      <c r="W4965" s="214" t="s">
        <v>398</v>
      </c>
      <c r="X4965" s="214" t="s">
        <v>4975</v>
      </c>
      <c r="Y4965" s="220">
        <v>6</v>
      </c>
    </row>
    <row r="4966" spans="23:25" x14ac:dyDescent="0.25">
      <c r="W4966" s="214" t="s">
        <v>29</v>
      </c>
      <c r="X4966" s="214" t="s">
        <v>4976</v>
      </c>
      <c r="Y4966" s="220">
        <v>8</v>
      </c>
    </row>
    <row r="4967" spans="23:25" x14ac:dyDescent="0.25">
      <c r="W4967" s="214" t="s">
        <v>1667</v>
      </c>
      <c r="X4967" s="214" t="s">
        <v>4977</v>
      </c>
      <c r="Y4967" s="220">
        <v>7</v>
      </c>
    </row>
    <row r="4968" spans="23:25" x14ac:dyDescent="0.25">
      <c r="W4968" s="214" t="s">
        <v>1667</v>
      </c>
      <c r="X4968" s="214" t="s">
        <v>4978</v>
      </c>
      <c r="Y4968" s="220">
        <v>7</v>
      </c>
    </row>
    <row r="4969" spans="23:25" x14ac:dyDescent="0.25">
      <c r="W4969" s="214" t="s">
        <v>1943</v>
      </c>
      <c r="X4969" s="214" t="s">
        <v>4979</v>
      </c>
      <c r="Y4969" s="220">
        <v>7</v>
      </c>
    </row>
    <row r="4970" spans="23:25" x14ac:dyDescent="0.25">
      <c r="W4970" s="214" t="s">
        <v>1763</v>
      </c>
      <c r="X4970" s="214" t="s">
        <v>1638</v>
      </c>
      <c r="Y4970" s="220">
        <v>7</v>
      </c>
    </row>
    <row r="4971" spans="23:25" x14ac:dyDescent="0.25">
      <c r="W4971" s="214" t="s">
        <v>398</v>
      </c>
      <c r="X4971" s="214" t="s">
        <v>4980</v>
      </c>
      <c r="Y4971" s="220">
        <v>8</v>
      </c>
    </row>
    <row r="4972" spans="23:25" x14ac:dyDescent="0.25">
      <c r="W4972" s="214" t="s">
        <v>231</v>
      </c>
      <c r="X4972" s="214" t="s">
        <v>4981</v>
      </c>
      <c r="Y4972" s="220">
        <v>8</v>
      </c>
    </row>
    <row r="4973" spans="23:25" x14ac:dyDescent="0.25">
      <c r="W4973" s="214" t="s">
        <v>1943</v>
      </c>
      <c r="X4973" s="214" t="s">
        <v>2256</v>
      </c>
      <c r="Y4973" s="220">
        <v>7</v>
      </c>
    </row>
    <row r="4974" spans="23:25" x14ac:dyDescent="0.25">
      <c r="W4974" s="214" t="s">
        <v>398</v>
      </c>
      <c r="X4974" s="214" t="s">
        <v>4982</v>
      </c>
      <c r="Y4974" s="220">
        <v>5</v>
      </c>
    </row>
    <row r="4975" spans="23:25" x14ac:dyDescent="0.25">
      <c r="W4975" s="214" t="s">
        <v>69</v>
      </c>
      <c r="X4975" s="214" t="s">
        <v>4983</v>
      </c>
      <c r="Y4975" s="220">
        <v>8</v>
      </c>
    </row>
    <row r="4976" spans="23:25" x14ac:dyDescent="0.25">
      <c r="W4976" s="214" t="s">
        <v>274</v>
      </c>
      <c r="X4976" s="214" t="s">
        <v>4984</v>
      </c>
      <c r="Y4976" s="220">
        <v>5</v>
      </c>
    </row>
    <row r="4977" spans="23:25" x14ac:dyDescent="0.25">
      <c r="W4977" s="214" t="s">
        <v>1763</v>
      </c>
      <c r="X4977" s="214" t="s">
        <v>4985</v>
      </c>
      <c r="Y4977" s="220">
        <v>7</v>
      </c>
    </row>
    <row r="4978" spans="23:25" x14ac:dyDescent="0.25">
      <c r="W4978" s="214" t="s">
        <v>1763</v>
      </c>
      <c r="X4978" s="214" t="s">
        <v>4986</v>
      </c>
      <c r="Y4978" s="220">
        <v>7</v>
      </c>
    </row>
    <row r="4979" spans="23:25" x14ac:dyDescent="0.25">
      <c r="W4979" s="214" t="s">
        <v>1667</v>
      </c>
      <c r="X4979" s="214" t="s">
        <v>4987</v>
      </c>
      <c r="Y4979" s="220">
        <v>8</v>
      </c>
    </row>
    <row r="4980" spans="23:25" x14ac:dyDescent="0.25">
      <c r="W4980" s="214" t="s">
        <v>1943</v>
      </c>
      <c r="X4980" s="214" t="s">
        <v>4988</v>
      </c>
      <c r="Y4980" s="220">
        <v>7</v>
      </c>
    </row>
    <row r="4981" spans="23:25" x14ac:dyDescent="0.25">
      <c r="W4981" s="214" t="s">
        <v>231</v>
      </c>
      <c r="X4981" s="214" t="s">
        <v>4989</v>
      </c>
      <c r="Y4981" s="220">
        <v>8</v>
      </c>
    </row>
    <row r="4982" spans="23:25" x14ac:dyDescent="0.25">
      <c r="W4982" s="214" t="s">
        <v>1667</v>
      </c>
      <c r="X4982" s="214" t="s">
        <v>4990</v>
      </c>
      <c r="Y4982" s="220">
        <v>8</v>
      </c>
    </row>
    <row r="4983" spans="23:25" x14ac:dyDescent="0.25">
      <c r="W4983" s="214" t="s">
        <v>1667</v>
      </c>
      <c r="X4983" s="214" t="s">
        <v>4991</v>
      </c>
      <c r="Y4983" s="220">
        <v>7</v>
      </c>
    </row>
    <row r="4984" spans="23:25" x14ac:dyDescent="0.25">
      <c r="W4984" s="214" t="s">
        <v>398</v>
      </c>
      <c r="X4984" s="214" t="s">
        <v>4992</v>
      </c>
      <c r="Y4984" s="220">
        <v>8</v>
      </c>
    </row>
    <row r="4985" spans="23:25" x14ac:dyDescent="0.25">
      <c r="W4985" s="214" t="s">
        <v>1763</v>
      </c>
      <c r="X4985" s="214" t="s">
        <v>4993</v>
      </c>
      <c r="Y4985" s="220">
        <v>7</v>
      </c>
    </row>
    <row r="4986" spans="23:25" x14ac:dyDescent="0.25">
      <c r="W4986" s="214" t="s">
        <v>398</v>
      </c>
      <c r="X4986" s="214" t="s">
        <v>4994</v>
      </c>
      <c r="Y4986" s="220">
        <v>8</v>
      </c>
    </row>
    <row r="4987" spans="23:25" x14ac:dyDescent="0.25">
      <c r="W4987" s="214" t="s">
        <v>1763</v>
      </c>
      <c r="X4987" s="214" t="s">
        <v>4995</v>
      </c>
      <c r="Y4987" s="220">
        <v>8</v>
      </c>
    </row>
    <row r="4988" spans="23:25" x14ac:dyDescent="0.25">
      <c r="W4988" s="214" t="s">
        <v>398</v>
      </c>
      <c r="X4988" s="214" t="s">
        <v>4996</v>
      </c>
      <c r="Y4988" s="220">
        <v>8</v>
      </c>
    </row>
    <row r="4989" spans="23:25" x14ac:dyDescent="0.25">
      <c r="W4989" s="214" t="s">
        <v>1943</v>
      </c>
      <c r="X4989" s="214" t="s">
        <v>4997</v>
      </c>
      <c r="Y4989" s="220">
        <v>7</v>
      </c>
    </row>
    <row r="4990" spans="23:25" x14ac:dyDescent="0.25">
      <c r="W4990" s="214" t="s">
        <v>1943</v>
      </c>
      <c r="X4990" s="214" t="s">
        <v>4998</v>
      </c>
      <c r="Y4990" s="220">
        <v>7</v>
      </c>
    </row>
    <row r="4991" spans="23:25" x14ac:dyDescent="0.25">
      <c r="W4991" s="214" t="s">
        <v>398</v>
      </c>
      <c r="X4991" s="214" t="s">
        <v>4999</v>
      </c>
      <c r="Y4991" s="220">
        <v>8</v>
      </c>
    </row>
    <row r="4992" spans="23:25" x14ac:dyDescent="0.25">
      <c r="W4992" s="214" t="s">
        <v>1943</v>
      </c>
      <c r="X4992" s="214" t="s">
        <v>5000</v>
      </c>
      <c r="Y4992" s="220">
        <v>7</v>
      </c>
    </row>
    <row r="4993" spans="23:25" x14ac:dyDescent="0.25">
      <c r="W4993" s="214" t="s">
        <v>1943</v>
      </c>
      <c r="X4993" s="214" t="s">
        <v>5001</v>
      </c>
      <c r="Y4993" s="220">
        <v>7</v>
      </c>
    </row>
    <row r="4994" spans="23:25" x14ac:dyDescent="0.25">
      <c r="W4994" s="214" t="s">
        <v>2198</v>
      </c>
      <c r="X4994" s="214" t="s">
        <v>5002</v>
      </c>
      <c r="Y4994" s="220">
        <v>8</v>
      </c>
    </row>
    <row r="4995" spans="23:25" x14ac:dyDescent="0.25">
      <c r="W4995" s="214" t="s">
        <v>1667</v>
      </c>
      <c r="X4995" s="214" t="s">
        <v>5003</v>
      </c>
      <c r="Y4995" s="220">
        <v>7</v>
      </c>
    </row>
    <row r="4996" spans="23:25" x14ac:dyDescent="0.25">
      <c r="W4996" s="214" t="s">
        <v>1976</v>
      </c>
      <c r="X4996" s="214" t="s">
        <v>5004</v>
      </c>
      <c r="Y4996" s="220">
        <v>7</v>
      </c>
    </row>
    <row r="4997" spans="23:25" x14ac:dyDescent="0.25">
      <c r="W4997" s="214" t="s">
        <v>3870</v>
      </c>
      <c r="X4997" s="214" t="s">
        <v>5005</v>
      </c>
      <c r="Y4997" s="220">
        <v>7</v>
      </c>
    </row>
    <row r="4998" spans="23:25" x14ac:dyDescent="0.25">
      <c r="W4998" s="214" t="s">
        <v>3870</v>
      </c>
      <c r="X4998" s="214" t="s">
        <v>5006</v>
      </c>
      <c r="Y4998" s="220">
        <v>7</v>
      </c>
    </row>
    <row r="4999" spans="23:25" x14ac:dyDescent="0.25">
      <c r="W4999" s="214" t="s">
        <v>1943</v>
      </c>
      <c r="X4999" s="214" t="s">
        <v>5007</v>
      </c>
      <c r="Y4999" s="220">
        <v>7</v>
      </c>
    </row>
    <row r="5000" spans="23:25" x14ac:dyDescent="0.25">
      <c r="W5000" s="214" t="s">
        <v>2198</v>
      </c>
      <c r="X5000" s="214" t="s">
        <v>5008</v>
      </c>
      <c r="Y5000" s="220">
        <v>8</v>
      </c>
    </row>
    <row r="5001" spans="23:25" x14ac:dyDescent="0.25">
      <c r="W5001" s="214" t="s">
        <v>1943</v>
      </c>
      <c r="X5001" s="214" t="s">
        <v>5009</v>
      </c>
      <c r="Y5001" s="220">
        <v>7</v>
      </c>
    </row>
    <row r="5002" spans="23:25" x14ac:dyDescent="0.25">
      <c r="W5002" s="214" t="s">
        <v>1763</v>
      </c>
      <c r="X5002" s="214" t="s">
        <v>5010</v>
      </c>
      <c r="Y5002" s="220">
        <v>8</v>
      </c>
    </row>
    <row r="5003" spans="23:25" x14ac:dyDescent="0.25">
      <c r="W5003" s="214" t="s">
        <v>1943</v>
      </c>
      <c r="X5003" s="214" t="s">
        <v>5011</v>
      </c>
      <c r="Y5003" s="220">
        <v>7</v>
      </c>
    </row>
    <row r="5004" spans="23:25" x14ac:dyDescent="0.25">
      <c r="W5004" s="214" t="s">
        <v>1978</v>
      </c>
      <c r="X5004" s="214" t="s">
        <v>5012</v>
      </c>
      <c r="Y5004" s="220">
        <v>6</v>
      </c>
    </row>
    <row r="5005" spans="23:25" x14ac:dyDescent="0.25">
      <c r="W5005" s="214" t="s">
        <v>398</v>
      </c>
      <c r="X5005" s="214" t="s">
        <v>5013</v>
      </c>
      <c r="Y5005" s="220">
        <v>8</v>
      </c>
    </row>
    <row r="5006" spans="23:25" x14ac:dyDescent="0.25">
      <c r="W5006" s="214" t="s">
        <v>1943</v>
      </c>
      <c r="X5006" s="214" t="s">
        <v>4264</v>
      </c>
      <c r="Y5006" s="220">
        <v>7</v>
      </c>
    </row>
    <row r="5007" spans="23:25" x14ac:dyDescent="0.25">
      <c r="W5007" s="214" t="s">
        <v>398</v>
      </c>
      <c r="X5007" s="214" t="s">
        <v>5014</v>
      </c>
      <c r="Y5007" s="220">
        <v>8</v>
      </c>
    </row>
    <row r="5008" spans="23:25" x14ac:dyDescent="0.25">
      <c r="W5008" s="214" t="s">
        <v>1763</v>
      </c>
      <c r="X5008" s="214" t="s">
        <v>5015</v>
      </c>
      <c r="Y5008" s="220">
        <v>8</v>
      </c>
    </row>
    <row r="5009" spans="23:25" x14ac:dyDescent="0.25">
      <c r="W5009" s="214" t="s">
        <v>398</v>
      </c>
      <c r="X5009" s="214" t="s">
        <v>5016</v>
      </c>
      <c r="Y5009" s="220">
        <v>8</v>
      </c>
    </row>
    <row r="5010" spans="23:25" x14ac:dyDescent="0.25">
      <c r="W5010" s="214" t="s">
        <v>1943</v>
      </c>
      <c r="X5010" s="214" t="s">
        <v>5017</v>
      </c>
      <c r="Y5010" s="220">
        <v>7</v>
      </c>
    </row>
    <row r="5011" spans="23:25" x14ac:dyDescent="0.25">
      <c r="W5011" s="214" t="s">
        <v>398</v>
      </c>
      <c r="X5011" s="214" t="s">
        <v>5018</v>
      </c>
      <c r="Y5011" s="220">
        <v>8</v>
      </c>
    </row>
    <row r="5012" spans="23:25" x14ac:dyDescent="0.25">
      <c r="W5012" s="214" t="s">
        <v>3870</v>
      </c>
      <c r="X5012" s="214" t="s">
        <v>5019</v>
      </c>
      <c r="Y5012" s="220">
        <v>7</v>
      </c>
    </row>
    <row r="5013" spans="23:25" x14ac:dyDescent="0.25">
      <c r="W5013" s="214" t="s">
        <v>398</v>
      </c>
      <c r="X5013" s="214" t="s">
        <v>5020</v>
      </c>
      <c r="Y5013" s="220">
        <v>8</v>
      </c>
    </row>
    <row r="5014" spans="23:25" x14ac:dyDescent="0.25">
      <c r="W5014" s="214" t="s">
        <v>398</v>
      </c>
      <c r="X5014" s="214" t="s">
        <v>5021</v>
      </c>
      <c r="Y5014" s="220">
        <v>8</v>
      </c>
    </row>
    <row r="5015" spans="23:25" x14ac:dyDescent="0.25">
      <c r="W5015" s="214" t="s">
        <v>1943</v>
      </c>
      <c r="X5015" s="214" t="s">
        <v>5022</v>
      </c>
      <c r="Y5015" s="220">
        <v>7</v>
      </c>
    </row>
    <row r="5016" spans="23:25" x14ac:dyDescent="0.25">
      <c r="W5016" s="214" t="s">
        <v>398</v>
      </c>
      <c r="X5016" s="214" t="s">
        <v>5023</v>
      </c>
      <c r="Y5016" s="220">
        <v>7</v>
      </c>
    </row>
    <row r="5017" spans="23:25" x14ac:dyDescent="0.25">
      <c r="W5017" s="214" t="s">
        <v>242</v>
      </c>
      <c r="X5017" s="214" t="s">
        <v>5024</v>
      </c>
      <c r="Y5017" s="220">
        <v>7</v>
      </c>
    </row>
    <row r="5018" spans="23:25" x14ac:dyDescent="0.25">
      <c r="W5018" s="214" t="s">
        <v>3870</v>
      </c>
      <c r="X5018" s="214" t="s">
        <v>5025</v>
      </c>
      <c r="Y5018" s="220">
        <v>8</v>
      </c>
    </row>
    <row r="5019" spans="23:25" x14ac:dyDescent="0.25">
      <c r="W5019" s="214" t="s">
        <v>1667</v>
      </c>
      <c r="X5019" s="214" t="s">
        <v>2316</v>
      </c>
      <c r="Y5019" s="220">
        <v>8</v>
      </c>
    </row>
    <row r="5020" spans="23:25" x14ac:dyDescent="0.25">
      <c r="W5020" s="214" t="s">
        <v>1943</v>
      </c>
      <c r="X5020" s="214" t="s">
        <v>5026</v>
      </c>
      <c r="Y5020" s="220">
        <v>7</v>
      </c>
    </row>
    <row r="5021" spans="23:25" x14ac:dyDescent="0.25">
      <c r="W5021" s="214" t="s">
        <v>1976</v>
      </c>
      <c r="X5021" s="214" t="s">
        <v>5027</v>
      </c>
      <c r="Y5021" s="220">
        <v>7</v>
      </c>
    </row>
    <row r="5022" spans="23:25" x14ac:dyDescent="0.25">
      <c r="W5022" s="214" t="s">
        <v>398</v>
      </c>
      <c r="X5022" s="214" t="s">
        <v>5028</v>
      </c>
      <c r="Y5022" s="220">
        <v>8</v>
      </c>
    </row>
    <row r="5023" spans="23:25" x14ac:dyDescent="0.25">
      <c r="W5023" s="214" t="s">
        <v>29</v>
      </c>
      <c r="X5023" s="214" t="s">
        <v>5029</v>
      </c>
      <c r="Y5023" s="220">
        <v>8</v>
      </c>
    </row>
    <row r="5024" spans="23:25" x14ac:dyDescent="0.25">
      <c r="W5024" s="214" t="s">
        <v>4004</v>
      </c>
      <c r="X5024" s="214" t="s">
        <v>5030</v>
      </c>
      <c r="Y5024" s="220">
        <v>8</v>
      </c>
    </row>
    <row r="5025" spans="23:25" x14ac:dyDescent="0.25">
      <c r="W5025" s="214" t="s">
        <v>231</v>
      </c>
      <c r="X5025" s="214" t="s">
        <v>5031</v>
      </c>
      <c r="Y5025" s="220">
        <v>8</v>
      </c>
    </row>
    <row r="5026" spans="23:25" x14ac:dyDescent="0.25">
      <c r="W5026" s="214" t="s">
        <v>1976</v>
      </c>
      <c r="X5026" s="214" t="s">
        <v>5032</v>
      </c>
      <c r="Y5026" s="220">
        <v>7</v>
      </c>
    </row>
    <row r="5027" spans="23:25" x14ac:dyDescent="0.25">
      <c r="W5027" s="214" t="s">
        <v>398</v>
      </c>
      <c r="X5027" s="214" t="s">
        <v>5033</v>
      </c>
      <c r="Y5027" s="220">
        <v>6</v>
      </c>
    </row>
    <row r="5028" spans="23:25" x14ac:dyDescent="0.25">
      <c r="W5028" s="214" t="s">
        <v>1943</v>
      </c>
      <c r="X5028" s="214" t="s">
        <v>5034</v>
      </c>
      <c r="Y5028" s="220">
        <v>7</v>
      </c>
    </row>
    <row r="5029" spans="23:25" x14ac:dyDescent="0.25">
      <c r="W5029" s="214" t="s">
        <v>29</v>
      </c>
      <c r="X5029" s="214" t="s">
        <v>548</v>
      </c>
      <c r="Y5029" s="220">
        <v>8</v>
      </c>
    </row>
    <row r="5030" spans="23:25" x14ac:dyDescent="0.25">
      <c r="W5030" s="214" t="s">
        <v>3870</v>
      </c>
      <c r="X5030" s="214" t="s">
        <v>5035</v>
      </c>
      <c r="Y5030" s="220">
        <v>7</v>
      </c>
    </row>
    <row r="5031" spans="23:25" x14ac:dyDescent="0.25">
      <c r="W5031" s="214" t="s">
        <v>398</v>
      </c>
      <c r="X5031" s="214" t="s">
        <v>5036</v>
      </c>
      <c r="Y5031" s="220">
        <v>7</v>
      </c>
    </row>
    <row r="5032" spans="23:25" x14ac:dyDescent="0.25">
      <c r="W5032" s="214" t="s">
        <v>1943</v>
      </c>
      <c r="X5032" s="214" t="s">
        <v>5037</v>
      </c>
      <c r="Y5032" s="220">
        <v>7</v>
      </c>
    </row>
    <row r="5033" spans="23:25" x14ac:dyDescent="0.25">
      <c r="W5033" s="214" t="s">
        <v>2185</v>
      </c>
      <c r="X5033" s="214" t="s">
        <v>1314</v>
      </c>
      <c r="Y5033" s="220">
        <v>7</v>
      </c>
    </row>
    <row r="5034" spans="23:25" x14ac:dyDescent="0.25">
      <c r="W5034" s="214" t="s">
        <v>1943</v>
      </c>
      <c r="X5034" s="214" t="s">
        <v>5038</v>
      </c>
      <c r="Y5034" s="220">
        <v>7</v>
      </c>
    </row>
    <row r="5035" spans="23:25" x14ac:dyDescent="0.25">
      <c r="W5035" s="214" t="s">
        <v>1976</v>
      </c>
      <c r="X5035" s="214" t="s">
        <v>5039</v>
      </c>
      <c r="Y5035" s="220">
        <v>7</v>
      </c>
    </row>
    <row r="5036" spans="23:25" x14ac:dyDescent="0.25">
      <c r="W5036" s="214" t="s">
        <v>242</v>
      </c>
      <c r="X5036" s="214" t="s">
        <v>5040</v>
      </c>
      <c r="Y5036" s="220">
        <v>8</v>
      </c>
    </row>
    <row r="5037" spans="23:25" x14ac:dyDescent="0.25">
      <c r="W5037" s="214" t="s">
        <v>29</v>
      </c>
      <c r="X5037" s="214" t="s">
        <v>5041</v>
      </c>
      <c r="Y5037" s="220">
        <v>8</v>
      </c>
    </row>
    <row r="5038" spans="23:25" x14ac:dyDescent="0.25">
      <c r="W5038" s="214" t="s">
        <v>1976</v>
      </c>
      <c r="X5038" s="214" t="s">
        <v>5042</v>
      </c>
      <c r="Y5038" s="220">
        <v>7</v>
      </c>
    </row>
    <row r="5039" spans="23:25" x14ac:dyDescent="0.25">
      <c r="W5039" s="214" t="s">
        <v>398</v>
      </c>
      <c r="X5039" s="214" t="s">
        <v>5043</v>
      </c>
      <c r="Y5039" s="220">
        <v>7</v>
      </c>
    </row>
    <row r="5040" spans="23:25" x14ac:dyDescent="0.25">
      <c r="W5040" s="214" t="s">
        <v>29</v>
      </c>
      <c r="X5040" s="214" t="s">
        <v>5044</v>
      </c>
      <c r="Y5040" s="220">
        <v>8</v>
      </c>
    </row>
    <row r="5041" spans="23:25" x14ac:dyDescent="0.25">
      <c r="W5041" s="214" t="s">
        <v>2185</v>
      </c>
      <c r="X5041" s="214" t="s">
        <v>5045</v>
      </c>
      <c r="Y5041" s="220">
        <v>7</v>
      </c>
    </row>
    <row r="5042" spans="23:25" x14ac:dyDescent="0.25">
      <c r="W5042" s="214" t="s">
        <v>29</v>
      </c>
      <c r="X5042" s="214" t="s">
        <v>5046</v>
      </c>
      <c r="Y5042" s="220">
        <v>8</v>
      </c>
    </row>
    <row r="5043" spans="23:25" x14ac:dyDescent="0.25">
      <c r="W5043" s="214" t="s">
        <v>3872</v>
      </c>
      <c r="X5043" s="214" t="s">
        <v>5047</v>
      </c>
      <c r="Y5043" s="220">
        <v>7</v>
      </c>
    </row>
    <row r="5044" spans="23:25" x14ac:dyDescent="0.25">
      <c r="W5044" s="214" t="s">
        <v>3870</v>
      </c>
      <c r="X5044" s="214" t="s">
        <v>5048</v>
      </c>
      <c r="Y5044" s="220">
        <v>7</v>
      </c>
    </row>
    <row r="5045" spans="23:25" x14ac:dyDescent="0.25">
      <c r="W5045" s="214" t="s">
        <v>398</v>
      </c>
      <c r="X5045" s="214" t="s">
        <v>5049</v>
      </c>
      <c r="Y5045" s="220">
        <v>8</v>
      </c>
    </row>
    <row r="5046" spans="23:25" x14ac:dyDescent="0.25">
      <c r="W5046" s="214" t="s">
        <v>398</v>
      </c>
      <c r="X5046" s="214" t="s">
        <v>5050</v>
      </c>
      <c r="Y5046" s="220">
        <v>6</v>
      </c>
    </row>
    <row r="5047" spans="23:25" x14ac:dyDescent="0.25">
      <c r="W5047" s="214" t="s">
        <v>398</v>
      </c>
      <c r="X5047" s="214" t="s">
        <v>5051</v>
      </c>
      <c r="Y5047" s="220">
        <v>8</v>
      </c>
    </row>
    <row r="5048" spans="23:25" x14ac:dyDescent="0.25">
      <c r="W5048" s="214" t="s">
        <v>398</v>
      </c>
      <c r="X5048" s="214" t="s">
        <v>5052</v>
      </c>
      <c r="Y5048" s="220">
        <v>6</v>
      </c>
    </row>
    <row r="5049" spans="23:25" x14ac:dyDescent="0.25">
      <c r="W5049" s="214" t="s">
        <v>3870</v>
      </c>
      <c r="X5049" s="214" t="s">
        <v>5053</v>
      </c>
      <c r="Y5049" s="220">
        <v>7</v>
      </c>
    </row>
    <row r="5050" spans="23:25" x14ac:dyDescent="0.25">
      <c r="W5050" s="214" t="s">
        <v>29</v>
      </c>
      <c r="X5050" s="214" t="s">
        <v>5054</v>
      </c>
      <c r="Y5050" s="220">
        <v>8</v>
      </c>
    </row>
    <row r="5051" spans="23:25" x14ac:dyDescent="0.25">
      <c r="W5051" s="214" t="s">
        <v>1943</v>
      </c>
      <c r="X5051" s="214" t="s">
        <v>5055</v>
      </c>
      <c r="Y5051" s="220">
        <v>7</v>
      </c>
    </row>
    <row r="5052" spans="23:25" x14ac:dyDescent="0.25">
      <c r="W5052" s="214" t="s">
        <v>1976</v>
      </c>
      <c r="X5052" s="214" t="s">
        <v>5056</v>
      </c>
      <c r="Y5052" s="220">
        <v>7</v>
      </c>
    </row>
    <row r="5053" spans="23:25" x14ac:dyDescent="0.25">
      <c r="W5053" s="214" t="s">
        <v>1976</v>
      </c>
      <c r="X5053" s="214" t="s">
        <v>5057</v>
      </c>
      <c r="Y5053" s="220">
        <v>7</v>
      </c>
    </row>
    <row r="5054" spans="23:25" x14ac:dyDescent="0.25">
      <c r="W5054" s="214" t="s">
        <v>29</v>
      </c>
      <c r="X5054" s="214" t="s">
        <v>5058</v>
      </c>
      <c r="Y5054" s="220">
        <v>8</v>
      </c>
    </row>
    <row r="5055" spans="23:25" x14ac:dyDescent="0.25">
      <c r="W5055" s="214" t="s">
        <v>398</v>
      </c>
      <c r="X5055" s="214" t="s">
        <v>5059</v>
      </c>
      <c r="Y5055" s="220">
        <v>7</v>
      </c>
    </row>
    <row r="5056" spans="23:25" x14ac:dyDescent="0.25">
      <c r="W5056" s="214" t="s">
        <v>231</v>
      </c>
      <c r="X5056" s="214" t="s">
        <v>5060</v>
      </c>
      <c r="Y5056" s="220">
        <v>8</v>
      </c>
    </row>
    <row r="5057" spans="23:25" x14ac:dyDescent="0.25">
      <c r="W5057" s="214" t="s">
        <v>1943</v>
      </c>
      <c r="X5057" s="214" t="s">
        <v>5061</v>
      </c>
      <c r="Y5057" s="220">
        <v>7</v>
      </c>
    </row>
    <row r="5058" spans="23:25" x14ac:dyDescent="0.25">
      <c r="W5058" s="214" t="s">
        <v>242</v>
      </c>
      <c r="X5058" s="214" t="s">
        <v>5062</v>
      </c>
      <c r="Y5058" s="220">
        <v>7</v>
      </c>
    </row>
    <row r="5059" spans="23:25" x14ac:dyDescent="0.25">
      <c r="W5059" s="214" t="s">
        <v>1943</v>
      </c>
      <c r="X5059" s="214" t="s">
        <v>5063</v>
      </c>
      <c r="Y5059" s="220">
        <v>7</v>
      </c>
    </row>
    <row r="5060" spans="23:25" x14ac:dyDescent="0.25">
      <c r="W5060" s="214" t="s">
        <v>2198</v>
      </c>
      <c r="X5060" s="214" t="s">
        <v>5064</v>
      </c>
      <c r="Y5060" s="220">
        <v>8</v>
      </c>
    </row>
    <row r="5061" spans="23:25" x14ac:dyDescent="0.25">
      <c r="W5061" s="214" t="s">
        <v>398</v>
      </c>
      <c r="X5061" s="214" t="s">
        <v>5065</v>
      </c>
      <c r="Y5061" s="220">
        <v>6</v>
      </c>
    </row>
    <row r="5062" spans="23:25" x14ac:dyDescent="0.25">
      <c r="W5062" s="214" t="s">
        <v>231</v>
      </c>
      <c r="X5062" s="214" t="s">
        <v>5066</v>
      </c>
      <c r="Y5062" s="220">
        <v>8</v>
      </c>
    </row>
    <row r="5063" spans="23:25" x14ac:dyDescent="0.25">
      <c r="W5063" s="214" t="s">
        <v>242</v>
      </c>
      <c r="X5063" s="214" t="s">
        <v>3125</v>
      </c>
      <c r="Y5063" s="220">
        <v>7</v>
      </c>
    </row>
    <row r="5064" spans="23:25" x14ac:dyDescent="0.25">
      <c r="W5064" s="214" t="s">
        <v>1976</v>
      </c>
      <c r="X5064" s="214" t="s">
        <v>5067</v>
      </c>
      <c r="Y5064" s="220">
        <v>8</v>
      </c>
    </row>
    <row r="5065" spans="23:25" x14ac:dyDescent="0.25">
      <c r="W5065" s="214" t="s">
        <v>3870</v>
      </c>
      <c r="X5065" s="214" t="s">
        <v>5068</v>
      </c>
      <c r="Y5065" s="220">
        <v>7</v>
      </c>
    </row>
    <row r="5066" spans="23:25" x14ac:dyDescent="0.25">
      <c r="W5066" s="214" t="s">
        <v>1976</v>
      </c>
      <c r="X5066" s="214" t="s">
        <v>5069</v>
      </c>
      <c r="Y5066" s="220">
        <v>7</v>
      </c>
    </row>
    <row r="5067" spans="23:25" x14ac:dyDescent="0.25">
      <c r="W5067" s="214" t="s">
        <v>1943</v>
      </c>
      <c r="X5067" s="214" t="s">
        <v>5070</v>
      </c>
      <c r="Y5067" s="220">
        <v>7</v>
      </c>
    </row>
    <row r="5068" spans="23:25" x14ac:dyDescent="0.25">
      <c r="W5068" s="214" t="s">
        <v>1943</v>
      </c>
      <c r="X5068" s="214" t="s">
        <v>5071</v>
      </c>
      <c r="Y5068" s="220">
        <v>7</v>
      </c>
    </row>
    <row r="5069" spans="23:25" x14ac:dyDescent="0.25">
      <c r="W5069" s="214" t="s">
        <v>29</v>
      </c>
      <c r="X5069" s="214" t="s">
        <v>5072</v>
      </c>
      <c r="Y5069" s="220">
        <v>8</v>
      </c>
    </row>
    <row r="5070" spans="23:25" x14ac:dyDescent="0.25">
      <c r="W5070" s="214" t="s">
        <v>398</v>
      </c>
      <c r="X5070" s="214" t="s">
        <v>1948</v>
      </c>
      <c r="Y5070" s="220">
        <v>8</v>
      </c>
    </row>
    <row r="5071" spans="23:25" x14ac:dyDescent="0.25">
      <c r="W5071" s="214" t="s">
        <v>1976</v>
      </c>
      <c r="X5071" s="214" t="s">
        <v>5073</v>
      </c>
      <c r="Y5071" s="220">
        <v>8</v>
      </c>
    </row>
    <row r="5072" spans="23:25" x14ac:dyDescent="0.25">
      <c r="W5072" s="214" t="s">
        <v>1943</v>
      </c>
      <c r="X5072" s="214" t="s">
        <v>2944</v>
      </c>
      <c r="Y5072" s="220">
        <v>7</v>
      </c>
    </row>
    <row r="5073" spans="23:25" x14ac:dyDescent="0.25">
      <c r="W5073" s="214" t="s">
        <v>29</v>
      </c>
      <c r="X5073" s="214" t="s">
        <v>5073</v>
      </c>
      <c r="Y5073" s="220">
        <v>8</v>
      </c>
    </row>
    <row r="5074" spans="23:25" x14ac:dyDescent="0.25">
      <c r="W5074" s="214" t="s">
        <v>2185</v>
      </c>
      <c r="X5074" s="214" t="s">
        <v>5074</v>
      </c>
      <c r="Y5074" s="220">
        <v>7</v>
      </c>
    </row>
    <row r="5075" spans="23:25" x14ac:dyDescent="0.25">
      <c r="W5075" s="214" t="s">
        <v>29</v>
      </c>
      <c r="X5075" s="214" t="s">
        <v>5075</v>
      </c>
      <c r="Y5075" s="220">
        <v>8</v>
      </c>
    </row>
    <row r="5076" spans="23:25" x14ac:dyDescent="0.25">
      <c r="W5076" s="214" t="s">
        <v>1976</v>
      </c>
      <c r="X5076" s="214" t="s">
        <v>5076</v>
      </c>
      <c r="Y5076" s="220">
        <v>8</v>
      </c>
    </row>
    <row r="5077" spans="23:25" x14ac:dyDescent="0.25">
      <c r="W5077" s="214" t="s">
        <v>1943</v>
      </c>
      <c r="X5077" s="214" t="s">
        <v>5077</v>
      </c>
      <c r="Y5077" s="220">
        <v>7</v>
      </c>
    </row>
    <row r="5078" spans="23:25" x14ac:dyDescent="0.25">
      <c r="W5078" s="214" t="s">
        <v>29</v>
      </c>
      <c r="X5078" s="214" t="s">
        <v>5078</v>
      </c>
      <c r="Y5078" s="220">
        <v>8</v>
      </c>
    </row>
    <row r="5079" spans="23:25" x14ac:dyDescent="0.25">
      <c r="W5079" s="214" t="s">
        <v>1667</v>
      </c>
      <c r="X5079" s="214" t="s">
        <v>2115</v>
      </c>
      <c r="Y5079" s="220">
        <v>8</v>
      </c>
    </row>
    <row r="5080" spans="23:25" x14ac:dyDescent="0.25">
      <c r="W5080" s="214" t="s">
        <v>231</v>
      </c>
      <c r="X5080" s="214" t="s">
        <v>5079</v>
      </c>
      <c r="Y5080" s="220">
        <v>8</v>
      </c>
    </row>
    <row r="5081" spans="23:25" x14ac:dyDescent="0.25">
      <c r="W5081" s="214" t="s">
        <v>1943</v>
      </c>
      <c r="X5081" s="214" t="s">
        <v>4026</v>
      </c>
      <c r="Y5081" s="220">
        <v>7</v>
      </c>
    </row>
    <row r="5082" spans="23:25" x14ac:dyDescent="0.25">
      <c r="W5082" s="214" t="s">
        <v>1976</v>
      </c>
      <c r="X5082" s="214" t="s">
        <v>5903</v>
      </c>
      <c r="Y5082" s="220">
        <v>8</v>
      </c>
    </row>
    <row r="5083" spans="23:25" x14ac:dyDescent="0.25">
      <c r="W5083" s="214" t="s">
        <v>398</v>
      </c>
      <c r="X5083" s="214" t="s">
        <v>5080</v>
      </c>
      <c r="Y5083" s="220">
        <v>8</v>
      </c>
    </row>
    <row r="5084" spans="23:25" x14ac:dyDescent="0.25">
      <c r="W5084" s="214" t="s">
        <v>1976</v>
      </c>
      <c r="X5084" s="214" t="s">
        <v>5081</v>
      </c>
      <c r="Y5084" s="220">
        <v>8</v>
      </c>
    </row>
    <row r="5085" spans="23:25" x14ac:dyDescent="0.25">
      <c r="W5085" s="214" t="s">
        <v>29</v>
      </c>
      <c r="X5085" s="214" t="s">
        <v>4107</v>
      </c>
      <c r="Y5085" s="220">
        <v>8</v>
      </c>
    </row>
    <row r="5086" spans="23:25" x14ac:dyDescent="0.25">
      <c r="W5086" s="214" t="s">
        <v>3872</v>
      </c>
      <c r="X5086" s="214" t="s">
        <v>5082</v>
      </c>
      <c r="Y5086" s="220">
        <v>8</v>
      </c>
    </row>
    <row r="5087" spans="23:25" x14ac:dyDescent="0.25">
      <c r="W5087" s="214" t="s">
        <v>1976</v>
      </c>
      <c r="X5087" s="214" t="s">
        <v>5083</v>
      </c>
      <c r="Y5087" s="220">
        <v>8</v>
      </c>
    </row>
    <row r="5088" spans="23:25" x14ac:dyDescent="0.25">
      <c r="W5088" s="214" t="s">
        <v>230</v>
      </c>
      <c r="X5088" s="214" t="s">
        <v>5084</v>
      </c>
      <c r="Y5088" s="220">
        <v>8</v>
      </c>
    </row>
    <row r="5089" spans="23:25" x14ac:dyDescent="0.25">
      <c r="W5089" s="214" t="s">
        <v>1943</v>
      </c>
      <c r="X5089" s="214" t="s">
        <v>5085</v>
      </c>
      <c r="Y5089" s="220">
        <v>7</v>
      </c>
    </row>
    <row r="5090" spans="23:25" x14ac:dyDescent="0.25">
      <c r="W5090" s="214" t="s">
        <v>1976</v>
      </c>
      <c r="X5090" s="214" t="s">
        <v>5086</v>
      </c>
      <c r="Y5090" s="220">
        <v>8</v>
      </c>
    </row>
    <row r="5091" spans="23:25" x14ac:dyDescent="0.25">
      <c r="W5091" s="214" t="s">
        <v>3872</v>
      </c>
      <c r="X5091" s="214" t="s">
        <v>5087</v>
      </c>
      <c r="Y5091" s="220">
        <v>7</v>
      </c>
    </row>
    <row r="5092" spans="23:25" x14ac:dyDescent="0.25">
      <c r="W5092" s="214" t="s">
        <v>3870</v>
      </c>
      <c r="X5092" s="214" t="s">
        <v>5088</v>
      </c>
      <c r="Y5092" s="220">
        <v>7</v>
      </c>
    </row>
    <row r="5093" spans="23:25" x14ac:dyDescent="0.25">
      <c r="W5093" s="214" t="s">
        <v>1943</v>
      </c>
      <c r="X5093" s="214" t="s">
        <v>5089</v>
      </c>
      <c r="Y5093" s="220">
        <v>7</v>
      </c>
    </row>
    <row r="5094" spans="23:25" x14ac:dyDescent="0.25">
      <c r="W5094" s="214" t="s">
        <v>2185</v>
      </c>
      <c r="X5094" s="214" t="s">
        <v>5090</v>
      </c>
      <c r="Y5094" s="220">
        <v>5</v>
      </c>
    </row>
    <row r="5095" spans="23:25" x14ac:dyDescent="0.25">
      <c r="W5095" s="214" t="s">
        <v>3870</v>
      </c>
      <c r="X5095" s="214" t="s">
        <v>5091</v>
      </c>
      <c r="Y5095" s="220">
        <v>7</v>
      </c>
    </row>
    <row r="5096" spans="23:25" x14ac:dyDescent="0.25">
      <c r="W5096" s="214" t="s">
        <v>231</v>
      </c>
      <c r="X5096" s="214" t="s">
        <v>5092</v>
      </c>
      <c r="Y5096" s="220">
        <v>8</v>
      </c>
    </row>
    <row r="5097" spans="23:25" x14ac:dyDescent="0.25">
      <c r="W5097" s="214" t="s">
        <v>1943</v>
      </c>
      <c r="X5097" s="214" t="s">
        <v>5093</v>
      </c>
      <c r="Y5097" s="220">
        <v>7</v>
      </c>
    </row>
    <row r="5098" spans="23:25" x14ac:dyDescent="0.25">
      <c r="W5098" s="214" t="s">
        <v>242</v>
      </c>
      <c r="X5098" s="214" t="s">
        <v>5094</v>
      </c>
      <c r="Y5098" s="220">
        <v>6</v>
      </c>
    </row>
    <row r="5099" spans="23:25" x14ac:dyDescent="0.25">
      <c r="W5099" s="214" t="s">
        <v>1943</v>
      </c>
      <c r="X5099" s="214" t="s">
        <v>5095</v>
      </c>
      <c r="Y5099" s="220">
        <v>7</v>
      </c>
    </row>
    <row r="5100" spans="23:25" x14ac:dyDescent="0.25">
      <c r="W5100" s="214" t="s">
        <v>2185</v>
      </c>
      <c r="X5100" s="214" t="s">
        <v>5096</v>
      </c>
      <c r="Y5100" s="220">
        <v>5</v>
      </c>
    </row>
    <row r="5101" spans="23:25" x14ac:dyDescent="0.25">
      <c r="W5101" s="214" t="s">
        <v>2198</v>
      </c>
      <c r="X5101" s="214" t="s">
        <v>5097</v>
      </c>
      <c r="Y5101" s="220">
        <v>8</v>
      </c>
    </row>
    <row r="5102" spans="23:25" x14ac:dyDescent="0.25">
      <c r="W5102" s="214" t="s">
        <v>2185</v>
      </c>
      <c r="X5102" s="214" t="s">
        <v>5098</v>
      </c>
      <c r="Y5102" s="220">
        <v>8</v>
      </c>
    </row>
    <row r="5103" spans="23:25" x14ac:dyDescent="0.25">
      <c r="W5103" s="214" t="s">
        <v>3872</v>
      </c>
      <c r="X5103" s="214" t="s">
        <v>5099</v>
      </c>
      <c r="Y5103" s="220">
        <v>8</v>
      </c>
    </row>
    <row r="5104" spans="23:25" x14ac:dyDescent="0.25">
      <c r="W5104" s="214" t="s">
        <v>1943</v>
      </c>
      <c r="X5104" s="214" t="s">
        <v>5100</v>
      </c>
      <c r="Y5104" s="220">
        <v>7</v>
      </c>
    </row>
    <row r="5105" spans="23:25" x14ac:dyDescent="0.25">
      <c r="W5105" s="214" t="s">
        <v>2185</v>
      </c>
      <c r="X5105" s="214" t="s">
        <v>5101</v>
      </c>
      <c r="Y5105" s="220">
        <v>7</v>
      </c>
    </row>
    <row r="5106" spans="23:25" x14ac:dyDescent="0.25">
      <c r="W5106" s="214" t="s">
        <v>398</v>
      </c>
      <c r="X5106" s="214" t="s">
        <v>5102</v>
      </c>
      <c r="Y5106" s="220">
        <v>8</v>
      </c>
    </row>
    <row r="5107" spans="23:25" x14ac:dyDescent="0.25">
      <c r="W5107" s="214" t="s">
        <v>2198</v>
      </c>
      <c r="X5107" s="214" t="s">
        <v>5103</v>
      </c>
      <c r="Y5107" s="220">
        <v>8</v>
      </c>
    </row>
    <row r="5108" spans="23:25" x14ac:dyDescent="0.25">
      <c r="W5108" s="214" t="s">
        <v>1976</v>
      </c>
      <c r="X5108" s="214" t="s">
        <v>5104</v>
      </c>
      <c r="Y5108" s="220">
        <v>7</v>
      </c>
    </row>
    <row r="5109" spans="23:25" x14ac:dyDescent="0.25">
      <c r="W5109" s="214" t="s">
        <v>3870</v>
      </c>
      <c r="X5109" s="214" t="s">
        <v>5105</v>
      </c>
      <c r="Y5109" s="220">
        <v>7</v>
      </c>
    </row>
    <row r="5110" spans="23:25" x14ac:dyDescent="0.25">
      <c r="W5110" s="214" t="s">
        <v>1943</v>
      </c>
      <c r="X5110" s="214" t="s">
        <v>5106</v>
      </c>
      <c r="Y5110" s="220">
        <v>7</v>
      </c>
    </row>
    <row r="5111" spans="23:25" x14ac:dyDescent="0.25">
      <c r="W5111" s="214" t="s">
        <v>1943</v>
      </c>
      <c r="X5111" s="214" t="s">
        <v>5107</v>
      </c>
      <c r="Y5111" s="220">
        <v>7</v>
      </c>
    </row>
    <row r="5112" spans="23:25" x14ac:dyDescent="0.25">
      <c r="W5112" s="214" t="s">
        <v>1763</v>
      </c>
      <c r="X5112" s="214" t="s">
        <v>5108</v>
      </c>
      <c r="Y5112" s="220">
        <v>7</v>
      </c>
    </row>
    <row r="5113" spans="23:25" x14ac:dyDescent="0.25">
      <c r="W5113" s="214" t="s">
        <v>1976</v>
      </c>
      <c r="X5113" s="214" t="s">
        <v>5109</v>
      </c>
      <c r="Y5113" s="220">
        <v>7</v>
      </c>
    </row>
    <row r="5114" spans="23:25" x14ac:dyDescent="0.25">
      <c r="W5114" s="214" t="s">
        <v>3870</v>
      </c>
      <c r="X5114" s="214" t="s">
        <v>5110</v>
      </c>
      <c r="Y5114" s="220">
        <v>7</v>
      </c>
    </row>
    <row r="5115" spans="23:25" x14ac:dyDescent="0.25">
      <c r="W5115" s="214" t="s">
        <v>2198</v>
      </c>
      <c r="X5115" s="214" t="s">
        <v>5111</v>
      </c>
      <c r="Y5115" s="220">
        <v>8</v>
      </c>
    </row>
    <row r="5116" spans="23:25" x14ac:dyDescent="0.25">
      <c r="W5116" s="214" t="s">
        <v>398</v>
      </c>
      <c r="X5116" s="214" t="s">
        <v>5112</v>
      </c>
      <c r="Y5116" s="220">
        <v>8</v>
      </c>
    </row>
    <row r="5117" spans="23:25" x14ac:dyDescent="0.25">
      <c r="W5117" s="214" t="s">
        <v>398</v>
      </c>
      <c r="X5117" s="214" t="s">
        <v>5113</v>
      </c>
      <c r="Y5117" s="220">
        <v>8</v>
      </c>
    </row>
    <row r="5118" spans="23:25" x14ac:dyDescent="0.25">
      <c r="W5118" s="214" t="s">
        <v>1943</v>
      </c>
      <c r="X5118" s="214" t="s">
        <v>5114</v>
      </c>
      <c r="Y5118" s="220">
        <v>7</v>
      </c>
    </row>
    <row r="5119" spans="23:25" x14ac:dyDescent="0.25">
      <c r="W5119" s="214" t="s">
        <v>1943</v>
      </c>
      <c r="X5119" s="214" t="s">
        <v>5115</v>
      </c>
      <c r="Y5119" s="220">
        <v>7</v>
      </c>
    </row>
    <row r="5120" spans="23:25" x14ac:dyDescent="0.25">
      <c r="W5120" s="214" t="s">
        <v>2185</v>
      </c>
      <c r="X5120" s="214" t="s">
        <v>5116</v>
      </c>
      <c r="Y5120" s="220">
        <v>8</v>
      </c>
    </row>
    <row r="5121" spans="23:25" x14ac:dyDescent="0.25">
      <c r="W5121" s="214" t="s">
        <v>3870</v>
      </c>
      <c r="X5121" s="214" t="s">
        <v>5117</v>
      </c>
      <c r="Y5121" s="220">
        <v>7</v>
      </c>
    </row>
    <row r="5122" spans="23:25" x14ac:dyDescent="0.25">
      <c r="W5122" s="214" t="s">
        <v>3870</v>
      </c>
      <c r="X5122" s="214" t="s">
        <v>5118</v>
      </c>
      <c r="Y5122" s="220">
        <v>7</v>
      </c>
    </row>
    <row r="5123" spans="23:25" x14ac:dyDescent="0.25">
      <c r="W5123" s="214" t="s">
        <v>3870</v>
      </c>
      <c r="X5123" s="214" t="s">
        <v>5119</v>
      </c>
      <c r="Y5123" s="220">
        <v>7</v>
      </c>
    </row>
    <row r="5124" spans="23:25" x14ac:dyDescent="0.25">
      <c r="W5124" s="214" t="s">
        <v>3872</v>
      </c>
      <c r="X5124" s="214" t="s">
        <v>5120</v>
      </c>
      <c r="Y5124" s="220">
        <v>8</v>
      </c>
    </row>
    <row r="5125" spans="23:25" x14ac:dyDescent="0.25">
      <c r="W5125" s="214" t="s">
        <v>1943</v>
      </c>
      <c r="X5125" s="214" t="s">
        <v>5121</v>
      </c>
      <c r="Y5125" s="220">
        <v>7</v>
      </c>
    </row>
    <row r="5126" spans="23:25" x14ac:dyDescent="0.25">
      <c r="W5126" s="214" t="s">
        <v>3870</v>
      </c>
      <c r="X5126" s="214" t="s">
        <v>5122</v>
      </c>
      <c r="Y5126" s="220">
        <v>7</v>
      </c>
    </row>
    <row r="5127" spans="23:25" x14ac:dyDescent="0.25">
      <c r="W5127" s="214" t="s">
        <v>1943</v>
      </c>
      <c r="X5127" s="214" t="s">
        <v>5123</v>
      </c>
      <c r="Y5127" s="220">
        <v>7</v>
      </c>
    </row>
    <row r="5128" spans="23:25" x14ac:dyDescent="0.25">
      <c r="W5128" s="214" t="s">
        <v>1667</v>
      </c>
      <c r="X5128" s="214" t="s">
        <v>5124</v>
      </c>
      <c r="Y5128" s="220">
        <v>8</v>
      </c>
    </row>
    <row r="5129" spans="23:25" x14ac:dyDescent="0.25">
      <c r="W5129" s="214" t="s">
        <v>3872</v>
      </c>
      <c r="X5129" s="214" t="s">
        <v>5125</v>
      </c>
      <c r="Y5129" s="220">
        <v>8</v>
      </c>
    </row>
    <row r="5130" spans="23:25" x14ac:dyDescent="0.25">
      <c r="W5130" s="214" t="s">
        <v>230</v>
      </c>
      <c r="X5130" s="214" t="s">
        <v>5126</v>
      </c>
      <c r="Y5130" s="220">
        <v>8</v>
      </c>
    </row>
    <row r="5131" spans="23:25" x14ac:dyDescent="0.25">
      <c r="W5131" s="214" t="s">
        <v>1943</v>
      </c>
      <c r="X5131" s="214" t="s">
        <v>5127</v>
      </c>
      <c r="Y5131" s="220">
        <v>7</v>
      </c>
    </row>
    <row r="5132" spans="23:25" x14ac:dyDescent="0.25">
      <c r="W5132" s="214" t="s">
        <v>1716</v>
      </c>
      <c r="X5132" s="214" t="s">
        <v>5128</v>
      </c>
      <c r="Y5132" s="220">
        <v>8</v>
      </c>
    </row>
    <row r="5133" spans="23:25" x14ac:dyDescent="0.25">
      <c r="W5133" s="214" t="s">
        <v>1943</v>
      </c>
      <c r="X5133" s="214" t="s">
        <v>5129</v>
      </c>
      <c r="Y5133" s="220">
        <v>7</v>
      </c>
    </row>
    <row r="5134" spans="23:25" x14ac:dyDescent="0.25">
      <c r="W5134" s="214" t="s">
        <v>3872</v>
      </c>
      <c r="X5134" s="214" t="s">
        <v>5130</v>
      </c>
      <c r="Y5134" s="220">
        <v>8</v>
      </c>
    </row>
    <row r="5135" spans="23:25" x14ac:dyDescent="0.25">
      <c r="W5135" s="214" t="s">
        <v>1943</v>
      </c>
      <c r="X5135" s="214" t="s">
        <v>586</v>
      </c>
      <c r="Y5135" s="220">
        <v>7</v>
      </c>
    </row>
    <row r="5136" spans="23:25" x14ac:dyDescent="0.25">
      <c r="W5136" s="214" t="s">
        <v>1943</v>
      </c>
      <c r="X5136" s="214" t="s">
        <v>5131</v>
      </c>
      <c r="Y5136" s="220">
        <v>7</v>
      </c>
    </row>
    <row r="5137" spans="23:25" x14ac:dyDescent="0.25">
      <c r="W5137" s="214" t="s">
        <v>1943</v>
      </c>
      <c r="X5137" s="214" t="s">
        <v>5132</v>
      </c>
      <c r="Y5137" s="220">
        <v>7</v>
      </c>
    </row>
    <row r="5138" spans="23:25" x14ac:dyDescent="0.25">
      <c r="W5138" s="214" t="s">
        <v>1667</v>
      </c>
      <c r="X5138" s="214" t="s">
        <v>5133</v>
      </c>
      <c r="Y5138" s="220">
        <v>8</v>
      </c>
    </row>
    <row r="5139" spans="23:25" x14ac:dyDescent="0.25">
      <c r="W5139" s="214" t="s">
        <v>3870</v>
      </c>
      <c r="X5139" s="214" t="s">
        <v>5134</v>
      </c>
      <c r="Y5139" s="220">
        <v>7</v>
      </c>
    </row>
    <row r="5140" spans="23:25" x14ac:dyDescent="0.25">
      <c r="W5140" s="214" t="s">
        <v>3870</v>
      </c>
      <c r="X5140" s="214" t="s">
        <v>5135</v>
      </c>
      <c r="Y5140" s="220">
        <v>7</v>
      </c>
    </row>
    <row r="5141" spans="23:25" x14ac:dyDescent="0.25">
      <c r="W5141" s="214" t="s">
        <v>2185</v>
      </c>
      <c r="X5141" s="214" t="s">
        <v>5136</v>
      </c>
      <c r="Y5141" s="220">
        <v>6</v>
      </c>
    </row>
    <row r="5142" spans="23:25" x14ac:dyDescent="0.25">
      <c r="W5142" s="214" t="s">
        <v>29</v>
      </c>
      <c r="X5142" s="214" t="s">
        <v>5137</v>
      </c>
      <c r="Y5142" s="220">
        <v>8</v>
      </c>
    </row>
    <row r="5143" spans="23:25" x14ac:dyDescent="0.25">
      <c r="W5143" s="214" t="s">
        <v>3870</v>
      </c>
      <c r="X5143" s="214" t="s">
        <v>5138</v>
      </c>
      <c r="Y5143" s="220">
        <v>7</v>
      </c>
    </row>
    <row r="5144" spans="23:25" x14ac:dyDescent="0.25">
      <c r="W5144" s="214" t="s">
        <v>398</v>
      </c>
      <c r="X5144" s="214" t="s">
        <v>5139</v>
      </c>
      <c r="Y5144" s="220">
        <v>7</v>
      </c>
    </row>
    <row r="5145" spans="23:25" x14ac:dyDescent="0.25">
      <c r="W5145" s="214" t="s">
        <v>1667</v>
      </c>
      <c r="X5145" s="214" t="s">
        <v>1343</v>
      </c>
      <c r="Y5145" s="220">
        <v>8</v>
      </c>
    </row>
    <row r="5146" spans="23:25" x14ac:dyDescent="0.25">
      <c r="W5146" s="214" t="s">
        <v>244</v>
      </c>
      <c r="X5146" s="214" t="s">
        <v>5140</v>
      </c>
      <c r="Y5146" s="220">
        <v>8</v>
      </c>
    </row>
    <row r="5147" spans="23:25" x14ac:dyDescent="0.25">
      <c r="W5147" s="214" t="s">
        <v>3872</v>
      </c>
      <c r="X5147" s="214" t="s">
        <v>5141</v>
      </c>
      <c r="Y5147" s="220">
        <v>8</v>
      </c>
    </row>
    <row r="5148" spans="23:25" x14ac:dyDescent="0.25">
      <c r="W5148" s="214" t="s">
        <v>3872</v>
      </c>
      <c r="X5148" s="214" t="s">
        <v>5142</v>
      </c>
      <c r="Y5148" s="220">
        <v>8</v>
      </c>
    </row>
    <row r="5149" spans="23:25" x14ac:dyDescent="0.25">
      <c r="W5149" s="214" t="s">
        <v>398</v>
      </c>
      <c r="X5149" s="214" t="s">
        <v>5143</v>
      </c>
      <c r="Y5149" s="220">
        <v>8</v>
      </c>
    </row>
    <row r="5150" spans="23:25" x14ac:dyDescent="0.25">
      <c r="W5150" s="214" t="s">
        <v>242</v>
      </c>
      <c r="X5150" s="214" t="s">
        <v>5144</v>
      </c>
      <c r="Y5150" s="220">
        <v>8</v>
      </c>
    </row>
    <row r="5151" spans="23:25" x14ac:dyDescent="0.25">
      <c r="W5151" s="214" t="s">
        <v>242</v>
      </c>
      <c r="X5151" s="214" t="s">
        <v>5145</v>
      </c>
      <c r="Y5151" s="220">
        <v>8</v>
      </c>
    </row>
    <row r="5152" spans="23:25" x14ac:dyDescent="0.25">
      <c r="W5152" s="214" t="s">
        <v>242</v>
      </c>
      <c r="X5152" s="214" t="s">
        <v>5146</v>
      </c>
      <c r="Y5152" s="220">
        <v>8</v>
      </c>
    </row>
    <row r="5153" spans="23:25" x14ac:dyDescent="0.25">
      <c r="W5153" s="214" t="s">
        <v>398</v>
      </c>
      <c r="X5153" s="214" t="s">
        <v>5147</v>
      </c>
      <c r="Y5153" s="220">
        <v>8</v>
      </c>
    </row>
    <row r="5154" spans="23:25" x14ac:dyDescent="0.25">
      <c r="W5154" s="214" t="s">
        <v>1716</v>
      </c>
      <c r="X5154" s="214" t="s">
        <v>5148</v>
      </c>
      <c r="Y5154" s="220">
        <v>8</v>
      </c>
    </row>
    <row r="5155" spans="23:25" x14ac:dyDescent="0.25">
      <c r="W5155" s="214" t="s">
        <v>242</v>
      </c>
      <c r="X5155" s="214" t="s">
        <v>5149</v>
      </c>
      <c r="Y5155" s="220">
        <v>8</v>
      </c>
    </row>
    <row r="5156" spans="23:25" x14ac:dyDescent="0.25">
      <c r="W5156" s="214" t="s">
        <v>1716</v>
      </c>
      <c r="X5156" s="214" t="s">
        <v>5150</v>
      </c>
      <c r="Y5156" s="220">
        <v>8</v>
      </c>
    </row>
    <row r="5157" spans="23:25" x14ac:dyDescent="0.25">
      <c r="W5157" s="214" t="s">
        <v>242</v>
      </c>
      <c r="X5157" s="214" t="s">
        <v>5151</v>
      </c>
      <c r="Y5157" s="220">
        <v>8</v>
      </c>
    </row>
    <row r="5158" spans="23:25" x14ac:dyDescent="0.25">
      <c r="W5158" s="214" t="s">
        <v>242</v>
      </c>
      <c r="X5158" s="214" t="s">
        <v>5152</v>
      </c>
      <c r="Y5158" s="220">
        <v>8</v>
      </c>
    </row>
    <row r="5159" spans="23:25" x14ac:dyDescent="0.25">
      <c r="W5159" s="214" t="s">
        <v>242</v>
      </c>
      <c r="X5159" s="214" t="s">
        <v>5153</v>
      </c>
      <c r="Y5159" s="220">
        <v>8</v>
      </c>
    </row>
    <row r="5160" spans="23:25" x14ac:dyDescent="0.25">
      <c r="W5160" s="214" t="s">
        <v>1716</v>
      </c>
      <c r="X5160" s="214" t="s">
        <v>5154</v>
      </c>
      <c r="Y5160" s="220">
        <v>8</v>
      </c>
    </row>
    <row r="5161" spans="23:25" x14ac:dyDescent="0.25">
      <c r="W5161" s="214" t="s">
        <v>242</v>
      </c>
      <c r="X5161" s="214" t="s">
        <v>5155</v>
      </c>
      <c r="Y5161" s="220">
        <v>8</v>
      </c>
    </row>
    <row r="5162" spans="23:25" x14ac:dyDescent="0.25">
      <c r="W5162" s="214" t="s">
        <v>1716</v>
      </c>
      <c r="X5162" s="214" t="s">
        <v>5156</v>
      </c>
      <c r="Y5162" s="220">
        <v>8</v>
      </c>
    </row>
    <row r="5163" spans="23:25" x14ac:dyDescent="0.25">
      <c r="W5163" s="214" t="s">
        <v>69</v>
      </c>
      <c r="X5163" s="214" t="s">
        <v>5157</v>
      </c>
      <c r="Y5163" s="220">
        <v>8</v>
      </c>
    </row>
    <row r="5164" spans="23:25" x14ac:dyDescent="0.25">
      <c r="W5164" s="214" t="s">
        <v>242</v>
      </c>
      <c r="X5164" s="214" t="s">
        <v>4035</v>
      </c>
      <c r="Y5164" s="220">
        <v>8</v>
      </c>
    </row>
    <row r="5165" spans="23:25" x14ac:dyDescent="0.25">
      <c r="W5165" s="214" t="s">
        <v>1763</v>
      </c>
      <c r="X5165" s="214" t="s">
        <v>5158</v>
      </c>
      <c r="Y5165" s="220">
        <v>8</v>
      </c>
    </row>
    <row r="5166" spans="23:25" x14ac:dyDescent="0.25">
      <c r="W5166" s="214" t="s">
        <v>242</v>
      </c>
      <c r="X5166" s="214" t="s">
        <v>2113</v>
      </c>
      <c r="Y5166" s="220">
        <v>8</v>
      </c>
    </row>
    <row r="5167" spans="23:25" x14ac:dyDescent="0.25">
      <c r="W5167" s="214" t="s">
        <v>69</v>
      </c>
      <c r="X5167" s="214" t="s">
        <v>5159</v>
      </c>
      <c r="Y5167" s="220">
        <v>8</v>
      </c>
    </row>
    <row r="5168" spans="23:25" x14ac:dyDescent="0.25">
      <c r="W5168" s="214" t="s">
        <v>69</v>
      </c>
      <c r="X5168" s="214" t="s">
        <v>5160</v>
      </c>
      <c r="Y5168" s="220">
        <v>8</v>
      </c>
    </row>
    <row r="5169" spans="23:25" x14ac:dyDescent="0.25">
      <c r="W5169" s="214" t="s">
        <v>69</v>
      </c>
      <c r="X5169" s="214" t="s">
        <v>5161</v>
      </c>
      <c r="Y5169" s="220">
        <v>8</v>
      </c>
    </row>
    <row r="5170" spans="23:25" x14ac:dyDescent="0.25">
      <c r="W5170" s="214" t="s">
        <v>69</v>
      </c>
      <c r="X5170" s="214" t="s">
        <v>5162</v>
      </c>
      <c r="Y5170" s="220">
        <v>8</v>
      </c>
    </row>
    <row r="5171" spans="23:25" x14ac:dyDescent="0.25">
      <c r="W5171" s="214" t="s">
        <v>69</v>
      </c>
      <c r="X5171" s="214" t="s">
        <v>5163</v>
      </c>
      <c r="Y5171" s="220">
        <v>8</v>
      </c>
    </row>
    <row r="5172" spans="23:25" x14ac:dyDescent="0.25">
      <c r="W5172" s="214" t="s">
        <v>69</v>
      </c>
      <c r="X5172" s="214" t="s">
        <v>5164</v>
      </c>
      <c r="Y5172" s="220">
        <v>8</v>
      </c>
    </row>
    <row r="5173" spans="23:25" x14ac:dyDescent="0.25">
      <c r="W5173" s="214" t="s">
        <v>242</v>
      </c>
      <c r="X5173" s="214" t="s">
        <v>5165</v>
      </c>
      <c r="Y5173" s="220">
        <v>8</v>
      </c>
    </row>
    <row r="5174" spans="23:25" x14ac:dyDescent="0.25">
      <c r="W5174" s="214" t="s">
        <v>398</v>
      </c>
      <c r="X5174" s="214" t="s">
        <v>5166</v>
      </c>
      <c r="Y5174" s="220">
        <v>5</v>
      </c>
    </row>
    <row r="5175" spans="23:25" x14ac:dyDescent="0.25">
      <c r="W5175" s="214" t="s">
        <v>242</v>
      </c>
      <c r="X5175" s="214" t="s">
        <v>5167</v>
      </c>
      <c r="Y5175" s="220">
        <v>8</v>
      </c>
    </row>
    <row r="5176" spans="23:25" x14ac:dyDescent="0.25">
      <c r="W5176" s="214" t="s">
        <v>1716</v>
      </c>
      <c r="X5176" s="214" t="s">
        <v>5168</v>
      </c>
      <c r="Y5176" s="220">
        <v>8</v>
      </c>
    </row>
    <row r="5177" spans="23:25" x14ac:dyDescent="0.25">
      <c r="W5177" s="214" t="s">
        <v>69</v>
      </c>
      <c r="X5177" s="214" t="s">
        <v>5169</v>
      </c>
      <c r="Y5177" s="220">
        <v>8</v>
      </c>
    </row>
    <row r="5178" spans="23:25" x14ac:dyDescent="0.25">
      <c r="W5178" s="214" t="s">
        <v>398</v>
      </c>
      <c r="X5178" s="214" t="s">
        <v>5170</v>
      </c>
      <c r="Y5178" s="220">
        <v>8</v>
      </c>
    </row>
    <row r="5179" spans="23:25" x14ac:dyDescent="0.25">
      <c r="W5179" s="214" t="s">
        <v>69</v>
      </c>
      <c r="X5179" s="214" t="s">
        <v>4845</v>
      </c>
      <c r="Y5179" s="220">
        <v>8</v>
      </c>
    </row>
    <row r="5180" spans="23:25" x14ac:dyDescent="0.25">
      <c r="W5180" s="214" t="s">
        <v>69</v>
      </c>
      <c r="X5180" s="214" t="s">
        <v>5171</v>
      </c>
      <c r="Y5180" s="220">
        <v>8</v>
      </c>
    </row>
    <row r="5181" spans="23:25" x14ac:dyDescent="0.25">
      <c r="W5181" s="214" t="s">
        <v>69</v>
      </c>
      <c r="X5181" s="214" t="s">
        <v>926</v>
      </c>
      <c r="Y5181" s="220">
        <v>8</v>
      </c>
    </row>
    <row r="5182" spans="23:25" x14ac:dyDescent="0.25">
      <c r="W5182" s="214" t="s">
        <v>242</v>
      </c>
      <c r="X5182" s="214" t="s">
        <v>5172</v>
      </c>
      <c r="Y5182" s="220">
        <v>8</v>
      </c>
    </row>
    <row r="5183" spans="23:25" x14ac:dyDescent="0.25">
      <c r="W5183" s="214" t="s">
        <v>1716</v>
      </c>
      <c r="X5183" s="214" t="s">
        <v>3724</v>
      </c>
      <c r="Y5183" s="220">
        <v>8</v>
      </c>
    </row>
    <row r="5184" spans="23:25" x14ac:dyDescent="0.25">
      <c r="W5184" s="214" t="s">
        <v>69</v>
      </c>
      <c r="X5184" s="214" t="s">
        <v>5173</v>
      </c>
      <c r="Y5184" s="220">
        <v>8</v>
      </c>
    </row>
    <row r="5185" spans="23:25" x14ac:dyDescent="0.25">
      <c r="W5185" s="214" t="s">
        <v>242</v>
      </c>
      <c r="X5185" s="214" t="s">
        <v>5174</v>
      </c>
      <c r="Y5185" s="220">
        <v>8</v>
      </c>
    </row>
    <row r="5186" spans="23:25" x14ac:dyDescent="0.25">
      <c r="W5186" s="214" t="s">
        <v>69</v>
      </c>
      <c r="X5186" s="214" t="s">
        <v>5175</v>
      </c>
      <c r="Y5186" s="220">
        <v>8</v>
      </c>
    </row>
    <row r="5187" spans="23:25" x14ac:dyDescent="0.25">
      <c r="W5187" s="214" t="s">
        <v>69</v>
      </c>
      <c r="X5187" s="214" t="s">
        <v>5176</v>
      </c>
      <c r="Y5187" s="220">
        <v>8</v>
      </c>
    </row>
    <row r="5188" spans="23:25" x14ac:dyDescent="0.25">
      <c r="W5188" s="214" t="s">
        <v>69</v>
      </c>
      <c r="X5188" s="214" t="s">
        <v>5177</v>
      </c>
      <c r="Y5188" s="220">
        <v>8</v>
      </c>
    </row>
    <row r="5189" spans="23:25" x14ac:dyDescent="0.25">
      <c r="W5189" s="214" t="s">
        <v>69</v>
      </c>
      <c r="X5189" s="214" t="s">
        <v>5178</v>
      </c>
      <c r="Y5189" s="220">
        <v>8</v>
      </c>
    </row>
    <row r="5190" spans="23:25" x14ac:dyDescent="0.25">
      <c r="W5190" s="214" t="s">
        <v>231</v>
      </c>
      <c r="X5190" s="214" t="s">
        <v>5179</v>
      </c>
      <c r="Y5190" s="220">
        <v>8</v>
      </c>
    </row>
    <row r="5191" spans="23:25" x14ac:dyDescent="0.25">
      <c r="W5191" s="214" t="s">
        <v>69</v>
      </c>
      <c r="X5191" s="214" t="s">
        <v>5180</v>
      </c>
      <c r="Y5191" s="220">
        <v>8</v>
      </c>
    </row>
    <row r="5192" spans="23:25" x14ac:dyDescent="0.25">
      <c r="W5192" s="214" t="s">
        <v>69</v>
      </c>
      <c r="X5192" s="214" t="s">
        <v>5181</v>
      </c>
      <c r="Y5192" s="220">
        <v>8</v>
      </c>
    </row>
    <row r="5193" spans="23:25" x14ac:dyDescent="0.25">
      <c r="W5193" s="214" t="s">
        <v>1716</v>
      </c>
      <c r="X5193" s="214" t="s">
        <v>828</v>
      </c>
      <c r="Y5193" s="220">
        <v>8</v>
      </c>
    </row>
    <row r="5194" spans="23:25" x14ac:dyDescent="0.25">
      <c r="W5194" s="214" t="s">
        <v>69</v>
      </c>
      <c r="X5194" s="214" t="s">
        <v>5182</v>
      </c>
      <c r="Y5194" s="220">
        <v>8</v>
      </c>
    </row>
    <row r="5195" spans="23:25" x14ac:dyDescent="0.25">
      <c r="W5195" s="214" t="s">
        <v>69</v>
      </c>
      <c r="X5195" s="214" t="s">
        <v>5183</v>
      </c>
      <c r="Y5195" s="220">
        <v>8</v>
      </c>
    </row>
    <row r="5196" spans="23:25" x14ac:dyDescent="0.25">
      <c r="W5196" s="214" t="s">
        <v>398</v>
      </c>
      <c r="X5196" s="214" t="s">
        <v>5184</v>
      </c>
      <c r="Y5196" s="220">
        <v>8</v>
      </c>
    </row>
    <row r="5197" spans="23:25" x14ac:dyDescent="0.25">
      <c r="W5197" s="214" t="s">
        <v>69</v>
      </c>
      <c r="X5197" s="214" t="s">
        <v>5185</v>
      </c>
      <c r="Y5197" s="220">
        <v>8</v>
      </c>
    </row>
    <row r="5198" spans="23:25" x14ac:dyDescent="0.25">
      <c r="W5198" s="214" t="s">
        <v>3870</v>
      </c>
      <c r="X5198" s="214" t="s">
        <v>5186</v>
      </c>
      <c r="Y5198" s="220">
        <v>7</v>
      </c>
    </row>
    <row r="5199" spans="23:25" x14ac:dyDescent="0.25">
      <c r="W5199" s="214" t="s">
        <v>69</v>
      </c>
      <c r="X5199" s="214" t="s">
        <v>5187</v>
      </c>
      <c r="Y5199" s="220">
        <v>8</v>
      </c>
    </row>
    <row r="5200" spans="23:25" x14ac:dyDescent="0.25">
      <c r="W5200" s="214" t="s">
        <v>274</v>
      </c>
      <c r="X5200" s="214" t="s">
        <v>5188</v>
      </c>
      <c r="Y5200" s="220">
        <v>7</v>
      </c>
    </row>
    <row r="5201" spans="23:25" x14ac:dyDescent="0.25">
      <c r="W5201" s="214" t="s">
        <v>1667</v>
      </c>
      <c r="X5201" s="214" t="s">
        <v>914</v>
      </c>
      <c r="Y5201" s="220">
        <v>8</v>
      </c>
    </row>
    <row r="5202" spans="23:25" x14ac:dyDescent="0.25">
      <c r="W5202" s="214" t="s">
        <v>1716</v>
      </c>
      <c r="X5202" s="214" t="s">
        <v>5189</v>
      </c>
      <c r="Y5202" s="220">
        <v>8</v>
      </c>
    </row>
    <row r="5203" spans="23:25" x14ac:dyDescent="0.25">
      <c r="W5203" s="214" t="s">
        <v>69</v>
      </c>
      <c r="X5203" s="214" t="s">
        <v>3977</v>
      </c>
      <c r="Y5203" s="220">
        <v>8</v>
      </c>
    </row>
    <row r="5204" spans="23:25" x14ac:dyDescent="0.25">
      <c r="W5204" s="214" t="s">
        <v>242</v>
      </c>
      <c r="X5204" s="214" t="s">
        <v>5190</v>
      </c>
      <c r="Y5204" s="220">
        <v>7</v>
      </c>
    </row>
    <row r="5205" spans="23:25" x14ac:dyDescent="0.25">
      <c r="W5205" s="214" t="s">
        <v>398</v>
      </c>
      <c r="X5205" s="214" t="s">
        <v>5191</v>
      </c>
      <c r="Y5205" s="220">
        <v>7</v>
      </c>
    </row>
    <row r="5206" spans="23:25" x14ac:dyDescent="0.25">
      <c r="W5206" s="214" t="s">
        <v>69</v>
      </c>
      <c r="X5206" s="214" t="s">
        <v>4078</v>
      </c>
      <c r="Y5206" s="220">
        <v>8</v>
      </c>
    </row>
    <row r="5207" spans="23:25" x14ac:dyDescent="0.25">
      <c r="W5207" s="214" t="s">
        <v>69</v>
      </c>
      <c r="X5207" s="214" t="s">
        <v>5192</v>
      </c>
      <c r="Y5207" s="220">
        <v>8</v>
      </c>
    </row>
    <row r="5208" spans="23:25" x14ac:dyDescent="0.25">
      <c r="W5208" s="214" t="s">
        <v>1716</v>
      </c>
      <c r="X5208" s="214" t="s">
        <v>5193</v>
      </c>
      <c r="Y5208" s="220">
        <v>8</v>
      </c>
    </row>
    <row r="5209" spans="23:25" x14ac:dyDescent="0.25">
      <c r="W5209" s="214" t="s">
        <v>1716</v>
      </c>
      <c r="X5209" s="214" t="s">
        <v>5194</v>
      </c>
      <c r="Y5209" s="220">
        <v>8</v>
      </c>
    </row>
    <row r="5210" spans="23:25" x14ac:dyDescent="0.25">
      <c r="W5210" s="214" t="s">
        <v>231</v>
      </c>
      <c r="X5210" s="214" t="s">
        <v>5195</v>
      </c>
      <c r="Y5210" s="220">
        <v>8</v>
      </c>
    </row>
    <row r="5211" spans="23:25" x14ac:dyDescent="0.25">
      <c r="W5211" s="214" t="s">
        <v>242</v>
      </c>
      <c r="X5211" s="214" t="s">
        <v>2541</v>
      </c>
      <c r="Y5211" s="220">
        <v>7</v>
      </c>
    </row>
    <row r="5212" spans="23:25" x14ac:dyDescent="0.25">
      <c r="W5212" s="214" t="s">
        <v>1716</v>
      </c>
      <c r="X5212" s="214" t="s">
        <v>5196</v>
      </c>
      <c r="Y5212" s="220">
        <v>8</v>
      </c>
    </row>
    <row r="5213" spans="23:25" x14ac:dyDescent="0.25">
      <c r="W5213" s="214" t="s">
        <v>1716</v>
      </c>
      <c r="X5213" s="214" t="s">
        <v>5197</v>
      </c>
      <c r="Y5213" s="220">
        <v>8</v>
      </c>
    </row>
    <row r="5214" spans="23:25" x14ac:dyDescent="0.25">
      <c r="W5214" s="214" t="s">
        <v>69</v>
      </c>
      <c r="X5214" s="214" t="s">
        <v>5198</v>
      </c>
      <c r="Y5214" s="220">
        <v>8</v>
      </c>
    </row>
    <row r="5215" spans="23:25" x14ac:dyDescent="0.25">
      <c r="W5215" s="214" t="s">
        <v>1716</v>
      </c>
      <c r="X5215" s="214" t="s">
        <v>2844</v>
      </c>
      <c r="Y5215" s="220">
        <v>8</v>
      </c>
    </row>
    <row r="5216" spans="23:25" x14ac:dyDescent="0.25">
      <c r="W5216" s="214" t="s">
        <v>69</v>
      </c>
      <c r="X5216" s="214" t="s">
        <v>5199</v>
      </c>
      <c r="Y5216" s="220">
        <v>8</v>
      </c>
    </row>
    <row r="5217" spans="23:25" x14ac:dyDescent="0.25">
      <c r="W5217" s="214" t="s">
        <v>1740</v>
      </c>
      <c r="X5217" s="214" t="s">
        <v>5200</v>
      </c>
      <c r="Y5217" s="220">
        <v>7</v>
      </c>
    </row>
    <row r="5218" spans="23:25" x14ac:dyDescent="0.25">
      <c r="W5218" s="214" t="s">
        <v>1716</v>
      </c>
      <c r="X5218" s="214" t="s">
        <v>5201</v>
      </c>
      <c r="Y5218" s="220">
        <v>8</v>
      </c>
    </row>
    <row r="5219" spans="23:25" x14ac:dyDescent="0.25">
      <c r="W5219" s="214" t="s">
        <v>1716</v>
      </c>
      <c r="X5219" s="214" t="s">
        <v>3126</v>
      </c>
      <c r="Y5219" s="220">
        <v>8</v>
      </c>
    </row>
    <row r="5220" spans="23:25" x14ac:dyDescent="0.25">
      <c r="W5220" s="214" t="s">
        <v>1716</v>
      </c>
      <c r="X5220" s="214" t="s">
        <v>2327</v>
      </c>
      <c r="Y5220" s="220">
        <v>8</v>
      </c>
    </row>
    <row r="5221" spans="23:25" x14ac:dyDescent="0.25">
      <c r="W5221" s="214" t="s">
        <v>3872</v>
      </c>
      <c r="X5221" s="214" t="s">
        <v>5202</v>
      </c>
      <c r="Y5221" s="220">
        <v>8</v>
      </c>
    </row>
    <row r="5222" spans="23:25" x14ac:dyDescent="0.25">
      <c r="W5222" s="214" t="s">
        <v>274</v>
      </c>
      <c r="X5222" s="214" t="s">
        <v>5203</v>
      </c>
      <c r="Y5222" s="220">
        <v>6</v>
      </c>
    </row>
    <row r="5223" spans="23:25" x14ac:dyDescent="0.25">
      <c r="W5223" s="214" t="s">
        <v>1716</v>
      </c>
      <c r="X5223" s="214" t="s">
        <v>4897</v>
      </c>
      <c r="Y5223" s="220">
        <v>8</v>
      </c>
    </row>
    <row r="5224" spans="23:25" x14ac:dyDescent="0.25">
      <c r="W5224" s="214" t="s">
        <v>274</v>
      </c>
      <c r="X5224" s="214" t="s">
        <v>5204</v>
      </c>
      <c r="Y5224" s="220">
        <v>6</v>
      </c>
    </row>
    <row r="5225" spans="23:25" x14ac:dyDescent="0.25">
      <c r="W5225" s="214" t="s">
        <v>1716</v>
      </c>
      <c r="X5225" s="214" t="s">
        <v>5205</v>
      </c>
      <c r="Y5225" s="220">
        <v>8</v>
      </c>
    </row>
    <row r="5226" spans="23:25" x14ac:dyDescent="0.25">
      <c r="W5226" s="214" t="s">
        <v>69</v>
      </c>
      <c r="X5226" s="214" t="s">
        <v>5206</v>
      </c>
      <c r="Y5226" s="220">
        <v>8</v>
      </c>
    </row>
    <row r="5227" spans="23:25" x14ac:dyDescent="0.25">
      <c r="W5227" s="214" t="s">
        <v>1716</v>
      </c>
      <c r="X5227" s="214" t="s">
        <v>5207</v>
      </c>
      <c r="Y5227" s="220">
        <v>8</v>
      </c>
    </row>
    <row r="5228" spans="23:25" x14ac:dyDescent="0.25">
      <c r="W5228" s="214" t="s">
        <v>1716</v>
      </c>
      <c r="X5228" s="214" t="s">
        <v>5208</v>
      </c>
      <c r="Y5228" s="220">
        <v>8</v>
      </c>
    </row>
    <row r="5229" spans="23:25" x14ac:dyDescent="0.25">
      <c r="W5229" s="214" t="s">
        <v>1716</v>
      </c>
      <c r="X5229" s="214" t="s">
        <v>5209</v>
      </c>
      <c r="Y5229" s="220">
        <v>8</v>
      </c>
    </row>
    <row r="5230" spans="23:25" x14ac:dyDescent="0.25">
      <c r="W5230" s="214" t="s">
        <v>1763</v>
      </c>
      <c r="X5230" s="214" t="s">
        <v>5210</v>
      </c>
      <c r="Y5230" s="220">
        <v>7</v>
      </c>
    </row>
    <row r="5231" spans="23:25" x14ac:dyDescent="0.25">
      <c r="W5231" s="214" t="s">
        <v>398</v>
      </c>
      <c r="X5231" s="214" t="s">
        <v>1436</v>
      </c>
      <c r="Y5231" s="220">
        <v>7</v>
      </c>
    </row>
    <row r="5232" spans="23:25" x14ac:dyDescent="0.25">
      <c r="W5232" s="214" t="s">
        <v>69</v>
      </c>
      <c r="X5232" s="214" t="s">
        <v>5211</v>
      </c>
      <c r="Y5232" s="220">
        <v>8</v>
      </c>
    </row>
    <row r="5233" spans="23:25" x14ac:dyDescent="0.25">
      <c r="W5233" s="214" t="s">
        <v>1763</v>
      </c>
      <c r="X5233" s="214" t="s">
        <v>5212</v>
      </c>
      <c r="Y5233" s="220">
        <v>7</v>
      </c>
    </row>
    <row r="5234" spans="23:25" x14ac:dyDescent="0.25">
      <c r="W5234" s="214" t="s">
        <v>3872</v>
      </c>
      <c r="X5234" s="214" t="s">
        <v>5213</v>
      </c>
      <c r="Y5234" s="220">
        <v>8</v>
      </c>
    </row>
    <row r="5235" spans="23:25" x14ac:dyDescent="0.25">
      <c r="W5235" s="214" t="s">
        <v>69</v>
      </c>
      <c r="X5235" s="214" t="s">
        <v>5214</v>
      </c>
      <c r="Y5235" s="220">
        <v>8</v>
      </c>
    </row>
    <row r="5236" spans="23:25" x14ac:dyDescent="0.25">
      <c r="W5236" s="214" t="s">
        <v>1763</v>
      </c>
      <c r="X5236" s="214" t="s">
        <v>5215</v>
      </c>
      <c r="Y5236" s="220">
        <v>7</v>
      </c>
    </row>
    <row r="5237" spans="23:25" x14ac:dyDescent="0.25">
      <c r="W5237" s="214" t="s">
        <v>1716</v>
      </c>
      <c r="X5237" s="214" t="s">
        <v>551</v>
      </c>
      <c r="Y5237" s="220">
        <v>8</v>
      </c>
    </row>
    <row r="5238" spans="23:25" x14ac:dyDescent="0.25">
      <c r="W5238" s="214" t="s">
        <v>242</v>
      </c>
      <c r="X5238" s="214" t="s">
        <v>5216</v>
      </c>
      <c r="Y5238" s="220">
        <v>6</v>
      </c>
    </row>
    <row r="5239" spans="23:25" x14ac:dyDescent="0.25">
      <c r="W5239" s="214" t="s">
        <v>3870</v>
      </c>
      <c r="X5239" s="214" t="s">
        <v>5217</v>
      </c>
      <c r="Y5239" s="220">
        <v>7</v>
      </c>
    </row>
    <row r="5240" spans="23:25" x14ac:dyDescent="0.25">
      <c r="W5240" s="214" t="s">
        <v>1763</v>
      </c>
      <c r="X5240" s="214" t="s">
        <v>5218</v>
      </c>
      <c r="Y5240" s="220">
        <v>7</v>
      </c>
    </row>
    <row r="5241" spans="23:25" x14ac:dyDescent="0.25">
      <c r="W5241" s="214" t="s">
        <v>1763</v>
      </c>
      <c r="X5241" s="214" t="s">
        <v>5017</v>
      </c>
      <c r="Y5241" s="220">
        <v>7</v>
      </c>
    </row>
    <row r="5242" spans="23:25" x14ac:dyDescent="0.25">
      <c r="W5242" s="214" t="s">
        <v>1740</v>
      </c>
      <c r="X5242" s="214" t="s">
        <v>5219</v>
      </c>
      <c r="Y5242" s="220">
        <v>7</v>
      </c>
    </row>
    <row r="5243" spans="23:25" x14ac:dyDescent="0.25">
      <c r="W5243" s="214" t="s">
        <v>274</v>
      </c>
      <c r="X5243" s="214" t="s">
        <v>5220</v>
      </c>
      <c r="Y5243" s="220">
        <v>5</v>
      </c>
    </row>
    <row r="5244" spans="23:25" x14ac:dyDescent="0.25">
      <c r="W5244" s="214" t="s">
        <v>3870</v>
      </c>
      <c r="X5244" s="214" t="s">
        <v>5221</v>
      </c>
      <c r="Y5244" s="220">
        <v>7</v>
      </c>
    </row>
    <row r="5245" spans="23:25" x14ac:dyDescent="0.25">
      <c r="W5245" s="214" t="s">
        <v>1716</v>
      </c>
      <c r="X5245" s="214" t="s">
        <v>5222</v>
      </c>
      <c r="Y5245" s="220">
        <v>8</v>
      </c>
    </row>
    <row r="5246" spans="23:25" x14ac:dyDescent="0.25">
      <c r="W5246" s="214" t="s">
        <v>1763</v>
      </c>
      <c r="X5246" s="214" t="s">
        <v>5223</v>
      </c>
      <c r="Y5246" s="220">
        <v>7</v>
      </c>
    </row>
    <row r="5247" spans="23:25" x14ac:dyDescent="0.25">
      <c r="W5247" s="214" t="s">
        <v>1763</v>
      </c>
      <c r="X5247" s="214" t="s">
        <v>5224</v>
      </c>
      <c r="Y5247" s="220">
        <v>7</v>
      </c>
    </row>
    <row r="5248" spans="23:25" x14ac:dyDescent="0.25">
      <c r="W5248" s="214" t="s">
        <v>1716</v>
      </c>
      <c r="X5248" s="214" t="s">
        <v>4578</v>
      </c>
      <c r="Y5248" s="220">
        <v>8</v>
      </c>
    </row>
    <row r="5249" spans="23:25" x14ac:dyDescent="0.25">
      <c r="W5249" s="214" t="s">
        <v>1716</v>
      </c>
      <c r="X5249" s="214" t="s">
        <v>5225</v>
      </c>
      <c r="Y5249" s="220">
        <v>8</v>
      </c>
    </row>
    <row r="5250" spans="23:25" x14ac:dyDescent="0.25">
      <c r="W5250" s="214" t="s">
        <v>1716</v>
      </c>
      <c r="X5250" s="214" t="s">
        <v>5226</v>
      </c>
      <c r="Y5250" s="220">
        <v>8</v>
      </c>
    </row>
    <row r="5251" spans="23:25" x14ac:dyDescent="0.25">
      <c r="W5251" s="214" t="s">
        <v>1716</v>
      </c>
      <c r="X5251" s="214" t="s">
        <v>5227</v>
      </c>
      <c r="Y5251" s="220">
        <v>8</v>
      </c>
    </row>
    <row r="5252" spans="23:25" x14ac:dyDescent="0.25">
      <c r="W5252" s="214" t="s">
        <v>1763</v>
      </c>
      <c r="X5252" s="214" t="s">
        <v>5228</v>
      </c>
      <c r="Y5252" s="220">
        <v>7</v>
      </c>
    </row>
    <row r="5253" spans="23:25" x14ac:dyDescent="0.25">
      <c r="W5253" s="214" t="s">
        <v>1716</v>
      </c>
      <c r="X5253" s="214" t="s">
        <v>5229</v>
      </c>
      <c r="Y5253" s="220">
        <v>8</v>
      </c>
    </row>
    <row r="5254" spans="23:25" x14ac:dyDescent="0.25">
      <c r="W5254" s="214" t="s">
        <v>242</v>
      </c>
      <c r="X5254" s="214" t="s">
        <v>4775</v>
      </c>
      <c r="Y5254" s="220">
        <v>7</v>
      </c>
    </row>
    <row r="5255" spans="23:25" x14ac:dyDescent="0.25">
      <c r="W5255" s="214" t="s">
        <v>1716</v>
      </c>
      <c r="X5255" s="214" t="s">
        <v>5230</v>
      </c>
      <c r="Y5255" s="220">
        <v>8</v>
      </c>
    </row>
    <row r="5256" spans="23:25" x14ac:dyDescent="0.25">
      <c r="W5256" s="214" t="s">
        <v>1716</v>
      </c>
      <c r="X5256" s="214" t="s">
        <v>5231</v>
      </c>
      <c r="Y5256" s="220">
        <v>8</v>
      </c>
    </row>
    <row r="5257" spans="23:25" x14ac:dyDescent="0.25">
      <c r="W5257" s="214" t="s">
        <v>1943</v>
      </c>
      <c r="X5257" s="214" t="s">
        <v>1154</v>
      </c>
      <c r="Y5257" s="220">
        <v>7</v>
      </c>
    </row>
    <row r="5258" spans="23:25" x14ac:dyDescent="0.25">
      <c r="W5258" s="214" t="s">
        <v>1763</v>
      </c>
      <c r="X5258" s="214" t="s">
        <v>5232</v>
      </c>
      <c r="Y5258" s="220">
        <v>7</v>
      </c>
    </row>
    <row r="5259" spans="23:25" x14ac:dyDescent="0.25">
      <c r="W5259" s="214" t="s">
        <v>1716</v>
      </c>
      <c r="X5259" s="214" t="s">
        <v>5233</v>
      </c>
      <c r="Y5259" s="220">
        <v>8</v>
      </c>
    </row>
    <row r="5260" spans="23:25" x14ac:dyDescent="0.25">
      <c r="W5260" s="214" t="s">
        <v>2198</v>
      </c>
      <c r="X5260" s="214" t="s">
        <v>5234</v>
      </c>
      <c r="Y5260" s="220">
        <v>8</v>
      </c>
    </row>
    <row r="5261" spans="23:25" x14ac:dyDescent="0.25">
      <c r="W5261" s="214" t="s">
        <v>1716</v>
      </c>
      <c r="X5261" s="214" t="s">
        <v>5235</v>
      </c>
      <c r="Y5261" s="220">
        <v>8</v>
      </c>
    </row>
    <row r="5262" spans="23:25" x14ac:dyDescent="0.25">
      <c r="W5262" s="214" t="s">
        <v>1763</v>
      </c>
      <c r="X5262" s="214" t="s">
        <v>5236</v>
      </c>
      <c r="Y5262" s="220">
        <v>7</v>
      </c>
    </row>
    <row r="5263" spans="23:25" x14ac:dyDescent="0.25">
      <c r="W5263" s="214" t="s">
        <v>1763</v>
      </c>
      <c r="X5263" s="214" t="s">
        <v>1591</v>
      </c>
      <c r="Y5263" s="220">
        <v>7</v>
      </c>
    </row>
    <row r="5264" spans="23:25" x14ac:dyDescent="0.25">
      <c r="W5264" s="214" t="s">
        <v>69</v>
      </c>
      <c r="X5264" s="214" t="s">
        <v>5237</v>
      </c>
      <c r="Y5264" s="220">
        <v>8</v>
      </c>
    </row>
    <row r="5265" spans="23:25" x14ac:dyDescent="0.25">
      <c r="W5265" s="214" t="s">
        <v>3870</v>
      </c>
      <c r="X5265" s="214" t="s">
        <v>5238</v>
      </c>
      <c r="Y5265" s="220">
        <v>7</v>
      </c>
    </row>
    <row r="5266" spans="23:25" x14ac:dyDescent="0.25">
      <c r="W5266" s="214" t="s">
        <v>1716</v>
      </c>
      <c r="X5266" s="214" t="s">
        <v>5239</v>
      </c>
      <c r="Y5266" s="220">
        <v>8</v>
      </c>
    </row>
    <row r="5267" spans="23:25" x14ac:dyDescent="0.25">
      <c r="W5267" s="214" t="s">
        <v>3870</v>
      </c>
      <c r="X5267" s="214" t="s">
        <v>5240</v>
      </c>
      <c r="Y5267" s="220">
        <v>7</v>
      </c>
    </row>
    <row r="5268" spans="23:25" x14ac:dyDescent="0.25">
      <c r="W5268" s="214" t="s">
        <v>1716</v>
      </c>
      <c r="X5268" s="214" t="s">
        <v>5241</v>
      </c>
      <c r="Y5268" s="220">
        <v>8</v>
      </c>
    </row>
    <row r="5269" spans="23:25" x14ac:dyDescent="0.25">
      <c r="W5269" s="214" t="s">
        <v>1763</v>
      </c>
      <c r="X5269" s="214" t="s">
        <v>5242</v>
      </c>
      <c r="Y5269" s="220">
        <v>7</v>
      </c>
    </row>
    <row r="5270" spans="23:25" x14ac:dyDescent="0.25">
      <c r="W5270" s="214" t="s">
        <v>69</v>
      </c>
      <c r="X5270" s="214" t="s">
        <v>5243</v>
      </c>
      <c r="Y5270" s="220">
        <v>8</v>
      </c>
    </row>
    <row r="5271" spans="23:25" x14ac:dyDescent="0.25">
      <c r="W5271" s="214" t="s">
        <v>242</v>
      </c>
      <c r="X5271" s="214" t="s">
        <v>1157</v>
      </c>
      <c r="Y5271" s="220">
        <v>8</v>
      </c>
    </row>
    <row r="5272" spans="23:25" x14ac:dyDescent="0.25">
      <c r="W5272" s="214" t="s">
        <v>1763</v>
      </c>
      <c r="X5272" s="214" t="s">
        <v>5244</v>
      </c>
      <c r="Y5272" s="220">
        <v>7</v>
      </c>
    </row>
    <row r="5273" spans="23:25" x14ac:dyDescent="0.25">
      <c r="W5273" s="214" t="s">
        <v>1763</v>
      </c>
      <c r="X5273" s="214" t="s">
        <v>5245</v>
      </c>
      <c r="Y5273" s="220">
        <v>7</v>
      </c>
    </row>
    <row r="5274" spans="23:25" x14ac:dyDescent="0.25">
      <c r="W5274" s="214" t="s">
        <v>1763</v>
      </c>
      <c r="X5274" s="214" t="s">
        <v>4264</v>
      </c>
      <c r="Y5274" s="220">
        <v>6</v>
      </c>
    </row>
    <row r="5275" spans="23:25" x14ac:dyDescent="0.25">
      <c r="W5275" s="214" t="s">
        <v>2185</v>
      </c>
      <c r="X5275" s="214" t="s">
        <v>5246</v>
      </c>
      <c r="Y5275" s="220">
        <v>8</v>
      </c>
    </row>
    <row r="5276" spans="23:25" x14ac:dyDescent="0.25">
      <c r="W5276" s="214" t="s">
        <v>274</v>
      </c>
      <c r="X5276" s="214" t="s">
        <v>5247</v>
      </c>
      <c r="Y5276" s="220">
        <v>6</v>
      </c>
    </row>
    <row r="5277" spans="23:25" x14ac:dyDescent="0.25">
      <c r="W5277" s="214" t="s">
        <v>29</v>
      </c>
      <c r="X5277" s="214" t="s">
        <v>5248</v>
      </c>
      <c r="Y5277" s="220">
        <v>8</v>
      </c>
    </row>
    <row r="5278" spans="23:25" x14ac:dyDescent="0.25">
      <c r="W5278" s="214" t="s">
        <v>398</v>
      </c>
      <c r="X5278" s="214" t="s">
        <v>5249</v>
      </c>
      <c r="Y5278" s="220">
        <v>6</v>
      </c>
    </row>
    <row r="5279" spans="23:25" x14ac:dyDescent="0.25">
      <c r="W5279" s="214" t="s">
        <v>274</v>
      </c>
      <c r="X5279" s="214" t="s">
        <v>5250</v>
      </c>
      <c r="Y5279" s="220">
        <v>6</v>
      </c>
    </row>
    <row r="5280" spans="23:25" x14ac:dyDescent="0.25">
      <c r="W5280" s="214" t="s">
        <v>1763</v>
      </c>
      <c r="X5280" s="214" t="s">
        <v>5251</v>
      </c>
      <c r="Y5280" s="220">
        <v>7</v>
      </c>
    </row>
    <row r="5281" spans="23:25" x14ac:dyDescent="0.25">
      <c r="W5281" s="214" t="s">
        <v>274</v>
      </c>
      <c r="X5281" s="214" t="s">
        <v>5252</v>
      </c>
      <c r="Y5281" s="220">
        <v>6</v>
      </c>
    </row>
    <row r="5282" spans="23:25" x14ac:dyDescent="0.25">
      <c r="W5282" s="214" t="s">
        <v>1943</v>
      </c>
      <c r="X5282" s="214" t="s">
        <v>5253</v>
      </c>
      <c r="Y5282" s="220">
        <v>7</v>
      </c>
    </row>
    <row r="5283" spans="23:25" x14ac:dyDescent="0.25">
      <c r="W5283" s="214" t="s">
        <v>3872</v>
      </c>
      <c r="X5283" s="214" t="s">
        <v>5254</v>
      </c>
      <c r="Y5283" s="220">
        <v>8</v>
      </c>
    </row>
    <row r="5284" spans="23:25" x14ac:dyDescent="0.25">
      <c r="W5284" s="214" t="s">
        <v>1763</v>
      </c>
      <c r="X5284" s="214" t="s">
        <v>5255</v>
      </c>
      <c r="Y5284" s="220">
        <v>7</v>
      </c>
    </row>
    <row r="5285" spans="23:25" x14ac:dyDescent="0.25">
      <c r="W5285" s="214" t="s">
        <v>1716</v>
      </c>
      <c r="X5285" s="214" t="s">
        <v>2181</v>
      </c>
      <c r="Y5285" s="220">
        <v>8</v>
      </c>
    </row>
    <row r="5286" spans="23:25" x14ac:dyDescent="0.25">
      <c r="W5286" s="214" t="s">
        <v>1763</v>
      </c>
      <c r="X5286" s="214" t="s">
        <v>5256</v>
      </c>
      <c r="Y5286" s="220">
        <v>7</v>
      </c>
    </row>
    <row r="5287" spans="23:25" x14ac:dyDescent="0.25">
      <c r="W5287" s="214" t="s">
        <v>1763</v>
      </c>
      <c r="X5287" s="214" t="s">
        <v>5257</v>
      </c>
      <c r="Y5287" s="220">
        <v>7</v>
      </c>
    </row>
    <row r="5288" spans="23:25" x14ac:dyDescent="0.25">
      <c r="W5288" s="214" t="s">
        <v>1943</v>
      </c>
      <c r="X5288" s="214" t="s">
        <v>5258</v>
      </c>
      <c r="Y5288" s="220">
        <v>7</v>
      </c>
    </row>
    <row r="5289" spans="23:25" x14ac:dyDescent="0.25">
      <c r="W5289" s="214" t="s">
        <v>1763</v>
      </c>
      <c r="X5289" s="214" t="s">
        <v>1530</v>
      </c>
      <c r="Y5289" s="220">
        <v>7</v>
      </c>
    </row>
    <row r="5290" spans="23:25" x14ac:dyDescent="0.25">
      <c r="W5290" s="214" t="s">
        <v>242</v>
      </c>
      <c r="X5290" s="214" t="s">
        <v>5259</v>
      </c>
      <c r="Y5290" s="220">
        <v>8</v>
      </c>
    </row>
    <row r="5291" spans="23:25" x14ac:dyDescent="0.25">
      <c r="W5291" s="214" t="s">
        <v>1763</v>
      </c>
      <c r="X5291" s="214" t="s">
        <v>5260</v>
      </c>
      <c r="Y5291" s="220">
        <v>7</v>
      </c>
    </row>
    <row r="5292" spans="23:25" x14ac:dyDescent="0.25">
      <c r="W5292" s="214" t="s">
        <v>1763</v>
      </c>
      <c r="X5292" s="214" t="s">
        <v>1343</v>
      </c>
      <c r="Y5292" s="220">
        <v>7</v>
      </c>
    </row>
    <row r="5293" spans="23:25" x14ac:dyDescent="0.25">
      <c r="W5293" s="214" t="s">
        <v>3870</v>
      </c>
      <c r="X5293" s="214" t="s">
        <v>5261</v>
      </c>
      <c r="Y5293" s="220">
        <v>7</v>
      </c>
    </row>
    <row r="5294" spans="23:25" x14ac:dyDescent="0.25">
      <c r="W5294" s="214" t="s">
        <v>1763</v>
      </c>
      <c r="X5294" s="214" t="s">
        <v>5262</v>
      </c>
      <c r="Y5294" s="220">
        <v>6</v>
      </c>
    </row>
    <row r="5295" spans="23:25" x14ac:dyDescent="0.25">
      <c r="W5295" s="214" t="s">
        <v>1943</v>
      </c>
      <c r="X5295" s="214" t="s">
        <v>5263</v>
      </c>
      <c r="Y5295" s="220">
        <v>7</v>
      </c>
    </row>
    <row r="5296" spans="23:25" x14ac:dyDescent="0.25">
      <c r="W5296" s="214" t="s">
        <v>274</v>
      </c>
      <c r="X5296" s="214" t="s">
        <v>5264</v>
      </c>
      <c r="Y5296" s="220">
        <v>3</v>
      </c>
    </row>
    <row r="5297" spans="23:25" x14ac:dyDescent="0.25">
      <c r="W5297" s="214" t="s">
        <v>1763</v>
      </c>
      <c r="X5297" s="214" t="s">
        <v>5265</v>
      </c>
      <c r="Y5297" s="220">
        <v>7</v>
      </c>
    </row>
    <row r="5298" spans="23:25" x14ac:dyDescent="0.25">
      <c r="W5298" s="214" t="s">
        <v>1763</v>
      </c>
      <c r="X5298" s="214" t="s">
        <v>5266</v>
      </c>
      <c r="Y5298" s="220">
        <v>7</v>
      </c>
    </row>
    <row r="5299" spans="23:25" x14ac:dyDescent="0.25">
      <c r="W5299" s="214" t="s">
        <v>3870</v>
      </c>
      <c r="X5299" s="214" t="s">
        <v>5267</v>
      </c>
      <c r="Y5299" s="220">
        <v>7</v>
      </c>
    </row>
    <row r="5300" spans="23:25" x14ac:dyDescent="0.25">
      <c r="W5300" s="214" t="s">
        <v>398</v>
      </c>
      <c r="X5300" s="214" t="s">
        <v>5268</v>
      </c>
      <c r="Y5300" s="220">
        <v>8</v>
      </c>
    </row>
    <row r="5301" spans="23:25" x14ac:dyDescent="0.25">
      <c r="W5301" s="214" t="s">
        <v>3870</v>
      </c>
      <c r="X5301" s="214" t="s">
        <v>5269</v>
      </c>
      <c r="Y5301" s="220">
        <v>7</v>
      </c>
    </row>
    <row r="5302" spans="23:25" x14ac:dyDescent="0.25">
      <c r="W5302" s="214" t="s">
        <v>1740</v>
      </c>
      <c r="X5302" s="214" t="s">
        <v>5270</v>
      </c>
      <c r="Y5302" s="220">
        <v>7</v>
      </c>
    </row>
    <row r="5303" spans="23:25" x14ac:dyDescent="0.25">
      <c r="W5303" s="214" t="s">
        <v>398</v>
      </c>
      <c r="X5303" s="214" t="s">
        <v>5271</v>
      </c>
      <c r="Y5303" s="220">
        <v>8</v>
      </c>
    </row>
    <row r="5304" spans="23:25" x14ac:dyDescent="0.25">
      <c r="W5304" s="214" t="s">
        <v>398</v>
      </c>
      <c r="X5304" s="214" t="s">
        <v>5272</v>
      </c>
      <c r="Y5304" s="220">
        <v>6</v>
      </c>
    </row>
    <row r="5305" spans="23:25" x14ac:dyDescent="0.25">
      <c r="W5305" s="214" t="s">
        <v>3870</v>
      </c>
      <c r="X5305" s="214" t="s">
        <v>5273</v>
      </c>
      <c r="Y5305" s="220">
        <v>7</v>
      </c>
    </row>
    <row r="5306" spans="23:25" x14ac:dyDescent="0.25">
      <c r="W5306" s="214" t="s">
        <v>3870</v>
      </c>
      <c r="X5306" s="214" t="s">
        <v>5274</v>
      </c>
      <c r="Y5306" s="220">
        <v>7</v>
      </c>
    </row>
    <row r="5307" spans="23:25" x14ac:dyDescent="0.25">
      <c r="W5307" s="214" t="s">
        <v>3870</v>
      </c>
      <c r="X5307" s="214" t="s">
        <v>5275</v>
      </c>
      <c r="Y5307" s="220">
        <v>7</v>
      </c>
    </row>
    <row r="5308" spans="23:25" x14ac:dyDescent="0.25">
      <c r="W5308" s="214" t="s">
        <v>398</v>
      </c>
      <c r="X5308" s="214" t="s">
        <v>5276</v>
      </c>
      <c r="Y5308" s="220">
        <v>8</v>
      </c>
    </row>
    <row r="5309" spans="23:25" x14ac:dyDescent="0.25">
      <c r="W5309" s="214" t="s">
        <v>3870</v>
      </c>
      <c r="X5309" s="214" t="s">
        <v>5277</v>
      </c>
      <c r="Y5309" s="220">
        <v>7</v>
      </c>
    </row>
    <row r="5310" spans="23:25" x14ac:dyDescent="0.25">
      <c r="W5310" s="214" t="s">
        <v>398</v>
      </c>
      <c r="X5310" s="214" t="s">
        <v>5278</v>
      </c>
      <c r="Y5310" s="220">
        <v>6</v>
      </c>
    </row>
    <row r="5311" spans="23:25" x14ac:dyDescent="0.25">
      <c r="W5311" s="214" t="s">
        <v>29</v>
      </c>
      <c r="X5311" s="214" t="s">
        <v>5279</v>
      </c>
      <c r="Y5311" s="220">
        <v>8</v>
      </c>
    </row>
    <row r="5312" spans="23:25" x14ac:dyDescent="0.25">
      <c r="W5312" s="214" t="s">
        <v>274</v>
      </c>
      <c r="X5312" s="214" t="s">
        <v>5280</v>
      </c>
      <c r="Y5312" s="220">
        <v>3</v>
      </c>
    </row>
    <row r="5313" spans="23:25" x14ac:dyDescent="0.25">
      <c r="W5313" s="214" t="s">
        <v>3870</v>
      </c>
      <c r="X5313" s="214" t="s">
        <v>5281</v>
      </c>
      <c r="Y5313" s="220">
        <v>7</v>
      </c>
    </row>
    <row r="5314" spans="23:25" x14ac:dyDescent="0.25">
      <c r="W5314" s="214" t="s">
        <v>1943</v>
      </c>
      <c r="X5314" s="214" t="s">
        <v>5282</v>
      </c>
      <c r="Y5314" s="220">
        <v>7</v>
      </c>
    </row>
    <row r="5315" spans="23:25" x14ac:dyDescent="0.25">
      <c r="W5315" s="214" t="s">
        <v>242</v>
      </c>
      <c r="X5315" s="214" t="s">
        <v>4800</v>
      </c>
      <c r="Y5315" s="220">
        <v>7</v>
      </c>
    </row>
    <row r="5316" spans="23:25" x14ac:dyDescent="0.25">
      <c r="W5316" s="214" t="s">
        <v>242</v>
      </c>
      <c r="X5316" s="214" t="s">
        <v>5283</v>
      </c>
      <c r="Y5316" s="220">
        <v>7</v>
      </c>
    </row>
    <row r="5317" spans="23:25" x14ac:dyDescent="0.25">
      <c r="W5317" s="214" t="s">
        <v>3870</v>
      </c>
      <c r="X5317" s="214" t="s">
        <v>5284</v>
      </c>
      <c r="Y5317" s="220">
        <v>7</v>
      </c>
    </row>
    <row r="5318" spans="23:25" x14ac:dyDescent="0.25">
      <c r="W5318" s="214" t="s">
        <v>398</v>
      </c>
      <c r="X5318" s="214" t="s">
        <v>5285</v>
      </c>
      <c r="Y5318" s="220">
        <v>8</v>
      </c>
    </row>
    <row r="5319" spans="23:25" x14ac:dyDescent="0.25">
      <c r="W5319" s="214" t="s">
        <v>3870</v>
      </c>
      <c r="X5319" s="214" t="s">
        <v>5286</v>
      </c>
      <c r="Y5319" s="220">
        <v>7</v>
      </c>
    </row>
    <row r="5320" spans="23:25" x14ac:dyDescent="0.25">
      <c r="W5320" s="214" t="s">
        <v>3870</v>
      </c>
      <c r="X5320" s="214" t="s">
        <v>5287</v>
      </c>
      <c r="Y5320" s="220">
        <v>7</v>
      </c>
    </row>
    <row r="5321" spans="23:25" x14ac:dyDescent="0.25">
      <c r="W5321" s="214" t="s">
        <v>1943</v>
      </c>
      <c r="X5321" s="214" t="s">
        <v>5288</v>
      </c>
      <c r="Y5321" s="220">
        <v>7</v>
      </c>
    </row>
    <row r="5322" spans="23:25" x14ac:dyDescent="0.25">
      <c r="W5322" s="214" t="s">
        <v>2198</v>
      </c>
      <c r="X5322" s="214" t="s">
        <v>5289</v>
      </c>
      <c r="Y5322" s="220">
        <v>8</v>
      </c>
    </row>
    <row r="5323" spans="23:25" x14ac:dyDescent="0.25">
      <c r="W5323" s="214" t="s">
        <v>3870</v>
      </c>
      <c r="X5323" s="214" t="s">
        <v>5290</v>
      </c>
      <c r="Y5323" s="220">
        <v>7</v>
      </c>
    </row>
    <row r="5324" spans="23:25" x14ac:dyDescent="0.25">
      <c r="W5324" s="214" t="s">
        <v>242</v>
      </c>
      <c r="X5324" s="214" t="s">
        <v>5291</v>
      </c>
      <c r="Y5324" s="220">
        <v>7</v>
      </c>
    </row>
    <row r="5325" spans="23:25" x14ac:dyDescent="0.25">
      <c r="W5325" s="214" t="s">
        <v>3870</v>
      </c>
      <c r="X5325" s="214" t="s">
        <v>5292</v>
      </c>
      <c r="Y5325" s="220">
        <v>7</v>
      </c>
    </row>
    <row r="5326" spans="23:25" x14ac:dyDescent="0.25">
      <c r="W5326" s="214" t="s">
        <v>2198</v>
      </c>
      <c r="X5326" s="214" t="s">
        <v>5293</v>
      </c>
      <c r="Y5326" s="220">
        <v>8</v>
      </c>
    </row>
    <row r="5327" spans="23:25" x14ac:dyDescent="0.25">
      <c r="W5327" s="214" t="s">
        <v>3870</v>
      </c>
      <c r="X5327" s="214" t="s">
        <v>5294</v>
      </c>
      <c r="Y5327" s="220">
        <v>7</v>
      </c>
    </row>
    <row r="5328" spans="23:25" x14ac:dyDescent="0.25">
      <c r="W5328" s="214" t="s">
        <v>1667</v>
      </c>
      <c r="X5328" s="214" t="s">
        <v>5295</v>
      </c>
      <c r="Y5328" s="220">
        <v>7</v>
      </c>
    </row>
    <row r="5329" spans="23:25" x14ac:dyDescent="0.25">
      <c r="W5329" s="214" t="s">
        <v>3870</v>
      </c>
      <c r="X5329" s="214" t="s">
        <v>5296</v>
      </c>
      <c r="Y5329" s="220">
        <v>7</v>
      </c>
    </row>
    <row r="5330" spans="23:25" x14ac:dyDescent="0.25">
      <c r="W5330" s="214" t="s">
        <v>3870</v>
      </c>
      <c r="X5330" s="214" t="s">
        <v>5297</v>
      </c>
      <c r="Y5330" s="220">
        <v>6</v>
      </c>
    </row>
    <row r="5331" spans="23:25" x14ac:dyDescent="0.25">
      <c r="W5331" s="214" t="s">
        <v>1740</v>
      </c>
      <c r="X5331" s="214" t="s">
        <v>2658</v>
      </c>
      <c r="Y5331" s="220">
        <v>7</v>
      </c>
    </row>
    <row r="5332" spans="23:25" x14ac:dyDescent="0.25">
      <c r="W5332" s="214" t="s">
        <v>1763</v>
      </c>
      <c r="X5332" s="214" t="s">
        <v>1101</v>
      </c>
      <c r="Y5332" s="220">
        <v>6</v>
      </c>
    </row>
    <row r="5333" spans="23:25" x14ac:dyDescent="0.25">
      <c r="W5333" s="214" t="s">
        <v>1943</v>
      </c>
      <c r="X5333" s="214" t="s">
        <v>5298</v>
      </c>
      <c r="Y5333" s="220">
        <v>7</v>
      </c>
    </row>
    <row r="5334" spans="23:25" x14ac:dyDescent="0.25">
      <c r="W5334" s="214" t="s">
        <v>242</v>
      </c>
      <c r="X5334" s="214" t="s">
        <v>4410</v>
      </c>
      <c r="Y5334" s="220">
        <v>7</v>
      </c>
    </row>
    <row r="5335" spans="23:25" x14ac:dyDescent="0.25">
      <c r="W5335" s="214" t="s">
        <v>1943</v>
      </c>
      <c r="X5335" s="214" t="s">
        <v>3264</v>
      </c>
      <c r="Y5335" s="220">
        <v>7</v>
      </c>
    </row>
    <row r="5336" spans="23:25" x14ac:dyDescent="0.25">
      <c r="W5336" s="214" t="s">
        <v>1740</v>
      </c>
      <c r="X5336" s="214" t="s">
        <v>5299</v>
      </c>
      <c r="Y5336" s="220">
        <v>6</v>
      </c>
    </row>
    <row r="5337" spans="23:25" x14ac:dyDescent="0.25">
      <c r="W5337" s="214" t="s">
        <v>398</v>
      </c>
      <c r="X5337" s="214" t="s">
        <v>4363</v>
      </c>
      <c r="Y5337" s="220">
        <v>6</v>
      </c>
    </row>
    <row r="5338" spans="23:25" x14ac:dyDescent="0.25">
      <c r="W5338" s="214" t="s">
        <v>2198</v>
      </c>
      <c r="X5338" s="214" t="s">
        <v>5300</v>
      </c>
      <c r="Y5338" s="220">
        <v>8</v>
      </c>
    </row>
    <row r="5339" spans="23:25" x14ac:dyDescent="0.25">
      <c r="W5339" s="214" t="s">
        <v>1763</v>
      </c>
      <c r="X5339" s="214" t="s">
        <v>5301</v>
      </c>
      <c r="Y5339" s="220">
        <v>6</v>
      </c>
    </row>
    <row r="5340" spans="23:25" x14ac:dyDescent="0.25">
      <c r="W5340" s="214" t="s">
        <v>3870</v>
      </c>
      <c r="X5340" s="214" t="s">
        <v>5302</v>
      </c>
      <c r="Y5340" s="220">
        <v>7</v>
      </c>
    </row>
    <row r="5341" spans="23:25" x14ac:dyDescent="0.25">
      <c r="W5341" s="214" t="s">
        <v>1943</v>
      </c>
      <c r="X5341" s="214" t="s">
        <v>5303</v>
      </c>
      <c r="Y5341" s="220">
        <v>7</v>
      </c>
    </row>
    <row r="5342" spans="23:25" x14ac:dyDescent="0.25">
      <c r="W5342" s="214" t="s">
        <v>242</v>
      </c>
      <c r="X5342" s="214" t="s">
        <v>5304</v>
      </c>
      <c r="Y5342" s="220">
        <v>6</v>
      </c>
    </row>
    <row r="5343" spans="23:25" x14ac:dyDescent="0.25">
      <c r="W5343" s="214" t="s">
        <v>242</v>
      </c>
      <c r="X5343" s="214" t="s">
        <v>5305</v>
      </c>
      <c r="Y5343" s="220">
        <v>8</v>
      </c>
    </row>
    <row r="5344" spans="23:25" x14ac:dyDescent="0.25">
      <c r="W5344" s="214" t="s">
        <v>1763</v>
      </c>
      <c r="X5344" s="214" t="s">
        <v>5306</v>
      </c>
      <c r="Y5344" s="220">
        <v>7</v>
      </c>
    </row>
    <row r="5345" spans="23:25" x14ac:dyDescent="0.25">
      <c r="W5345" s="214" t="s">
        <v>2198</v>
      </c>
      <c r="X5345" s="214" t="s">
        <v>5307</v>
      </c>
      <c r="Y5345" s="220">
        <v>8</v>
      </c>
    </row>
    <row r="5346" spans="23:25" x14ac:dyDescent="0.25">
      <c r="W5346" s="214" t="s">
        <v>1943</v>
      </c>
      <c r="X5346" s="214" t="s">
        <v>5308</v>
      </c>
      <c r="Y5346" s="220">
        <v>7</v>
      </c>
    </row>
    <row r="5347" spans="23:25" x14ac:dyDescent="0.25">
      <c r="W5347" s="214" t="s">
        <v>1943</v>
      </c>
      <c r="X5347" s="214" t="s">
        <v>5309</v>
      </c>
      <c r="Y5347" s="220">
        <v>7</v>
      </c>
    </row>
    <row r="5348" spans="23:25" x14ac:dyDescent="0.25">
      <c r="W5348" s="214" t="s">
        <v>3870</v>
      </c>
      <c r="X5348" s="214" t="s">
        <v>5310</v>
      </c>
      <c r="Y5348" s="220">
        <v>7</v>
      </c>
    </row>
    <row r="5349" spans="23:25" x14ac:dyDescent="0.25">
      <c r="W5349" s="214" t="s">
        <v>398</v>
      </c>
      <c r="X5349" s="214" t="s">
        <v>5311</v>
      </c>
      <c r="Y5349" s="220">
        <v>6</v>
      </c>
    </row>
    <row r="5350" spans="23:25" x14ac:dyDescent="0.25">
      <c r="W5350" s="214" t="s">
        <v>398</v>
      </c>
      <c r="X5350" s="214" t="s">
        <v>5312</v>
      </c>
      <c r="Y5350" s="220">
        <v>6</v>
      </c>
    </row>
    <row r="5351" spans="23:25" x14ac:dyDescent="0.25">
      <c r="W5351" s="214" t="s">
        <v>2198</v>
      </c>
      <c r="X5351" s="214" t="s">
        <v>5313</v>
      </c>
      <c r="Y5351" s="220">
        <v>8</v>
      </c>
    </row>
    <row r="5352" spans="23:25" x14ac:dyDescent="0.25">
      <c r="W5352" s="214" t="s">
        <v>3870</v>
      </c>
      <c r="X5352" s="214" t="s">
        <v>5314</v>
      </c>
      <c r="Y5352" s="220">
        <v>7</v>
      </c>
    </row>
    <row r="5353" spans="23:25" x14ac:dyDescent="0.25">
      <c r="W5353" s="214" t="s">
        <v>398</v>
      </c>
      <c r="X5353" s="214" t="s">
        <v>5315</v>
      </c>
      <c r="Y5353" s="220">
        <v>6</v>
      </c>
    </row>
    <row r="5354" spans="23:25" x14ac:dyDescent="0.25">
      <c r="W5354" s="214" t="s">
        <v>2198</v>
      </c>
      <c r="X5354" s="214" t="s">
        <v>5316</v>
      </c>
      <c r="Y5354" s="220">
        <v>8</v>
      </c>
    </row>
    <row r="5355" spans="23:25" x14ac:dyDescent="0.25">
      <c r="W5355" s="214" t="s">
        <v>3870</v>
      </c>
      <c r="X5355" s="214" t="s">
        <v>5317</v>
      </c>
      <c r="Y5355" s="220">
        <v>7</v>
      </c>
    </row>
    <row r="5356" spans="23:25" x14ac:dyDescent="0.25">
      <c r="W5356" s="214" t="s">
        <v>3870</v>
      </c>
      <c r="X5356" s="214" t="s">
        <v>5318</v>
      </c>
      <c r="Y5356" s="220">
        <v>7</v>
      </c>
    </row>
    <row r="5357" spans="23:25" x14ac:dyDescent="0.25">
      <c r="W5357" s="214" t="s">
        <v>3870</v>
      </c>
      <c r="X5357" s="214" t="s">
        <v>5319</v>
      </c>
      <c r="Y5357" s="220">
        <v>6</v>
      </c>
    </row>
    <row r="5358" spans="23:25" x14ac:dyDescent="0.25">
      <c r="W5358" s="214" t="s">
        <v>3870</v>
      </c>
      <c r="X5358" s="214" t="s">
        <v>5320</v>
      </c>
      <c r="Y5358" s="220">
        <v>7</v>
      </c>
    </row>
    <row r="5359" spans="23:25" x14ac:dyDescent="0.25">
      <c r="W5359" s="214" t="s">
        <v>3870</v>
      </c>
      <c r="X5359" s="214" t="s">
        <v>5321</v>
      </c>
      <c r="Y5359" s="220">
        <v>7</v>
      </c>
    </row>
    <row r="5360" spans="23:25" x14ac:dyDescent="0.25">
      <c r="W5360" s="214" t="s">
        <v>398</v>
      </c>
      <c r="X5360" s="214" t="s">
        <v>5322</v>
      </c>
      <c r="Y5360" s="220">
        <v>6</v>
      </c>
    </row>
    <row r="5361" spans="23:25" x14ac:dyDescent="0.25">
      <c r="W5361" s="214" t="s">
        <v>398</v>
      </c>
      <c r="X5361" s="214" t="s">
        <v>5323</v>
      </c>
      <c r="Y5361" s="220">
        <v>6</v>
      </c>
    </row>
    <row r="5362" spans="23:25" x14ac:dyDescent="0.25">
      <c r="W5362" s="214" t="s">
        <v>3870</v>
      </c>
      <c r="X5362" s="214" t="s">
        <v>3524</v>
      </c>
      <c r="Y5362" s="220">
        <v>7</v>
      </c>
    </row>
    <row r="5363" spans="23:25" x14ac:dyDescent="0.25">
      <c r="W5363" s="214" t="s">
        <v>2198</v>
      </c>
      <c r="X5363" s="214" t="s">
        <v>5324</v>
      </c>
      <c r="Y5363" s="220">
        <v>8</v>
      </c>
    </row>
    <row r="5364" spans="23:25" x14ac:dyDescent="0.25">
      <c r="W5364" s="214" t="s">
        <v>2198</v>
      </c>
      <c r="X5364" s="214" t="s">
        <v>5325</v>
      </c>
      <c r="Y5364" s="220">
        <v>8</v>
      </c>
    </row>
    <row r="5365" spans="23:25" x14ac:dyDescent="0.25">
      <c r="W5365" s="214" t="s">
        <v>1667</v>
      </c>
      <c r="X5365" s="214" t="s">
        <v>5326</v>
      </c>
      <c r="Y5365" s="220">
        <v>7</v>
      </c>
    </row>
    <row r="5366" spans="23:25" x14ac:dyDescent="0.25">
      <c r="W5366" s="214" t="s">
        <v>1667</v>
      </c>
      <c r="X5366" s="214" t="s">
        <v>5327</v>
      </c>
      <c r="Y5366" s="220">
        <v>8</v>
      </c>
    </row>
    <row r="5367" spans="23:25" x14ac:dyDescent="0.25">
      <c r="W5367" s="214" t="s">
        <v>3870</v>
      </c>
      <c r="X5367" s="214" t="s">
        <v>5328</v>
      </c>
      <c r="Y5367" s="220">
        <v>7</v>
      </c>
    </row>
    <row r="5368" spans="23:25" x14ac:dyDescent="0.25">
      <c r="W5368" s="214" t="s">
        <v>3870</v>
      </c>
      <c r="X5368" s="214" t="s">
        <v>5329</v>
      </c>
      <c r="Y5368" s="220">
        <v>7</v>
      </c>
    </row>
    <row r="5369" spans="23:25" x14ac:dyDescent="0.25">
      <c r="W5369" s="214" t="s">
        <v>2185</v>
      </c>
      <c r="X5369" s="214" t="s">
        <v>5330</v>
      </c>
      <c r="Y5369" s="220">
        <v>8</v>
      </c>
    </row>
    <row r="5370" spans="23:25" x14ac:dyDescent="0.25">
      <c r="W5370" s="214" t="s">
        <v>398</v>
      </c>
      <c r="X5370" s="214" t="s">
        <v>4266</v>
      </c>
      <c r="Y5370" s="220">
        <v>6</v>
      </c>
    </row>
    <row r="5371" spans="23:25" x14ac:dyDescent="0.25">
      <c r="W5371" s="214" t="s">
        <v>398</v>
      </c>
      <c r="X5371" s="214" t="s">
        <v>5331</v>
      </c>
      <c r="Y5371" s="220">
        <v>6</v>
      </c>
    </row>
    <row r="5372" spans="23:25" x14ac:dyDescent="0.25">
      <c r="W5372" s="214" t="s">
        <v>398</v>
      </c>
      <c r="X5372" s="214" t="s">
        <v>5332</v>
      </c>
      <c r="Y5372" s="220">
        <v>6</v>
      </c>
    </row>
    <row r="5373" spans="23:25" x14ac:dyDescent="0.25">
      <c r="W5373" s="214" t="s">
        <v>1740</v>
      </c>
      <c r="X5373" s="214" t="s">
        <v>5333</v>
      </c>
      <c r="Y5373" s="220">
        <v>7</v>
      </c>
    </row>
    <row r="5374" spans="23:25" x14ac:dyDescent="0.25">
      <c r="W5374" s="214" t="s">
        <v>3870</v>
      </c>
      <c r="X5374" s="214" t="s">
        <v>5334</v>
      </c>
      <c r="Y5374" s="220">
        <v>7</v>
      </c>
    </row>
    <row r="5375" spans="23:25" x14ac:dyDescent="0.25">
      <c r="W5375" s="214" t="s">
        <v>2198</v>
      </c>
      <c r="X5375" s="214" t="s">
        <v>4147</v>
      </c>
      <c r="Y5375" s="220">
        <v>8</v>
      </c>
    </row>
    <row r="5376" spans="23:25" x14ac:dyDescent="0.25">
      <c r="W5376" s="214" t="s">
        <v>1740</v>
      </c>
      <c r="X5376" s="214" t="s">
        <v>5335</v>
      </c>
      <c r="Y5376" s="220">
        <v>6</v>
      </c>
    </row>
    <row r="5377" spans="23:25" x14ac:dyDescent="0.25">
      <c r="W5377" s="214" t="s">
        <v>3870</v>
      </c>
      <c r="X5377" s="214" t="s">
        <v>5336</v>
      </c>
      <c r="Y5377" s="220">
        <v>7</v>
      </c>
    </row>
    <row r="5378" spans="23:25" x14ac:dyDescent="0.25">
      <c r="W5378" s="214" t="s">
        <v>3870</v>
      </c>
      <c r="X5378" s="214" t="s">
        <v>5337</v>
      </c>
      <c r="Y5378" s="220">
        <v>7</v>
      </c>
    </row>
    <row r="5379" spans="23:25" x14ac:dyDescent="0.25">
      <c r="W5379" s="214" t="s">
        <v>398</v>
      </c>
      <c r="X5379" s="214" t="s">
        <v>5338</v>
      </c>
      <c r="Y5379" s="220">
        <v>7</v>
      </c>
    </row>
    <row r="5380" spans="23:25" x14ac:dyDescent="0.25">
      <c r="W5380" s="214" t="s">
        <v>242</v>
      </c>
      <c r="X5380" s="214" t="s">
        <v>5339</v>
      </c>
      <c r="Y5380" s="220">
        <v>6</v>
      </c>
    </row>
    <row r="5381" spans="23:25" x14ac:dyDescent="0.25">
      <c r="W5381" s="214" t="s">
        <v>3870</v>
      </c>
      <c r="X5381" s="214" t="s">
        <v>5340</v>
      </c>
      <c r="Y5381" s="220">
        <v>7</v>
      </c>
    </row>
    <row r="5382" spans="23:25" x14ac:dyDescent="0.25">
      <c r="W5382" s="214" t="s">
        <v>3870</v>
      </c>
      <c r="X5382" s="214" t="s">
        <v>5341</v>
      </c>
      <c r="Y5382" s="220">
        <v>7</v>
      </c>
    </row>
    <row r="5383" spans="23:25" x14ac:dyDescent="0.25">
      <c r="W5383" s="214" t="s">
        <v>3870</v>
      </c>
      <c r="X5383" s="214" t="s">
        <v>5342</v>
      </c>
      <c r="Y5383" s="220">
        <v>7</v>
      </c>
    </row>
    <row r="5384" spans="23:25" x14ac:dyDescent="0.25">
      <c r="W5384" s="214" t="s">
        <v>3870</v>
      </c>
      <c r="X5384" s="214" t="s">
        <v>5343</v>
      </c>
      <c r="Y5384" s="220">
        <v>7</v>
      </c>
    </row>
    <row r="5385" spans="23:25" x14ac:dyDescent="0.25">
      <c r="W5385" s="214" t="s">
        <v>3870</v>
      </c>
      <c r="X5385" s="214" t="s">
        <v>5344</v>
      </c>
      <c r="Y5385" s="220">
        <v>7</v>
      </c>
    </row>
    <row r="5386" spans="23:25" x14ac:dyDescent="0.25">
      <c r="W5386" s="214" t="s">
        <v>3870</v>
      </c>
      <c r="X5386" s="214" t="s">
        <v>5345</v>
      </c>
      <c r="Y5386" s="220">
        <v>7</v>
      </c>
    </row>
    <row r="5387" spans="23:25" x14ac:dyDescent="0.25">
      <c r="W5387" s="214" t="s">
        <v>1716</v>
      </c>
      <c r="X5387" s="214" t="s">
        <v>5346</v>
      </c>
      <c r="Y5387" s="220">
        <v>8</v>
      </c>
    </row>
    <row r="5388" spans="23:25" x14ac:dyDescent="0.25">
      <c r="W5388" s="214" t="s">
        <v>274</v>
      </c>
      <c r="X5388" s="214" t="s">
        <v>5347</v>
      </c>
      <c r="Y5388" s="220">
        <v>6</v>
      </c>
    </row>
    <row r="5389" spans="23:25" x14ac:dyDescent="0.25">
      <c r="W5389" s="214" t="s">
        <v>3870</v>
      </c>
      <c r="X5389" s="214" t="s">
        <v>5348</v>
      </c>
      <c r="Y5389" s="220">
        <v>8</v>
      </c>
    </row>
    <row r="5390" spans="23:25" x14ac:dyDescent="0.25">
      <c r="W5390" s="214" t="s">
        <v>274</v>
      </c>
      <c r="X5390" s="214" t="s">
        <v>4793</v>
      </c>
      <c r="Y5390" s="220">
        <v>6</v>
      </c>
    </row>
    <row r="5391" spans="23:25" x14ac:dyDescent="0.25">
      <c r="W5391" s="214" t="s">
        <v>3870</v>
      </c>
      <c r="X5391" s="214" t="s">
        <v>5349</v>
      </c>
      <c r="Y5391" s="220">
        <v>7</v>
      </c>
    </row>
    <row r="5392" spans="23:25" x14ac:dyDescent="0.25">
      <c r="W5392" s="214" t="s">
        <v>3870</v>
      </c>
      <c r="X5392" s="214" t="s">
        <v>5350</v>
      </c>
      <c r="Y5392" s="220">
        <v>7</v>
      </c>
    </row>
    <row r="5393" spans="23:25" x14ac:dyDescent="0.25">
      <c r="W5393" s="214" t="s">
        <v>2198</v>
      </c>
      <c r="X5393" s="214" t="s">
        <v>5351</v>
      </c>
      <c r="Y5393" s="220">
        <v>8</v>
      </c>
    </row>
    <row r="5394" spans="23:25" x14ac:dyDescent="0.25">
      <c r="W5394" s="214" t="s">
        <v>1667</v>
      </c>
      <c r="X5394" s="214" t="s">
        <v>5352</v>
      </c>
      <c r="Y5394" s="220">
        <v>7</v>
      </c>
    </row>
    <row r="5395" spans="23:25" x14ac:dyDescent="0.25">
      <c r="W5395" s="214" t="s">
        <v>1978</v>
      </c>
      <c r="X5395" s="214" t="s">
        <v>5353</v>
      </c>
      <c r="Y5395" s="220">
        <v>5</v>
      </c>
    </row>
    <row r="5396" spans="23:25" x14ac:dyDescent="0.25">
      <c r="W5396" s="214" t="s">
        <v>2185</v>
      </c>
      <c r="X5396" s="214" t="s">
        <v>5354</v>
      </c>
      <c r="Y5396" s="220">
        <v>5</v>
      </c>
    </row>
    <row r="5397" spans="23:25" x14ac:dyDescent="0.25">
      <c r="W5397" s="214" t="s">
        <v>3870</v>
      </c>
      <c r="X5397" s="214" t="s">
        <v>5355</v>
      </c>
      <c r="Y5397" s="220">
        <v>7</v>
      </c>
    </row>
    <row r="5398" spans="23:25" x14ac:dyDescent="0.25">
      <c r="W5398" s="214" t="s">
        <v>3872</v>
      </c>
      <c r="X5398" s="214" t="s">
        <v>5356</v>
      </c>
      <c r="Y5398" s="220">
        <v>8</v>
      </c>
    </row>
    <row r="5399" spans="23:25" x14ac:dyDescent="0.25">
      <c r="W5399" s="214" t="s">
        <v>3870</v>
      </c>
      <c r="X5399" s="214" t="s">
        <v>5357</v>
      </c>
      <c r="Y5399" s="220">
        <v>7</v>
      </c>
    </row>
    <row r="5400" spans="23:25" x14ac:dyDescent="0.25">
      <c r="W5400" s="214" t="s">
        <v>1740</v>
      </c>
      <c r="X5400" s="214" t="s">
        <v>5358</v>
      </c>
      <c r="Y5400" s="220">
        <v>6</v>
      </c>
    </row>
    <row r="5401" spans="23:25" x14ac:dyDescent="0.25">
      <c r="W5401" s="214" t="s">
        <v>3870</v>
      </c>
      <c r="X5401" s="214" t="s">
        <v>5359</v>
      </c>
      <c r="Y5401" s="220">
        <v>7</v>
      </c>
    </row>
    <row r="5402" spans="23:25" x14ac:dyDescent="0.25">
      <c r="W5402" s="214" t="s">
        <v>274</v>
      </c>
      <c r="X5402" s="214" t="s">
        <v>5360</v>
      </c>
      <c r="Y5402" s="220">
        <v>6</v>
      </c>
    </row>
    <row r="5403" spans="23:25" x14ac:dyDescent="0.25">
      <c r="W5403" s="214" t="s">
        <v>2198</v>
      </c>
      <c r="X5403" s="214" t="s">
        <v>5361</v>
      </c>
      <c r="Y5403" s="220">
        <v>8</v>
      </c>
    </row>
    <row r="5404" spans="23:25" x14ac:dyDescent="0.25">
      <c r="W5404" s="214" t="s">
        <v>398</v>
      </c>
      <c r="X5404" s="214" t="s">
        <v>5362</v>
      </c>
      <c r="Y5404" s="220">
        <v>6</v>
      </c>
    </row>
    <row r="5405" spans="23:25" x14ac:dyDescent="0.25">
      <c r="W5405" s="214" t="s">
        <v>398</v>
      </c>
      <c r="X5405" s="214" t="s">
        <v>5363</v>
      </c>
      <c r="Y5405" s="220">
        <v>6</v>
      </c>
    </row>
    <row r="5406" spans="23:25" x14ac:dyDescent="0.25">
      <c r="W5406" s="214" t="s">
        <v>2185</v>
      </c>
      <c r="X5406" s="214" t="s">
        <v>5364</v>
      </c>
      <c r="Y5406" s="220">
        <v>5</v>
      </c>
    </row>
    <row r="5407" spans="23:25" x14ac:dyDescent="0.25">
      <c r="W5407" s="214" t="s">
        <v>398</v>
      </c>
      <c r="X5407" s="214" t="s">
        <v>2818</v>
      </c>
      <c r="Y5407" s="220">
        <v>6</v>
      </c>
    </row>
    <row r="5408" spans="23:25" x14ac:dyDescent="0.25">
      <c r="W5408" s="214" t="s">
        <v>3870</v>
      </c>
      <c r="X5408" s="214" t="s">
        <v>5365</v>
      </c>
      <c r="Y5408" s="220">
        <v>7</v>
      </c>
    </row>
    <row r="5409" spans="23:25" x14ac:dyDescent="0.25">
      <c r="W5409" s="214" t="s">
        <v>1740</v>
      </c>
      <c r="X5409" s="214" t="s">
        <v>5366</v>
      </c>
      <c r="Y5409" s="220">
        <v>6</v>
      </c>
    </row>
    <row r="5410" spans="23:25" x14ac:dyDescent="0.25">
      <c r="W5410" s="214" t="s">
        <v>3870</v>
      </c>
      <c r="X5410" s="214" t="s">
        <v>5367</v>
      </c>
      <c r="Y5410" s="220">
        <v>8</v>
      </c>
    </row>
    <row r="5411" spans="23:25" x14ac:dyDescent="0.25">
      <c r="W5411" s="214" t="s">
        <v>1978</v>
      </c>
      <c r="X5411" s="214" t="s">
        <v>5368</v>
      </c>
      <c r="Y5411" s="220">
        <v>6</v>
      </c>
    </row>
    <row r="5412" spans="23:25" x14ac:dyDescent="0.25">
      <c r="W5412" s="214" t="s">
        <v>398</v>
      </c>
      <c r="X5412" s="214" t="s">
        <v>5369</v>
      </c>
      <c r="Y5412" s="220">
        <v>6</v>
      </c>
    </row>
    <row r="5413" spans="23:25" x14ac:dyDescent="0.25">
      <c r="W5413" s="214" t="s">
        <v>398</v>
      </c>
      <c r="X5413" s="214" t="s">
        <v>5370</v>
      </c>
      <c r="Y5413" s="220">
        <v>6</v>
      </c>
    </row>
    <row r="5414" spans="23:25" x14ac:dyDescent="0.25">
      <c r="W5414" s="214" t="s">
        <v>398</v>
      </c>
      <c r="X5414" s="214" t="s">
        <v>5371</v>
      </c>
      <c r="Y5414" s="220">
        <v>6</v>
      </c>
    </row>
    <row r="5415" spans="23:25" x14ac:dyDescent="0.25">
      <c r="W5415" s="214" t="s">
        <v>1740</v>
      </c>
      <c r="X5415" s="214" t="s">
        <v>5372</v>
      </c>
      <c r="Y5415" s="220">
        <v>6</v>
      </c>
    </row>
    <row r="5416" spans="23:25" x14ac:dyDescent="0.25">
      <c r="W5416" s="214" t="s">
        <v>3870</v>
      </c>
      <c r="X5416" s="214" t="s">
        <v>5373</v>
      </c>
      <c r="Y5416" s="220">
        <v>7</v>
      </c>
    </row>
    <row r="5417" spans="23:25" x14ac:dyDescent="0.25">
      <c r="W5417" s="214" t="s">
        <v>3870</v>
      </c>
      <c r="X5417" s="214" t="s">
        <v>5374</v>
      </c>
      <c r="Y5417" s="220">
        <v>7</v>
      </c>
    </row>
    <row r="5418" spans="23:25" x14ac:dyDescent="0.25">
      <c r="W5418" s="214" t="s">
        <v>1740</v>
      </c>
      <c r="X5418" s="214" t="s">
        <v>2409</v>
      </c>
      <c r="Y5418" s="220">
        <v>6</v>
      </c>
    </row>
    <row r="5419" spans="23:25" x14ac:dyDescent="0.25">
      <c r="W5419" s="214" t="s">
        <v>2185</v>
      </c>
      <c r="X5419" s="214" t="s">
        <v>5375</v>
      </c>
      <c r="Y5419" s="220">
        <v>5</v>
      </c>
    </row>
    <row r="5420" spans="23:25" x14ac:dyDescent="0.25">
      <c r="W5420" s="214" t="s">
        <v>3870</v>
      </c>
      <c r="X5420" s="214" t="s">
        <v>5376</v>
      </c>
      <c r="Y5420" s="220">
        <v>7</v>
      </c>
    </row>
    <row r="5421" spans="23:25" x14ac:dyDescent="0.25">
      <c r="W5421" s="214" t="s">
        <v>1740</v>
      </c>
      <c r="X5421" s="214" t="s">
        <v>5377</v>
      </c>
      <c r="Y5421" s="220">
        <v>6</v>
      </c>
    </row>
    <row r="5422" spans="23:25" x14ac:dyDescent="0.25">
      <c r="W5422" s="214" t="s">
        <v>3872</v>
      </c>
      <c r="X5422" s="214" t="s">
        <v>5378</v>
      </c>
      <c r="Y5422" s="220">
        <v>8</v>
      </c>
    </row>
    <row r="5423" spans="23:25" x14ac:dyDescent="0.25">
      <c r="W5423" s="214" t="s">
        <v>398</v>
      </c>
      <c r="X5423" s="214" t="s">
        <v>5379</v>
      </c>
      <c r="Y5423" s="220">
        <v>6</v>
      </c>
    </row>
    <row r="5424" spans="23:25" x14ac:dyDescent="0.25">
      <c r="W5424" s="214" t="s">
        <v>3870</v>
      </c>
      <c r="X5424" s="214" t="s">
        <v>5380</v>
      </c>
      <c r="Y5424" s="220">
        <v>8</v>
      </c>
    </row>
    <row r="5425" spans="23:25" x14ac:dyDescent="0.25">
      <c r="W5425" s="214" t="s">
        <v>3870</v>
      </c>
      <c r="X5425" s="214" t="s">
        <v>5381</v>
      </c>
      <c r="Y5425" s="220">
        <v>7</v>
      </c>
    </row>
    <row r="5426" spans="23:25" x14ac:dyDescent="0.25">
      <c r="W5426" s="214" t="s">
        <v>3872</v>
      </c>
      <c r="X5426" s="214" t="s">
        <v>5382</v>
      </c>
      <c r="Y5426" s="220">
        <v>8</v>
      </c>
    </row>
    <row r="5427" spans="23:25" x14ac:dyDescent="0.25">
      <c r="W5427" s="214" t="s">
        <v>2185</v>
      </c>
      <c r="X5427" s="214" t="s">
        <v>5383</v>
      </c>
      <c r="Y5427" s="220">
        <v>5</v>
      </c>
    </row>
    <row r="5428" spans="23:25" x14ac:dyDescent="0.25">
      <c r="W5428" s="214" t="s">
        <v>3870</v>
      </c>
      <c r="X5428" s="214" t="s">
        <v>5384</v>
      </c>
      <c r="Y5428" s="220">
        <v>7</v>
      </c>
    </row>
    <row r="5429" spans="23:25" x14ac:dyDescent="0.25">
      <c r="W5429" s="214" t="s">
        <v>398</v>
      </c>
      <c r="X5429" s="214" t="s">
        <v>5385</v>
      </c>
      <c r="Y5429" s="220">
        <v>7</v>
      </c>
    </row>
    <row r="5430" spans="23:25" x14ac:dyDescent="0.25">
      <c r="W5430" s="214" t="s">
        <v>3872</v>
      </c>
      <c r="X5430" s="214" t="s">
        <v>5386</v>
      </c>
      <c r="Y5430" s="220">
        <v>8</v>
      </c>
    </row>
    <row r="5431" spans="23:25" x14ac:dyDescent="0.25">
      <c r="W5431" s="214" t="s">
        <v>3870</v>
      </c>
      <c r="X5431" s="214" t="s">
        <v>5387</v>
      </c>
      <c r="Y5431" s="220">
        <v>7</v>
      </c>
    </row>
    <row r="5432" spans="23:25" x14ac:dyDescent="0.25">
      <c r="W5432" s="214" t="s">
        <v>398</v>
      </c>
      <c r="X5432" s="214" t="s">
        <v>5388</v>
      </c>
      <c r="Y5432" s="220">
        <v>7</v>
      </c>
    </row>
    <row r="5433" spans="23:25" x14ac:dyDescent="0.25">
      <c r="W5433" s="214" t="s">
        <v>3872</v>
      </c>
      <c r="X5433" s="214" t="s">
        <v>5389</v>
      </c>
      <c r="Y5433" s="220">
        <v>8</v>
      </c>
    </row>
    <row r="5434" spans="23:25" x14ac:dyDescent="0.25">
      <c r="W5434" s="214" t="s">
        <v>1740</v>
      </c>
      <c r="X5434" s="214" t="s">
        <v>5390</v>
      </c>
      <c r="Y5434" s="220">
        <v>6</v>
      </c>
    </row>
    <row r="5435" spans="23:25" x14ac:dyDescent="0.25">
      <c r="W5435" s="214" t="s">
        <v>3870</v>
      </c>
      <c r="X5435" s="214" t="s">
        <v>5391</v>
      </c>
      <c r="Y5435" s="220">
        <v>7</v>
      </c>
    </row>
    <row r="5436" spans="23:25" x14ac:dyDescent="0.25">
      <c r="W5436" s="214" t="s">
        <v>1740</v>
      </c>
      <c r="X5436" s="214" t="s">
        <v>5392</v>
      </c>
      <c r="Y5436" s="220">
        <v>6</v>
      </c>
    </row>
    <row r="5437" spans="23:25" x14ac:dyDescent="0.25">
      <c r="W5437" s="214" t="s">
        <v>3870</v>
      </c>
      <c r="X5437" s="214" t="s">
        <v>5393</v>
      </c>
      <c r="Y5437" s="220">
        <v>7</v>
      </c>
    </row>
    <row r="5438" spans="23:25" x14ac:dyDescent="0.25">
      <c r="W5438" s="214" t="s">
        <v>3870</v>
      </c>
      <c r="X5438" s="214" t="s">
        <v>5394</v>
      </c>
      <c r="Y5438" s="220">
        <v>7</v>
      </c>
    </row>
    <row r="5439" spans="23:25" x14ac:dyDescent="0.25">
      <c r="W5439" s="214" t="s">
        <v>3870</v>
      </c>
      <c r="X5439" s="214" t="s">
        <v>5395</v>
      </c>
      <c r="Y5439" s="220">
        <v>7</v>
      </c>
    </row>
    <row r="5440" spans="23:25" x14ac:dyDescent="0.25">
      <c r="W5440" s="214" t="s">
        <v>3872</v>
      </c>
      <c r="X5440" s="214" t="s">
        <v>5396</v>
      </c>
      <c r="Y5440" s="220">
        <v>8</v>
      </c>
    </row>
    <row r="5441" spans="23:25" x14ac:dyDescent="0.25">
      <c r="W5441" s="214" t="s">
        <v>274</v>
      </c>
      <c r="X5441" s="214" t="s">
        <v>5397</v>
      </c>
      <c r="Y5441" s="220">
        <v>6</v>
      </c>
    </row>
    <row r="5442" spans="23:25" x14ac:dyDescent="0.25">
      <c r="W5442" s="214" t="s">
        <v>3870</v>
      </c>
      <c r="X5442" s="214" t="s">
        <v>5398</v>
      </c>
      <c r="Y5442" s="220">
        <v>7</v>
      </c>
    </row>
    <row r="5443" spans="23:25" x14ac:dyDescent="0.25">
      <c r="W5443" s="214" t="s">
        <v>2185</v>
      </c>
      <c r="X5443" s="214" t="s">
        <v>5399</v>
      </c>
      <c r="Y5443" s="220">
        <v>5</v>
      </c>
    </row>
    <row r="5444" spans="23:25" x14ac:dyDescent="0.25">
      <c r="W5444" s="214" t="s">
        <v>3870</v>
      </c>
      <c r="X5444" s="214" t="s">
        <v>5400</v>
      </c>
      <c r="Y5444" s="220">
        <v>7</v>
      </c>
    </row>
    <row r="5445" spans="23:25" x14ac:dyDescent="0.25">
      <c r="W5445" s="214" t="s">
        <v>398</v>
      </c>
      <c r="X5445" s="214" t="s">
        <v>5401</v>
      </c>
      <c r="Y5445" s="220">
        <v>6</v>
      </c>
    </row>
    <row r="5446" spans="23:25" x14ac:dyDescent="0.25">
      <c r="W5446" s="214" t="s">
        <v>3870</v>
      </c>
      <c r="X5446" s="214" t="s">
        <v>5402</v>
      </c>
      <c r="Y5446" s="220">
        <v>7</v>
      </c>
    </row>
    <row r="5447" spans="23:25" x14ac:dyDescent="0.25">
      <c r="W5447" s="214" t="s">
        <v>3870</v>
      </c>
      <c r="X5447" s="214" t="s">
        <v>5403</v>
      </c>
      <c r="Y5447" s="220">
        <v>8</v>
      </c>
    </row>
    <row r="5448" spans="23:25" x14ac:dyDescent="0.25">
      <c r="W5448" s="214" t="s">
        <v>3870</v>
      </c>
      <c r="X5448" s="214" t="s">
        <v>5404</v>
      </c>
      <c r="Y5448" s="220">
        <v>7</v>
      </c>
    </row>
    <row r="5449" spans="23:25" x14ac:dyDescent="0.25">
      <c r="W5449" s="214" t="s">
        <v>2185</v>
      </c>
      <c r="X5449" s="214" t="s">
        <v>5405</v>
      </c>
      <c r="Y5449" s="220">
        <v>7</v>
      </c>
    </row>
    <row r="5450" spans="23:25" x14ac:dyDescent="0.25">
      <c r="W5450" s="214" t="s">
        <v>3872</v>
      </c>
      <c r="X5450" s="214" t="s">
        <v>5406</v>
      </c>
      <c r="Y5450" s="220">
        <v>8</v>
      </c>
    </row>
    <row r="5451" spans="23:25" x14ac:dyDescent="0.25">
      <c r="W5451" s="214" t="s">
        <v>3870</v>
      </c>
      <c r="X5451" s="214" t="s">
        <v>5407</v>
      </c>
      <c r="Y5451" s="220">
        <v>7</v>
      </c>
    </row>
    <row r="5452" spans="23:25" x14ac:dyDescent="0.25">
      <c r="W5452" s="214" t="s">
        <v>3870</v>
      </c>
      <c r="X5452" s="214" t="s">
        <v>5408</v>
      </c>
      <c r="Y5452" s="220">
        <v>8</v>
      </c>
    </row>
    <row r="5453" spans="23:25" x14ac:dyDescent="0.25">
      <c r="W5453" s="214" t="s">
        <v>398</v>
      </c>
      <c r="X5453" s="214" t="s">
        <v>5409</v>
      </c>
      <c r="Y5453" s="220">
        <v>6</v>
      </c>
    </row>
    <row r="5454" spans="23:25" x14ac:dyDescent="0.25">
      <c r="W5454" s="214" t="s">
        <v>3870</v>
      </c>
      <c r="X5454" s="214" t="s">
        <v>5410</v>
      </c>
      <c r="Y5454" s="220">
        <v>7</v>
      </c>
    </row>
    <row r="5455" spans="23:25" x14ac:dyDescent="0.25">
      <c r="W5455" s="214" t="s">
        <v>2185</v>
      </c>
      <c r="X5455" s="214" t="s">
        <v>5411</v>
      </c>
      <c r="Y5455" s="220">
        <v>5</v>
      </c>
    </row>
    <row r="5456" spans="23:25" x14ac:dyDescent="0.25">
      <c r="W5456" s="214" t="s">
        <v>398</v>
      </c>
      <c r="X5456" s="214" t="s">
        <v>5412</v>
      </c>
      <c r="Y5456" s="220">
        <v>6</v>
      </c>
    </row>
    <row r="5457" spans="23:25" x14ac:dyDescent="0.25">
      <c r="W5457" s="214" t="s">
        <v>3870</v>
      </c>
      <c r="X5457" s="214" t="s">
        <v>5413</v>
      </c>
      <c r="Y5457" s="220">
        <v>8</v>
      </c>
    </row>
    <row r="5458" spans="23:25" x14ac:dyDescent="0.25">
      <c r="W5458" s="214" t="s">
        <v>2185</v>
      </c>
      <c r="X5458" s="214" t="s">
        <v>5414</v>
      </c>
      <c r="Y5458" s="220">
        <v>5</v>
      </c>
    </row>
    <row r="5459" spans="23:25" x14ac:dyDescent="0.25">
      <c r="W5459" s="214" t="s">
        <v>3870</v>
      </c>
      <c r="X5459" s="214" t="s">
        <v>5415</v>
      </c>
      <c r="Y5459" s="220">
        <v>8</v>
      </c>
    </row>
    <row r="5460" spans="23:25" x14ac:dyDescent="0.25">
      <c r="W5460" s="214" t="s">
        <v>3870</v>
      </c>
      <c r="X5460" s="214" t="s">
        <v>5416</v>
      </c>
      <c r="Y5460" s="220">
        <v>8</v>
      </c>
    </row>
    <row r="5461" spans="23:25" x14ac:dyDescent="0.25">
      <c r="W5461" s="214" t="s">
        <v>3870</v>
      </c>
      <c r="X5461" s="214" t="s">
        <v>5417</v>
      </c>
      <c r="Y5461" s="220">
        <v>7</v>
      </c>
    </row>
    <row r="5462" spans="23:25" x14ac:dyDescent="0.25">
      <c r="W5462" s="214" t="s">
        <v>3870</v>
      </c>
      <c r="X5462" s="214" t="s">
        <v>5418</v>
      </c>
      <c r="Y5462" s="220">
        <v>7</v>
      </c>
    </row>
    <row r="5463" spans="23:25" x14ac:dyDescent="0.25">
      <c r="W5463" s="214" t="s">
        <v>242</v>
      </c>
      <c r="X5463" s="214" t="s">
        <v>5419</v>
      </c>
      <c r="Y5463" s="220">
        <v>8</v>
      </c>
    </row>
    <row r="5464" spans="23:25" x14ac:dyDescent="0.25">
      <c r="W5464" s="214" t="s">
        <v>3870</v>
      </c>
      <c r="X5464" s="214" t="s">
        <v>5420</v>
      </c>
      <c r="Y5464" s="220">
        <v>7</v>
      </c>
    </row>
    <row r="5465" spans="23:25" x14ac:dyDescent="0.25">
      <c r="W5465" s="214" t="s">
        <v>2185</v>
      </c>
      <c r="X5465" s="214" t="s">
        <v>5421</v>
      </c>
      <c r="Y5465" s="220">
        <v>7</v>
      </c>
    </row>
    <row r="5466" spans="23:25" x14ac:dyDescent="0.25">
      <c r="W5466" s="214" t="s">
        <v>274</v>
      </c>
      <c r="X5466" s="214" t="s">
        <v>5422</v>
      </c>
      <c r="Y5466" s="220">
        <v>6</v>
      </c>
    </row>
    <row r="5467" spans="23:25" x14ac:dyDescent="0.25">
      <c r="W5467" s="214" t="s">
        <v>3870</v>
      </c>
      <c r="X5467" s="214" t="s">
        <v>5423</v>
      </c>
      <c r="Y5467" s="220">
        <v>8</v>
      </c>
    </row>
    <row r="5468" spans="23:25" x14ac:dyDescent="0.25">
      <c r="W5468" s="214" t="s">
        <v>3870</v>
      </c>
      <c r="X5468" s="214" t="s">
        <v>5424</v>
      </c>
      <c r="Y5468" s="220">
        <v>7</v>
      </c>
    </row>
    <row r="5469" spans="23:25" x14ac:dyDescent="0.25">
      <c r="W5469" s="214" t="s">
        <v>1740</v>
      </c>
      <c r="X5469" s="214" t="s">
        <v>5425</v>
      </c>
      <c r="Y5469" s="220">
        <v>6</v>
      </c>
    </row>
    <row r="5470" spans="23:25" x14ac:dyDescent="0.25">
      <c r="W5470" s="214" t="s">
        <v>3870</v>
      </c>
      <c r="X5470" s="214" t="s">
        <v>5426</v>
      </c>
      <c r="Y5470" s="220">
        <v>6</v>
      </c>
    </row>
    <row r="5471" spans="23:25" x14ac:dyDescent="0.25">
      <c r="W5471" s="214" t="s">
        <v>3870</v>
      </c>
      <c r="X5471" s="214" t="s">
        <v>5427</v>
      </c>
      <c r="Y5471" s="220">
        <v>8</v>
      </c>
    </row>
    <row r="5472" spans="23:25" x14ac:dyDescent="0.25">
      <c r="W5472" s="214" t="s">
        <v>3870</v>
      </c>
      <c r="X5472" s="214" t="s">
        <v>5428</v>
      </c>
      <c r="Y5472" s="220">
        <v>7</v>
      </c>
    </row>
    <row r="5473" spans="23:25" x14ac:dyDescent="0.25">
      <c r="W5473" s="214" t="s">
        <v>3870</v>
      </c>
      <c r="X5473" s="214" t="s">
        <v>5429</v>
      </c>
      <c r="Y5473" s="220">
        <v>7</v>
      </c>
    </row>
    <row r="5474" spans="23:25" x14ac:dyDescent="0.25">
      <c r="W5474" s="214" t="s">
        <v>3870</v>
      </c>
      <c r="X5474" s="214" t="s">
        <v>5430</v>
      </c>
      <c r="Y5474" s="220">
        <v>7</v>
      </c>
    </row>
    <row r="5475" spans="23:25" x14ac:dyDescent="0.25">
      <c r="W5475" s="214" t="s">
        <v>1740</v>
      </c>
      <c r="X5475" s="214" t="s">
        <v>5431</v>
      </c>
      <c r="Y5475" s="220">
        <v>6</v>
      </c>
    </row>
    <row r="5476" spans="23:25" x14ac:dyDescent="0.25">
      <c r="W5476" s="214" t="s">
        <v>2185</v>
      </c>
      <c r="X5476" s="214" t="s">
        <v>5432</v>
      </c>
      <c r="Y5476" s="220">
        <v>7</v>
      </c>
    </row>
    <row r="5477" spans="23:25" x14ac:dyDescent="0.25">
      <c r="W5477" s="214" t="s">
        <v>3870</v>
      </c>
      <c r="X5477" s="214" t="s">
        <v>5433</v>
      </c>
      <c r="Y5477" s="220">
        <v>7</v>
      </c>
    </row>
    <row r="5478" spans="23:25" x14ac:dyDescent="0.25">
      <c r="W5478" s="214" t="s">
        <v>2185</v>
      </c>
      <c r="X5478" s="214" t="s">
        <v>5434</v>
      </c>
      <c r="Y5478" s="220">
        <v>7</v>
      </c>
    </row>
    <row r="5479" spans="23:25" x14ac:dyDescent="0.25">
      <c r="W5479" s="214" t="s">
        <v>3870</v>
      </c>
      <c r="X5479" s="214" t="s">
        <v>5435</v>
      </c>
      <c r="Y5479" s="220">
        <v>7</v>
      </c>
    </row>
    <row r="5480" spans="23:25" x14ac:dyDescent="0.25">
      <c r="W5480" s="214" t="s">
        <v>2185</v>
      </c>
      <c r="X5480" s="214" t="s">
        <v>5436</v>
      </c>
      <c r="Y5480" s="220">
        <v>8</v>
      </c>
    </row>
    <row r="5481" spans="23:25" x14ac:dyDescent="0.25">
      <c r="W5481" s="214" t="s">
        <v>2185</v>
      </c>
      <c r="X5481" s="214" t="s">
        <v>5437</v>
      </c>
      <c r="Y5481" s="220">
        <v>8</v>
      </c>
    </row>
    <row r="5482" spans="23:25" x14ac:dyDescent="0.25">
      <c r="W5482" s="214" t="s">
        <v>1740</v>
      </c>
      <c r="X5482" s="214" t="s">
        <v>5438</v>
      </c>
      <c r="Y5482" s="220">
        <v>7</v>
      </c>
    </row>
    <row r="5483" spans="23:25" x14ac:dyDescent="0.25">
      <c r="W5483" s="214" t="s">
        <v>2185</v>
      </c>
      <c r="X5483" s="214" t="s">
        <v>5439</v>
      </c>
      <c r="Y5483" s="220">
        <v>8</v>
      </c>
    </row>
    <row r="5484" spans="23:25" x14ac:dyDescent="0.25">
      <c r="W5484" s="214" t="s">
        <v>3870</v>
      </c>
      <c r="X5484" s="214" t="s">
        <v>5440</v>
      </c>
      <c r="Y5484" s="220">
        <v>8</v>
      </c>
    </row>
    <row r="5485" spans="23:25" x14ac:dyDescent="0.25">
      <c r="W5485" s="214" t="s">
        <v>2185</v>
      </c>
      <c r="X5485" s="214" t="s">
        <v>5441</v>
      </c>
      <c r="Y5485" s="220">
        <v>7</v>
      </c>
    </row>
    <row r="5486" spans="23:25" x14ac:dyDescent="0.25">
      <c r="W5486" s="214" t="s">
        <v>2185</v>
      </c>
      <c r="X5486" s="214" t="s">
        <v>5442</v>
      </c>
      <c r="Y5486" s="220">
        <v>5</v>
      </c>
    </row>
    <row r="5487" spans="23:25" x14ac:dyDescent="0.25">
      <c r="W5487" s="214" t="s">
        <v>2185</v>
      </c>
      <c r="X5487" s="214" t="s">
        <v>5443</v>
      </c>
      <c r="Y5487" s="220">
        <v>7</v>
      </c>
    </row>
    <row r="5488" spans="23:25" x14ac:dyDescent="0.25">
      <c r="W5488" s="214" t="s">
        <v>3870</v>
      </c>
      <c r="X5488" s="214" t="s">
        <v>5444</v>
      </c>
      <c r="Y5488" s="220">
        <v>7</v>
      </c>
    </row>
    <row r="5489" spans="23:25" x14ac:dyDescent="0.25">
      <c r="W5489" s="214" t="s">
        <v>3870</v>
      </c>
      <c r="X5489" s="214" t="s">
        <v>5445</v>
      </c>
      <c r="Y5489" s="220">
        <v>7</v>
      </c>
    </row>
    <row r="5490" spans="23:25" x14ac:dyDescent="0.25">
      <c r="W5490" s="214" t="s">
        <v>2185</v>
      </c>
      <c r="X5490" s="214" t="s">
        <v>4594</v>
      </c>
      <c r="Y5490" s="220">
        <v>5</v>
      </c>
    </row>
    <row r="5491" spans="23:25" x14ac:dyDescent="0.25">
      <c r="W5491" s="214" t="s">
        <v>2185</v>
      </c>
      <c r="X5491" s="214" t="s">
        <v>5446</v>
      </c>
      <c r="Y5491" s="220">
        <v>7</v>
      </c>
    </row>
    <row r="5492" spans="23:25" x14ac:dyDescent="0.25">
      <c r="W5492" s="214" t="s">
        <v>2185</v>
      </c>
      <c r="X5492" s="214" t="s">
        <v>5447</v>
      </c>
      <c r="Y5492" s="220">
        <v>7</v>
      </c>
    </row>
    <row r="5493" spans="23:25" x14ac:dyDescent="0.25">
      <c r="W5493" s="214" t="s">
        <v>3870</v>
      </c>
      <c r="X5493" s="214" t="s">
        <v>5448</v>
      </c>
      <c r="Y5493" s="220">
        <v>7</v>
      </c>
    </row>
    <row r="5494" spans="23:25" x14ac:dyDescent="0.25">
      <c r="W5494" s="214" t="s">
        <v>1740</v>
      </c>
      <c r="X5494" s="214" t="s">
        <v>5449</v>
      </c>
      <c r="Y5494" s="220">
        <v>6</v>
      </c>
    </row>
    <row r="5495" spans="23:25" x14ac:dyDescent="0.25">
      <c r="W5495" s="214" t="s">
        <v>2185</v>
      </c>
      <c r="X5495" s="214" t="s">
        <v>3001</v>
      </c>
      <c r="Y5495" s="220">
        <v>7</v>
      </c>
    </row>
    <row r="5496" spans="23:25" x14ac:dyDescent="0.25">
      <c r="W5496" s="214" t="s">
        <v>2185</v>
      </c>
      <c r="X5496" s="214" t="s">
        <v>5450</v>
      </c>
      <c r="Y5496" s="220">
        <v>7</v>
      </c>
    </row>
    <row r="5497" spans="23:25" x14ac:dyDescent="0.25">
      <c r="W5497" s="214" t="s">
        <v>3870</v>
      </c>
      <c r="X5497" s="214" t="s">
        <v>4567</v>
      </c>
      <c r="Y5497" s="220">
        <v>7</v>
      </c>
    </row>
    <row r="5498" spans="23:25" x14ac:dyDescent="0.25">
      <c r="W5498" s="214" t="s">
        <v>398</v>
      </c>
      <c r="X5498" s="214" t="s">
        <v>5451</v>
      </c>
      <c r="Y5498" s="220">
        <v>6</v>
      </c>
    </row>
    <row r="5499" spans="23:25" x14ac:dyDescent="0.25">
      <c r="W5499" s="214" t="s">
        <v>274</v>
      </c>
      <c r="X5499" s="214" t="s">
        <v>2761</v>
      </c>
      <c r="Y5499" s="220">
        <v>6</v>
      </c>
    </row>
    <row r="5500" spans="23:25" x14ac:dyDescent="0.25">
      <c r="W5500" s="214" t="s">
        <v>3870</v>
      </c>
      <c r="X5500" s="214" t="s">
        <v>3116</v>
      </c>
      <c r="Y5500" s="220">
        <v>7</v>
      </c>
    </row>
    <row r="5501" spans="23:25" x14ac:dyDescent="0.25">
      <c r="W5501" s="214" t="s">
        <v>2185</v>
      </c>
      <c r="X5501" s="214" t="s">
        <v>5452</v>
      </c>
      <c r="Y5501" s="220">
        <v>7</v>
      </c>
    </row>
    <row r="5502" spans="23:25" x14ac:dyDescent="0.25">
      <c r="W5502" s="214" t="s">
        <v>3870</v>
      </c>
      <c r="X5502" s="214" t="s">
        <v>1737</v>
      </c>
      <c r="Y5502" s="220">
        <v>7</v>
      </c>
    </row>
    <row r="5503" spans="23:25" x14ac:dyDescent="0.25">
      <c r="W5503" s="214" t="s">
        <v>3870</v>
      </c>
      <c r="X5503" s="214" t="s">
        <v>5432</v>
      </c>
      <c r="Y5503" s="220">
        <v>7</v>
      </c>
    </row>
    <row r="5504" spans="23:25" x14ac:dyDescent="0.25">
      <c r="W5504" s="214" t="s">
        <v>1740</v>
      </c>
      <c r="X5504" s="214" t="s">
        <v>5453</v>
      </c>
      <c r="Y5504" s="220">
        <v>6</v>
      </c>
    </row>
    <row r="5505" spans="23:25" x14ac:dyDescent="0.25">
      <c r="W5505" s="214" t="s">
        <v>2185</v>
      </c>
      <c r="X5505" s="214" t="s">
        <v>5454</v>
      </c>
      <c r="Y5505" s="220">
        <v>5</v>
      </c>
    </row>
    <row r="5506" spans="23:25" x14ac:dyDescent="0.25">
      <c r="W5506" s="214" t="s">
        <v>2185</v>
      </c>
      <c r="X5506" s="214" t="s">
        <v>5455</v>
      </c>
      <c r="Y5506" s="220">
        <v>5</v>
      </c>
    </row>
    <row r="5507" spans="23:25" x14ac:dyDescent="0.25">
      <c r="W5507" s="214" t="s">
        <v>3870</v>
      </c>
      <c r="X5507" s="214" t="s">
        <v>5456</v>
      </c>
      <c r="Y5507" s="220">
        <v>7</v>
      </c>
    </row>
    <row r="5508" spans="23:25" x14ac:dyDescent="0.25">
      <c r="W5508" s="214" t="s">
        <v>2185</v>
      </c>
      <c r="X5508" s="214" t="s">
        <v>5457</v>
      </c>
      <c r="Y5508" s="220">
        <v>7</v>
      </c>
    </row>
    <row r="5509" spans="23:25" x14ac:dyDescent="0.25">
      <c r="W5509" s="214" t="s">
        <v>3870</v>
      </c>
      <c r="X5509" s="214" t="s">
        <v>5458</v>
      </c>
      <c r="Y5509" s="220">
        <v>7</v>
      </c>
    </row>
    <row r="5510" spans="23:25" x14ac:dyDescent="0.25">
      <c r="W5510" s="214" t="s">
        <v>3870</v>
      </c>
      <c r="X5510" s="214" t="s">
        <v>5459</v>
      </c>
      <c r="Y5510" s="220">
        <v>8</v>
      </c>
    </row>
    <row r="5511" spans="23:25" x14ac:dyDescent="0.25">
      <c r="W5511" s="214" t="s">
        <v>2185</v>
      </c>
      <c r="X5511" s="214" t="s">
        <v>5460</v>
      </c>
      <c r="Y5511" s="220">
        <v>7</v>
      </c>
    </row>
    <row r="5512" spans="23:25" x14ac:dyDescent="0.25">
      <c r="W5512" s="214" t="s">
        <v>3870</v>
      </c>
      <c r="X5512" s="214" t="s">
        <v>5461</v>
      </c>
      <c r="Y5512" s="220">
        <v>8</v>
      </c>
    </row>
    <row r="5513" spans="23:25" x14ac:dyDescent="0.25">
      <c r="W5513" s="214" t="s">
        <v>2185</v>
      </c>
      <c r="X5513" s="214" t="s">
        <v>5462</v>
      </c>
      <c r="Y5513" s="220">
        <v>8</v>
      </c>
    </row>
    <row r="5514" spans="23:25" x14ac:dyDescent="0.25">
      <c r="W5514" s="214" t="s">
        <v>2185</v>
      </c>
      <c r="X5514" s="214" t="s">
        <v>5463</v>
      </c>
      <c r="Y5514" s="220">
        <v>8</v>
      </c>
    </row>
    <row r="5515" spans="23:25" x14ac:dyDescent="0.25">
      <c r="W5515" s="214" t="s">
        <v>1740</v>
      </c>
      <c r="X5515" s="214" t="s">
        <v>5464</v>
      </c>
      <c r="Y5515" s="220">
        <v>6</v>
      </c>
    </row>
    <row r="5516" spans="23:25" x14ac:dyDescent="0.25">
      <c r="W5516" s="214" t="s">
        <v>3870</v>
      </c>
      <c r="X5516" s="214" t="s">
        <v>5465</v>
      </c>
      <c r="Y5516" s="220">
        <v>7</v>
      </c>
    </row>
    <row r="5517" spans="23:25" x14ac:dyDescent="0.25">
      <c r="W5517" s="214" t="s">
        <v>3870</v>
      </c>
      <c r="X5517" s="214" t="s">
        <v>5466</v>
      </c>
      <c r="Y5517" s="220">
        <v>7</v>
      </c>
    </row>
    <row r="5518" spans="23:25" x14ac:dyDescent="0.25">
      <c r="W5518" s="214" t="s">
        <v>2185</v>
      </c>
      <c r="X5518" s="214" t="s">
        <v>5467</v>
      </c>
      <c r="Y5518" s="220">
        <v>7</v>
      </c>
    </row>
    <row r="5519" spans="23:25" x14ac:dyDescent="0.25">
      <c r="W5519" s="214" t="s">
        <v>2185</v>
      </c>
      <c r="X5519" s="214" t="s">
        <v>5468</v>
      </c>
      <c r="Y5519" s="220">
        <v>7</v>
      </c>
    </row>
    <row r="5520" spans="23:25" x14ac:dyDescent="0.25">
      <c r="W5520" s="214" t="s">
        <v>3870</v>
      </c>
      <c r="X5520" s="214" t="s">
        <v>5469</v>
      </c>
      <c r="Y5520" s="220">
        <v>7</v>
      </c>
    </row>
    <row r="5521" spans="23:25" x14ac:dyDescent="0.25">
      <c r="W5521" s="214" t="s">
        <v>3870</v>
      </c>
      <c r="X5521" s="214" t="s">
        <v>5470</v>
      </c>
      <c r="Y5521" s="220">
        <v>7</v>
      </c>
    </row>
    <row r="5522" spans="23:25" x14ac:dyDescent="0.25">
      <c r="W5522" s="214" t="s">
        <v>3870</v>
      </c>
      <c r="X5522" s="214" t="s">
        <v>5471</v>
      </c>
      <c r="Y5522" s="220">
        <v>7</v>
      </c>
    </row>
    <row r="5523" spans="23:25" x14ac:dyDescent="0.25">
      <c r="W5523" s="214" t="s">
        <v>3870</v>
      </c>
      <c r="X5523" s="214" t="s">
        <v>5472</v>
      </c>
      <c r="Y5523" s="220">
        <v>7</v>
      </c>
    </row>
    <row r="5524" spans="23:25" x14ac:dyDescent="0.25">
      <c r="W5524" s="214" t="s">
        <v>3870</v>
      </c>
      <c r="X5524" s="214" t="s">
        <v>1343</v>
      </c>
      <c r="Y5524" s="220">
        <v>7</v>
      </c>
    </row>
    <row r="5525" spans="23:25" x14ac:dyDescent="0.25">
      <c r="W5525" s="214" t="s">
        <v>242</v>
      </c>
      <c r="X5525" s="214" t="s">
        <v>5473</v>
      </c>
      <c r="Y5525" s="220">
        <v>8</v>
      </c>
    </row>
    <row r="5526" spans="23:25" x14ac:dyDescent="0.25">
      <c r="W5526" s="214" t="s">
        <v>2185</v>
      </c>
      <c r="X5526" s="214" t="s">
        <v>5474</v>
      </c>
      <c r="Y5526" s="220">
        <v>5</v>
      </c>
    </row>
    <row r="5527" spans="23:25" x14ac:dyDescent="0.25">
      <c r="W5527" s="214" t="s">
        <v>3870</v>
      </c>
      <c r="X5527" s="214" t="s">
        <v>5475</v>
      </c>
      <c r="Y5527" s="220">
        <v>7</v>
      </c>
    </row>
    <row r="5528" spans="23:25" x14ac:dyDescent="0.25">
      <c r="W5528" s="214" t="s">
        <v>3870</v>
      </c>
      <c r="X5528" s="214" t="s">
        <v>5476</v>
      </c>
      <c r="Y5528" s="220">
        <v>7</v>
      </c>
    </row>
    <row r="5529" spans="23:25" x14ac:dyDescent="0.25">
      <c r="W5529" s="214" t="s">
        <v>3870</v>
      </c>
      <c r="X5529" s="214" t="s">
        <v>5477</v>
      </c>
      <c r="Y5529" s="220">
        <v>7</v>
      </c>
    </row>
    <row r="5530" spans="23:25" x14ac:dyDescent="0.25">
      <c r="W5530" s="214" t="s">
        <v>1976</v>
      </c>
      <c r="X5530" s="214" t="s">
        <v>5478</v>
      </c>
      <c r="Y5530" s="220">
        <v>7</v>
      </c>
    </row>
    <row r="5531" spans="23:25" x14ac:dyDescent="0.25">
      <c r="W5531" s="214" t="s">
        <v>2185</v>
      </c>
      <c r="X5531" s="214" t="s">
        <v>3947</v>
      </c>
      <c r="Y5531" s="220">
        <v>6</v>
      </c>
    </row>
    <row r="5532" spans="23:25" x14ac:dyDescent="0.25">
      <c r="W5532" s="214" t="s">
        <v>2185</v>
      </c>
      <c r="X5532" s="214" t="s">
        <v>5479</v>
      </c>
      <c r="Y5532" s="220">
        <v>7</v>
      </c>
    </row>
    <row r="5533" spans="23:25" x14ac:dyDescent="0.25">
      <c r="W5533" s="214" t="s">
        <v>1740</v>
      </c>
      <c r="X5533" s="214" t="s">
        <v>5480</v>
      </c>
      <c r="Y5533" s="220">
        <v>6</v>
      </c>
    </row>
    <row r="5534" spans="23:25" x14ac:dyDescent="0.25">
      <c r="W5534" s="214" t="s">
        <v>3870</v>
      </c>
      <c r="X5534" s="214" t="s">
        <v>5481</v>
      </c>
      <c r="Y5534" s="220">
        <v>7</v>
      </c>
    </row>
    <row r="5535" spans="23:25" x14ac:dyDescent="0.25">
      <c r="W5535" s="214" t="s">
        <v>2185</v>
      </c>
      <c r="X5535" s="214" t="s">
        <v>5482</v>
      </c>
      <c r="Y5535" s="220">
        <v>6</v>
      </c>
    </row>
    <row r="5536" spans="23:25" x14ac:dyDescent="0.25">
      <c r="W5536" s="214" t="s">
        <v>2185</v>
      </c>
      <c r="X5536" s="214" t="s">
        <v>5483</v>
      </c>
      <c r="Y5536" s="220">
        <v>5</v>
      </c>
    </row>
    <row r="5537" spans="23:25" x14ac:dyDescent="0.25">
      <c r="W5537" s="214" t="s">
        <v>1978</v>
      </c>
      <c r="X5537" s="214" t="s">
        <v>5484</v>
      </c>
      <c r="Y5537" s="220">
        <v>5</v>
      </c>
    </row>
    <row r="5538" spans="23:25" x14ac:dyDescent="0.25">
      <c r="W5538" s="214" t="s">
        <v>2185</v>
      </c>
      <c r="X5538" s="214" t="s">
        <v>5485</v>
      </c>
      <c r="Y5538" s="220">
        <v>5</v>
      </c>
    </row>
    <row r="5539" spans="23:25" x14ac:dyDescent="0.25">
      <c r="W5539" s="214" t="s">
        <v>2198</v>
      </c>
      <c r="X5539" s="214" t="s">
        <v>5486</v>
      </c>
      <c r="Y5539" s="220">
        <v>8</v>
      </c>
    </row>
    <row r="5540" spans="23:25" x14ac:dyDescent="0.25">
      <c r="W5540" s="214" t="s">
        <v>1740</v>
      </c>
      <c r="X5540" s="214" t="s">
        <v>5487</v>
      </c>
      <c r="Y5540" s="220">
        <v>6</v>
      </c>
    </row>
    <row r="5541" spans="23:25" x14ac:dyDescent="0.25">
      <c r="W5541" s="214" t="s">
        <v>2185</v>
      </c>
      <c r="X5541" s="214" t="s">
        <v>5488</v>
      </c>
      <c r="Y5541" s="220">
        <v>6</v>
      </c>
    </row>
    <row r="5542" spans="23:25" x14ac:dyDescent="0.25">
      <c r="W5542" s="214" t="s">
        <v>2185</v>
      </c>
      <c r="X5542" s="214" t="s">
        <v>5489</v>
      </c>
      <c r="Y5542" s="220">
        <v>6</v>
      </c>
    </row>
    <row r="5543" spans="23:25" x14ac:dyDescent="0.25">
      <c r="W5543" s="214" t="s">
        <v>3870</v>
      </c>
      <c r="X5543" s="214" t="s">
        <v>5490</v>
      </c>
      <c r="Y5543" s="220">
        <v>7</v>
      </c>
    </row>
    <row r="5544" spans="23:25" x14ac:dyDescent="0.25">
      <c r="W5544" s="214" t="s">
        <v>1740</v>
      </c>
      <c r="X5544" s="214" t="s">
        <v>5491</v>
      </c>
      <c r="Y5544" s="220">
        <v>6</v>
      </c>
    </row>
    <row r="5545" spans="23:25" x14ac:dyDescent="0.25">
      <c r="W5545" s="214" t="s">
        <v>2185</v>
      </c>
      <c r="X5545" s="214" t="s">
        <v>5492</v>
      </c>
      <c r="Y5545" s="220">
        <v>6</v>
      </c>
    </row>
    <row r="5546" spans="23:25" x14ac:dyDescent="0.25">
      <c r="W5546" s="214" t="s">
        <v>2185</v>
      </c>
      <c r="X5546" s="214" t="s">
        <v>5493</v>
      </c>
      <c r="Y5546" s="220">
        <v>7</v>
      </c>
    </row>
    <row r="5547" spans="23:25" x14ac:dyDescent="0.25">
      <c r="W5547" s="214" t="s">
        <v>2185</v>
      </c>
      <c r="X5547" s="214" t="s">
        <v>5494</v>
      </c>
      <c r="Y5547" s="220">
        <v>5</v>
      </c>
    </row>
    <row r="5548" spans="23:25" x14ac:dyDescent="0.25">
      <c r="W5548" s="214" t="s">
        <v>1740</v>
      </c>
      <c r="X5548" s="214" t="s">
        <v>5495</v>
      </c>
      <c r="Y5548" s="220">
        <v>6</v>
      </c>
    </row>
    <row r="5549" spans="23:25" x14ac:dyDescent="0.25">
      <c r="W5549" s="214" t="s">
        <v>2185</v>
      </c>
      <c r="X5549" s="214" t="s">
        <v>5496</v>
      </c>
      <c r="Y5549" s="220">
        <v>6</v>
      </c>
    </row>
    <row r="5550" spans="23:25" x14ac:dyDescent="0.25">
      <c r="W5550" s="214" t="s">
        <v>398</v>
      </c>
      <c r="X5550" s="214" t="s">
        <v>5497</v>
      </c>
      <c r="Y5550" s="220">
        <v>6</v>
      </c>
    </row>
    <row r="5551" spans="23:25" x14ac:dyDescent="0.25">
      <c r="W5551" s="214" t="s">
        <v>2185</v>
      </c>
      <c r="X5551" s="214" t="s">
        <v>5498</v>
      </c>
      <c r="Y5551" s="220">
        <v>7</v>
      </c>
    </row>
    <row r="5552" spans="23:25" x14ac:dyDescent="0.25">
      <c r="W5552" s="214" t="s">
        <v>398</v>
      </c>
      <c r="X5552" s="214" t="s">
        <v>5499</v>
      </c>
      <c r="Y5552" s="220">
        <v>7</v>
      </c>
    </row>
    <row r="5553" spans="23:25" x14ac:dyDescent="0.25">
      <c r="W5553" s="214" t="s">
        <v>2185</v>
      </c>
      <c r="X5553" s="214" t="s">
        <v>5500</v>
      </c>
      <c r="Y5553" s="220">
        <v>6</v>
      </c>
    </row>
    <row r="5554" spans="23:25" x14ac:dyDescent="0.25">
      <c r="W5554" s="214" t="s">
        <v>2185</v>
      </c>
      <c r="X5554" s="214" t="s">
        <v>5501</v>
      </c>
      <c r="Y5554" s="220">
        <v>6</v>
      </c>
    </row>
    <row r="5555" spans="23:25" x14ac:dyDescent="0.25">
      <c r="W5555" s="214" t="s">
        <v>3870</v>
      </c>
      <c r="X5555" s="214" t="s">
        <v>5502</v>
      </c>
      <c r="Y5555" s="220">
        <v>7</v>
      </c>
    </row>
    <row r="5556" spans="23:25" x14ac:dyDescent="0.25">
      <c r="W5556" s="214" t="s">
        <v>1976</v>
      </c>
      <c r="X5556" s="214" t="s">
        <v>5503</v>
      </c>
      <c r="Y5556" s="220">
        <v>7</v>
      </c>
    </row>
    <row r="5557" spans="23:25" x14ac:dyDescent="0.25">
      <c r="W5557" s="214" t="s">
        <v>3870</v>
      </c>
      <c r="X5557" s="214" t="s">
        <v>5504</v>
      </c>
      <c r="Y5557" s="220">
        <v>7</v>
      </c>
    </row>
    <row r="5558" spans="23:25" x14ac:dyDescent="0.25">
      <c r="W5558" s="214" t="s">
        <v>2185</v>
      </c>
      <c r="X5558" s="214" t="s">
        <v>5505</v>
      </c>
      <c r="Y5558" s="220">
        <v>6</v>
      </c>
    </row>
    <row r="5559" spans="23:25" x14ac:dyDescent="0.25">
      <c r="W5559" s="214" t="s">
        <v>1978</v>
      </c>
      <c r="X5559" s="214" t="s">
        <v>5506</v>
      </c>
      <c r="Y5559" s="220">
        <v>6</v>
      </c>
    </row>
    <row r="5560" spans="23:25" x14ac:dyDescent="0.25">
      <c r="W5560" s="214" t="s">
        <v>2185</v>
      </c>
      <c r="X5560" s="214" t="s">
        <v>5507</v>
      </c>
      <c r="Y5560" s="220">
        <v>5</v>
      </c>
    </row>
    <row r="5561" spans="23:25" x14ac:dyDescent="0.25">
      <c r="W5561" s="214" t="s">
        <v>2185</v>
      </c>
      <c r="X5561" s="214" t="s">
        <v>5508</v>
      </c>
      <c r="Y5561" s="220">
        <v>5</v>
      </c>
    </row>
    <row r="5562" spans="23:25" x14ac:dyDescent="0.25">
      <c r="W5562" s="214" t="s">
        <v>2185</v>
      </c>
      <c r="X5562" s="214" t="s">
        <v>5509</v>
      </c>
      <c r="Y5562" s="220">
        <v>6</v>
      </c>
    </row>
    <row r="5563" spans="23:25" x14ac:dyDescent="0.25">
      <c r="W5563" s="214" t="s">
        <v>2185</v>
      </c>
      <c r="X5563" s="214" t="s">
        <v>5510</v>
      </c>
      <c r="Y5563" s="220">
        <v>8</v>
      </c>
    </row>
    <row r="5564" spans="23:25" x14ac:dyDescent="0.25">
      <c r="W5564" s="214" t="s">
        <v>2185</v>
      </c>
      <c r="X5564" s="214" t="s">
        <v>5511</v>
      </c>
      <c r="Y5564" s="220">
        <v>6</v>
      </c>
    </row>
    <row r="5565" spans="23:25" x14ac:dyDescent="0.25">
      <c r="W5565" s="214" t="s">
        <v>1976</v>
      </c>
      <c r="X5565" s="214" t="s">
        <v>5512</v>
      </c>
      <c r="Y5565" s="220">
        <v>7</v>
      </c>
    </row>
  </sheetData>
  <sortState xmlns:xlrd2="http://schemas.microsoft.com/office/spreadsheetml/2017/richdata2" ref="U2:U28">
    <sortCondition ref="U2:U28"/>
  </sortState>
  <mergeCells count="2">
    <mergeCell ref="AI7:AI8"/>
    <mergeCell ref="AJ7:AJ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468" t="s">
        <v>7</v>
      </c>
      <c r="B1" s="467" t="s">
        <v>5876</v>
      </c>
      <c r="C1" s="469" t="s">
        <v>6054</v>
      </c>
      <c r="D1" s="467" t="s">
        <v>6016</v>
      </c>
      <c r="E1" s="467" t="s">
        <v>6017</v>
      </c>
      <c r="F1" s="467" t="s">
        <v>6018</v>
      </c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467"/>
      <c r="S1" s="274"/>
      <c r="T1" s="274"/>
      <c r="U1" s="274"/>
    </row>
    <row r="2" spans="1:21" ht="45" x14ac:dyDescent="0.25">
      <c r="A2" s="468"/>
      <c r="B2" s="467"/>
      <c r="C2" s="470"/>
      <c r="D2" s="467"/>
      <c r="E2" s="467"/>
      <c r="F2" s="275" t="s">
        <v>6019</v>
      </c>
      <c r="G2" s="275" t="s">
        <v>6020</v>
      </c>
      <c r="H2" s="275" t="s">
        <v>6021</v>
      </c>
      <c r="I2" s="275" t="s">
        <v>6022</v>
      </c>
      <c r="J2" s="275" t="s">
        <v>6023</v>
      </c>
      <c r="K2" s="275" t="s">
        <v>6024</v>
      </c>
      <c r="L2" s="275" t="s">
        <v>6025</v>
      </c>
      <c r="M2" s="275" t="s">
        <v>6026</v>
      </c>
      <c r="N2" s="275" t="s">
        <v>6027</v>
      </c>
      <c r="O2" s="275" t="s">
        <v>6028</v>
      </c>
      <c r="P2" s="275" t="s">
        <v>6029</v>
      </c>
      <c r="Q2" s="275" t="s">
        <v>6030</v>
      </c>
      <c r="R2" s="275" t="s">
        <v>6031</v>
      </c>
      <c r="S2" s="274"/>
      <c r="T2" s="275" t="s">
        <v>6039</v>
      </c>
      <c r="U2" s="276" t="s">
        <v>6038</v>
      </c>
    </row>
    <row r="3" spans="1:21" x14ac:dyDescent="0.25">
      <c r="A3" s="277" t="s">
        <v>4142</v>
      </c>
      <c r="B3" s="258" t="s">
        <v>230</v>
      </c>
      <c r="C3" s="274" t="str">
        <f t="shared" ref="C3:C66" si="0">CONCATENATE(A3,", ",B3)</f>
        <v>Feijó, AC</v>
      </c>
      <c r="D3" s="278">
        <v>-8.14</v>
      </c>
      <c r="E3" s="258">
        <v>163</v>
      </c>
      <c r="F3" s="279">
        <v>25.534811829999999</v>
      </c>
      <c r="G3" s="279">
        <v>25.957440479999999</v>
      </c>
      <c r="H3" s="279">
        <v>25.97150538</v>
      </c>
      <c r="I3" s="279">
        <v>26.150138890000001</v>
      </c>
      <c r="J3" s="279">
        <v>25.0625</v>
      </c>
      <c r="K3" s="279">
        <v>26.854861110000002</v>
      </c>
      <c r="L3" s="279">
        <v>24.984677420000001</v>
      </c>
      <c r="M3" s="279">
        <v>27.392607529999999</v>
      </c>
      <c r="N3" s="279">
        <v>27.49319444</v>
      </c>
      <c r="O3" s="279">
        <v>26.346774190000001</v>
      </c>
      <c r="P3" s="279">
        <v>26.047361110000001</v>
      </c>
      <c r="Q3" s="279">
        <v>25.17486559</v>
      </c>
      <c r="R3" s="279">
        <v>26.080894830833333</v>
      </c>
      <c r="S3" s="274">
        <f>SUMIFS(Aux_Lista!Y:Y,Aux_Lista!W:W,Aux_TBS!B3,Aux_Lista!X:X,Aux_TBS!A3)</f>
        <v>8</v>
      </c>
      <c r="T3" s="274" t="s">
        <v>6040</v>
      </c>
      <c r="U3" s="274">
        <v>38</v>
      </c>
    </row>
    <row r="4" spans="1:21" x14ac:dyDescent="0.25">
      <c r="A4" s="277" t="s">
        <v>4223</v>
      </c>
      <c r="B4" s="258" t="s">
        <v>230</v>
      </c>
      <c r="C4" s="274" t="str">
        <f t="shared" si="0"/>
        <v>Manoel Urbano, AC</v>
      </c>
      <c r="D4" s="278">
        <v>-9.3699999999999992</v>
      </c>
      <c r="E4" s="258">
        <v>206</v>
      </c>
      <c r="F4" s="279">
        <v>24.802284950000001</v>
      </c>
      <c r="G4" s="279">
        <v>24.62723214</v>
      </c>
      <c r="H4" s="279">
        <v>24.745026880000001</v>
      </c>
      <c r="I4" s="279">
        <v>24.852499999999999</v>
      </c>
      <c r="J4" s="279">
        <v>25.174193549999998</v>
      </c>
      <c r="K4" s="279">
        <v>23.280972219999999</v>
      </c>
      <c r="L4" s="279">
        <v>23.69919355</v>
      </c>
      <c r="M4" s="279">
        <v>24.623790320000001</v>
      </c>
      <c r="N4" s="279">
        <v>25.553611109999999</v>
      </c>
      <c r="O4" s="279">
        <v>26.058870970000001</v>
      </c>
      <c r="P4" s="279">
        <v>25.814861109999999</v>
      </c>
      <c r="Q4" s="279">
        <v>25.198924730000002</v>
      </c>
      <c r="R4" s="279">
        <v>24.869288460833332</v>
      </c>
      <c r="S4" s="274">
        <f>SUMIFS(Aux_Lista!Y:Y,Aux_Lista!W:W,Aux_TBS!B4,Aux_Lista!X:X,Aux_TBS!A4)</f>
        <v>8</v>
      </c>
      <c r="T4" s="274" t="s">
        <v>6040</v>
      </c>
      <c r="U4" s="274">
        <v>38</v>
      </c>
    </row>
    <row r="5" spans="1:21" x14ac:dyDescent="0.25">
      <c r="A5" s="277" t="s">
        <v>4017</v>
      </c>
      <c r="B5" s="258" t="s">
        <v>230</v>
      </c>
      <c r="C5" s="274" t="str">
        <f t="shared" si="0"/>
        <v>Porto Walter, AC</v>
      </c>
      <c r="D5" s="278">
        <v>-8.27</v>
      </c>
      <c r="E5" s="258">
        <v>240</v>
      </c>
      <c r="F5" s="279">
        <v>25.931586020000001</v>
      </c>
      <c r="G5" s="279">
        <v>25.95044643</v>
      </c>
      <c r="H5" s="279">
        <v>25.831317200000001</v>
      </c>
      <c r="I5" s="279">
        <v>26.242361110000001</v>
      </c>
      <c r="J5" s="279">
        <v>25.43185484</v>
      </c>
      <c r="K5" s="279">
        <v>26.840972220000001</v>
      </c>
      <c r="L5" s="279">
        <v>24.97715054</v>
      </c>
      <c r="M5" s="279">
        <v>27.393951609999998</v>
      </c>
      <c r="N5" s="279">
        <v>28.477083329999999</v>
      </c>
      <c r="O5" s="279">
        <v>27.314516130000001</v>
      </c>
      <c r="P5" s="279">
        <v>26.47583333</v>
      </c>
      <c r="Q5" s="279">
        <v>25.537903230000001</v>
      </c>
      <c r="R5" s="279">
        <v>26.367081332499996</v>
      </c>
      <c r="S5" s="274">
        <f>SUMIFS(Aux_Lista!Y:Y,Aux_Lista!W:W,Aux_TBS!B5,Aux_Lista!X:X,Aux_TBS!A5)</f>
        <v>8</v>
      </c>
      <c r="T5" s="274" t="s">
        <v>6040</v>
      </c>
      <c r="U5" s="274">
        <v>38</v>
      </c>
    </row>
    <row r="6" spans="1:21" x14ac:dyDescent="0.25">
      <c r="A6" s="277" t="s">
        <v>4594</v>
      </c>
      <c r="B6" s="258" t="s">
        <v>230</v>
      </c>
      <c r="C6" s="274" t="str">
        <f t="shared" si="0"/>
        <v>Rio Branco, AC</v>
      </c>
      <c r="D6" s="278">
        <v>-9.9600000000000009</v>
      </c>
      <c r="E6" s="258">
        <v>220</v>
      </c>
      <c r="F6" s="279">
        <v>25.056989250000001</v>
      </c>
      <c r="G6" s="279">
        <v>24.5827381</v>
      </c>
      <c r="H6" s="279">
        <v>24.93239247</v>
      </c>
      <c r="I6" s="279">
        <v>24.661944439999999</v>
      </c>
      <c r="J6" s="279">
        <v>24.88104839</v>
      </c>
      <c r="K6" s="279">
        <v>22.95972222</v>
      </c>
      <c r="L6" s="279">
        <v>24.157392470000001</v>
      </c>
      <c r="M6" s="279">
        <v>26.00564516</v>
      </c>
      <c r="N6" s="279">
        <v>26.354166670000001</v>
      </c>
      <c r="O6" s="279">
        <v>26.737500000000001</v>
      </c>
      <c r="P6" s="279">
        <v>26.162777779999999</v>
      </c>
      <c r="Q6" s="279">
        <v>24.844892470000001</v>
      </c>
      <c r="R6" s="279">
        <v>25.111434118333335</v>
      </c>
      <c r="S6" s="274">
        <f>SUMIFS(Aux_Lista!Y:Y,Aux_Lista!W:W,Aux_TBS!B6,Aux_Lista!X:X,Aux_TBS!A6)</f>
        <v>8</v>
      </c>
      <c r="T6" s="274" t="s">
        <v>6040</v>
      </c>
      <c r="U6" s="274">
        <v>38</v>
      </c>
    </row>
    <row r="7" spans="1:21" x14ac:dyDescent="0.25">
      <c r="A7" s="277" t="s">
        <v>4934</v>
      </c>
      <c r="B7" s="258" t="s">
        <v>1716</v>
      </c>
      <c r="C7" s="274" t="str">
        <f t="shared" si="0"/>
        <v>Arapiraca, AL</v>
      </c>
      <c r="D7" s="278">
        <v>-9.8000000000000007</v>
      </c>
      <c r="E7" s="258">
        <v>241</v>
      </c>
      <c r="F7" s="279">
        <v>26.406989249999999</v>
      </c>
      <c r="G7" s="279">
        <v>25.772916670000001</v>
      </c>
      <c r="H7" s="279">
        <v>26.377553760000001</v>
      </c>
      <c r="I7" s="279">
        <v>26.119444439999999</v>
      </c>
      <c r="J7" s="279">
        <v>24.18467742</v>
      </c>
      <c r="K7" s="279">
        <v>23.268611109999998</v>
      </c>
      <c r="L7" s="279">
        <v>22.70752688</v>
      </c>
      <c r="M7" s="279">
        <v>22.478897849999999</v>
      </c>
      <c r="N7" s="279">
        <v>23.680972220000001</v>
      </c>
      <c r="O7" s="279">
        <v>25.480107530000002</v>
      </c>
      <c r="P7" s="279">
        <v>25.608472219999999</v>
      </c>
      <c r="Q7" s="279">
        <v>26.097311829999999</v>
      </c>
      <c r="R7" s="279">
        <v>24.848623431666667</v>
      </c>
      <c r="S7" s="274">
        <f>SUMIFS(Aux_Lista!Y:Y,Aux_Lista!W:W,Aux_TBS!B7,Aux_Lista!X:X,Aux_TBS!A7)</f>
        <v>8</v>
      </c>
      <c r="T7" s="274" t="s">
        <v>6041</v>
      </c>
      <c r="U7" s="274">
        <v>38</v>
      </c>
    </row>
    <row r="8" spans="1:21" x14ac:dyDescent="0.25">
      <c r="A8" s="277" t="s">
        <v>4895</v>
      </c>
      <c r="B8" s="258" t="s">
        <v>1716</v>
      </c>
      <c r="C8" s="274" t="str">
        <f t="shared" si="0"/>
        <v>Coruripe, AL</v>
      </c>
      <c r="D8" s="278">
        <v>-10.130000000000001</v>
      </c>
      <c r="E8" s="258">
        <v>74</v>
      </c>
      <c r="F8" s="279">
        <v>26.892876340000001</v>
      </c>
      <c r="G8" s="279">
        <v>26.575595239999998</v>
      </c>
      <c r="H8" s="279">
        <v>27.165994619999999</v>
      </c>
      <c r="I8" s="279">
        <v>26.823472219999999</v>
      </c>
      <c r="J8" s="279">
        <v>25.16370968</v>
      </c>
      <c r="K8" s="279">
        <v>24.549166670000002</v>
      </c>
      <c r="L8" s="279">
        <v>23.970967739999999</v>
      </c>
      <c r="M8" s="279">
        <v>23.83534946</v>
      </c>
      <c r="N8" s="279">
        <v>24.667361110000002</v>
      </c>
      <c r="O8" s="279">
        <v>25.984946239999999</v>
      </c>
      <c r="P8" s="279">
        <v>26.264722219999999</v>
      </c>
      <c r="Q8" s="279">
        <v>26.821639780000002</v>
      </c>
      <c r="R8" s="279">
        <v>25.726316776666664</v>
      </c>
      <c r="S8" s="274">
        <f>SUMIFS(Aux_Lista!Y:Y,Aux_Lista!W:W,Aux_TBS!B8,Aux_Lista!X:X,Aux_TBS!A8)</f>
        <v>8</v>
      </c>
      <c r="T8" s="274" t="s">
        <v>6041</v>
      </c>
      <c r="U8" s="274">
        <v>38</v>
      </c>
    </row>
    <row r="9" spans="1:21" x14ac:dyDescent="0.25">
      <c r="A9" s="277" t="s">
        <v>4953</v>
      </c>
      <c r="B9" s="258" t="s">
        <v>1716</v>
      </c>
      <c r="C9" s="274" t="str">
        <f t="shared" si="0"/>
        <v>Maceió, AL</v>
      </c>
      <c r="D9" s="278">
        <v>-9.67</v>
      </c>
      <c r="E9" s="258">
        <v>64</v>
      </c>
      <c r="F9" s="279">
        <v>26.736693549999998</v>
      </c>
      <c r="G9" s="279">
        <v>26.294791669999999</v>
      </c>
      <c r="H9" s="279">
        <v>26.84798387</v>
      </c>
      <c r="I9" s="279">
        <v>26.621527780000001</v>
      </c>
      <c r="J9" s="279">
        <v>25.106048390000002</v>
      </c>
      <c r="K9" s="279">
        <v>24.23416667</v>
      </c>
      <c r="L9" s="279">
        <v>23.809543009999999</v>
      </c>
      <c r="M9" s="279">
        <v>23.655913980000001</v>
      </c>
      <c r="N9" s="279">
        <v>24.483611109999998</v>
      </c>
      <c r="O9" s="279">
        <v>25.766935480000001</v>
      </c>
      <c r="P9" s="279">
        <v>26.04972222</v>
      </c>
      <c r="Q9" s="279">
        <v>26.714381719999999</v>
      </c>
      <c r="R9" s="279">
        <v>25.526776620833335</v>
      </c>
      <c r="S9" s="274">
        <f>SUMIFS(Aux_Lista!Y:Y,Aux_Lista!W:W,Aux_TBS!B9,Aux_Lista!X:X,Aux_TBS!A9)</f>
        <v>8</v>
      </c>
      <c r="T9" s="274" t="s">
        <v>6041</v>
      </c>
      <c r="U9" s="274">
        <v>38</v>
      </c>
    </row>
    <row r="10" spans="1:21" x14ac:dyDescent="0.25">
      <c r="A10" s="277" t="s">
        <v>5128</v>
      </c>
      <c r="B10" s="258" t="s">
        <v>1716</v>
      </c>
      <c r="C10" s="274" t="str">
        <f t="shared" si="0"/>
        <v>Palmeira dos Índios, AL</v>
      </c>
      <c r="D10" s="278">
        <v>-9.41</v>
      </c>
      <c r="E10" s="258">
        <v>275</v>
      </c>
      <c r="F10" s="279">
        <v>27.204973119999998</v>
      </c>
      <c r="G10" s="279">
        <v>26.251339290000001</v>
      </c>
      <c r="H10" s="279">
        <v>26.96599462</v>
      </c>
      <c r="I10" s="279">
        <v>26.498055560000001</v>
      </c>
      <c r="J10" s="279">
        <v>24.2405914</v>
      </c>
      <c r="K10" s="279">
        <v>23.202777780000002</v>
      </c>
      <c r="L10" s="279">
        <v>22.75887097</v>
      </c>
      <c r="M10" s="279">
        <v>22.620161289999999</v>
      </c>
      <c r="N10" s="279">
        <v>24.086805559999998</v>
      </c>
      <c r="O10" s="279">
        <v>26.31155914</v>
      </c>
      <c r="P10" s="279">
        <v>26.42736111</v>
      </c>
      <c r="Q10" s="279">
        <v>26.84704301</v>
      </c>
      <c r="R10" s="279">
        <v>25.284627737499999</v>
      </c>
      <c r="S10" s="274">
        <f>SUMIFS(Aux_Lista!Y:Y,Aux_Lista!W:W,Aux_TBS!B10,Aux_Lista!X:X,Aux_TBS!A10)</f>
        <v>8</v>
      </c>
      <c r="T10" s="274" t="s">
        <v>6041</v>
      </c>
      <c r="U10" s="274">
        <v>38</v>
      </c>
    </row>
    <row r="11" spans="1:21" x14ac:dyDescent="0.25">
      <c r="A11" s="277" t="s">
        <v>5346</v>
      </c>
      <c r="B11" s="258" t="s">
        <v>1716</v>
      </c>
      <c r="C11" s="274" t="str">
        <f t="shared" si="0"/>
        <v>Pão de Açúcar, AL</v>
      </c>
      <c r="D11" s="278">
        <v>-9.75</v>
      </c>
      <c r="E11" s="258">
        <v>19</v>
      </c>
      <c r="F11" s="279">
        <v>29.765725809999999</v>
      </c>
      <c r="G11" s="279">
        <v>28.811755949999998</v>
      </c>
      <c r="H11" s="279">
        <v>29.975403230000001</v>
      </c>
      <c r="I11" s="279">
        <v>28.62916667</v>
      </c>
      <c r="J11" s="279">
        <v>25.990725810000001</v>
      </c>
      <c r="K11" s="279">
        <v>24.76388889</v>
      </c>
      <c r="L11" s="279">
        <v>24.181182799999998</v>
      </c>
      <c r="M11" s="279">
        <v>24.127553760000001</v>
      </c>
      <c r="N11" s="279">
        <v>25.40291667</v>
      </c>
      <c r="O11" s="279">
        <v>28.138709680000002</v>
      </c>
      <c r="P11" s="279">
        <v>28.673472220000001</v>
      </c>
      <c r="Q11" s="279">
        <v>29.01491935</v>
      </c>
      <c r="R11" s="279">
        <v>27.289618403333336</v>
      </c>
      <c r="S11" s="274">
        <f>SUMIFS(Aux_Lista!Y:Y,Aux_Lista!W:W,Aux_TBS!B11,Aux_Lista!X:X,Aux_TBS!A11)</f>
        <v>8</v>
      </c>
      <c r="T11" s="274" t="s">
        <v>6041</v>
      </c>
      <c r="U11" s="274">
        <v>38</v>
      </c>
    </row>
    <row r="12" spans="1:21" x14ac:dyDescent="0.25">
      <c r="A12" s="277" t="s">
        <v>4952</v>
      </c>
      <c r="B12" s="258" t="s">
        <v>1716</v>
      </c>
      <c r="C12" s="274" t="str">
        <f t="shared" si="0"/>
        <v>São Luís do Quitunde, AL</v>
      </c>
      <c r="D12" s="278">
        <v>-9.2899999999999991</v>
      </c>
      <c r="E12" s="258">
        <v>19</v>
      </c>
      <c r="F12" s="279">
        <v>26.621102149999999</v>
      </c>
      <c r="G12" s="279">
        <v>26.144196430000001</v>
      </c>
      <c r="H12" s="279">
        <v>26.67862903</v>
      </c>
      <c r="I12" s="279">
        <v>26.490694439999999</v>
      </c>
      <c r="J12" s="279">
        <v>25.180376339999999</v>
      </c>
      <c r="K12" s="279">
        <v>24.184583329999999</v>
      </c>
      <c r="L12" s="279">
        <v>23.710215049999999</v>
      </c>
      <c r="M12" s="279">
        <v>23.567741940000001</v>
      </c>
      <c r="N12" s="279">
        <v>24.42930556</v>
      </c>
      <c r="O12" s="279">
        <v>25.645564520000001</v>
      </c>
      <c r="P12" s="279">
        <v>25.891388890000002</v>
      </c>
      <c r="Q12" s="279">
        <v>26.56908602</v>
      </c>
      <c r="R12" s="279">
        <v>25.426073641666665</v>
      </c>
      <c r="S12" s="274">
        <f>SUMIFS(Aux_Lista!Y:Y,Aux_Lista!W:W,Aux_TBS!B12,Aux_Lista!X:X,Aux_TBS!A12)</f>
        <v>8</v>
      </c>
      <c r="T12" s="274" t="s">
        <v>6041</v>
      </c>
      <c r="U12" s="274">
        <v>38</v>
      </c>
    </row>
    <row r="13" spans="1:21" x14ac:dyDescent="0.25">
      <c r="A13" s="277" t="s">
        <v>4199</v>
      </c>
      <c r="B13" s="258" t="s">
        <v>231</v>
      </c>
      <c r="C13" s="274" t="str">
        <f t="shared" si="0"/>
        <v>Autazes, AM</v>
      </c>
      <c r="D13" s="278">
        <v>-3.58</v>
      </c>
      <c r="E13" s="258">
        <v>28</v>
      </c>
      <c r="F13" s="279">
        <v>26.04153226</v>
      </c>
      <c r="G13" s="279">
        <v>25.960863100000001</v>
      </c>
      <c r="H13" s="279">
        <v>26.107526880000002</v>
      </c>
      <c r="I13" s="279">
        <v>26.322916670000001</v>
      </c>
      <c r="J13" s="279">
        <v>26.003629029999999</v>
      </c>
      <c r="K13" s="279">
        <v>26.131111109999999</v>
      </c>
      <c r="L13" s="279">
        <v>26.89596774</v>
      </c>
      <c r="M13" s="279">
        <v>27.431182799999998</v>
      </c>
      <c r="N13" s="279">
        <v>27.05763889</v>
      </c>
      <c r="O13" s="279">
        <v>26.861962370000001</v>
      </c>
      <c r="P13" s="279">
        <v>26.740416669999998</v>
      </c>
      <c r="Q13" s="279">
        <v>26.458064520000001</v>
      </c>
      <c r="R13" s="279">
        <v>26.501067669999998</v>
      </c>
      <c r="S13" s="274">
        <f>SUMIFS(Aux_Lista!Y:Y,Aux_Lista!W:W,Aux_TBS!B13,Aux_Lista!X:X,Aux_TBS!A13)</f>
        <v>8</v>
      </c>
      <c r="T13" s="274" t="s">
        <v>6040</v>
      </c>
      <c r="U13" s="274">
        <v>38</v>
      </c>
    </row>
    <row r="14" spans="1:21" x14ac:dyDescent="0.25">
      <c r="A14" s="277" t="s">
        <v>4195</v>
      </c>
      <c r="B14" s="258" t="s">
        <v>231</v>
      </c>
      <c r="C14" s="274" t="str">
        <f t="shared" si="0"/>
        <v>Barcelos, AM</v>
      </c>
      <c r="D14" s="278">
        <v>-0.99</v>
      </c>
      <c r="E14" s="258">
        <v>17</v>
      </c>
      <c r="F14" s="279">
        <v>25.436424729999999</v>
      </c>
      <c r="G14" s="279">
        <v>26.15848214</v>
      </c>
      <c r="H14" s="279">
        <v>25.591129030000001</v>
      </c>
      <c r="I14" s="279">
        <v>26.128611110000001</v>
      </c>
      <c r="J14" s="279">
        <v>25.900940859999999</v>
      </c>
      <c r="K14" s="279">
        <v>25.4925</v>
      </c>
      <c r="L14" s="279">
        <v>26.018413979999998</v>
      </c>
      <c r="M14" s="279">
        <v>26.411155910000002</v>
      </c>
      <c r="N14" s="279">
        <v>26.930277780000001</v>
      </c>
      <c r="O14" s="279">
        <v>26.684946239999999</v>
      </c>
      <c r="P14" s="279">
        <v>27.229444440000002</v>
      </c>
      <c r="Q14" s="279">
        <v>27.2672043</v>
      </c>
      <c r="R14" s="279">
        <v>26.270794210000002</v>
      </c>
      <c r="S14" s="274">
        <f>SUMIFS(Aux_Lista!Y:Y,Aux_Lista!W:W,Aux_TBS!B14,Aux_Lista!X:X,Aux_TBS!A14)</f>
        <v>8</v>
      </c>
      <c r="T14" s="274" t="s">
        <v>6040</v>
      </c>
      <c r="U14" s="274">
        <v>38</v>
      </c>
    </row>
    <row r="15" spans="1:21" x14ac:dyDescent="0.25">
      <c r="A15" s="277" t="s">
        <v>4123</v>
      </c>
      <c r="B15" s="258" t="s">
        <v>231</v>
      </c>
      <c r="C15" s="274" t="str">
        <f t="shared" si="0"/>
        <v>Coari, AM</v>
      </c>
      <c r="D15" s="278">
        <v>-4.0999999999999996</v>
      </c>
      <c r="E15" s="258">
        <v>43</v>
      </c>
      <c r="F15" s="279">
        <v>25.884543010000002</v>
      </c>
      <c r="G15" s="279">
        <v>26.060416669999999</v>
      </c>
      <c r="H15" s="279">
        <v>26.138440859999999</v>
      </c>
      <c r="I15" s="279">
        <v>26.250555559999999</v>
      </c>
      <c r="J15" s="279">
        <v>25.4</v>
      </c>
      <c r="K15" s="279">
        <v>25.542361110000002</v>
      </c>
      <c r="L15" s="279">
        <v>26.443010749999999</v>
      </c>
      <c r="M15" s="279">
        <v>27.308064519999999</v>
      </c>
      <c r="N15" s="279">
        <v>26.499027779999999</v>
      </c>
      <c r="O15" s="279">
        <v>26.429838709999999</v>
      </c>
      <c r="P15" s="279">
        <v>26.740416669999998</v>
      </c>
      <c r="Q15" s="279">
        <v>26.297311830000002</v>
      </c>
      <c r="R15" s="279">
        <v>26.249498955833332</v>
      </c>
      <c r="S15" s="274">
        <f>SUMIFS(Aux_Lista!Y:Y,Aux_Lista!W:W,Aux_TBS!B15,Aux_Lista!X:X,Aux_TBS!A15)</f>
        <v>8</v>
      </c>
      <c r="T15" s="274" t="s">
        <v>6040</v>
      </c>
      <c r="U15" s="274">
        <v>38</v>
      </c>
    </row>
    <row r="16" spans="1:21" x14ac:dyDescent="0.25">
      <c r="A16" s="277" t="s">
        <v>2993</v>
      </c>
      <c r="B16" s="258" t="s">
        <v>231</v>
      </c>
      <c r="C16" s="274" t="str">
        <f t="shared" si="0"/>
        <v>Humaitá, AM</v>
      </c>
      <c r="D16" s="278">
        <v>-7.55</v>
      </c>
      <c r="E16" s="258">
        <v>72</v>
      </c>
      <c r="F16" s="279">
        <v>26.016532260000002</v>
      </c>
      <c r="G16" s="279">
        <v>25.934374999999999</v>
      </c>
      <c r="H16" s="279">
        <v>25.945295699999999</v>
      </c>
      <c r="I16" s="279">
        <v>25.963750000000001</v>
      </c>
      <c r="J16" s="279">
        <v>25.86236559</v>
      </c>
      <c r="K16" s="279">
        <v>25.5075</v>
      </c>
      <c r="L16" s="279">
        <v>25.952688169999998</v>
      </c>
      <c r="M16" s="279">
        <v>26.735752690000002</v>
      </c>
      <c r="N16" s="279">
        <v>27.228194439999999</v>
      </c>
      <c r="O16" s="279">
        <v>27.351478490000002</v>
      </c>
      <c r="P16" s="279">
        <v>26.96875</v>
      </c>
      <c r="Q16" s="279">
        <v>25.937365589999999</v>
      </c>
      <c r="R16" s="279">
        <v>26.283670660833334</v>
      </c>
      <c r="S16" s="274">
        <f>SUMIFS(Aux_Lista!Y:Y,Aux_Lista!W:W,Aux_TBS!B16,Aux_Lista!X:X,Aux_TBS!A16)</f>
        <v>8</v>
      </c>
      <c r="T16" s="274" t="s">
        <v>6040</v>
      </c>
      <c r="U16" s="274">
        <v>38</v>
      </c>
    </row>
    <row r="17" spans="1:21" x14ac:dyDescent="0.25">
      <c r="A17" s="277" t="s">
        <v>4110</v>
      </c>
      <c r="B17" s="258" t="s">
        <v>231</v>
      </c>
      <c r="C17" s="274" t="str">
        <f t="shared" si="0"/>
        <v>Itacoatiara, AM</v>
      </c>
      <c r="D17" s="278">
        <v>-3.13</v>
      </c>
      <c r="E17" s="258">
        <v>45</v>
      </c>
      <c r="F17" s="279">
        <v>26.012903229999999</v>
      </c>
      <c r="G17" s="279">
        <v>25.641815480000002</v>
      </c>
      <c r="H17" s="279">
        <v>26.068817200000002</v>
      </c>
      <c r="I17" s="279">
        <v>26.11638889</v>
      </c>
      <c r="J17" s="279">
        <v>25.762903229999999</v>
      </c>
      <c r="K17" s="279">
        <v>26.029861109999999</v>
      </c>
      <c r="L17" s="279">
        <v>26.659677420000001</v>
      </c>
      <c r="M17" s="279">
        <v>27.25282258</v>
      </c>
      <c r="N17" s="279">
        <v>27.28569444</v>
      </c>
      <c r="O17" s="279">
        <v>27.106048390000002</v>
      </c>
      <c r="P17" s="279">
        <v>26.764861109999998</v>
      </c>
      <c r="Q17" s="279">
        <v>26.390591400000002</v>
      </c>
      <c r="R17" s="279">
        <v>26.424365373333334</v>
      </c>
      <c r="S17" s="274">
        <f>SUMIFS(Aux_Lista!Y:Y,Aux_Lista!W:W,Aux_TBS!B17,Aux_Lista!X:X,Aux_TBS!A17)</f>
        <v>8</v>
      </c>
      <c r="T17" s="274" t="s">
        <v>6040</v>
      </c>
      <c r="U17" s="274">
        <v>38</v>
      </c>
    </row>
    <row r="18" spans="1:21" x14ac:dyDescent="0.25">
      <c r="A18" s="277" t="s">
        <v>4093</v>
      </c>
      <c r="B18" s="258" t="s">
        <v>231</v>
      </c>
      <c r="C18" s="274" t="str">
        <f t="shared" si="0"/>
        <v>Manacapuru, AM</v>
      </c>
      <c r="D18" s="278">
        <v>-3.29</v>
      </c>
      <c r="E18" s="258">
        <v>19</v>
      </c>
      <c r="F18" s="279">
        <v>26.035618280000001</v>
      </c>
      <c r="G18" s="279">
        <v>25.975000000000001</v>
      </c>
      <c r="H18" s="279">
        <v>26.16653226</v>
      </c>
      <c r="I18" s="279">
        <v>26.333749999999998</v>
      </c>
      <c r="J18" s="279">
        <v>25.928897849999998</v>
      </c>
      <c r="K18" s="279">
        <v>26.473333329999999</v>
      </c>
      <c r="L18" s="279">
        <v>27.39314516</v>
      </c>
      <c r="M18" s="279">
        <v>27.898118279999998</v>
      </c>
      <c r="N18" s="279">
        <v>27.502916670000001</v>
      </c>
      <c r="O18" s="279">
        <v>27.021639780000001</v>
      </c>
      <c r="P18" s="279">
        <v>27.024583329999999</v>
      </c>
      <c r="Q18" s="279">
        <v>26.59556452</v>
      </c>
      <c r="R18" s="279">
        <v>26.695758288333327</v>
      </c>
      <c r="S18" s="274">
        <f>SUMIFS(Aux_Lista!Y:Y,Aux_Lista!W:W,Aux_TBS!B18,Aux_Lista!X:X,Aux_TBS!A18)</f>
        <v>8</v>
      </c>
      <c r="T18" s="274" t="s">
        <v>6040</v>
      </c>
      <c r="U18" s="274">
        <v>38</v>
      </c>
    </row>
    <row r="19" spans="1:21" x14ac:dyDescent="0.25">
      <c r="A19" s="277" t="s">
        <v>4124</v>
      </c>
      <c r="B19" s="258" t="s">
        <v>231</v>
      </c>
      <c r="C19" s="274" t="str">
        <f t="shared" si="0"/>
        <v>Manaus, AM</v>
      </c>
      <c r="D19" s="278">
        <v>-3.1</v>
      </c>
      <c r="E19" s="258">
        <v>67</v>
      </c>
      <c r="F19" s="279">
        <v>26.754569889999999</v>
      </c>
      <c r="G19" s="279">
        <v>26.819494049999999</v>
      </c>
      <c r="H19" s="279">
        <v>27.571102150000002</v>
      </c>
      <c r="I19" s="279">
        <v>26.424583330000001</v>
      </c>
      <c r="J19" s="279">
        <v>27.00416667</v>
      </c>
      <c r="K19" s="279">
        <v>26.793333329999999</v>
      </c>
      <c r="L19" s="279">
        <v>26.734005379999999</v>
      </c>
      <c r="M19" s="279">
        <v>27.9327957</v>
      </c>
      <c r="N19" s="279">
        <v>28.966944439999999</v>
      </c>
      <c r="O19" s="279">
        <v>28.248252690000001</v>
      </c>
      <c r="P19" s="279">
        <v>27.32680556</v>
      </c>
      <c r="Q19" s="279">
        <v>26.74583333</v>
      </c>
      <c r="R19" s="279">
        <v>27.276823876666665</v>
      </c>
      <c r="S19" s="274">
        <f>SUMIFS(Aux_Lista!Y:Y,Aux_Lista!W:W,Aux_TBS!B19,Aux_Lista!X:X,Aux_TBS!A19)</f>
        <v>8</v>
      </c>
      <c r="T19" s="274" t="s">
        <v>6040</v>
      </c>
      <c r="U19" s="274">
        <v>38</v>
      </c>
    </row>
    <row r="20" spans="1:21" x14ac:dyDescent="0.25">
      <c r="A20" s="277" t="s">
        <v>4271</v>
      </c>
      <c r="B20" s="258" t="s">
        <v>231</v>
      </c>
      <c r="C20" s="274" t="str">
        <f t="shared" si="0"/>
        <v>Maués, AM</v>
      </c>
      <c r="D20" s="278">
        <v>-3.4</v>
      </c>
      <c r="E20" s="258">
        <v>35</v>
      </c>
      <c r="F20" s="279">
        <v>25.852956989999999</v>
      </c>
      <c r="G20" s="279">
        <v>25.221130949999999</v>
      </c>
      <c r="H20" s="279">
        <v>25.581451609999998</v>
      </c>
      <c r="I20" s="279">
        <v>25.917777780000002</v>
      </c>
      <c r="J20" s="279">
        <v>25.614112899999999</v>
      </c>
      <c r="K20" s="279">
        <v>25.83666667</v>
      </c>
      <c r="L20" s="279">
        <v>26.61747312</v>
      </c>
      <c r="M20" s="279">
        <v>27.536962370000001</v>
      </c>
      <c r="N20" s="279">
        <v>27.78541667</v>
      </c>
      <c r="O20" s="279">
        <v>27.926344090000001</v>
      </c>
      <c r="P20" s="279">
        <v>28.19125</v>
      </c>
      <c r="Q20" s="279">
        <v>26.710215049999999</v>
      </c>
      <c r="R20" s="279">
        <v>26.565979850000002</v>
      </c>
      <c r="S20" s="274">
        <f>SUMIFS(Aux_Lista!Y:Y,Aux_Lista!W:W,Aux_TBS!B20,Aux_Lista!X:X,Aux_TBS!A20)</f>
        <v>8</v>
      </c>
      <c r="T20" s="274" t="s">
        <v>6040</v>
      </c>
      <c r="U20" s="274">
        <v>38</v>
      </c>
    </row>
    <row r="21" spans="1:21" x14ac:dyDescent="0.25">
      <c r="A21" s="277" t="s">
        <v>4989</v>
      </c>
      <c r="B21" s="258" t="s">
        <v>231</v>
      </c>
      <c r="C21" s="274" t="str">
        <f t="shared" si="0"/>
        <v>Parintins, AM</v>
      </c>
      <c r="D21" s="278">
        <v>-2.64</v>
      </c>
      <c r="E21" s="258">
        <v>35</v>
      </c>
      <c r="F21" s="279">
        <v>26.47768817</v>
      </c>
      <c r="G21" s="279">
        <v>26.006250000000001</v>
      </c>
      <c r="H21" s="279">
        <v>25.978225810000001</v>
      </c>
      <c r="I21" s="279">
        <v>26.34111111</v>
      </c>
      <c r="J21" s="279">
        <v>26.13991935</v>
      </c>
      <c r="K21" s="279">
        <v>26.494444439999999</v>
      </c>
      <c r="L21" s="279">
        <v>27.232123659999999</v>
      </c>
      <c r="M21" s="279">
        <v>28.66653226</v>
      </c>
      <c r="N21" s="279">
        <v>29.303194439999999</v>
      </c>
      <c r="O21" s="279">
        <v>29.231989250000002</v>
      </c>
      <c r="P21" s="279">
        <v>29.735972220000001</v>
      </c>
      <c r="Q21" s="279">
        <v>28.191532259999999</v>
      </c>
      <c r="R21" s="279">
        <v>27.483248580833333</v>
      </c>
      <c r="S21" s="274">
        <f>SUMIFS(Aux_Lista!Y:Y,Aux_Lista!W:W,Aux_TBS!B21,Aux_Lista!X:X,Aux_TBS!A21)</f>
        <v>8</v>
      </c>
      <c r="T21" s="274" t="s">
        <v>6040</v>
      </c>
      <c r="U21" s="274">
        <v>38</v>
      </c>
    </row>
    <row r="22" spans="1:21" x14ac:dyDescent="0.25">
      <c r="A22" s="277" t="s">
        <v>4278</v>
      </c>
      <c r="B22" s="258" t="s">
        <v>231</v>
      </c>
      <c r="C22" s="274" t="str">
        <f t="shared" si="0"/>
        <v>Presidente Figueiredo, AM</v>
      </c>
      <c r="D22" s="278">
        <v>-2.06</v>
      </c>
      <c r="E22" s="258">
        <v>92</v>
      </c>
      <c r="F22" s="279">
        <v>25.55268817</v>
      </c>
      <c r="G22" s="279">
        <v>25.519940479999999</v>
      </c>
      <c r="H22" s="279">
        <v>25.52284946</v>
      </c>
      <c r="I22" s="279">
        <v>26.11222222</v>
      </c>
      <c r="J22" s="279">
        <v>25.796505379999999</v>
      </c>
      <c r="K22" s="279">
        <v>25.886388889999999</v>
      </c>
      <c r="L22" s="279">
        <v>26.608333330000001</v>
      </c>
      <c r="M22" s="279">
        <v>27.613709679999999</v>
      </c>
      <c r="N22" s="279">
        <v>27.8475</v>
      </c>
      <c r="O22" s="279">
        <v>27.901478489999999</v>
      </c>
      <c r="P22" s="279">
        <v>28.325972220000001</v>
      </c>
      <c r="Q22" s="279">
        <v>26.986693549999998</v>
      </c>
      <c r="R22" s="279">
        <v>26.639523489166663</v>
      </c>
      <c r="S22" s="274">
        <f>SUMIFS(Aux_Lista!Y:Y,Aux_Lista!W:W,Aux_TBS!B22,Aux_Lista!X:X,Aux_TBS!A22)</f>
        <v>8</v>
      </c>
      <c r="T22" s="274" t="s">
        <v>6040</v>
      </c>
      <c r="U22" s="274">
        <v>38</v>
      </c>
    </row>
    <row r="23" spans="1:21" x14ac:dyDescent="0.25">
      <c r="A23" s="277" t="s">
        <v>5079</v>
      </c>
      <c r="B23" s="258" t="s">
        <v>231</v>
      </c>
      <c r="C23" s="274" t="str">
        <f t="shared" si="0"/>
        <v>Urucará, AM</v>
      </c>
      <c r="D23" s="278">
        <v>-2.5299999999999998</v>
      </c>
      <c r="E23" s="258">
        <v>17</v>
      </c>
      <c r="F23" s="279">
        <v>26.43709677</v>
      </c>
      <c r="G23" s="279">
        <v>25.999255949999998</v>
      </c>
      <c r="H23" s="279">
        <v>26.1077957</v>
      </c>
      <c r="I23" s="279">
        <v>26.341249999999999</v>
      </c>
      <c r="J23" s="279">
        <v>25.98642473</v>
      </c>
      <c r="K23" s="279">
        <v>26.513194439999999</v>
      </c>
      <c r="L23" s="279">
        <v>27.535080650000001</v>
      </c>
      <c r="M23" s="279">
        <v>28.759946240000001</v>
      </c>
      <c r="N23" s="279">
        <v>29.362361109999998</v>
      </c>
      <c r="O23" s="279">
        <v>29.066129029999999</v>
      </c>
      <c r="P23" s="279">
        <v>29.404166669999999</v>
      </c>
      <c r="Q23" s="279">
        <v>27.93790323</v>
      </c>
      <c r="R23" s="279">
        <v>27.454217043333333</v>
      </c>
      <c r="S23" s="274">
        <f>SUMIFS(Aux_Lista!Y:Y,Aux_Lista!W:W,Aux_TBS!B23,Aux_Lista!X:X,Aux_TBS!A23)</f>
        <v>8</v>
      </c>
      <c r="T23" s="274" t="s">
        <v>6040</v>
      </c>
      <c r="U23" s="274">
        <v>38</v>
      </c>
    </row>
    <row r="24" spans="1:21" x14ac:dyDescent="0.25">
      <c r="A24" s="277" t="s">
        <v>4275</v>
      </c>
      <c r="B24" s="258" t="s">
        <v>4004</v>
      </c>
      <c r="C24" s="274" t="str">
        <f t="shared" si="0"/>
        <v>Macapá, AP</v>
      </c>
      <c r="D24" s="278">
        <v>0.04</v>
      </c>
      <c r="E24" s="258">
        <v>15</v>
      </c>
      <c r="F24" s="279">
        <v>25.107392470000001</v>
      </c>
      <c r="G24" s="279">
        <v>24.63794643</v>
      </c>
      <c r="H24" s="279">
        <v>25.15819892</v>
      </c>
      <c r="I24" s="279">
        <v>25.567499999999999</v>
      </c>
      <c r="J24" s="279">
        <v>25.214381719999999</v>
      </c>
      <c r="K24" s="279">
        <v>25.002777779999999</v>
      </c>
      <c r="L24" s="279">
        <v>25.076747309999998</v>
      </c>
      <c r="M24" s="279">
        <v>26.040456989999999</v>
      </c>
      <c r="N24" s="279">
        <v>26.859722219999998</v>
      </c>
      <c r="O24" s="279">
        <v>27.229301079999999</v>
      </c>
      <c r="P24" s="279">
        <v>27.621111110000001</v>
      </c>
      <c r="Q24" s="279">
        <v>25.77473118</v>
      </c>
      <c r="R24" s="279">
        <v>25.77418893416667</v>
      </c>
      <c r="S24" s="274">
        <f>SUMIFS(Aux_Lista!Y:Y,Aux_Lista!W:W,Aux_TBS!B24,Aux_Lista!X:X,Aux_TBS!A24)</f>
        <v>8</v>
      </c>
      <c r="T24" s="274" t="s">
        <v>6040</v>
      </c>
      <c r="U24" s="274">
        <v>38</v>
      </c>
    </row>
    <row r="25" spans="1:21" x14ac:dyDescent="0.25">
      <c r="A25" s="277" t="s">
        <v>4280</v>
      </c>
      <c r="B25" s="258" t="s">
        <v>4004</v>
      </c>
      <c r="C25" s="274" t="str">
        <f t="shared" si="0"/>
        <v>Oiapoque, AP</v>
      </c>
      <c r="D25" s="278">
        <v>3.81</v>
      </c>
      <c r="E25" s="258">
        <v>21</v>
      </c>
      <c r="F25" s="279">
        <v>24.450672040000001</v>
      </c>
      <c r="G25" s="279">
        <v>24.586755950000001</v>
      </c>
      <c r="H25" s="279">
        <v>25.153091400000001</v>
      </c>
      <c r="I25" s="279">
        <v>25.462083329999999</v>
      </c>
      <c r="J25" s="279">
        <v>25.43145161</v>
      </c>
      <c r="K25" s="279">
        <v>25.025416669999998</v>
      </c>
      <c r="L25" s="279">
        <v>25.2766129</v>
      </c>
      <c r="M25" s="279">
        <v>26.03776882</v>
      </c>
      <c r="N25" s="279">
        <v>26.33888889</v>
      </c>
      <c r="O25" s="279">
        <v>26.962499999999999</v>
      </c>
      <c r="P25" s="279">
        <v>26.684305559999999</v>
      </c>
      <c r="Q25" s="279">
        <v>25.28306452</v>
      </c>
      <c r="R25" s="279">
        <v>25.557717640833332</v>
      </c>
      <c r="S25" s="274">
        <f>SUMIFS(Aux_Lista!Y:Y,Aux_Lista!W:W,Aux_TBS!B25,Aux_Lista!X:X,Aux_TBS!A25)</f>
        <v>8</v>
      </c>
      <c r="T25" s="274" t="s">
        <v>6040</v>
      </c>
      <c r="U25" s="274">
        <v>38</v>
      </c>
    </row>
    <row r="26" spans="1:21" x14ac:dyDescent="0.25">
      <c r="A26" s="277" t="s">
        <v>4276</v>
      </c>
      <c r="B26" s="258" t="s">
        <v>4004</v>
      </c>
      <c r="C26" s="274" t="str">
        <f t="shared" si="0"/>
        <v>Porto Grande, AP</v>
      </c>
      <c r="D26" s="278">
        <v>0.7</v>
      </c>
      <c r="E26" s="258">
        <v>77</v>
      </c>
      <c r="F26" s="279">
        <v>25.107392470000001</v>
      </c>
      <c r="G26" s="279">
        <v>24.63794643</v>
      </c>
      <c r="H26" s="279">
        <v>25.15819892</v>
      </c>
      <c r="I26" s="279">
        <v>25.567499999999999</v>
      </c>
      <c r="J26" s="279">
        <v>25.214381719999999</v>
      </c>
      <c r="K26" s="279">
        <v>25.002777779999999</v>
      </c>
      <c r="L26" s="279">
        <v>25.076747309999998</v>
      </c>
      <c r="M26" s="279">
        <v>26.040456989999999</v>
      </c>
      <c r="N26" s="279">
        <v>26.859722219999998</v>
      </c>
      <c r="O26" s="279">
        <v>27.229301079999999</v>
      </c>
      <c r="P26" s="279">
        <v>27.621111110000001</v>
      </c>
      <c r="Q26" s="279">
        <v>25.77473118</v>
      </c>
      <c r="R26" s="279">
        <v>25.77418893416667</v>
      </c>
      <c r="S26" s="274">
        <f>SUMIFS(Aux_Lista!Y:Y,Aux_Lista!W:W,Aux_TBS!B26,Aux_Lista!X:X,Aux_TBS!A26)</f>
        <v>8</v>
      </c>
      <c r="T26" s="274" t="s">
        <v>6040</v>
      </c>
      <c r="U26" s="274">
        <v>38</v>
      </c>
    </row>
    <row r="27" spans="1:21" x14ac:dyDescent="0.25">
      <c r="A27" s="277" t="s">
        <v>4279</v>
      </c>
      <c r="B27" s="258" t="s">
        <v>4004</v>
      </c>
      <c r="C27" s="274" t="str">
        <f t="shared" si="0"/>
        <v>Tartarugalzinho, AP</v>
      </c>
      <c r="D27" s="278">
        <v>1.5</v>
      </c>
      <c r="E27" s="258">
        <v>21</v>
      </c>
      <c r="F27" s="279">
        <v>25.332795699999998</v>
      </c>
      <c r="G27" s="279">
        <v>24.946279759999999</v>
      </c>
      <c r="H27" s="279">
        <v>25.596774190000001</v>
      </c>
      <c r="I27" s="279">
        <v>25.81555556</v>
      </c>
      <c r="J27" s="279">
        <v>25.36465054</v>
      </c>
      <c r="K27" s="279">
        <v>25.156388889999999</v>
      </c>
      <c r="L27" s="279">
        <v>25.929435479999999</v>
      </c>
      <c r="M27" s="279">
        <v>26.571505380000001</v>
      </c>
      <c r="N27" s="279">
        <v>26.911666669999999</v>
      </c>
      <c r="O27" s="279">
        <v>27.362634409999998</v>
      </c>
      <c r="P27" s="279">
        <v>27.353194439999999</v>
      </c>
      <c r="Q27" s="279">
        <v>25.505241940000001</v>
      </c>
      <c r="R27" s="279">
        <v>25.987176913333329</v>
      </c>
      <c r="S27" s="274">
        <f>SUMIFS(Aux_Lista!Y:Y,Aux_Lista!W:W,Aux_TBS!B27,Aux_Lista!X:X,Aux_TBS!A27)</f>
        <v>8</v>
      </c>
      <c r="T27" s="274" t="s">
        <v>6040</v>
      </c>
      <c r="U27" s="274">
        <v>38</v>
      </c>
    </row>
    <row r="28" spans="1:21" x14ac:dyDescent="0.25">
      <c r="A28" s="277" t="s">
        <v>1771</v>
      </c>
      <c r="B28" s="258" t="s">
        <v>398</v>
      </c>
      <c r="C28" s="274" t="str">
        <f t="shared" si="0"/>
        <v>Amargosa, BA</v>
      </c>
      <c r="D28" s="278">
        <v>-13.01</v>
      </c>
      <c r="E28" s="258">
        <v>407</v>
      </c>
      <c r="F28" s="279">
        <v>24.718548389999999</v>
      </c>
      <c r="G28" s="279">
        <v>25.16919643</v>
      </c>
      <c r="H28" s="279">
        <v>25.455913979999998</v>
      </c>
      <c r="I28" s="279">
        <v>24.135416670000001</v>
      </c>
      <c r="J28" s="279">
        <v>23.59086022</v>
      </c>
      <c r="K28" s="279">
        <v>21.756250000000001</v>
      </c>
      <c r="L28" s="279">
        <v>20.2188172</v>
      </c>
      <c r="M28" s="279">
        <v>20.59180108</v>
      </c>
      <c r="N28" s="279">
        <v>21.42583333</v>
      </c>
      <c r="O28" s="279">
        <v>22.89408602</v>
      </c>
      <c r="P28" s="279">
        <v>24.403888890000001</v>
      </c>
      <c r="Q28" s="279">
        <v>23.908467739999999</v>
      </c>
      <c r="R28" s="279">
        <v>23.189089995833331</v>
      </c>
      <c r="S28" s="274">
        <f>SUMIFS(Aux_Lista!Y:Y,Aux_Lista!W:W,Aux_TBS!B28,Aux_Lista!X:X,Aux_TBS!A28)</f>
        <v>8</v>
      </c>
      <c r="T28" s="274" t="s">
        <v>6041</v>
      </c>
      <c r="U28" s="274">
        <v>38</v>
      </c>
    </row>
    <row r="29" spans="1:21" x14ac:dyDescent="0.25">
      <c r="A29" s="277" t="s">
        <v>5409</v>
      </c>
      <c r="B29" s="258" t="s">
        <v>398</v>
      </c>
      <c r="C29" s="274" t="str">
        <f t="shared" si="0"/>
        <v>Barra, BA</v>
      </c>
      <c r="D29" s="278">
        <v>-11.08</v>
      </c>
      <c r="E29" s="258">
        <v>403</v>
      </c>
      <c r="F29" s="279">
        <v>27.166397849999999</v>
      </c>
      <c r="G29" s="279">
        <v>27.324553569999999</v>
      </c>
      <c r="H29" s="279">
        <v>27.163844090000001</v>
      </c>
      <c r="I29" s="279">
        <v>25.933888889999999</v>
      </c>
      <c r="J29" s="279">
        <v>25.260887100000001</v>
      </c>
      <c r="K29" s="279">
        <v>24.72666667</v>
      </c>
      <c r="L29" s="279">
        <v>25.007795699999999</v>
      </c>
      <c r="M29" s="279">
        <v>26.288172039999999</v>
      </c>
      <c r="N29" s="279">
        <v>29.139722219999999</v>
      </c>
      <c r="O29" s="279">
        <v>28.281586019999999</v>
      </c>
      <c r="P29" s="279">
        <v>28.624166670000001</v>
      </c>
      <c r="Q29" s="279">
        <v>26.681048390000001</v>
      </c>
      <c r="R29" s="279">
        <v>26.799894100833338</v>
      </c>
      <c r="S29" s="274">
        <f>SUMIFS(Aux_Lista!Y:Y,Aux_Lista!W:W,Aux_TBS!B29,Aux_Lista!X:X,Aux_TBS!A29)</f>
        <v>6</v>
      </c>
      <c r="T29" s="274" t="s">
        <v>6041</v>
      </c>
      <c r="U29" s="274">
        <v>38</v>
      </c>
    </row>
    <row r="30" spans="1:21" x14ac:dyDescent="0.25">
      <c r="A30" s="277" t="s">
        <v>5499</v>
      </c>
      <c r="B30" s="258" t="s">
        <v>398</v>
      </c>
      <c r="C30" s="274" t="str">
        <f t="shared" si="0"/>
        <v>Barreiras, BA</v>
      </c>
      <c r="D30" s="278">
        <v>-12.15</v>
      </c>
      <c r="E30" s="258">
        <v>470</v>
      </c>
      <c r="F30" s="279">
        <v>26.284274190000001</v>
      </c>
      <c r="G30" s="279">
        <v>24.269196430000001</v>
      </c>
      <c r="H30" s="279">
        <v>25.20013441</v>
      </c>
      <c r="I30" s="279">
        <v>25.194444440000002</v>
      </c>
      <c r="J30" s="279">
        <v>24.949059139999999</v>
      </c>
      <c r="K30" s="279">
        <v>23.004305559999999</v>
      </c>
      <c r="L30" s="279">
        <v>23.433870970000001</v>
      </c>
      <c r="M30" s="279">
        <v>24.741935479999999</v>
      </c>
      <c r="N30" s="279">
        <v>27.061111109999999</v>
      </c>
      <c r="O30" s="279">
        <v>26.557526880000001</v>
      </c>
      <c r="P30" s="279">
        <v>25.75305556</v>
      </c>
      <c r="Q30" s="279">
        <v>24.984005379999999</v>
      </c>
      <c r="R30" s="279">
        <v>25.119409962500001</v>
      </c>
      <c r="S30" s="274">
        <f>SUMIFS(Aux_Lista!Y:Y,Aux_Lista!W:W,Aux_TBS!B30,Aux_Lista!X:X,Aux_TBS!A30)</f>
        <v>7</v>
      </c>
      <c r="T30" s="274" t="s">
        <v>6041</v>
      </c>
      <c r="U30" s="274">
        <v>38</v>
      </c>
    </row>
    <row r="31" spans="1:21" x14ac:dyDescent="0.25">
      <c r="A31" s="277" t="s">
        <v>1217</v>
      </c>
      <c r="B31" s="258" t="s">
        <v>398</v>
      </c>
      <c r="C31" s="274" t="str">
        <f t="shared" si="0"/>
        <v>Belmonte, BA</v>
      </c>
      <c r="D31" s="278">
        <v>-16.09</v>
      </c>
      <c r="E31" s="258">
        <v>88</v>
      </c>
      <c r="F31" s="279">
        <v>25.809811830000001</v>
      </c>
      <c r="G31" s="279">
        <v>25.381250000000001</v>
      </c>
      <c r="H31" s="279">
        <v>25.734274190000001</v>
      </c>
      <c r="I31" s="279">
        <v>24.364305559999998</v>
      </c>
      <c r="J31" s="279">
        <v>23.418010750000001</v>
      </c>
      <c r="K31" s="279">
        <v>21.174305560000001</v>
      </c>
      <c r="L31" s="279">
        <v>21.388172040000001</v>
      </c>
      <c r="M31" s="279">
        <v>21.344489249999999</v>
      </c>
      <c r="N31" s="279">
        <v>22.689305560000001</v>
      </c>
      <c r="O31" s="279">
        <v>23.856048390000002</v>
      </c>
      <c r="P31" s="279">
        <v>24.603750000000002</v>
      </c>
      <c r="Q31" s="279">
        <v>25.74811828</v>
      </c>
      <c r="R31" s="279">
        <v>23.792653450833331</v>
      </c>
      <c r="S31" s="274">
        <f>SUMIFS(Aux_Lista!Y:Y,Aux_Lista!W:W,Aux_TBS!B31,Aux_Lista!X:X,Aux_TBS!A31)</f>
        <v>8</v>
      </c>
      <c r="T31" s="274" t="s">
        <v>6041</v>
      </c>
      <c r="U31" s="274">
        <v>38</v>
      </c>
    </row>
    <row r="32" spans="1:21" x14ac:dyDescent="0.25">
      <c r="A32" s="277" t="s">
        <v>5369</v>
      </c>
      <c r="B32" s="258" t="s">
        <v>398</v>
      </c>
      <c r="C32" s="274" t="str">
        <f t="shared" si="0"/>
        <v>Bom Jesus da Lapa, BA</v>
      </c>
      <c r="D32" s="278">
        <v>-13.26</v>
      </c>
      <c r="E32" s="258">
        <v>440</v>
      </c>
      <c r="F32" s="279">
        <v>26.116666670000001</v>
      </c>
      <c r="G32" s="279">
        <v>26.763988099999999</v>
      </c>
      <c r="H32" s="279">
        <v>27.052553759999999</v>
      </c>
      <c r="I32" s="279">
        <v>25.03430556</v>
      </c>
      <c r="J32" s="279">
        <v>24.038978490000002</v>
      </c>
      <c r="K32" s="279">
        <v>24.067638890000001</v>
      </c>
      <c r="L32" s="279">
        <v>24.9155914</v>
      </c>
      <c r="M32" s="279">
        <v>26.066129029999999</v>
      </c>
      <c r="N32" s="279">
        <v>29.074583329999999</v>
      </c>
      <c r="O32" s="279">
        <v>28.019623660000001</v>
      </c>
      <c r="P32" s="279">
        <v>27.492361110000001</v>
      </c>
      <c r="Q32" s="279">
        <v>26.40766129</v>
      </c>
      <c r="R32" s="279">
        <v>26.254173440833338</v>
      </c>
      <c r="S32" s="274">
        <f>SUMIFS(Aux_Lista!Y:Y,Aux_Lista!W:W,Aux_TBS!B32,Aux_Lista!X:X,Aux_TBS!A32)</f>
        <v>6</v>
      </c>
      <c r="T32" s="274" t="s">
        <v>6041</v>
      </c>
      <c r="U32" s="274">
        <v>38</v>
      </c>
    </row>
    <row r="33" spans="1:21" x14ac:dyDescent="0.25">
      <c r="A33" s="277" t="s">
        <v>2216</v>
      </c>
      <c r="B33" s="258" t="s">
        <v>398</v>
      </c>
      <c r="C33" s="274" t="str">
        <f t="shared" si="0"/>
        <v>Brumado, BA</v>
      </c>
      <c r="D33" s="278">
        <v>-14.18</v>
      </c>
      <c r="E33" s="258">
        <v>470</v>
      </c>
      <c r="F33" s="279">
        <v>24.64502688</v>
      </c>
      <c r="G33" s="279">
        <v>26.345089290000001</v>
      </c>
      <c r="H33" s="279">
        <v>27.2141129</v>
      </c>
      <c r="I33" s="279">
        <v>24.09486111</v>
      </c>
      <c r="J33" s="279">
        <v>22.468548389999999</v>
      </c>
      <c r="K33" s="279">
        <v>21.793194440000001</v>
      </c>
      <c r="L33" s="279">
        <v>22.564247309999999</v>
      </c>
      <c r="M33" s="279">
        <v>23.72056452</v>
      </c>
      <c r="N33" s="279">
        <v>26.41222222</v>
      </c>
      <c r="O33" s="279">
        <v>27.22715054</v>
      </c>
      <c r="P33" s="279">
        <v>27.885694440000002</v>
      </c>
      <c r="Q33" s="279">
        <v>27.726344090000001</v>
      </c>
      <c r="R33" s="279">
        <v>25.174754677500001</v>
      </c>
      <c r="S33" s="274">
        <f>SUMIFS(Aux_Lista!Y:Y,Aux_Lista!W:W,Aux_TBS!B33,Aux_Lista!X:X,Aux_TBS!A33)</f>
        <v>5</v>
      </c>
      <c r="T33" s="274" t="s">
        <v>6041</v>
      </c>
      <c r="U33" s="274">
        <v>38</v>
      </c>
    </row>
    <row r="34" spans="1:21" x14ac:dyDescent="0.25">
      <c r="A34" s="277" t="s">
        <v>5412</v>
      </c>
      <c r="B34" s="258" t="s">
        <v>398</v>
      </c>
      <c r="C34" s="274" t="str">
        <f t="shared" si="0"/>
        <v>Buritirama, BA</v>
      </c>
      <c r="D34" s="278">
        <v>-10.72</v>
      </c>
      <c r="E34" s="258">
        <v>502</v>
      </c>
      <c r="F34" s="279">
        <v>25.590725809999999</v>
      </c>
      <c r="G34" s="279">
        <v>27.243005950000001</v>
      </c>
      <c r="H34" s="279">
        <v>25.007123660000001</v>
      </c>
      <c r="I34" s="279">
        <v>24.172361110000001</v>
      </c>
      <c r="J34" s="279">
        <v>23.665860219999999</v>
      </c>
      <c r="K34" s="279">
        <v>23.077222219999999</v>
      </c>
      <c r="L34" s="279">
        <v>23.450403229999999</v>
      </c>
      <c r="M34" s="279">
        <v>25.375672040000001</v>
      </c>
      <c r="N34" s="279">
        <v>27.995972219999999</v>
      </c>
      <c r="O34" s="279">
        <v>26.73185484</v>
      </c>
      <c r="P34" s="279">
        <v>27.731666669999999</v>
      </c>
      <c r="Q34" s="279">
        <v>25.42392473</v>
      </c>
      <c r="R34" s="279">
        <v>25.455482725</v>
      </c>
      <c r="S34" s="274">
        <f>SUMIFS(Aux_Lista!Y:Y,Aux_Lista!W:W,Aux_TBS!B34,Aux_Lista!X:X,Aux_TBS!A34)</f>
        <v>6</v>
      </c>
      <c r="T34" s="274" t="s">
        <v>6041</v>
      </c>
      <c r="U34" s="274">
        <v>38</v>
      </c>
    </row>
    <row r="35" spans="1:21" x14ac:dyDescent="0.25">
      <c r="A35" s="277" t="s">
        <v>4850</v>
      </c>
      <c r="B35" s="258" t="s">
        <v>398</v>
      </c>
      <c r="C35" s="274" t="str">
        <f t="shared" si="0"/>
        <v>Caravelas, BA</v>
      </c>
      <c r="D35" s="278">
        <v>-17.73</v>
      </c>
      <c r="E35" s="258">
        <v>3</v>
      </c>
      <c r="F35" s="279">
        <v>26.255510749999999</v>
      </c>
      <c r="G35" s="279">
        <v>26.854613100000002</v>
      </c>
      <c r="H35" s="279">
        <v>26.96680108</v>
      </c>
      <c r="I35" s="279">
        <v>25.509861109999999</v>
      </c>
      <c r="J35" s="279">
        <v>24.054704300000001</v>
      </c>
      <c r="K35" s="279">
        <v>22.846666670000001</v>
      </c>
      <c r="L35" s="279">
        <v>22.666263440000002</v>
      </c>
      <c r="M35" s="279">
        <v>23.056317199999999</v>
      </c>
      <c r="N35" s="279">
        <v>24.392222220000001</v>
      </c>
      <c r="O35" s="279">
        <v>25.070833329999999</v>
      </c>
      <c r="P35" s="279">
        <v>25.788888889999999</v>
      </c>
      <c r="Q35" s="279">
        <v>26.912634409999999</v>
      </c>
      <c r="R35" s="279">
        <v>25.031276375000001</v>
      </c>
      <c r="S35" s="274">
        <f>SUMIFS(Aux_Lista!Y:Y,Aux_Lista!W:W,Aux_TBS!B35,Aux_Lista!X:X,Aux_TBS!A35)</f>
        <v>8</v>
      </c>
      <c r="T35" s="274" t="s">
        <v>6041</v>
      </c>
      <c r="U35" s="274">
        <v>38</v>
      </c>
    </row>
    <row r="36" spans="1:21" x14ac:dyDescent="0.25">
      <c r="A36" s="277" t="s">
        <v>4831</v>
      </c>
      <c r="B36" s="258" t="s">
        <v>398</v>
      </c>
      <c r="C36" s="274" t="str">
        <f t="shared" si="0"/>
        <v>Conde, BA</v>
      </c>
      <c r="D36" s="278">
        <v>-11.81</v>
      </c>
      <c r="E36" s="258">
        <v>14</v>
      </c>
      <c r="F36" s="279">
        <v>27.269354839999998</v>
      </c>
      <c r="G36" s="279">
        <v>26.953422620000001</v>
      </c>
      <c r="H36" s="279">
        <v>27.27701613</v>
      </c>
      <c r="I36" s="279">
        <v>26.821388890000001</v>
      </c>
      <c r="J36" s="279">
        <v>25.026478489999999</v>
      </c>
      <c r="K36" s="279">
        <v>24.682916670000001</v>
      </c>
      <c r="L36" s="279">
        <v>24.027284949999999</v>
      </c>
      <c r="M36" s="279">
        <v>24.055107530000001</v>
      </c>
      <c r="N36" s="279">
        <v>24.780277779999999</v>
      </c>
      <c r="O36" s="279">
        <v>26.229704300000002</v>
      </c>
      <c r="P36" s="279">
        <v>26.62055556</v>
      </c>
      <c r="Q36" s="279">
        <v>27.54206989</v>
      </c>
      <c r="R36" s="279">
        <v>25.940464804166666</v>
      </c>
      <c r="S36" s="274">
        <f>SUMIFS(Aux_Lista!Y:Y,Aux_Lista!W:W,Aux_TBS!B36,Aux_Lista!X:X,Aux_TBS!A36)</f>
        <v>8</v>
      </c>
      <c r="T36" s="274" t="s">
        <v>6041</v>
      </c>
      <c r="U36" s="274">
        <v>38</v>
      </c>
    </row>
    <row r="37" spans="1:21" x14ac:dyDescent="0.25">
      <c r="A37" s="277" t="s">
        <v>2877</v>
      </c>
      <c r="B37" s="258" t="s">
        <v>398</v>
      </c>
      <c r="C37" s="274" t="str">
        <f t="shared" si="0"/>
        <v>Correntina, BA</v>
      </c>
      <c r="D37" s="278">
        <v>-13.33</v>
      </c>
      <c r="E37" s="258">
        <v>549</v>
      </c>
      <c r="F37" s="279">
        <v>24.263709680000002</v>
      </c>
      <c r="G37" s="279">
        <v>24.50327381</v>
      </c>
      <c r="H37" s="279">
        <v>23.775806450000001</v>
      </c>
      <c r="I37" s="279">
        <v>23.82152778</v>
      </c>
      <c r="J37" s="279">
        <v>22.81155914</v>
      </c>
      <c r="K37" s="279">
        <v>21.318611109999999</v>
      </c>
      <c r="L37" s="279">
        <v>20.541935479999999</v>
      </c>
      <c r="M37" s="279">
        <v>22.760483870000002</v>
      </c>
      <c r="N37" s="279">
        <v>25.226805559999999</v>
      </c>
      <c r="O37" s="279">
        <v>27.431048390000001</v>
      </c>
      <c r="P37" s="279">
        <v>25.31666667</v>
      </c>
      <c r="Q37" s="279">
        <v>24.163575269999999</v>
      </c>
      <c r="R37" s="279">
        <v>23.827916934166669</v>
      </c>
      <c r="S37" s="274">
        <f>SUMIFS(Aux_Lista!Y:Y,Aux_Lista!W:W,Aux_TBS!B37,Aux_Lista!X:X,Aux_TBS!A37)</f>
        <v>6</v>
      </c>
      <c r="T37" s="274" t="s">
        <v>6041</v>
      </c>
      <c r="U37" s="274">
        <v>38</v>
      </c>
    </row>
    <row r="38" spans="1:21" x14ac:dyDescent="0.25">
      <c r="A38" s="277" t="s">
        <v>2038</v>
      </c>
      <c r="B38" s="258" t="s">
        <v>398</v>
      </c>
      <c r="C38" s="274" t="str">
        <f t="shared" si="0"/>
        <v>Cruz das Almas, BA</v>
      </c>
      <c r="D38" s="278">
        <v>-12.67</v>
      </c>
      <c r="E38" s="258">
        <v>226</v>
      </c>
      <c r="F38" s="279">
        <v>26.188172040000001</v>
      </c>
      <c r="G38" s="279">
        <v>25.981547620000001</v>
      </c>
      <c r="H38" s="279">
        <v>25.263709680000002</v>
      </c>
      <c r="I38" s="279">
        <v>24.765972219999998</v>
      </c>
      <c r="J38" s="279">
        <v>24.232392470000001</v>
      </c>
      <c r="K38" s="279">
        <v>21.854583330000001</v>
      </c>
      <c r="L38" s="279">
        <v>21.064650539999999</v>
      </c>
      <c r="M38" s="279">
        <v>21.26034946</v>
      </c>
      <c r="N38" s="279">
        <v>22.220833330000001</v>
      </c>
      <c r="O38" s="279">
        <v>23.803494619999999</v>
      </c>
      <c r="P38" s="279">
        <v>24.893888889999999</v>
      </c>
      <c r="Q38" s="279">
        <v>25.68655914</v>
      </c>
      <c r="R38" s="279">
        <v>23.934679445</v>
      </c>
      <c r="S38" s="274">
        <f>SUMIFS(Aux_Lista!Y:Y,Aux_Lista!W:W,Aux_TBS!B38,Aux_Lista!X:X,Aux_TBS!A38)</f>
        <v>8</v>
      </c>
      <c r="T38" s="274" t="s">
        <v>6041</v>
      </c>
      <c r="U38" s="274">
        <v>38</v>
      </c>
    </row>
    <row r="39" spans="1:21" x14ac:dyDescent="0.25">
      <c r="A39" s="277" t="s">
        <v>2489</v>
      </c>
      <c r="B39" s="258" t="s">
        <v>398</v>
      </c>
      <c r="C39" s="274" t="str">
        <f t="shared" si="0"/>
        <v>Umburanas, BA</v>
      </c>
      <c r="D39" s="278">
        <v>-10.46</v>
      </c>
      <c r="E39" s="258">
        <v>637</v>
      </c>
      <c r="F39" s="279">
        <v>25.097311829999999</v>
      </c>
      <c r="G39" s="279">
        <v>24.790178569999998</v>
      </c>
      <c r="H39" s="279">
        <v>25.695161290000001</v>
      </c>
      <c r="I39" s="279">
        <v>23.602222220000002</v>
      </c>
      <c r="J39" s="279">
        <v>22.455107529999999</v>
      </c>
      <c r="K39" s="279">
        <v>21.698472219999999</v>
      </c>
      <c r="L39" s="279">
        <v>21.786021510000001</v>
      </c>
      <c r="M39" s="279">
        <v>22.578763439999999</v>
      </c>
      <c r="N39" s="279">
        <v>24.765138889999999</v>
      </c>
      <c r="O39" s="279">
        <v>24.601478490000002</v>
      </c>
      <c r="P39" s="279">
        <v>23.93375</v>
      </c>
      <c r="Q39" s="279">
        <v>25.162096770000002</v>
      </c>
      <c r="R39" s="279">
        <v>23.84714189666667</v>
      </c>
      <c r="S39" s="274">
        <f>SUMIFS(Aux_Lista!Y:Y,Aux_Lista!W:W,Aux_TBS!B39,Aux_Lista!X:X,Aux_TBS!A39)</f>
        <v>5</v>
      </c>
      <c r="T39" s="274" t="s">
        <v>6041</v>
      </c>
      <c r="U39" s="274">
        <v>38</v>
      </c>
    </row>
    <row r="40" spans="1:21" x14ac:dyDescent="0.25">
      <c r="A40" s="277" t="s">
        <v>3366</v>
      </c>
      <c r="B40" s="258" t="s">
        <v>398</v>
      </c>
      <c r="C40" s="274" t="str">
        <f t="shared" si="0"/>
        <v>Euclides da Cunha, BA</v>
      </c>
      <c r="D40" s="278">
        <v>-10.54</v>
      </c>
      <c r="E40" s="258">
        <v>432</v>
      </c>
      <c r="F40" s="279">
        <v>26.076344089999999</v>
      </c>
      <c r="G40" s="279">
        <v>26.585267859999998</v>
      </c>
      <c r="H40" s="279">
        <v>26.59663978</v>
      </c>
      <c r="I40" s="279">
        <v>24.507361110000002</v>
      </c>
      <c r="J40" s="279">
        <v>22.43844086</v>
      </c>
      <c r="K40" s="279">
        <v>21.248333330000001</v>
      </c>
      <c r="L40" s="279">
        <v>20.25053763</v>
      </c>
      <c r="M40" s="279">
        <v>21.237231179999998</v>
      </c>
      <c r="N40" s="279">
        <v>22.88625</v>
      </c>
      <c r="O40" s="279">
        <v>24.771102150000001</v>
      </c>
      <c r="P40" s="279">
        <v>26.69722222</v>
      </c>
      <c r="Q40" s="279">
        <v>26.209274189999999</v>
      </c>
      <c r="R40" s="279">
        <v>24.125333699999999</v>
      </c>
      <c r="S40" s="274">
        <f>SUMIFS(Aux_Lista!Y:Y,Aux_Lista!W:W,Aux_TBS!B40,Aux_Lista!X:X,Aux_TBS!A40)</f>
        <v>7</v>
      </c>
      <c r="T40" s="274" t="s">
        <v>6041</v>
      </c>
      <c r="U40" s="274">
        <v>38</v>
      </c>
    </row>
    <row r="41" spans="1:21" x14ac:dyDescent="0.25">
      <c r="A41" s="277" t="s">
        <v>5113</v>
      </c>
      <c r="B41" s="258" t="s">
        <v>398</v>
      </c>
      <c r="C41" s="274" t="str">
        <f t="shared" si="0"/>
        <v>Feira de Santana, BA</v>
      </c>
      <c r="D41" s="278">
        <v>-12.27</v>
      </c>
      <c r="E41" s="258">
        <v>231</v>
      </c>
      <c r="F41" s="279">
        <v>26.430376339999999</v>
      </c>
      <c r="G41" s="279">
        <v>27.1391369</v>
      </c>
      <c r="H41" s="279">
        <v>27.097580650000001</v>
      </c>
      <c r="I41" s="279">
        <v>25.17013889</v>
      </c>
      <c r="J41" s="279">
        <v>24.428360219999998</v>
      </c>
      <c r="K41" s="279">
        <v>22.653472220000001</v>
      </c>
      <c r="L41" s="279">
        <v>21.631854839999999</v>
      </c>
      <c r="M41" s="279">
        <v>21.207661290000001</v>
      </c>
      <c r="N41" s="279">
        <v>22.142638890000001</v>
      </c>
      <c r="O41" s="279">
        <v>25.062634410000001</v>
      </c>
      <c r="P41" s="279">
        <v>26.064166669999999</v>
      </c>
      <c r="Q41" s="279">
        <v>26.315456990000001</v>
      </c>
      <c r="R41" s="279">
        <v>24.611956525833335</v>
      </c>
      <c r="S41" s="274">
        <f>SUMIFS(Aux_Lista!Y:Y,Aux_Lista!W:W,Aux_TBS!B41,Aux_Lista!X:X,Aux_TBS!A41)</f>
        <v>8</v>
      </c>
      <c r="T41" s="274" t="s">
        <v>6041</v>
      </c>
      <c r="U41" s="274">
        <v>38</v>
      </c>
    </row>
    <row r="42" spans="1:21" x14ac:dyDescent="0.25">
      <c r="A42" s="277" t="s">
        <v>4975</v>
      </c>
      <c r="B42" s="258" t="s">
        <v>398</v>
      </c>
      <c r="C42" s="274" t="str">
        <f t="shared" si="0"/>
        <v>Guanambi, BA</v>
      </c>
      <c r="D42" s="278">
        <v>-14.21</v>
      </c>
      <c r="E42" s="258">
        <v>551</v>
      </c>
      <c r="F42" s="279">
        <v>25.930376339999999</v>
      </c>
      <c r="G42" s="279">
        <v>27.126934519999999</v>
      </c>
      <c r="H42" s="279">
        <v>27.231586020000002</v>
      </c>
      <c r="I42" s="279">
        <v>24.73986111</v>
      </c>
      <c r="J42" s="279">
        <v>23.59610215</v>
      </c>
      <c r="K42" s="279">
        <v>23.594583329999999</v>
      </c>
      <c r="L42" s="279">
        <v>23.9733871</v>
      </c>
      <c r="M42" s="279">
        <v>24.531989249999999</v>
      </c>
      <c r="N42" s="279">
        <v>27.477222220000002</v>
      </c>
      <c r="O42" s="279">
        <v>26.74153226</v>
      </c>
      <c r="P42" s="279">
        <v>26.885277779999999</v>
      </c>
      <c r="Q42" s="279">
        <v>26.142473119999998</v>
      </c>
      <c r="R42" s="279">
        <v>25.664277100000003</v>
      </c>
      <c r="S42" s="274">
        <f>SUMIFS(Aux_Lista!Y:Y,Aux_Lista!W:W,Aux_TBS!B42,Aux_Lista!X:X,Aux_TBS!A42)</f>
        <v>6</v>
      </c>
      <c r="T42" s="274" t="s">
        <v>6041</v>
      </c>
      <c r="U42" s="274">
        <v>38</v>
      </c>
    </row>
    <row r="43" spans="1:21" x14ac:dyDescent="0.25">
      <c r="A43" s="277" t="s">
        <v>5385</v>
      </c>
      <c r="B43" s="258" t="s">
        <v>398</v>
      </c>
      <c r="C43" s="274" t="str">
        <f t="shared" si="0"/>
        <v>Ibotirama, BA</v>
      </c>
      <c r="D43" s="278">
        <v>-12.19</v>
      </c>
      <c r="E43" s="258">
        <v>430</v>
      </c>
      <c r="F43" s="279">
        <v>26.397715049999999</v>
      </c>
      <c r="G43" s="279">
        <v>26.72931548</v>
      </c>
      <c r="H43" s="279">
        <v>26.81196237</v>
      </c>
      <c r="I43" s="279">
        <v>25.187638889999999</v>
      </c>
      <c r="J43" s="279">
        <v>25.964784949999999</v>
      </c>
      <c r="K43" s="279">
        <v>25.176527780000001</v>
      </c>
      <c r="L43" s="279">
        <v>24.86518817</v>
      </c>
      <c r="M43" s="279">
        <v>26.581317200000001</v>
      </c>
      <c r="N43" s="279">
        <v>28.758749999999999</v>
      </c>
      <c r="O43" s="279">
        <v>30.420564519999999</v>
      </c>
      <c r="P43" s="279">
        <v>28.14083333</v>
      </c>
      <c r="Q43" s="279">
        <v>25.75846774</v>
      </c>
      <c r="R43" s="279">
        <v>26.73275545666667</v>
      </c>
      <c r="S43" s="274">
        <f>SUMIFS(Aux_Lista!Y:Y,Aux_Lista!W:W,Aux_TBS!B43,Aux_Lista!X:X,Aux_TBS!A43)</f>
        <v>7</v>
      </c>
      <c r="T43" s="274" t="s">
        <v>6041</v>
      </c>
      <c r="U43" s="274">
        <v>38</v>
      </c>
    </row>
    <row r="44" spans="1:21" x14ac:dyDescent="0.25">
      <c r="A44" s="277" t="s">
        <v>1774</v>
      </c>
      <c r="B44" s="258" t="s">
        <v>398</v>
      </c>
      <c r="C44" s="274" t="str">
        <f t="shared" si="0"/>
        <v>Ilhéus, BA</v>
      </c>
      <c r="D44" s="278">
        <v>-14.79</v>
      </c>
      <c r="E44" s="258">
        <v>78</v>
      </c>
      <c r="F44" s="279">
        <v>25.190994620000001</v>
      </c>
      <c r="G44" s="279">
        <v>25.211755950000001</v>
      </c>
      <c r="H44" s="279">
        <v>24.762231180000001</v>
      </c>
      <c r="I44" s="279">
        <v>24.229722219999999</v>
      </c>
      <c r="J44" s="279">
        <v>23.337096769999999</v>
      </c>
      <c r="K44" s="279">
        <v>22.038194440000002</v>
      </c>
      <c r="L44" s="279">
        <v>21.049327959999999</v>
      </c>
      <c r="M44" s="279">
        <v>21.412231179999999</v>
      </c>
      <c r="N44" s="279">
        <v>21.854583330000001</v>
      </c>
      <c r="O44" s="279">
        <v>23.35268817</v>
      </c>
      <c r="P44" s="279">
        <v>24.056805560000001</v>
      </c>
      <c r="Q44" s="279">
        <v>25.006182800000001</v>
      </c>
      <c r="R44" s="279">
        <v>23.458484514999999</v>
      </c>
      <c r="S44" s="274">
        <f>SUMIFS(Aux_Lista!Y:Y,Aux_Lista!W:W,Aux_TBS!B44,Aux_Lista!X:X,Aux_TBS!A44)</f>
        <v>8</v>
      </c>
      <c r="T44" s="274" t="s">
        <v>6041</v>
      </c>
      <c r="U44" s="274">
        <v>38</v>
      </c>
    </row>
    <row r="45" spans="1:21" x14ac:dyDescent="0.25">
      <c r="A45" s="277" t="s">
        <v>5112</v>
      </c>
      <c r="B45" s="258" t="s">
        <v>398</v>
      </c>
      <c r="C45" s="274" t="str">
        <f t="shared" si="0"/>
        <v>Ipiaú, BA</v>
      </c>
      <c r="D45" s="278">
        <v>-14.14</v>
      </c>
      <c r="E45" s="258">
        <v>135</v>
      </c>
      <c r="F45" s="279">
        <v>25.782795700000001</v>
      </c>
      <c r="G45" s="279">
        <v>26.113244049999999</v>
      </c>
      <c r="H45" s="279">
        <v>26.219892470000001</v>
      </c>
      <c r="I45" s="279">
        <v>24.838194439999999</v>
      </c>
      <c r="J45" s="279">
        <v>24.250806449999999</v>
      </c>
      <c r="K45" s="279">
        <v>23.966249999999999</v>
      </c>
      <c r="L45" s="279">
        <v>21.975940860000001</v>
      </c>
      <c r="M45" s="279">
        <v>21.8483871</v>
      </c>
      <c r="N45" s="279">
        <v>23.435555560000001</v>
      </c>
      <c r="O45" s="279">
        <v>25.09798387</v>
      </c>
      <c r="P45" s="279">
        <v>24.979027779999999</v>
      </c>
      <c r="Q45" s="279">
        <v>26.358602149999999</v>
      </c>
      <c r="R45" s="279">
        <v>24.572223369166668</v>
      </c>
      <c r="S45" s="274">
        <f>SUMIFS(Aux_Lista!Y:Y,Aux_Lista!W:W,Aux_TBS!B45,Aux_Lista!X:X,Aux_TBS!A45)</f>
        <v>8</v>
      </c>
      <c r="T45" s="274" t="s">
        <v>6041</v>
      </c>
      <c r="U45" s="274">
        <v>38</v>
      </c>
    </row>
    <row r="46" spans="1:21" x14ac:dyDescent="0.25">
      <c r="A46" s="277" t="s">
        <v>2501</v>
      </c>
      <c r="B46" s="258" t="s">
        <v>398</v>
      </c>
      <c r="C46" s="274" t="str">
        <f t="shared" si="0"/>
        <v>Irecê, BA</v>
      </c>
      <c r="D46" s="278">
        <v>-11.33</v>
      </c>
      <c r="E46" s="258">
        <v>755</v>
      </c>
      <c r="F46" s="279">
        <v>24.14973118</v>
      </c>
      <c r="G46" s="279">
        <v>24.59925595</v>
      </c>
      <c r="H46" s="279">
        <v>25.956451609999998</v>
      </c>
      <c r="I46" s="279">
        <v>23.700694439999999</v>
      </c>
      <c r="J46" s="279">
        <v>22.779704299999999</v>
      </c>
      <c r="K46" s="279">
        <v>22.129027780000001</v>
      </c>
      <c r="L46" s="279">
        <v>22.009677419999999</v>
      </c>
      <c r="M46" s="279">
        <v>22.512365590000002</v>
      </c>
      <c r="N46" s="279">
        <v>25.186111109999999</v>
      </c>
      <c r="O46" s="279">
        <v>24.96787634</v>
      </c>
      <c r="P46" s="279">
        <v>24.913888889999999</v>
      </c>
      <c r="Q46" s="279">
        <v>24.506317200000002</v>
      </c>
      <c r="R46" s="279">
        <v>23.950925150833331</v>
      </c>
      <c r="S46" s="274">
        <f>SUMIFS(Aux_Lista!Y:Y,Aux_Lista!W:W,Aux_TBS!B46,Aux_Lista!X:X,Aux_TBS!A46)</f>
        <v>6</v>
      </c>
      <c r="T46" s="274" t="s">
        <v>6041</v>
      </c>
      <c r="U46" s="274">
        <v>38</v>
      </c>
    </row>
    <row r="47" spans="1:21" x14ac:dyDescent="0.25">
      <c r="A47" s="277" t="s">
        <v>4996</v>
      </c>
      <c r="B47" s="258" t="s">
        <v>398</v>
      </c>
      <c r="C47" s="274" t="str">
        <f t="shared" si="0"/>
        <v>Itaberaba, BA</v>
      </c>
      <c r="D47" s="278">
        <v>-12.53</v>
      </c>
      <c r="E47" s="258">
        <v>250</v>
      </c>
      <c r="F47" s="279">
        <v>26.226881720000002</v>
      </c>
      <c r="G47" s="279">
        <v>26.219494050000002</v>
      </c>
      <c r="H47" s="279">
        <v>25.787634409999999</v>
      </c>
      <c r="I47" s="279">
        <v>25.650416669999998</v>
      </c>
      <c r="J47" s="279">
        <v>24.39637097</v>
      </c>
      <c r="K47" s="279">
        <v>22.268194439999998</v>
      </c>
      <c r="L47" s="279">
        <v>22.3077957</v>
      </c>
      <c r="M47" s="279">
        <v>23.269354839999998</v>
      </c>
      <c r="N47" s="279">
        <v>24.043194440000001</v>
      </c>
      <c r="O47" s="279">
        <v>25.66236559</v>
      </c>
      <c r="P47" s="279">
        <v>26.508472220000002</v>
      </c>
      <c r="Q47" s="279">
        <v>26.901747310000001</v>
      </c>
      <c r="R47" s="279">
        <v>24.936826863333337</v>
      </c>
      <c r="S47" s="274">
        <f>SUMIFS(Aux_Lista!Y:Y,Aux_Lista!W:W,Aux_TBS!B47,Aux_Lista!X:X,Aux_TBS!A47)</f>
        <v>8</v>
      </c>
      <c r="T47" s="274" t="s">
        <v>6041</v>
      </c>
      <c r="U47" s="274">
        <v>38</v>
      </c>
    </row>
    <row r="48" spans="1:21" x14ac:dyDescent="0.25">
      <c r="A48" s="277" t="s">
        <v>4982</v>
      </c>
      <c r="B48" s="258" t="s">
        <v>398</v>
      </c>
      <c r="C48" s="274" t="str">
        <f t="shared" si="0"/>
        <v>Itapetinga, BA</v>
      </c>
      <c r="D48" s="278">
        <v>-15.24</v>
      </c>
      <c r="E48" s="258">
        <v>279</v>
      </c>
      <c r="F48" s="279">
        <v>26.914381720000002</v>
      </c>
      <c r="G48" s="279">
        <v>27.018750000000001</v>
      </c>
      <c r="H48" s="279">
        <v>25.94032258</v>
      </c>
      <c r="I48" s="279">
        <v>24.642222220000001</v>
      </c>
      <c r="J48" s="279">
        <v>23.716263439999999</v>
      </c>
      <c r="K48" s="279">
        <v>22.320138889999999</v>
      </c>
      <c r="L48" s="279">
        <v>21.799731179999998</v>
      </c>
      <c r="M48" s="279">
        <v>21.94637097</v>
      </c>
      <c r="N48" s="279">
        <v>24.087499999999999</v>
      </c>
      <c r="O48" s="279">
        <v>25.15524194</v>
      </c>
      <c r="P48" s="279">
        <v>25.660833329999999</v>
      </c>
      <c r="Q48" s="279">
        <v>27.051881720000001</v>
      </c>
      <c r="R48" s="279">
        <v>24.687803165833333</v>
      </c>
      <c r="S48" s="274">
        <f>SUMIFS(Aux_Lista!Y:Y,Aux_Lista!W:W,Aux_TBS!B48,Aux_Lista!X:X,Aux_TBS!A48)</f>
        <v>5</v>
      </c>
      <c r="T48" s="274" t="s">
        <v>6041</v>
      </c>
      <c r="U48" s="274">
        <v>38</v>
      </c>
    </row>
    <row r="49" spans="1:21" x14ac:dyDescent="0.25">
      <c r="A49" s="277" t="s">
        <v>3265</v>
      </c>
      <c r="B49" s="258" t="s">
        <v>398</v>
      </c>
      <c r="C49" s="274" t="str">
        <f t="shared" si="0"/>
        <v>Itiruçu, BA</v>
      </c>
      <c r="D49" s="278">
        <v>-13.53</v>
      </c>
      <c r="E49" s="258">
        <v>756</v>
      </c>
      <c r="F49" s="279">
        <v>22.8172043</v>
      </c>
      <c r="G49" s="279">
        <v>23.367261899999999</v>
      </c>
      <c r="H49" s="279">
        <v>23.170161289999999</v>
      </c>
      <c r="I49" s="279">
        <v>21.57222222</v>
      </c>
      <c r="J49" s="279">
        <v>21.337903229999998</v>
      </c>
      <c r="K49" s="279">
        <v>19.04861111</v>
      </c>
      <c r="L49" s="279">
        <v>18.119758059999999</v>
      </c>
      <c r="M49" s="279">
        <v>17.842607529999999</v>
      </c>
      <c r="N49" s="279">
        <v>18.99402778</v>
      </c>
      <c r="O49" s="279">
        <v>21.914784950000001</v>
      </c>
      <c r="P49" s="279">
        <v>22.191388889999999</v>
      </c>
      <c r="Q49" s="279">
        <v>22.493279569999999</v>
      </c>
      <c r="R49" s="279">
        <v>21.072434235833335</v>
      </c>
      <c r="S49" s="274">
        <f>SUMIFS(Aux_Lista!Y:Y,Aux_Lista!W:W,Aux_TBS!B49,Aux_Lista!X:X,Aux_TBS!A49)</f>
        <v>5</v>
      </c>
      <c r="T49" s="274" t="s">
        <v>6041</v>
      </c>
      <c r="U49" s="274">
        <v>38</v>
      </c>
    </row>
    <row r="50" spans="1:21" x14ac:dyDescent="0.25">
      <c r="A50" s="277" t="s">
        <v>2172</v>
      </c>
      <c r="B50" s="258" t="s">
        <v>398</v>
      </c>
      <c r="C50" s="274" t="str">
        <f t="shared" si="0"/>
        <v>Jacobina, BA</v>
      </c>
      <c r="D50" s="278">
        <v>-11.21</v>
      </c>
      <c r="E50" s="258">
        <v>453</v>
      </c>
      <c r="F50" s="279">
        <v>25.241801079999998</v>
      </c>
      <c r="G50" s="279">
        <v>25.266666669999999</v>
      </c>
      <c r="H50" s="279">
        <v>26.779032260000001</v>
      </c>
      <c r="I50" s="279">
        <v>24.888333329999998</v>
      </c>
      <c r="J50" s="279">
        <v>22.7547043</v>
      </c>
      <c r="K50" s="279">
        <v>22.16111111</v>
      </c>
      <c r="L50" s="279">
        <v>22.173387099999999</v>
      </c>
      <c r="M50" s="279">
        <v>22.384274189999999</v>
      </c>
      <c r="N50" s="279">
        <v>24.851805559999999</v>
      </c>
      <c r="O50" s="279">
        <v>25.09892473</v>
      </c>
      <c r="P50" s="279">
        <v>24.735555560000002</v>
      </c>
      <c r="Q50" s="279">
        <v>26.07419355</v>
      </c>
      <c r="R50" s="279">
        <v>24.367482453333334</v>
      </c>
      <c r="S50" s="274">
        <f>SUMIFS(Aux_Lista!Y:Y,Aux_Lista!W:W,Aux_TBS!B50,Aux_Lista!X:X,Aux_TBS!A50)</f>
        <v>8</v>
      </c>
      <c r="T50" s="274" t="s">
        <v>6041</v>
      </c>
      <c r="U50" s="274">
        <v>38</v>
      </c>
    </row>
    <row r="51" spans="1:21" x14ac:dyDescent="0.25">
      <c r="A51" s="277" t="s">
        <v>4992</v>
      </c>
      <c r="B51" s="258" t="s">
        <v>398</v>
      </c>
      <c r="C51" s="274" t="str">
        <f t="shared" si="0"/>
        <v>Lençóis, BA</v>
      </c>
      <c r="D51" s="278">
        <v>-12.56</v>
      </c>
      <c r="E51" s="258">
        <v>439</v>
      </c>
      <c r="F51" s="279">
        <v>26.227822580000002</v>
      </c>
      <c r="G51" s="279">
        <v>26.92410714</v>
      </c>
      <c r="H51" s="279">
        <v>26.019758060000001</v>
      </c>
      <c r="I51" s="279">
        <v>24.482222220000001</v>
      </c>
      <c r="J51" s="279">
        <v>24.064516130000001</v>
      </c>
      <c r="K51" s="279">
        <v>22.54180556</v>
      </c>
      <c r="L51" s="279">
        <v>21.733736560000001</v>
      </c>
      <c r="M51" s="279">
        <v>23.337365590000001</v>
      </c>
      <c r="N51" s="279">
        <v>24.598749999999999</v>
      </c>
      <c r="O51" s="279">
        <v>26.303763440000001</v>
      </c>
      <c r="P51" s="279">
        <v>26.505833330000002</v>
      </c>
      <c r="Q51" s="279">
        <v>25.6780914</v>
      </c>
      <c r="R51" s="279">
        <v>24.868147667500001</v>
      </c>
      <c r="S51" s="274">
        <f>SUMIFS(Aux_Lista!Y:Y,Aux_Lista!W:W,Aux_TBS!B51,Aux_Lista!X:X,Aux_TBS!A51)</f>
        <v>8</v>
      </c>
      <c r="T51" s="274" t="s">
        <v>6041</v>
      </c>
      <c r="U51" s="274">
        <v>38</v>
      </c>
    </row>
    <row r="52" spans="1:21" x14ac:dyDescent="0.25">
      <c r="A52" s="277" t="s">
        <v>2128</v>
      </c>
      <c r="B52" s="258" t="s">
        <v>398</v>
      </c>
      <c r="C52" s="274" t="str">
        <f t="shared" si="0"/>
        <v>Macajuba, BA</v>
      </c>
      <c r="D52" s="278">
        <v>-12.14</v>
      </c>
      <c r="E52" s="258">
        <v>380</v>
      </c>
      <c r="F52" s="279">
        <v>25.50510753</v>
      </c>
      <c r="G52" s="279">
        <v>25.502976189999998</v>
      </c>
      <c r="H52" s="279">
        <v>25.045833330000001</v>
      </c>
      <c r="I52" s="279">
        <v>24.818333330000002</v>
      </c>
      <c r="J52" s="279">
        <v>23.194354839999999</v>
      </c>
      <c r="K52" s="279">
        <v>21.355694440000001</v>
      </c>
      <c r="L52" s="279">
        <v>20.983064519999999</v>
      </c>
      <c r="M52" s="279">
        <v>22.259005380000001</v>
      </c>
      <c r="N52" s="279">
        <v>23.261111110000002</v>
      </c>
      <c r="O52" s="279">
        <v>25.057123659999998</v>
      </c>
      <c r="P52" s="279">
        <v>25.575833329999998</v>
      </c>
      <c r="Q52" s="279">
        <v>26.21505376</v>
      </c>
      <c r="R52" s="279">
        <v>24.064457618333332</v>
      </c>
      <c r="S52" s="274">
        <f>SUMIFS(Aux_Lista!Y:Y,Aux_Lista!W:W,Aux_TBS!B52,Aux_Lista!X:X,Aux_TBS!A52)</f>
        <v>8</v>
      </c>
      <c r="T52" s="274" t="s">
        <v>6041</v>
      </c>
      <c r="U52" s="274">
        <v>38</v>
      </c>
    </row>
    <row r="53" spans="1:21" x14ac:dyDescent="0.25">
      <c r="A53" s="277" t="s">
        <v>4848</v>
      </c>
      <c r="B53" s="258" t="s">
        <v>398</v>
      </c>
      <c r="C53" s="274" t="str">
        <f t="shared" si="0"/>
        <v>Maraú, BA</v>
      </c>
      <c r="D53" s="278">
        <v>-13.91</v>
      </c>
      <c r="E53" s="258">
        <v>10</v>
      </c>
      <c r="F53" s="279">
        <v>26.952016130000001</v>
      </c>
      <c r="G53" s="279">
        <v>26.557291670000001</v>
      </c>
      <c r="H53" s="279">
        <v>27.517338710000001</v>
      </c>
      <c r="I53" s="279">
        <v>25.990555560000001</v>
      </c>
      <c r="J53" s="279">
        <v>24.919892470000001</v>
      </c>
      <c r="K53" s="279">
        <v>23.988611110000001</v>
      </c>
      <c r="L53" s="279">
        <v>23.772983870000001</v>
      </c>
      <c r="M53" s="279">
        <v>23.71169355</v>
      </c>
      <c r="N53" s="279">
        <v>25.08666667</v>
      </c>
      <c r="O53" s="279">
        <v>25.904569890000001</v>
      </c>
      <c r="P53" s="279">
        <v>26.459166669999998</v>
      </c>
      <c r="Q53" s="279">
        <v>27.27419355</v>
      </c>
      <c r="R53" s="279">
        <v>25.677914987499999</v>
      </c>
      <c r="S53" s="274">
        <f>SUMIFS(Aux_Lista!Y:Y,Aux_Lista!W:W,Aux_TBS!B53,Aux_Lista!X:X,Aux_TBS!A53)</f>
        <v>8</v>
      </c>
      <c r="T53" s="274" t="s">
        <v>6041</v>
      </c>
      <c r="U53" s="274">
        <v>38</v>
      </c>
    </row>
    <row r="54" spans="1:21" x14ac:dyDescent="0.25">
      <c r="A54" s="277" t="s">
        <v>5059</v>
      </c>
      <c r="B54" s="258" t="s">
        <v>398</v>
      </c>
      <c r="C54" s="274" t="str">
        <f t="shared" si="0"/>
        <v>Paulo Afonso, BA</v>
      </c>
      <c r="D54" s="278">
        <v>-9.41</v>
      </c>
      <c r="E54" s="258">
        <v>253</v>
      </c>
      <c r="F54" s="279">
        <v>27.705376340000001</v>
      </c>
      <c r="G54" s="279">
        <v>28.201041669999999</v>
      </c>
      <c r="H54" s="279">
        <v>28.321639780000002</v>
      </c>
      <c r="I54" s="279">
        <v>27.54402778</v>
      </c>
      <c r="J54" s="279">
        <v>25.812634410000001</v>
      </c>
      <c r="K54" s="279">
        <v>23.55430556</v>
      </c>
      <c r="L54" s="279">
        <v>23.193817200000002</v>
      </c>
      <c r="M54" s="279">
        <v>23.447446240000001</v>
      </c>
      <c r="N54" s="279">
        <v>24.784166670000001</v>
      </c>
      <c r="O54" s="279">
        <v>27.23413978</v>
      </c>
      <c r="P54" s="279">
        <v>27.912916670000001</v>
      </c>
      <c r="Q54" s="279">
        <v>28.318279570000001</v>
      </c>
      <c r="R54" s="279">
        <v>26.335815972500001</v>
      </c>
      <c r="S54" s="274">
        <f>SUMIFS(Aux_Lista!Y:Y,Aux_Lista!W:W,Aux_TBS!B54,Aux_Lista!X:X,Aux_TBS!A54)</f>
        <v>7</v>
      </c>
      <c r="T54" s="274" t="s">
        <v>6041</v>
      </c>
      <c r="U54" s="274">
        <v>38</v>
      </c>
    </row>
    <row r="55" spans="1:21" x14ac:dyDescent="0.25">
      <c r="A55" s="277" t="s">
        <v>400</v>
      </c>
      <c r="B55" s="258" t="s">
        <v>398</v>
      </c>
      <c r="C55" s="274" t="str">
        <f t="shared" si="0"/>
        <v>Piatã, BA</v>
      </c>
      <c r="D55" s="278">
        <v>-13.16</v>
      </c>
      <c r="E55" s="258">
        <v>1290</v>
      </c>
      <c r="F55" s="279">
        <v>20.57002688</v>
      </c>
      <c r="G55" s="279">
        <v>21.190029760000002</v>
      </c>
      <c r="H55" s="279">
        <v>22.029032260000001</v>
      </c>
      <c r="I55" s="279">
        <v>19.82041667</v>
      </c>
      <c r="J55" s="279">
        <v>18.159274190000001</v>
      </c>
      <c r="K55" s="279">
        <v>17.677916669999998</v>
      </c>
      <c r="L55" s="279">
        <v>17.610618280000001</v>
      </c>
      <c r="M55" s="279">
        <v>17.78319892</v>
      </c>
      <c r="N55" s="279">
        <v>20.392222220000001</v>
      </c>
      <c r="O55" s="279">
        <v>20.638306450000002</v>
      </c>
      <c r="P55" s="279">
        <v>20.829583329999998</v>
      </c>
      <c r="Q55" s="279">
        <v>20.982661289999999</v>
      </c>
      <c r="R55" s="279">
        <v>19.806940576666666</v>
      </c>
      <c r="S55" s="274">
        <f>SUMIFS(Aux_Lista!Y:Y,Aux_Lista!W:W,Aux_TBS!B55,Aux_Lista!X:X,Aux_TBS!A55)</f>
        <v>5</v>
      </c>
      <c r="T55" s="274" t="s">
        <v>6041</v>
      </c>
      <c r="U55" s="274">
        <v>38</v>
      </c>
    </row>
    <row r="56" spans="1:21" x14ac:dyDescent="0.25">
      <c r="A56" s="277" t="s">
        <v>1870</v>
      </c>
      <c r="B56" s="258" t="s">
        <v>398</v>
      </c>
      <c r="C56" s="274" t="str">
        <f t="shared" si="0"/>
        <v>Porto Seguro, BA</v>
      </c>
      <c r="D56" s="278">
        <v>-16.39</v>
      </c>
      <c r="E56" s="258">
        <v>85</v>
      </c>
      <c r="F56" s="279">
        <v>25.060752690000001</v>
      </c>
      <c r="G56" s="279">
        <v>25.114136899999998</v>
      </c>
      <c r="H56" s="279">
        <v>25.692876340000002</v>
      </c>
      <c r="I56" s="279">
        <v>24.40180556</v>
      </c>
      <c r="J56" s="279">
        <v>22.683602149999999</v>
      </c>
      <c r="K56" s="279">
        <v>21.86222222</v>
      </c>
      <c r="L56" s="279">
        <v>21.458064520000001</v>
      </c>
      <c r="M56" s="279">
        <v>21.43508065</v>
      </c>
      <c r="N56" s="279">
        <v>22.828055559999999</v>
      </c>
      <c r="O56" s="279">
        <v>23.735752690000002</v>
      </c>
      <c r="P56" s="279">
        <v>24.785972220000001</v>
      </c>
      <c r="Q56" s="279">
        <v>25.954569889999998</v>
      </c>
      <c r="R56" s="279">
        <v>23.751074282499999</v>
      </c>
      <c r="S56" s="274">
        <f>SUMIFS(Aux_Lista!Y:Y,Aux_Lista!W:W,Aux_TBS!B56,Aux_Lista!X:X,Aux_TBS!A56)</f>
        <v>8</v>
      </c>
      <c r="T56" s="274" t="s">
        <v>6041</v>
      </c>
      <c r="U56" s="274">
        <v>38</v>
      </c>
    </row>
    <row r="57" spans="1:21" x14ac:dyDescent="0.25">
      <c r="A57" s="277" t="s">
        <v>1948</v>
      </c>
      <c r="B57" s="258" t="s">
        <v>398</v>
      </c>
      <c r="C57" s="274" t="str">
        <f t="shared" si="0"/>
        <v>Queimadas, BA</v>
      </c>
      <c r="D57" s="278">
        <v>-10.98</v>
      </c>
      <c r="E57" s="258">
        <v>315</v>
      </c>
      <c r="F57" s="279">
        <v>27.74018817</v>
      </c>
      <c r="G57" s="279">
        <v>27.38556548</v>
      </c>
      <c r="H57" s="279">
        <v>28.824999999999999</v>
      </c>
      <c r="I57" s="279">
        <v>27.294583329999998</v>
      </c>
      <c r="J57" s="279">
        <v>24.443010749999999</v>
      </c>
      <c r="K57" s="279">
        <v>23.46611111</v>
      </c>
      <c r="L57" s="279">
        <v>23.53360215</v>
      </c>
      <c r="M57" s="279">
        <v>23.451747309999998</v>
      </c>
      <c r="N57" s="279">
        <v>25.994444439999999</v>
      </c>
      <c r="O57" s="279">
        <v>26.66518817</v>
      </c>
      <c r="P57" s="279">
        <v>27.24361111</v>
      </c>
      <c r="Q57" s="279">
        <v>27.654569890000001</v>
      </c>
      <c r="R57" s="279">
        <v>26.1414684925</v>
      </c>
      <c r="S57" s="274">
        <f>SUMIFS(Aux_Lista!Y:Y,Aux_Lista!W:W,Aux_TBS!B57,Aux_Lista!X:X,Aux_TBS!A57)</f>
        <v>8</v>
      </c>
      <c r="T57" s="274" t="s">
        <v>6041</v>
      </c>
      <c r="U57" s="274">
        <v>38</v>
      </c>
    </row>
    <row r="58" spans="1:21" x14ac:dyDescent="0.25">
      <c r="A58" s="277" t="s">
        <v>4018</v>
      </c>
      <c r="B58" s="258" t="s">
        <v>398</v>
      </c>
      <c r="C58" s="274" t="str">
        <f t="shared" si="0"/>
        <v>Remanso, BA</v>
      </c>
      <c r="D58" s="278">
        <v>-9.6199999999999992</v>
      </c>
      <c r="E58" s="258">
        <v>401</v>
      </c>
      <c r="F58" s="279">
        <v>27.073924730000002</v>
      </c>
      <c r="G58" s="279">
        <v>26.814583330000001</v>
      </c>
      <c r="H58" s="279">
        <v>26.63346774</v>
      </c>
      <c r="I58" s="279">
        <v>25.586111110000001</v>
      </c>
      <c r="J58" s="279">
        <v>26.01075269</v>
      </c>
      <c r="K58" s="279">
        <v>25.657499999999999</v>
      </c>
      <c r="L58" s="279">
        <v>25.886021509999999</v>
      </c>
      <c r="M58" s="279">
        <v>26.353897849999999</v>
      </c>
      <c r="N58" s="279">
        <v>28.270555559999998</v>
      </c>
      <c r="O58" s="279">
        <v>27.747311830000001</v>
      </c>
      <c r="P58" s="279">
        <v>28.258472220000002</v>
      </c>
      <c r="Q58" s="279">
        <v>27.51397849</v>
      </c>
      <c r="R58" s="279">
        <v>26.817214754999998</v>
      </c>
      <c r="S58" s="274">
        <f>SUMIFS(Aux_Lista!Y:Y,Aux_Lista!W:W,Aux_TBS!B58,Aux_Lista!X:X,Aux_TBS!A58)</f>
        <v>7</v>
      </c>
      <c r="T58" s="274" t="s">
        <v>6041</v>
      </c>
      <c r="U58" s="274">
        <v>38</v>
      </c>
    </row>
    <row r="59" spans="1:21" x14ac:dyDescent="0.25">
      <c r="A59" s="277" t="s">
        <v>4958</v>
      </c>
      <c r="B59" s="258" t="s">
        <v>398</v>
      </c>
      <c r="C59" s="274" t="str">
        <f t="shared" si="0"/>
        <v>Salvador, BA</v>
      </c>
      <c r="D59" s="278">
        <v>-12.97</v>
      </c>
      <c r="E59" s="258">
        <v>51</v>
      </c>
      <c r="F59" s="279">
        <v>27.208602150000001</v>
      </c>
      <c r="G59" s="279">
        <v>26.943154759999999</v>
      </c>
      <c r="H59" s="279">
        <v>27.552284950000001</v>
      </c>
      <c r="I59" s="279">
        <v>26.304722219999999</v>
      </c>
      <c r="J59" s="279">
        <v>25.020833329999999</v>
      </c>
      <c r="K59" s="279">
        <v>24.82833333</v>
      </c>
      <c r="L59" s="279">
        <v>24.237768819999999</v>
      </c>
      <c r="M59" s="279">
        <v>24.154166669999999</v>
      </c>
      <c r="N59" s="279">
        <v>24.96347222</v>
      </c>
      <c r="O59" s="279">
        <v>25.672446239999999</v>
      </c>
      <c r="P59" s="279">
        <v>26.27819444</v>
      </c>
      <c r="Q59" s="279">
        <v>27.262903229999999</v>
      </c>
      <c r="R59" s="279">
        <v>25.868906863333336</v>
      </c>
      <c r="S59" s="274">
        <f>SUMIFS(Aux_Lista!Y:Y,Aux_Lista!W:W,Aux_TBS!B59,Aux_Lista!X:X,Aux_TBS!A59)</f>
        <v>8</v>
      </c>
      <c r="T59" s="274" t="s">
        <v>6041</v>
      </c>
      <c r="U59" s="274">
        <v>38</v>
      </c>
    </row>
    <row r="60" spans="1:21" x14ac:dyDescent="0.25">
      <c r="A60" s="277" t="s">
        <v>5497</v>
      </c>
      <c r="B60" s="258" t="s">
        <v>398</v>
      </c>
      <c r="C60" s="274" t="str">
        <f t="shared" si="0"/>
        <v>Santa Rita de Cássia, BA</v>
      </c>
      <c r="D60" s="278">
        <v>-11.01</v>
      </c>
      <c r="E60" s="258">
        <v>450</v>
      </c>
      <c r="F60" s="279">
        <v>25.826612900000001</v>
      </c>
      <c r="G60" s="279">
        <v>27.159821430000001</v>
      </c>
      <c r="H60" s="279">
        <v>26.027688170000001</v>
      </c>
      <c r="I60" s="279">
        <v>25.36375</v>
      </c>
      <c r="J60" s="279">
        <v>26.52607527</v>
      </c>
      <c r="K60" s="279">
        <v>24.714027779999999</v>
      </c>
      <c r="L60" s="279">
        <v>24.327284949999999</v>
      </c>
      <c r="M60" s="279">
        <v>24.210080649999998</v>
      </c>
      <c r="N60" s="279">
        <v>27.319861110000002</v>
      </c>
      <c r="O60" s="279">
        <v>28.384139780000002</v>
      </c>
      <c r="P60" s="279">
        <v>27.464444440000001</v>
      </c>
      <c r="Q60" s="279">
        <v>25.43655914</v>
      </c>
      <c r="R60" s="279">
        <v>26.063362135000006</v>
      </c>
      <c r="S60" s="274">
        <f>SUMIFS(Aux_Lista!Y:Y,Aux_Lista!W:W,Aux_TBS!B60,Aux_Lista!X:X,Aux_TBS!A60)</f>
        <v>6</v>
      </c>
      <c r="T60" s="274" t="s">
        <v>6041</v>
      </c>
      <c r="U60" s="274">
        <v>38</v>
      </c>
    </row>
    <row r="61" spans="1:21" x14ac:dyDescent="0.25">
      <c r="A61" s="277" t="s">
        <v>2205</v>
      </c>
      <c r="B61" s="258" t="s">
        <v>398</v>
      </c>
      <c r="C61" s="274" t="str">
        <f t="shared" si="0"/>
        <v>Senhor do Bonfim, BA</v>
      </c>
      <c r="D61" s="278">
        <v>-10.44</v>
      </c>
      <c r="E61" s="258">
        <v>548</v>
      </c>
      <c r="F61" s="279">
        <v>25.43239247</v>
      </c>
      <c r="G61" s="279">
        <v>26.46279762</v>
      </c>
      <c r="H61" s="279">
        <v>25.78494624</v>
      </c>
      <c r="I61" s="279">
        <v>24.149027780000001</v>
      </c>
      <c r="J61" s="279">
        <v>22.325806450000002</v>
      </c>
      <c r="K61" s="279">
        <v>21.14</v>
      </c>
      <c r="L61" s="279">
        <v>20.10591398</v>
      </c>
      <c r="M61" s="279">
        <v>21.548790319999998</v>
      </c>
      <c r="N61" s="279">
        <v>23.27597222</v>
      </c>
      <c r="O61" s="279">
        <v>24.819354839999999</v>
      </c>
      <c r="P61" s="279">
        <v>26.568750000000001</v>
      </c>
      <c r="Q61" s="279">
        <v>24.880241940000001</v>
      </c>
      <c r="R61" s="279">
        <v>23.874499488333331</v>
      </c>
      <c r="S61" s="274">
        <f>SUMIFS(Aux_Lista!Y:Y,Aux_Lista!W:W,Aux_TBS!B61,Aux_Lista!X:X,Aux_TBS!A61)</f>
        <v>7</v>
      </c>
      <c r="T61" s="274" t="s">
        <v>6041</v>
      </c>
      <c r="U61" s="274">
        <v>38</v>
      </c>
    </row>
    <row r="62" spans="1:21" x14ac:dyDescent="0.25">
      <c r="A62" s="277" t="s">
        <v>3325</v>
      </c>
      <c r="B62" s="258" t="s">
        <v>398</v>
      </c>
      <c r="C62" s="274" t="str">
        <f t="shared" si="0"/>
        <v>Serrinha, BA</v>
      </c>
      <c r="D62" s="278">
        <v>-11.66</v>
      </c>
      <c r="E62" s="258">
        <v>339</v>
      </c>
      <c r="F62" s="279">
        <v>26.255376340000002</v>
      </c>
      <c r="G62" s="279">
        <v>25.831547619999998</v>
      </c>
      <c r="H62" s="279">
        <v>27.193010749999999</v>
      </c>
      <c r="I62" s="279">
        <v>25.915138890000001</v>
      </c>
      <c r="J62" s="279">
        <v>22.581720430000001</v>
      </c>
      <c r="K62" s="279">
        <v>21.486249999999998</v>
      </c>
      <c r="L62" s="279">
        <v>20.422177420000001</v>
      </c>
      <c r="M62" s="279">
        <v>21.341666669999999</v>
      </c>
      <c r="N62" s="279">
        <v>23.091805560000001</v>
      </c>
      <c r="O62" s="279">
        <v>24.245430110000001</v>
      </c>
      <c r="P62" s="279">
        <v>26.216249999999999</v>
      </c>
      <c r="Q62" s="279">
        <v>25.362768819999999</v>
      </c>
      <c r="R62" s="279">
        <v>24.161928550833334</v>
      </c>
      <c r="S62" s="274">
        <f>SUMIFS(Aux_Lista!Y:Y,Aux_Lista!W:W,Aux_TBS!B62,Aux_Lista!X:X,Aux_TBS!A62)</f>
        <v>8</v>
      </c>
      <c r="T62" s="274" t="s">
        <v>6041</v>
      </c>
      <c r="U62" s="274">
        <v>38</v>
      </c>
    </row>
    <row r="63" spans="1:21" x14ac:dyDescent="0.25">
      <c r="A63" s="277" t="s">
        <v>5052</v>
      </c>
      <c r="B63" s="258" t="s">
        <v>398</v>
      </c>
      <c r="C63" s="274" t="str">
        <f t="shared" si="0"/>
        <v>Uauá, BA</v>
      </c>
      <c r="D63" s="278">
        <v>-9.83</v>
      </c>
      <c r="E63" s="258">
        <v>453</v>
      </c>
      <c r="F63" s="279">
        <v>26.275537629999999</v>
      </c>
      <c r="G63" s="279">
        <v>27.216666669999999</v>
      </c>
      <c r="H63" s="279">
        <v>27.00887097</v>
      </c>
      <c r="I63" s="279">
        <v>25.678611109999999</v>
      </c>
      <c r="J63" s="279">
        <v>23.618548390000001</v>
      </c>
      <c r="K63" s="279">
        <v>22.996527780000001</v>
      </c>
      <c r="L63" s="279">
        <v>22.945295699999999</v>
      </c>
      <c r="M63" s="279">
        <v>22.971370969999999</v>
      </c>
      <c r="N63" s="279">
        <v>25.582638889999998</v>
      </c>
      <c r="O63" s="279">
        <v>26.319892469999999</v>
      </c>
      <c r="P63" s="279">
        <v>27.063472220000001</v>
      </c>
      <c r="Q63" s="279">
        <v>27.355376339999999</v>
      </c>
      <c r="R63" s="279">
        <v>25.419400761666669</v>
      </c>
      <c r="S63" s="274">
        <f>SUMIFS(Aux_Lista!Y:Y,Aux_Lista!W:W,Aux_TBS!B63,Aux_Lista!X:X,Aux_TBS!A63)</f>
        <v>6</v>
      </c>
      <c r="T63" s="274" t="s">
        <v>6041</v>
      </c>
      <c r="U63" s="274">
        <v>38</v>
      </c>
    </row>
    <row r="64" spans="1:21" x14ac:dyDescent="0.25">
      <c r="A64" s="277" t="s">
        <v>1653</v>
      </c>
      <c r="B64" s="258" t="s">
        <v>398</v>
      </c>
      <c r="C64" s="274" t="str">
        <f t="shared" si="0"/>
        <v>Una, BA</v>
      </c>
      <c r="D64" s="278">
        <v>-15.28</v>
      </c>
      <c r="E64" s="258">
        <v>82</v>
      </c>
      <c r="F64" s="279">
        <v>25.439650539999999</v>
      </c>
      <c r="G64" s="279">
        <v>25.369791670000001</v>
      </c>
      <c r="H64" s="279">
        <v>25.754032259999999</v>
      </c>
      <c r="I64" s="279">
        <v>24.592361109999999</v>
      </c>
      <c r="J64" s="279">
        <v>23.34986559</v>
      </c>
      <c r="K64" s="279">
        <v>22.584166669999998</v>
      </c>
      <c r="L64" s="279">
        <v>22.209139780000001</v>
      </c>
      <c r="M64" s="279">
        <v>22.21733871</v>
      </c>
      <c r="N64" s="279">
        <v>23.33361111</v>
      </c>
      <c r="O64" s="279">
        <v>24.249865589999999</v>
      </c>
      <c r="P64" s="279">
        <v>24.83319444</v>
      </c>
      <c r="Q64" s="279">
        <v>25.996908600000001</v>
      </c>
      <c r="R64" s="279">
        <v>24.160827172499996</v>
      </c>
      <c r="S64" s="274">
        <f>SUMIFS(Aux_Lista!Y:Y,Aux_Lista!W:W,Aux_TBS!B64,Aux_Lista!X:X,Aux_TBS!A64)</f>
        <v>8</v>
      </c>
      <c r="T64" s="274" t="s">
        <v>6041</v>
      </c>
      <c r="U64" s="274">
        <v>38</v>
      </c>
    </row>
    <row r="65" spans="1:21" x14ac:dyDescent="0.25">
      <c r="A65" s="277" t="s">
        <v>2106</v>
      </c>
      <c r="B65" s="258" t="s">
        <v>398</v>
      </c>
      <c r="C65" s="274" t="str">
        <f t="shared" si="0"/>
        <v>Valença, BA</v>
      </c>
      <c r="D65" s="278">
        <v>-13.37</v>
      </c>
      <c r="E65" s="258">
        <v>39</v>
      </c>
      <c r="F65" s="279">
        <v>25.127956990000001</v>
      </c>
      <c r="G65" s="279">
        <v>25.33035714</v>
      </c>
      <c r="H65" s="279">
        <v>26.43844086</v>
      </c>
      <c r="I65" s="279">
        <v>24.729722219999999</v>
      </c>
      <c r="J65" s="279">
        <v>24.037500000000001</v>
      </c>
      <c r="K65" s="279">
        <v>23.956666670000001</v>
      </c>
      <c r="L65" s="279">
        <v>21.791801079999999</v>
      </c>
      <c r="M65" s="279">
        <v>21.753629029999999</v>
      </c>
      <c r="N65" s="279">
        <v>22.99930556</v>
      </c>
      <c r="O65" s="279">
        <v>24.39637097</v>
      </c>
      <c r="P65" s="279">
        <v>24.47625</v>
      </c>
      <c r="Q65" s="279">
        <v>25.513844089999999</v>
      </c>
      <c r="R65" s="279">
        <v>24.212653717500004</v>
      </c>
      <c r="S65" s="274">
        <f>SUMIFS(Aux_Lista!Y:Y,Aux_Lista!W:W,Aux_TBS!B65,Aux_Lista!X:X,Aux_TBS!A65)</f>
        <v>8</v>
      </c>
      <c r="T65" s="274" t="s">
        <v>6041</v>
      </c>
      <c r="U65" s="274">
        <v>38</v>
      </c>
    </row>
    <row r="66" spans="1:21" x14ac:dyDescent="0.25">
      <c r="A66" s="277" t="s">
        <v>2190</v>
      </c>
      <c r="B66" s="258" t="s">
        <v>398</v>
      </c>
      <c r="C66" s="274" t="str">
        <f t="shared" si="0"/>
        <v>Vitória da Conquista, BA</v>
      </c>
      <c r="D66" s="278">
        <v>-14.87</v>
      </c>
      <c r="E66" s="258">
        <v>870</v>
      </c>
      <c r="F66" s="279">
        <v>21.63763441</v>
      </c>
      <c r="G66" s="279">
        <v>21.526041670000001</v>
      </c>
      <c r="H66" s="279">
        <v>22.801344090000001</v>
      </c>
      <c r="I66" s="279">
        <v>20.753611110000001</v>
      </c>
      <c r="J66" s="279">
        <v>18.954973119999998</v>
      </c>
      <c r="K66" s="279">
        <v>18.47625</v>
      </c>
      <c r="L66" s="279">
        <v>18.100000000000001</v>
      </c>
      <c r="M66" s="279">
        <v>18.28319892</v>
      </c>
      <c r="N66" s="279">
        <v>20.735138890000002</v>
      </c>
      <c r="O66" s="279">
        <v>21.50241935</v>
      </c>
      <c r="P66" s="279">
        <v>21.929166670000001</v>
      </c>
      <c r="Q66" s="279">
        <v>22.570295699999999</v>
      </c>
      <c r="R66" s="279">
        <v>20.605839494166666</v>
      </c>
      <c r="S66" s="274">
        <f>SUMIFS(Aux_Lista!Y:Y,Aux_Lista!W:W,Aux_TBS!B66,Aux_Lista!X:X,Aux_TBS!A66)</f>
        <v>5</v>
      </c>
      <c r="T66" s="274" t="s">
        <v>6041</v>
      </c>
      <c r="U66" s="274">
        <v>38</v>
      </c>
    </row>
    <row r="67" spans="1:21" x14ac:dyDescent="0.25">
      <c r="A67" s="277" t="s">
        <v>4077</v>
      </c>
      <c r="B67" s="258" t="s">
        <v>1943</v>
      </c>
      <c r="C67" s="274" t="str">
        <f t="shared" ref="C67:C130" si="1">CONCATENATE(A67,", ",B67)</f>
        <v>Acaraú, CE</v>
      </c>
      <c r="D67" s="278">
        <v>-3.12</v>
      </c>
      <c r="E67" s="258">
        <v>76</v>
      </c>
      <c r="F67" s="279">
        <v>27.123387099999999</v>
      </c>
      <c r="G67" s="279">
        <v>28.179017859999998</v>
      </c>
      <c r="H67" s="279">
        <v>27.496639779999999</v>
      </c>
      <c r="I67" s="279">
        <v>26.88138889</v>
      </c>
      <c r="J67" s="279">
        <v>25.220026879999999</v>
      </c>
      <c r="K67" s="279">
        <v>25.471666670000001</v>
      </c>
      <c r="L67" s="279">
        <v>25.518682800000001</v>
      </c>
      <c r="M67" s="279">
        <v>26.119086020000001</v>
      </c>
      <c r="N67" s="279">
        <v>26.69458333</v>
      </c>
      <c r="O67" s="279">
        <v>26.368682799999998</v>
      </c>
      <c r="P67" s="279">
        <v>27.00069444</v>
      </c>
      <c r="Q67" s="279">
        <v>27.29206989</v>
      </c>
      <c r="R67" s="279">
        <v>26.613827204999996</v>
      </c>
      <c r="S67" s="274">
        <f>SUMIFS(Aux_Lista!Y:Y,Aux_Lista!W:W,Aux_TBS!B67,Aux_Lista!X:X,Aux_TBS!A67)</f>
        <v>8</v>
      </c>
      <c r="T67" s="274" t="s">
        <v>6041</v>
      </c>
      <c r="U67" s="274">
        <v>38</v>
      </c>
    </row>
    <row r="68" spans="1:21" x14ac:dyDescent="0.25">
      <c r="A68" s="277" t="s">
        <v>5121</v>
      </c>
      <c r="B68" s="258" t="s">
        <v>1943</v>
      </c>
      <c r="C68" s="274" t="str">
        <f t="shared" si="1"/>
        <v>Barbalha, CE</v>
      </c>
      <c r="D68" s="278">
        <v>-7.3</v>
      </c>
      <c r="E68" s="258">
        <v>409</v>
      </c>
      <c r="F68" s="279">
        <v>26.495161289999999</v>
      </c>
      <c r="G68" s="279">
        <v>25.1203869</v>
      </c>
      <c r="H68" s="279">
        <v>25.37782258</v>
      </c>
      <c r="I68" s="279">
        <v>24.317083329999999</v>
      </c>
      <c r="J68" s="279">
        <v>24.320161290000001</v>
      </c>
      <c r="K68" s="279">
        <v>23.994861109999999</v>
      </c>
      <c r="L68" s="279">
        <v>24.141532260000002</v>
      </c>
      <c r="M68" s="279">
        <v>24.945295699999999</v>
      </c>
      <c r="N68" s="279">
        <v>26.642499999999998</v>
      </c>
      <c r="O68" s="279">
        <v>27.230510750000001</v>
      </c>
      <c r="P68" s="279">
        <v>27.81736111</v>
      </c>
      <c r="Q68" s="279">
        <v>26.678225810000001</v>
      </c>
      <c r="R68" s="279">
        <v>25.590075177499997</v>
      </c>
      <c r="S68" s="274">
        <f>SUMIFS(Aux_Lista!Y:Y,Aux_Lista!W:W,Aux_TBS!B68,Aux_Lista!X:X,Aux_TBS!A68)</f>
        <v>7</v>
      </c>
      <c r="T68" s="274" t="s">
        <v>6041</v>
      </c>
      <c r="U68" s="274">
        <v>38</v>
      </c>
    </row>
    <row r="69" spans="1:21" x14ac:dyDescent="0.25">
      <c r="A69" s="277" t="s">
        <v>5071</v>
      </c>
      <c r="B69" s="258" t="s">
        <v>1943</v>
      </c>
      <c r="C69" s="274" t="str">
        <f t="shared" si="1"/>
        <v>Campos Sales, CE</v>
      </c>
      <c r="D69" s="278">
        <v>-7.08</v>
      </c>
      <c r="E69" s="258">
        <v>572</v>
      </c>
      <c r="F69" s="279">
        <v>26.181720429999999</v>
      </c>
      <c r="G69" s="279">
        <v>24.150892859999999</v>
      </c>
      <c r="H69" s="279">
        <v>24.09556452</v>
      </c>
      <c r="I69" s="279">
        <v>23.23</v>
      </c>
      <c r="J69" s="279">
        <v>23.075403229999999</v>
      </c>
      <c r="K69" s="279">
        <v>22.743055559999998</v>
      </c>
      <c r="L69" s="279">
        <v>23.21357527</v>
      </c>
      <c r="M69" s="279">
        <v>24.185483869999999</v>
      </c>
      <c r="N69" s="279">
        <v>26.399583329999999</v>
      </c>
      <c r="O69" s="279">
        <v>26.92862903</v>
      </c>
      <c r="P69" s="279">
        <v>27.602638890000001</v>
      </c>
      <c r="Q69" s="279">
        <v>26.54663978</v>
      </c>
      <c r="R69" s="279">
        <v>24.862765564166665</v>
      </c>
      <c r="S69" s="274">
        <f>SUMIFS(Aux_Lista!Y:Y,Aux_Lista!W:W,Aux_TBS!B69,Aux_Lista!X:X,Aux_TBS!A69)</f>
        <v>7</v>
      </c>
      <c r="T69" s="274" t="s">
        <v>6041</v>
      </c>
      <c r="U69" s="274">
        <v>38</v>
      </c>
    </row>
    <row r="70" spans="1:21" x14ac:dyDescent="0.25">
      <c r="A70" s="277" t="s">
        <v>5093</v>
      </c>
      <c r="B70" s="258" t="s">
        <v>1943</v>
      </c>
      <c r="C70" s="274" t="str">
        <f t="shared" si="1"/>
        <v>Crateús, CE</v>
      </c>
      <c r="D70" s="278">
        <v>-5.19</v>
      </c>
      <c r="E70" s="258">
        <v>291</v>
      </c>
      <c r="F70" s="279">
        <v>27.447043010000002</v>
      </c>
      <c r="G70" s="279">
        <v>29.200297620000001</v>
      </c>
      <c r="H70" s="279">
        <v>25.451881719999999</v>
      </c>
      <c r="I70" s="279">
        <v>25.084583330000001</v>
      </c>
      <c r="J70" s="279">
        <v>25.225000000000001</v>
      </c>
      <c r="K70" s="279">
        <v>25.14458333</v>
      </c>
      <c r="L70" s="279">
        <v>25.3030914</v>
      </c>
      <c r="M70" s="279">
        <v>26.466129030000001</v>
      </c>
      <c r="N70" s="279">
        <v>28.27791667</v>
      </c>
      <c r="O70" s="279">
        <v>28.94596774</v>
      </c>
      <c r="P70" s="279">
        <v>29.513611109999999</v>
      </c>
      <c r="Q70" s="279">
        <v>29.226344090000001</v>
      </c>
      <c r="R70" s="279">
        <v>27.107204087499998</v>
      </c>
      <c r="S70" s="274">
        <f>SUMIFS(Aux_Lista!Y:Y,Aux_Lista!W:W,Aux_TBS!B70,Aux_Lista!X:X,Aux_TBS!A70)</f>
        <v>7</v>
      </c>
      <c r="T70" s="274" t="s">
        <v>6041</v>
      </c>
      <c r="U70" s="274">
        <v>38</v>
      </c>
    </row>
    <row r="71" spans="1:21" x14ac:dyDescent="0.25">
      <c r="A71" s="277" t="s">
        <v>3927</v>
      </c>
      <c r="B71" s="258" t="s">
        <v>1943</v>
      </c>
      <c r="C71" s="274" t="str">
        <f t="shared" si="1"/>
        <v>Fortaleza, CE</v>
      </c>
      <c r="D71" s="278">
        <v>-3.8</v>
      </c>
      <c r="E71" s="258">
        <v>41</v>
      </c>
      <c r="F71" s="279">
        <v>27.435752690000001</v>
      </c>
      <c r="G71" s="279">
        <v>26.733035709999999</v>
      </c>
      <c r="H71" s="279">
        <v>26.095833330000001</v>
      </c>
      <c r="I71" s="279">
        <v>25.886527780000002</v>
      </c>
      <c r="J71" s="279">
        <v>25.831182800000001</v>
      </c>
      <c r="K71" s="279">
        <v>25.973055559999999</v>
      </c>
      <c r="L71" s="279">
        <v>25.84287634</v>
      </c>
      <c r="M71" s="279">
        <v>26.299596770000001</v>
      </c>
      <c r="N71" s="279">
        <v>27.104444440000002</v>
      </c>
      <c r="O71" s="279">
        <v>27.13575269</v>
      </c>
      <c r="P71" s="279">
        <v>27.683472219999999</v>
      </c>
      <c r="Q71" s="279">
        <v>27.828763439999999</v>
      </c>
      <c r="R71" s="279">
        <v>26.654191147500001</v>
      </c>
      <c r="S71" s="274">
        <f>SUMIFS(Aux_Lista!Y:Y,Aux_Lista!W:W,Aux_TBS!B71,Aux_Lista!X:X,Aux_TBS!A71)</f>
        <v>8</v>
      </c>
      <c r="T71" s="274" t="s">
        <v>6041</v>
      </c>
      <c r="U71" s="274">
        <v>38</v>
      </c>
    </row>
    <row r="72" spans="1:21" x14ac:dyDescent="0.25">
      <c r="A72" s="277" t="s">
        <v>2157</v>
      </c>
      <c r="B72" s="258" t="s">
        <v>1943</v>
      </c>
      <c r="C72" s="274" t="str">
        <f t="shared" si="1"/>
        <v>Guaramiranga, CE</v>
      </c>
      <c r="D72" s="278">
        <v>-4.26</v>
      </c>
      <c r="E72" s="258">
        <v>38</v>
      </c>
      <c r="F72" s="279">
        <v>21.413037630000002</v>
      </c>
      <c r="G72" s="279">
        <v>20.863392860000001</v>
      </c>
      <c r="H72" s="279">
        <v>20.73508065</v>
      </c>
      <c r="I72" s="279">
        <v>20.835972219999999</v>
      </c>
      <c r="J72" s="279">
        <v>20.656989249999999</v>
      </c>
      <c r="K72" s="279">
        <v>20.236388890000001</v>
      </c>
      <c r="L72" s="279">
        <v>19.73736559</v>
      </c>
      <c r="M72" s="279">
        <v>20.043951610000001</v>
      </c>
      <c r="N72" s="279">
        <v>20.49888889</v>
      </c>
      <c r="O72" s="279">
        <v>20.7547043</v>
      </c>
      <c r="P72" s="279">
        <v>21.068194439999999</v>
      </c>
      <c r="Q72" s="279">
        <v>21.439516130000001</v>
      </c>
      <c r="R72" s="279">
        <v>20.690290205</v>
      </c>
      <c r="S72" s="274">
        <f>SUMIFS(Aux_Lista!Y:Y,Aux_Lista!W:W,Aux_TBS!B72,Aux_Lista!X:X,Aux_TBS!A72)</f>
        <v>5</v>
      </c>
      <c r="T72" s="274" t="s">
        <v>6041</v>
      </c>
      <c r="U72" s="274">
        <v>38</v>
      </c>
    </row>
    <row r="73" spans="1:21" x14ac:dyDescent="0.25">
      <c r="A73" s="277" t="s">
        <v>586</v>
      </c>
      <c r="B73" s="258" t="s">
        <v>1943</v>
      </c>
      <c r="C73" s="274" t="str">
        <f t="shared" si="1"/>
        <v>Iguatu, CE</v>
      </c>
      <c r="D73" s="278">
        <v>-6.36</v>
      </c>
      <c r="E73" s="258">
        <v>233</v>
      </c>
      <c r="F73" s="279">
        <v>27.371639779999999</v>
      </c>
      <c r="G73" s="279">
        <v>28.542559520000001</v>
      </c>
      <c r="H73" s="279">
        <v>25.248387099999999</v>
      </c>
      <c r="I73" s="279">
        <v>25.29097222</v>
      </c>
      <c r="J73" s="279">
        <v>24.762499999999999</v>
      </c>
      <c r="K73" s="279">
        <v>25.86902778</v>
      </c>
      <c r="L73" s="279">
        <v>27.021236559999998</v>
      </c>
      <c r="M73" s="279">
        <v>27.395564520000001</v>
      </c>
      <c r="N73" s="279">
        <v>28.503194440000001</v>
      </c>
      <c r="O73" s="279">
        <v>28.705107529999999</v>
      </c>
      <c r="P73" s="279">
        <v>28.454583329999998</v>
      </c>
      <c r="Q73" s="279">
        <v>27.150403229999998</v>
      </c>
      <c r="R73" s="279">
        <v>27.026264667500001</v>
      </c>
      <c r="S73" s="274">
        <f>SUMIFS(Aux_Lista!Y:Y,Aux_Lista!W:W,Aux_TBS!B73,Aux_Lista!X:X,Aux_TBS!A73)</f>
        <v>7</v>
      </c>
      <c r="T73" s="274" t="s">
        <v>6041</v>
      </c>
      <c r="U73" s="274">
        <v>38</v>
      </c>
    </row>
    <row r="74" spans="1:21" x14ac:dyDescent="0.25">
      <c r="A74" s="277" t="s">
        <v>4945</v>
      </c>
      <c r="B74" s="258" t="s">
        <v>1943</v>
      </c>
      <c r="C74" s="274" t="str">
        <f t="shared" si="1"/>
        <v>Itapipoca, CE</v>
      </c>
      <c r="D74" s="278">
        <v>-3.48</v>
      </c>
      <c r="E74" s="258">
        <v>102</v>
      </c>
      <c r="F74" s="279">
        <v>27.515053760000001</v>
      </c>
      <c r="G74" s="279">
        <v>26.563839290000001</v>
      </c>
      <c r="H74" s="279">
        <v>25.690456990000001</v>
      </c>
      <c r="I74" s="279">
        <v>25.525833330000001</v>
      </c>
      <c r="J74" s="279">
        <v>25.717607529999999</v>
      </c>
      <c r="K74" s="279">
        <v>26.251944439999999</v>
      </c>
      <c r="L74" s="279">
        <v>26.357123659999999</v>
      </c>
      <c r="M74" s="279">
        <v>27.161290319999999</v>
      </c>
      <c r="N74" s="279">
        <v>27.782222220000001</v>
      </c>
      <c r="O74" s="279">
        <v>27.622983869999999</v>
      </c>
      <c r="P74" s="279">
        <v>28.13097222</v>
      </c>
      <c r="Q74" s="279">
        <v>28.367338709999999</v>
      </c>
      <c r="R74" s="279">
        <v>26.890555528333334</v>
      </c>
      <c r="S74" s="274">
        <f>SUMIFS(Aux_Lista!Y:Y,Aux_Lista!W:W,Aux_TBS!B74,Aux_Lista!X:X,Aux_TBS!A74)</f>
        <v>8</v>
      </c>
      <c r="T74" s="274" t="s">
        <v>6041</v>
      </c>
      <c r="U74" s="274">
        <v>38</v>
      </c>
    </row>
    <row r="75" spans="1:21" x14ac:dyDescent="0.25">
      <c r="A75" s="277" t="s">
        <v>5127</v>
      </c>
      <c r="B75" s="258" t="s">
        <v>1943</v>
      </c>
      <c r="C75" s="274" t="str">
        <f t="shared" si="1"/>
        <v>Jaguaribe, CE</v>
      </c>
      <c r="D75" s="278">
        <v>-5.91</v>
      </c>
      <c r="E75" s="258">
        <v>184</v>
      </c>
      <c r="F75" s="279">
        <v>29.1922043</v>
      </c>
      <c r="G75" s="279">
        <v>27.00178571</v>
      </c>
      <c r="H75" s="279">
        <v>26.815994620000001</v>
      </c>
      <c r="I75" s="279">
        <v>26.178750000000001</v>
      </c>
      <c r="J75" s="279">
        <v>26.021505380000001</v>
      </c>
      <c r="K75" s="279">
        <v>26.060138890000001</v>
      </c>
      <c r="L75" s="279">
        <v>26.408467739999999</v>
      </c>
      <c r="M75" s="279">
        <v>27.723252689999999</v>
      </c>
      <c r="N75" s="279">
        <v>28.962083329999999</v>
      </c>
      <c r="O75" s="279">
        <v>29.205376340000001</v>
      </c>
      <c r="P75" s="279">
        <v>29.936250000000001</v>
      </c>
      <c r="Q75" s="279">
        <v>29.820161290000001</v>
      </c>
      <c r="R75" s="279">
        <v>27.777164190833332</v>
      </c>
      <c r="S75" s="274">
        <f>SUMIFS(Aux_Lista!Y:Y,Aux_Lista!W:W,Aux_TBS!B75,Aux_Lista!X:X,Aux_TBS!A75)</f>
        <v>7</v>
      </c>
      <c r="T75" s="274" t="s">
        <v>6041</v>
      </c>
      <c r="U75" s="274">
        <v>38</v>
      </c>
    </row>
    <row r="76" spans="1:21" x14ac:dyDescent="0.25">
      <c r="A76" s="277" t="s">
        <v>4250</v>
      </c>
      <c r="B76" s="258" t="s">
        <v>1943</v>
      </c>
      <c r="C76" s="274" t="str">
        <f t="shared" si="1"/>
        <v>Jaguaruana, CE</v>
      </c>
      <c r="D76" s="278">
        <v>-4.79</v>
      </c>
      <c r="E76" s="258">
        <v>12</v>
      </c>
      <c r="F76" s="279">
        <v>28.339919349999999</v>
      </c>
      <c r="G76" s="279">
        <v>28.655208330000001</v>
      </c>
      <c r="H76" s="279">
        <v>26.5936828</v>
      </c>
      <c r="I76" s="279">
        <v>26.444166670000001</v>
      </c>
      <c r="J76" s="279">
        <v>26.460887100000001</v>
      </c>
      <c r="K76" s="279">
        <v>25.737500000000001</v>
      </c>
      <c r="L76" s="279">
        <v>25.93145161</v>
      </c>
      <c r="M76" s="279">
        <v>26.639381719999999</v>
      </c>
      <c r="N76" s="279">
        <v>27.6</v>
      </c>
      <c r="O76" s="279">
        <v>28.10685484</v>
      </c>
      <c r="P76" s="279">
        <v>28.190277779999999</v>
      </c>
      <c r="Q76" s="279">
        <v>28.343951610000001</v>
      </c>
      <c r="R76" s="279">
        <v>27.253606817499996</v>
      </c>
      <c r="S76" s="274">
        <f>SUMIFS(Aux_Lista!Y:Y,Aux_Lista!W:W,Aux_TBS!B76,Aux_Lista!X:X,Aux_TBS!A76)</f>
        <v>8</v>
      </c>
      <c r="T76" s="274" t="s">
        <v>6041</v>
      </c>
      <c r="U76" s="274">
        <v>38</v>
      </c>
    </row>
    <row r="77" spans="1:21" x14ac:dyDescent="0.25">
      <c r="A77" s="277" t="s">
        <v>5132</v>
      </c>
      <c r="B77" s="258" t="s">
        <v>1943</v>
      </c>
      <c r="C77" s="274" t="str">
        <f t="shared" si="1"/>
        <v>Morada Nova, CE</v>
      </c>
      <c r="D77" s="278">
        <v>-5.1100000000000003</v>
      </c>
      <c r="E77" s="258">
        <v>44</v>
      </c>
      <c r="F77" s="279">
        <v>28.454435480000001</v>
      </c>
      <c r="G77" s="279">
        <v>27.056398810000001</v>
      </c>
      <c r="H77" s="279">
        <v>26.86142473</v>
      </c>
      <c r="I77" s="279">
        <v>26.18222222</v>
      </c>
      <c r="J77" s="279">
        <v>26.141532260000002</v>
      </c>
      <c r="K77" s="279">
        <v>25.672777780000001</v>
      </c>
      <c r="L77" s="279">
        <v>26.28494624</v>
      </c>
      <c r="M77" s="279">
        <v>26.953763439999999</v>
      </c>
      <c r="N77" s="279">
        <v>27.410138889999999</v>
      </c>
      <c r="O77" s="279">
        <v>27.721774190000001</v>
      </c>
      <c r="P77" s="279">
        <v>28.23875</v>
      </c>
      <c r="Q77" s="279">
        <v>28.66142473</v>
      </c>
      <c r="R77" s="279">
        <v>27.136632397499998</v>
      </c>
      <c r="S77" s="274">
        <f>SUMIFS(Aux_Lista!Y:Y,Aux_Lista!W:W,Aux_TBS!B77,Aux_Lista!X:X,Aux_TBS!A77)</f>
        <v>7</v>
      </c>
      <c r="T77" s="274" t="s">
        <v>6041</v>
      </c>
      <c r="U77" s="274">
        <v>38</v>
      </c>
    </row>
    <row r="78" spans="1:21" x14ac:dyDescent="0.25">
      <c r="A78" s="277" t="s">
        <v>5089</v>
      </c>
      <c r="B78" s="258" t="s">
        <v>1943</v>
      </c>
      <c r="C78" s="274" t="str">
        <f t="shared" si="1"/>
        <v>Quixeramobim, CE</v>
      </c>
      <c r="D78" s="278">
        <v>-5.2</v>
      </c>
      <c r="E78" s="258">
        <v>80</v>
      </c>
      <c r="F78" s="279">
        <v>28.15067204</v>
      </c>
      <c r="G78" s="279">
        <v>26.738392860000001</v>
      </c>
      <c r="H78" s="279">
        <v>25.751075270000001</v>
      </c>
      <c r="I78" s="279">
        <v>25.18222222</v>
      </c>
      <c r="J78" s="279">
        <v>24.89543011</v>
      </c>
      <c r="K78" s="279">
        <v>24.538611110000002</v>
      </c>
      <c r="L78" s="279">
        <v>24.694758060000002</v>
      </c>
      <c r="M78" s="279">
        <v>25.68051075</v>
      </c>
      <c r="N78" s="279">
        <v>27.12986111</v>
      </c>
      <c r="O78" s="279">
        <v>27.831854839999998</v>
      </c>
      <c r="P78" s="279">
        <v>28.32375</v>
      </c>
      <c r="Q78" s="279">
        <v>28.315994620000001</v>
      </c>
      <c r="R78" s="279">
        <v>26.436094415833338</v>
      </c>
      <c r="S78" s="274">
        <f>SUMIFS(Aux_Lista!Y:Y,Aux_Lista!W:W,Aux_TBS!B78,Aux_Lista!X:X,Aux_TBS!A78)</f>
        <v>7</v>
      </c>
      <c r="T78" s="274" t="s">
        <v>6041</v>
      </c>
      <c r="U78" s="274">
        <v>38</v>
      </c>
    </row>
    <row r="79" spans="1:21" x14ac:dyDescent="0.25">
      <c r="A79" s="277" t="s">
        <v>5114</v>
      </c>
      <c r="B79" s="258" t="s">
        <v>1943</v>
      </c>
      <c r="C79" s="274" t="str">
        <f t="shared" si="1"/>
        <v>Tauá, CE</v>
      </c>
      <c r="D79" s="278">
        <v>-6.02</v>
      </c>
      <c r="E79" s="258">
        <v>415</v>
      </c>
      <c r="F79" s="279">
        <v>26.706451609999998</v>
      </c>
      <c r="G79" s="279">
        <v>25.7702381</v>
      </c>
      <c r="H79" s="279">
        <v>24.333736559999998</v>
      </c>
      <c r="I79" s="279">
        <v>24.28833333</v>
      </c>
      <c r="J79" s="279">
        <v>23.865053759999999</v>
      </c>
      <c r="K79" s="279">
        <v>23.89763889</v>
      </c>
      <c r="L79" s="279">
        <v>24.879032259999999</v>
      </c>
      <c r="M79" s="279">
        <v>26.14784946</v>
      </c>
      <c r="N79" s="279">
        <v>28.00263889</v>
      </c>
      <c r="O79" s="279">
        <v>28.679166670000001</v>
      </c>
      <c r="P79" s="279">
        <v>29.00972222</v>
      </c>
      <c r="Q79" s="279">
        <v>28.722849459999999</v>
      </c>
      <c r="R79" s="279">
        <v>26.191892600833338</v>
      </c>
      <c r="S79" s="274">
        <f>SUMIFS(Aux_Lista!Y:Y,Aux_Lista!W:W,Aux_TBS!B79,Aux_Lista!X:X,Aux_TBS!A79)</f>
        <v>7</v>
      </c>
      <c r="T79" s="274" t="s">
        <v>6041</v>
      </c>
      <c r="U79" s="274">
        <v>38</v>
      </c>
    </row>
    <row r="80" spans="1:21" x14ac:dyDescent="0.25">
      <c r="A80" s="277" t="s">
        <v>23</v>
      </c>
      <c r="B80" s="258" t="s">
        <v>24</v>
      </c>
      <c r="C80" s="274" t="str">
        <f t="shared" si="1"/>
        <v>Brasília, DF</v>
      </c>
      <c r="D80" s="278">
        <v>-15.78</v>
      </c>
      <c r="E80" s="258">
        <v>1160</v>
      </c>
      <c r="F80" s="279">
        <v>22.08346774</v>
      </c>
      <c r="G80" s="279">
        <v>22.423809519999999</v>
      </c>
      <c r="H80" s="279">
        <v>21.105510750000001</v>
      </c>
      <c r="I80" s="279">
        <v>21.783194439999999</v>
      </c>
      <c r="J80" s="279">
        <v>20.78319892</v>
      </c>
      <c r="K80" s="279">
        <v>19.498333330000001</v>
      </c>
      <c r="L80" s="279">
        <v>19.958064520000001</v>
      </c>
      <c r="M80" s="279">
        <v>19.629569889999999</v>
      </c>
      <c r="N80" s="279">
        <v>22.113055559999999</v>
      </c>
      <c r="O80" s="279">
        <v>21.202553760000001</v>
      </c>
      <c r="P80" s="279">
        <v>21.019444440000001</v>
      </c>
      <c r="Q80" s="279">
        <v>21.51034946</v>
      </c>
      <c r="R80" s="279">
        <v>21.092546027500003</v>
      </c>
      <c r="S80" s="274">
        <f>SUMIFS(Aux_Lista!Y:Y,Aux_Lista!W:W,Aux_TBS!B80,Aux_Lista!X:X,Aux_TBS!A80)</f>
        <v>4</v>
      </c>
      <c r="T80" s="274" t="s">
        <v>6042</v>
      </c>
      <c r="U80" s="274">
        <v>40</v>
      </c>
    </row>
    <row r="81" spans="1:21" x14ac:dyDescent="0.25">
      <c r="A81" s="277" t="s">
        <v>2646</v>
      </c>
      <c r="B81" s="258" t="s">
        <v>1740</v>
      </c>
      <c r="C81" s="274" t="str">
        <f t="shared" si="1"/>
        <v>Planaltina, GO</v>
      </c>
      <c r="D81" s="278">
        <v>-15.53</v>
      </c>
      <c r="E81" s="258">
        <v>1200</v>
      </c>
      <c r="F81" s="279">
        <v>21.747043009999999</v>
      </c>
      <c r="G81" s="279">
        <v>21.760416670000001</v>
      </c>
      <c r="H81" s="279">
        <v>22.02379032</v>
      </c>
      <c r="I81" s="279">
        <v>20.907499999999999</v>
      </c>
      <c r="J81" s="279">
        <v>19.814650539999999</v>
      </c>
      <c r="K81" s="279">
        <v>18.69611111</v>
      </c>
      <c r="L81" s="279">
        <v>19.292338709999999</v>
      </c>
      <c r="M81" s="279">
        <v>20.13481183</v>
      </c>
      <c r="N81" s="279">
        <v>22.492638889999998</v>
      </c>
      <c r="O81" s="279">
        <v>21.664112899999999</v>
      </c>
      <c r="P81" s="279">
        <v>22.00791667</v>
      </c>
      <c r="Q81" s="279">
        <v>20.992204300000001</v>
      </c>
      <c r="R81" s="279">
        <v>20.961127912499997</v>
      </c>
      <c r="S81" s="274">
        <f>SUMIFS(Aux_Lista!Y:Y,Aux_Lista!W:W,Aux_TBS!B81,Aux_Lista!X:X,Aux_TBS!A81)</f>
        <v>6</v>
      </c>
      <c r="T81" s="274" t="s">
        <v>6042</v>
      </c>
      <c r="U81" s="274">
        <v>40</v>
      </c>
    </row>
    <row r="82" spans="1:21" x14ac:dyDescent="0.25">
      <c r="A82" s="277" t="s">
        <v>3359</v>
      </c>
      <c r="B82" s="258" t="s">
        <v>244</v>
      </c>
      <c r="C82" s="274" t="str">
        <f t="shared" si="1"/>
        <v>Alegre, ES</v>
      </c>
      <c r="D82" s="278">
        <v>-20.76</v>
      </c>
      <c r="E82" s="258">
        <v>138</v>
      </c>
      <c r="F82" s="279">
        <v>25.51169355</v>
      </c>
      <c r="G82" s="279">
        <v>25.443154759999999</v>
      </c>
      <c r="H82" s="279">
        <v>26.671370970000002</v>
      </c>
      <c r="I82" s="279">
        <v>24.830694439999998</v>
      </c>
      <c r="J82" s="279">
        <v>21.263037629999999</v>
      </c>
      <c r="K82" s="279">
        <v>21.01166667</v>
      </c>
      <c r="L82" s="279">
        <v>21.057526880000001</v>
      </c>
      <c r="M82" s="279">
        <v>21.732526880000002</v>
      </c>
      <c r="N82" s="279">
        <v>22.877777779999999</v>
      </c>
      <c r="O82" s="279">
        <v>24.209543010000001</v>
      </c>
      <c r="P82" s="279">
        <v>26.7925</v>
      </c>
      <c r="Q82" s="279">
        <v>26.14973118</v>
      </c>
      <c r="R82" s="279">
        <v>23.962601979166667</v>
      </c>
      <c r="S82" s="274">
        <f>SUMIFS(Aux_Lista!Y:Y,Aux_Lista!W:W,Aux_TBS!B82,Aux_Lista!X:X,Aux_TBS!A82)</f>
        <v>5</v>
      </c>
      <c r="T82" s="274" t="s">
        <v>6043</v>
      </c>
      <c r="U82" s="274">
        <v>40</v>
      </c>
    </row>
    <row r="83" spans="1:21" x14ac:dyDescent="0.25">
      <c r="A83" s="277" t="s">
        <v>1837</v>
      </c>
      <c r="B83" s="258" t="s">
        <v>244</v>
      </c>
      <c r="C83" s="274" t="str">
        <f t="shared" si="1"/>
        <v>Alfredo Chaves, ES</v>
      </c>
      <c r="D83" s="278">
        <v>-20.64</v>
      </c>
      <c r="E83" s="258">
        <v>35</v>
      </c>
      <c r="F83" s="279">
        <v>26.08763441</v>
      </c>
      <c r="G83" s="279">
        <v>25.673065480000002</v>
      </c>
      <c r="H83" s="279">
        <v>25.542607530000002</v>
      </c>
      <c r="I83" s="279">
        <v>25.200694439999999</v>
      </c>
      <c r="J83" s="279">
        <v>21.99852151</v>
      </c>
      <c r="K83" s="279">
        <v>21.286805560000001</v>
      </c>
      <c r="L83" s="279">
        <v>20.765725809999999</v>
      </c>
      <c r="M83" s="279">
        <v>22.65900538</v>
      </c>
      <c r="N83" s="279">
        <v>21.930555559999998</v>
      </c>
      <c r="O83" s="279">
        <v>24.260887100000001</v>
      </c>
      <c r="P83" s="279">
        <v>23.313749999999999</v>
      </c>
      <c r="Q83" s="279">
        <v>24.366935479999999</v>
      </c>
      <c r="R83" s="279">
        <v>23.590515688333326</v>
      </c>
      <c r="S83" s="274">
        <f>SUMIFS(Aux_Lista!Y:Y,Aux_Lista!W:W,Aux_TBS!B83,Aux_Lista!X:X,Aux_TBS!A83)</f>
        <v>8</v>
      </c>
      <c r="T83" s="274" t="s">
        <v>6043</v>
      </c>
      <c r="U83" s="274">
        <v>40</v>
      </c>
    </row>
    <row r="84" spans="1:21" x14ac:dyDescent="0.25">
      <c r="A84" s="277" t="s">
        <v>1702</v>
      </c>
      <c r="B84" s="258" t="s">
        <v>244</v>
      </c>
      <c r="C84" s="274" t="str">
        <f t="shared" si="1"/>
        <v>Linhares, ES</v>
      </c>
      <c r="D84" s="278">
        <v>-19.39</v>
      </c>
      <c r="E84" s="258">
        <v>40</v>
      </c>
      <c r="F84" s="279">
        <v>26.33158602</v>
      </c>
      <c r="G84" s="279">
        <v>25.595833330000001</v>
      </c>
      <c r="H84" s="279">
        <v>26.419489250000002</v>
      </c>
      <c r="I84" s="279">
        <v>25.24958333</v>
      </c>
      <c r="J84" s="279">
        <v>22.831720430000001</v>
      </c>
      <c r="K84" s="279">
        <v>22.19611111</v>
      </c>
      <c r="L84" s="279">
        <v>22.02513441</v>
      </c>
      <c r="M84" s="279">
        <v>21.574731180000001</v>
      </c>
      <c r="N84" s="279">
        <v>22</v>
      </c>
      <c r="O84" s="279">
        <v>24.528629030000001</v>
      </c>
      <c r="P84" s="279">
        <v>25.903472220000001</v>
      </c>
      <c r="Q84" s="279">
        <v>26.73830645</v>
      </c>
      <c r="R84" s="279">
        <v>24.282883063333333</v>
      </c>
      <c r="S84" s="274">
        <f>SUMIFS(Aux_Lista!Y:Y,Aux_Lista!W:W,Aux_TBS!B84,Aux_Lista!X:X,Aux_TBS!A84)</f>
        <v>8</v>
      </c>
      <c r="T84" s="274" t="s">
        <v>6043</v>
      </c>
      <c r="U84" s="274">
        <v>40</v>
      </c>
    </row>
    <row r="85" spans="1:21" x14ac:dyDescent="0.25">
      <c r="A85" s="277" t="s">
        <v>4928</v>
      </c>
      <c r="B85" s="258" t="s">
        <v>244</v>
      </c>
      <c r="C85" s="274" t="str">
        <f t="shared" si="1"/>
        <v>Nova Venécia, ES</v>
      </c>
      <c r="D85" s="278">
        <v>-18.7</v>
      </c>
      <c r="E85" s="258">
        <v>154</v>
      </c>
      <c r="F85" s="279">
        <v>25.243682799999998</v>
      </c>
      <c r="G85" s="279">
        <v>26.245089289999999</v>
      </c>
      <c r="H85" s="279">
        <v>26.56666667</v>
      </c>
      <c r="I85" s="279">
        <v>24.311944440000001</v>
      </c>
      <c r="J85" s="279">
        <v>22.408333330000001</v>
      </c>
      <c r="K85" s="279">
        <v>21.518750000000001</v>
      </c>
      <c r="L85" s="279">
        <v>21.911021510000001</v>
      </c>
      <c r="M85" s="279">
        <v>21.983467739999998</v>
      </c>
      <c r="N85" s="279">
        <v>24.390277780000002</v>
      </c>
      <c r="O85" s="279">
        <v>24.639516130000001</v>
      </c>
      <c r="P85" s="279">
        <v>25.75111111</v>
      </c>
      <c r="Q85" s="279">
        <v>26.260215049999999</v>
      </c>
      <c r="R85" s="279">
        <v>24.269172987500003</v>
      </c>
      <c r="S85" s="274">
        <f>SUMIFS(Aux_Lista!Y:Y,Aux_Lista!W:W,Aux_TBS!B85,Aux_Lista!X:X,Aux_TBS!A85)</f>
        <v>8</v>
      </c>
      <c r="T85" s="274" t="s">
        <v>6043</v>
      </c>
      <c r="U85" s="274">
        <v>40</v>
      </c>
    </row>
    <row r="86" spans="1:21" x14ac:dyDescent="0.25">
      <c r="A86" s="277" t="s">
        <v>2987</v>
      </c>
      <c r="B86" s="258" t="s">
        <v>244</v>
      </c>
      <c r="C86" s="274" t="str">
        <f t="shared" si="1"/>
        <v>Presidente Kennedy, ES</v>
      </c>
      <c r="D86" s="278">
        <v>-21.1</v>
      </c>
      <c r="E86" s="258">
        <v>80</v>
      </c>
      <c r="F86" s="279">
        <v>25.538844090000001</v>
      </c>
      <c r="G86" s="279">
        <v>26.5827381</v>
      </c>
      <c r="H86" s="279">
        <v>26.04206989</v>
      </c>
      <c r="I86" s="279">
        <v>23.86791667</v>
      </c>
      <c r="J86" s="279">
        <v>22.48319892</v>
      </c>
      <c r="K86" s="279">
        <v>20.577500000000001</v>
      </c>
      <c r="L86" s="279">
        <v>21.488172039999998</v>
      </c>
      <c r="M86" s="279">
        <v>21.61895161</v>
      </c>
      <c r="N86" s="279">
        <v>23.44875</v>
      </c>
      <c r="O86" s="279">
        <v>23.59663978</v>
      </c>
      <c r="P86" s="279">
        <v>26.267222220000001</v>
      </c>
      <c r="Q86" s="279">
        <v>26.297849459999998</v>
      </c>
      <c r="R86" s="279">
        <v>23.984154398333335</v>
      </c>
      <c r="S86" s="274">
        <f>SUMIFS(Aux_Lista!Y:Y,Aux_Lista!W:W,Aux_TBS!B86,Aux_Lista!X:X,Aux_TBS!A86)</f>
        <v>8</v>
      </c>
      <c r="T86" s="274" t="s">
        <v>6043</v>
      </c>
      <c r="U86" s="274">
        <v>40</v>
      </c>
    </row>
    <row r="87" spans="1:21" x14ac:dyDescent="0.25">
      <c r="A87" s="277" t="s">
        <v>248</v>
      </c>
      <c r="B87" s="258" t="s">
        <v>244</v>
      </c>
      <c r="C87" s="274" t="str">
        <f t="shared" si="1"/>
        <v>Santa Teresa, ES</v>
      </c>
      <c r="D87" s="278">
        <v>-19.989999999999998</v>
      </c>
      <c r="E87" s="258">
        <v>998</v>
      </c>
      <c r="F87" s="279">
        <v>20.087499999999999</v>
      </c>
      <c r="G87" s="279">
        <v>20.589285709999999</v>
      </c>
      <c r="H87" s="279">
        <v>20.7547043</v>
      </c>
      <c r="I87" s="279">
        <v>18.678194439999999</v>
      </c>
      <c r="J87" s="279">
        <v>16.99905914</v>
      </c>
      <c r="K87" s="279">
        <v>15.855694440000001</v>
      </c>
      <c r="L87" s="279">
        <v>16.56854839</v>
      </c>
      <c r="M87" s="279">
        <v>16.038172039999999</v>
      </c>
      <c r="N87" s="279">
        <v>18.180138889999998</v>
      </c>
      <c r="O87" s="279">
        <v>18.535080650000001</v>
      </c>
      <c r="P87" s="279">
        <v>20.270138889999998</v>
      </c>
      <c r="Q87" s="279">
        <v>20.572715049999999</v>
      </c>
      <c r="R87" s="279">
        <v>18.594102661666664</v>
      </c>
      <c r="S87" s="274">
        <f>SUMIFS(Aux_Lista!Y:Y,Aux_Lista!W:W,Aux_TBS!B87,Aux_Lista!X:X,Aux_TBS!A87)</f>
        <v>8</v>
      </c>
      <c r="T87" s="274" t="s">
        <v>6043</v>
      </c>
      <c r="U87" s="274">
        <v>40</v>
      </c>
    </row>
    <row r="88" spans="1:21" x14ac:dyDescent="0.25">
      <c r="A88" s="277" t="s">
        <v>3183</v>
      </c>
      <c r="B88" s="258" t="s">
        <v>244</v>
      </c>
      <c r="C88" s="274" t="str">
        <f t="shared" si="1"/>
        <v>São Mateus, ES</v>
      </c>
      <c r="D88" s="278">
        <v>-18.72</v>
      </c>
      <c r="E88" s="258">
        <v>39</v>
      </c>
      <c r="F88" s="279">
        <v>26.298252690000002</v>
      </c>
      <c r="G88" s="279">
        <v>25.280059519999998</v>
      </c>
      <c r="H88" s="279">
        <v>25.84274194</v>
      </c>
      <c r="I88" s="279">
        <v>24.810555560000001</v>
      </c>
      <c r="J88" s="279">
        <v>22.569623660000001</v>
      </c>
      <c r="K88" s="279">
        <v>21.188472220000001</v>
      </c>
      <c r="L88" s="279">
        <v>21.413037630000002</v>
      </c>
      <c r="M88" s="279">
        <v>20.966263439999999</v>
      </c>
      <c r="N88" s="279">
        <v>21.517083329999998</v>
      </c>
      <c r="O88" s="279">
        <v>24.37271505</v>
      </c>
      <c r="P88" s="279">
        <v>25.59333333</v>
      </c>
      <c r="Q88" s="279">
        <v>26.578629029999998</v>
      </c>
      <c r="R88" s="279">
        <v>23.869230616666666</v>
      </c>
      <c r="S88" s="274">
        <f>SUMIFS(Aux_Lista!Y:Y,Aux_Lista!W:W,Aux_TBS!B88,Aux_Lista!X:X,Aux_TBS!A88)</f>
        <v>8</v>
      </c>
      <c r="T88" s="274" t="s">
        <v>6043</v>
      </c>
      <c r="U88" s="274">
        <v>40</v>
      </c>
    </row>
    <row r="89" spans="1:21" x14ac:dyDescent="0.25">
      <c r="A89" s="277" t="s">
        <v>3175</v>
      </c>
      <c r="B89" s="258" t="s">
        <v>244</v>
      </c>
      <c r="C89" s="274" t="str">
        <f t="shared" si="1"/>
        <v>Vitória, ES</v>
      </c>
      <c r="D89" s="278">
        <v>-20.32</v>
      </c>
      <c r="E89" s="258">
        <v>9</v>
      </c>
      <c r="F89" s="279">
        <v>26.35026882</v>
      </c>
      <c r="G89" s="279">
        <v>25.76056548</v>
      </c>
      <c r="H89" s="279">
        <v>26.653629030000001</v>
      </c>
      <c r="I89" s="279">
        <v>25.341388890000001</v>
      </c>
      <c r="J89" s="279">
        <v>22.837365590000001</v>
      </c>
      <c r="K89" s="279">
        <v>21.983333330000001</v>
      </c>
      <c r="L89" s="279">
        <v>22.381720430000001</v>
      </c>
      <c r="M89" s="279">
        <v>21.68655914</v>
      </c>
      <c r="N89" s="279">
        <v>22.073333330000001</v>
      </c>
      <c r="O89" s="279">
        <v>24.41236559</v>
      </c>
      <c r="P89" s="279">
        <v>26.499861110000001</v>
      </c>
      <c r="Q89" s="279">
        <v>26.864112899999999</v>
      </c>
      <c r="R89" s="279">
        <v>24.403708636666668</v>
      </c>
      <c r="S89" s="274">
        <f>SUMIFS(Aux_Lista!Y:Y,Aux_Lista!W:W,Aux_TBS!B89,Aux_Lista!X:X,Aux_TBS!A89)</f>
        <v>8</v>
      </c>
      <c r="T89" s="274" t="s">
        <v>6043</v>
      </c>
      <c r="U89" s="274">
        <v>40</v>
      </c>
    </row>
    <row r="90" spans="1:21" x14ac:dyDescent="0.25">
      <c r="A90" s="277" t="s">
        <v>2193</v>
      </c>
      <c r="B90" s="258" t="s">
        <v>1740</v>
      </c>
      <c r="C90" s="274" t="str">
        <f t="shared" si="1"/>
        <v>Alto Paraíso de Goiás, GO</v>
      </c>
      <c r="D90" s="278">
        <v>-14.13</v>
      </c>
      <c r="E90" s="258">
        <v>1260</v>
      </c>
      <c r="F90" s="279">
        <v>21.004032259999999</v>
      </c>
      <c r="G90" s="279">
        <v>21.546279760000001</v>
      </c>
      <c r="H90" s="279">
        <v>21.134139780000002</v>
      </c>
      <c r="I90" s="279">
        <v>20.459444439999999</v>
      </c>
      <c r="J90" s="279">
        <v>20.4641129</v>
      </c>
      <c r="K90" s="279">
        <v>18.673055560000002</v>
      </c>
      <c r="L90" s="279">
        <v>18.672446239999999</v>
      </c>
      <c r="M90" s="279">
        <v>19.532795700000001</v>
      </c>
      <c r="N90" s="279">
        <v>22.33958333</v>
      </c>
      <c r="O90" s="279">
        <v>22.383064520000001</v>
      </c>
      <c r="P90" s="279">
        <v>20.244305560000001</v>
      </c>
      <c r="Q90" s="279">
        <v>20.65349462</v>
      </c>
      <c r="R90" s="279">
        <v>20.592229555833338</v>
      </c>
      <c r="S90" s="274">
        <f>SUMIFS(Aux_Lista!Y:Y,Aux_Lista!W:W,Aux_TBS!B90,Aux_Lista!X:X,Aux_TBS!A90)</f>
        <v>6</v>
      </c>
      <c r="T90" s="274" t="s">
        <v>6042</v>
      </c>
      <c r="U90" s="274">
        <v>40</v>
      </c>
    </row>
    <row r="91" spans="1:21" x14ac:dyDescent="0.25">
      <c r="A91" s="277" t="s">
        <v>5491</v>
      </c>
      <c r="B91" s="258" t="s">
        <v>1740</v>
      </c>
      <c r="C91" s="274" t="str">
        <f t="shared" si="1"/>
        <v>Aragarças, GO</v>
      </c>
      <c r="D91" s="278">
        <v>-15.9</v>
      </c>
      <c r="E91" s="258">
        <v>347</v>
      </c>
      <c r="F91" s="279">
        <v>26.35080645</v>
      </c>
      <c r="G91" s="279">
        <v>25.862946430000001</v>
      </c>
      <c r="H91" s="279">
        <v>26.323790320000001</v>
      </c>
      <c r="I91" s="279">
        <v>25.479027779999999</v>
      </c>
      <c r="J91" s="279">
        <v>24.804301079999998</v>
      </c>
      <c r="K91" s="279">
        <v>23.05875</v>
      </c>
      <c r="L91" s="279">
        <v>24.362231179999998</v>
      </c>
      <c r="M91" s="279">
        <v>25.972715050000001</v>
      </c>
      <c r="N91" s="279">
        <v>28.106944439999999</v>
      </c>
      <c r="O91" s="279">
        <v>27.317338710000001</v>
      </c>
      <c r="P91" s="279">
        <v>26.55722222</v>
      </c>
      <c r="Q91" s="279">
        <v>25.335483870000001</v>
      </c>
      <c r="R91" s="279">
        <v>25.794296460833337</v>
      </c>
      <c r="S91" s="274">
        <f>SUMIFS(Aux_Lista!Y:Y,Aux_Lista!W:W,Aux_TBS!B91,Aux_Lista!X:X,Aux_TBS!A91)</f>
        <v>6</v>
      </c>
      <c r="T91" s="274" t="s">
        <v>6042</v>
      </c>
      <c r="U91" s="274">
        <v>40</v>
      </c>
    </row>
    <row r="92" spans="1:21" x14ac:dyDescent="0.25">
      <c r="A92" s="277" t="s">
        <v>2230</v>
      </c>
      <c r="B92" s="258" t="s">
        <v>1740</v>
      </c>
      <c r="C92" s="274" t="str">
        <f t="shared" si="1"/>
        <v>Caiapônia, GO</v>
      </c>
      <c r="D92" s="278">
        <v>-16.96</v>
      </c>
      <c r="E92" s="258">
        <v>737</v>
      </c>
      <c r="F92" s="279">
        <v>22.829166669999999</v>
      </c>
      <c r="G92" s="279">
        <v>23.096577379999999</v>
      </c>
      <c r="H92" s="279">
        <v>23.134005380000001</v>
      </c>
      <c r="I92" s="279">
        <v>23.21236111</v>
      </c>
      <c r="J92" s="279">
        <v>21.818817200000002</v>
      </c>
      <c r="K92" s="279">
        <v>21.664583329999999</v>
      </c>
      <c r="L92" s="279">
        <v>21.505241940000001</v>
      </c>
      <c r="M92" s="279">
        <v>24.003629029999999</v>
      </c>
      <c r="N92" s="279">
        <v>24.84972222</v>
      </c>
      <c r="O92" s="279">
        <v>25.274999999999999</v>
      </c>
      <c r="P92" s="279">
        <v>24.199583329999999</v>
      </c>
      <c r="Q92" s="279">
        <v>23.478494619999999</v>
      </c>
      <c r="R92" s="279">
        <v>23.255598517500001</v>
      </c>
      <c r="S92" s="274">
        <f>SUMIFS(Aux_Lista!Y:Y,Aux_Lista!W:W,Aux_TBS!B92,Aux_Lista!X:X,Aux_TBS!A92)</f>
        <v>6</v>
      </c>
      <c r="T92" s="274" t="s">
        <v>6042</v>
      </c>
      <c r="U92" s="274">
        <v>40</v>
      </c>
    </row>
    <row r="93" spans="1:21" x14ac:dyDescent="0.25">
      <c r="A93" s="277" t="s">
        <v>2138</v>
      </c>
      <c r="B93" s="258" t="s">
        <v>1740</v>
      </c>
      <c r="C93" s="274" t="str">
        <f t="shared" si="1"/>
        <v>Catalão, GO</v>
      </c>
      <c r="D93" s="278">
        <v>-18.16</v>
      </c>
      <c r="E93" s="258">
        <v>890</v>
      </c>
      <c r="F93" s="279">
        <v>22.842473120000001</v>
      </c>
      <c r="G93" s="279">
        <v>22.628869049999999</v>
      </c>
      <c r="H93" s="279">
        <v>22.435483869999999</v>
      </c>
      <c r="I93" s="279">
        <v>22.851111110000002</v>
      </c>
      <c r="J93" s="279">
        <v>20.62083333</v>
      </c>
      <c r="K93" s="279">
        <v>20.74361111</v>
      </c>
      <c r="L93" s="279">
        <v>20.114919350000001</v>
      </c>
      <c r="M93" s="279">
        <v>22.983736560000001</v>
      </c>
      <c r="N93" s="279">
        <v>23.952361109999998</v>
      </c>
      <c r="O93" s="279">
        <v>24.959005380000001</v>
      </c>
      <c r="P93" s="279">
        <v>23.2425</v>
      </c>
      <c r="Q93" s="279">
        <v>22.728763440000002</v>
      </c>
      <c r="R93" s="279">
        <v>22.508638952500004</v>
      </c>
      <c r="S93" s="274">
        <f>SUMIFS(Aux_Lista!Y:Y,Aux_Lista!W:W,Aux_TBS!B93,Aux_Lista!X:X,Aux_TBS!A93)</f>
        <v>6</v>
      </c>
      <c r="T93" s="274" t="s">
        <v>6042</v>
      </c>
      <c r="U93" s="274">
        <v>40</v>
      </c>
    </row>
    <row r="94" spans="1:21" x14ac:dyDescent="0.25">
      <c r="A94" s="277" t="s">
        <v>1827</v>
      </c>
      <c r="B94" s="258" t="s">
        <v>1740</v>
      </c>
      <c r="C94" s="274" t="str">
        <f t="shared" si="1"/>
        <v>Cristalina, GO</v>
      </c>
      <c r="D94" s="278">
        <v>-16.79</v>
      </c>
      <c r="E94" s="258">
        <v>1202</v>
      </c>
      <c r="F94" s="279">
        <v>21.326881719999999</v>
      </c>
      <c r="G94" s="279">
        <v>21.675892860000001</v>
      </c>
      <c r="H94" s="279">
        <v>21.96263441</v>
      </c>
      <c r="I94" s="279">
        <v>20.127777779999999</v>
      </c>
      <c r="J94" s="279">
        <v>19.056182799999998</v>
      </c>
      <c r="K94" s="279">
        <v>18.190416670000001</v>
      </c>
      <c r="L94" s="279">
        <v>19.974059140000001</v>
      </c>
      <c r="M94" s="279">
        <v>19.731451610000001</v>
      </c>
      <c r="N94" s="279">
        <v>22.441527780000001</v>
      </c>
      <c r="O94" s="279">
        <v>21.34892473</v>
      </c>
      <c r="P94" s="279">
        <v>22.3325</v>
      </c>
      <c r="Q94" s="279">
        <v>20.612768819999999</v>
      </c>
      <c r="R94" s="279">
        <v>20.731751526666667</v>
      </c>
      <c r="S94" s="274">
        <f>SUMIFS(Aux_Lista!Y:Y,Aux_Lista!W:W,Aux_TBS!B94,Aux_Lista!X:X,Aux_TBS!A94)</f>
        <v>4</v>
      </c>
      <c r="T94" s="274" t="s">
        <v>6042</v>
      </c>
      <c r="U94" s="274">
        <v>40</v>
      </c>
    </row>
    <row r="95" spans="1:21" x14ac:dyDescent="0.25">
      <c r="A95" s="277" t="s">
        <v>5377</v>
      </c>
      <c r="B95" s="258" t="s">
        <v>1740</v>
      </c>
      <c r="C95" s="274" t="str">
        <f t="shared" si="1"/>
        <v>Goianésia, GO</v>
      </c>
      <c r="D95" s="278">
        <v>-15.32</v>
      </c>
      <c r="E95" s="258">
        <v>667</v>
      </c>
      <c r="F95" s="279">
        <v>24.44919355</v>
      </c>
      <c r="G95" s="279">
        <v>25.004761899999998</v>
      </c>
      <c r="H95" s="279">
        <v>24.699731180000001</v>
      </c>
      <c r="I95" s="279">
        <v>24.463333330000001</v>
      </c>
      <c r="J95" s="279">
        <v>24.141666669999999</v>
      </c>
      <c r="K95" s="279">
        <v>22.86902778</v>
      </c>
      <c r="L95" s="279">
        <v>23.497311830000001</v>
      </c>
      <c r="M95" s="279">
        <v>24.416801079999999</v>
      </c>
      <c r="N95" s="279">
        <v>27.092500000000001</v>
      </c>
      <c r="O95" s="279">
        <v>26.080107529999999</v>
      </c>
      <c r="P95" s="279">
        <v>23.61069444</v>
      </c>
      <c r="Q95" s="279">
        <v>24.137365590000002</v>
      </c>
      <c r="R95" s="279">
        <v>24.538541240000001</v>
      </c>
      <c r="S95" s="274">
        <f>SUMIFS(Aux_Lista!Y:Y,Aux_Lista!W:W,Aux_TBS!B95,Aux_Lista!X:X,Aux_TBS!A95)</f>
        <v>6</v>
      </c>
      <c r="T95" s="274" t="s">
        <v>6042</v>
      </c>
      <c r="U95" s="274">
        <v>40</v>
      </c>
    </row>
    <row r="96" spans="1:21" x14ac:dyDescent="0.25">
      <c r="A96" s="277" t="s">
        <v>2611</v>
      </c>
      <c r="B96" s="258" t="s">
        <v>1740</v>
      </c>
      <c r="C96" s="274" t="str">
        <f t="shared" si="1"/>
        <v>Goiânia, GO</v>
      </c>
      <c r="D96" s="278">
        <v>-15.37</v>
      </c>
      <c r="E96" s="258">
        <v>770</v>
      </c>
      <c r="F96" s="279">
        <v>23.853225810000001</v>
      </c>
      <c r="G96" s="279">
        <v>24.135416670000001</v>
      </c>
      <c r="H96" s="279">
        <v>23.424059140000001</v>
      </c>
      <c r="I96" s="279">
        <v>23.454583329999998</v>
      </c>
      <c r="J96" s="279">
        <v>21.11801075</v>
      </c>
      <c r="K96" s="279">
        <v>20.63930556</v>
      </c>
      <c r="L96" s="279">
        <v>20.512903229999999</v>
      </c>
      <c r="M96" s="279">
        <v>22.590188170000001</v>
      </c>
      <c r="N96" s="279">
        <v>25.047638890000002</v>
      </c>
      <c r="O96" s="279">
        <v>24.99112903</v>
      </c>
      <c r="P96" s="279">
        <v>24.05833333</v>
      </c>
      <c r="Q96" s="279">
        <v>25.029032260000001</v>
      </c>
      <c r="R96" s="279">
        <v>23.237818847499998</v>
      </c>
      <c r="S96" s="274">
        <f>SUMIFS(Aux_Lista!Y:Y,Aux_Lista!W:W,Aux_TBS!B96,Aux_Lista!X:X,Aux_TBS!A96)</f>
        <v>6</v>
      </c>
      <c r="T96" s="274" t="s">
        <v>6042</v>
      </c>
      <c r="U96" s="274">
        <v>40</v>
      </c>
    </row>
    <row r="97" spans="1:21" x14ac:dyDescent="0.25">
      <c r="A97" s="277" t="s">
        <v>4520</v>
      </c>
      <c r="B97" s="258" t="s">
        <v>1740</v>
      </c>
      <c r="C97" s="274" t="str">
        <f t="shared" si="1"/>
        <v>Goiás, GO</v>
      </c>
      <c r="D97" s="278">
        <v>-15.93</v>
      </c>
      <c r="E97" s="258">
        <v>512</v>
      </c>
      <c r="F97" s="279">
        <v>25.019758060000001</v>
      </c>
      <c r="G97" s="279">
        <v>24.716815480000001</v>
      </c>
      <c r="H97" s="279">
        <v>25.318951609999999</v>
      </c>
      <c r="I97" s="279">
        <v>24.45</v>
      </c>
      <c r="J97" s="279">
        <v>24.006720430000001</v>
      </c>
      <c r="K97" s="279">
        <v>23.184305559999999</v>
      </c>
      <c r="L97" s="279">
        <v>24.543548390000002</v>
      </c>
      <c r="M97" s="279">
        <v>25.981317199999999</v>
      </c>
      <c r="N97" s="279">
        <v>27.322500000000002</v>
      </c>
      <c r="O97" s="279">
        <v>25.427822580000001</v>
      </c>
      <c r="P97" s="279">
        <v>25.355555559999999</v>
      </c>
      <c r="Q97" s="279">
        <v>24.42903226</v>
      </c>
      <c r="R97" s="279">
        <v>24.979693927499998</v>
      </c>
      <c r="S97" s="274">
        <f>SUMIFS(Aux_Lista!Y:Y,Aux_Lista!W:W,Aux_TBS!B97,Aux_Lista!X:X,Aux_TBS!A97)</f>
        <v>7</v>
      </c>
      <c r="T97" s="274" t="s">
        <v>6042</v>
      </c>
      <c r="U97" s="274">
        <v>40</v>
      </c>
    </row>
    <row r="98" spans="1:21" x14ac:dyDescent="0.25">
      <c r="A98" s="277" t="s">
        <v>2881</v>
      </c>
      <c r="B98" s="258" t="s">
        <v>1740</v>
      </c>
      <c r="C98" s="274" t="str">
        <f t="shared" si="1"/>
        <v>Itapaci, GO</v>
      </c>
      <c r="D98" s="278">
        <v>-14.95</v>
      </c>
      <c r="E98" s="258">
        <v>522</v>
      </c>
      <c r="F98" s="279">
        <v>24.257661290000001</v>
      </c>
      <c r="G98" s="279">
        <v>24.095833330000001</v>
      </c>
      <c r="H98" s="279">
        <v>23.55</v>
      </c>
      <c r="I98" s="279">
        <v>24.158055560000001</v>
      </c>
      <c r="J98" s="279">
        <v>22.640994620000001</v>
      </c>
      <c r="K98" s="279">
        <v>21.30805556</v>
      </c>
      <c r="L98" s="279">
        <v>22.42956989</v>
      </c>
      <c r="M98" s="279">
        <v>22.158736560000001</v>
      </c>
      <c r="N98" s="279">
        <v>25.756666670000001</v>
      </c>
      <c r="O98" s="279">
        <v>27.01680108</v>
      </c>
      <c r="P98" s="279">
        <v>25.242361110000001</v>
      </c>
      <c r="Q98" s="279">
        <v>24.24677419</v>
      </c>
      <c r="R98" s="279">
        <v>23.905125821666669</v>
      </c>
      <c r="S98" s="274">
        <f>SUMIFS(Aux_Lista!Y:Y,Aux_Lista!W:W,Aux_TBS!B98,Aux_Lista!X:X,Aux_TBS!A98)</f>
        <v>6</v>
      </c>
      <c r="T98" s="274" t="s">
        <v>6042</v>
      </c>
      <c r="U98" s="274">
        <v>40</v>
      </c>
    </row>
    <row r="99" spans="1:21" x14ac:dyDescent="0.25">
      <c r="A99" s="277" t="s">
        <v>2767</v>
      </c>
      <c r="B99" s="258" t="s">
        <v>1740</v>
      </c>
      <c r="C99" s="274" t="str">
        <f t="shared" si="1"/>
        <v>Itumbiara, GO</v>
      </c>
      <c r="D99" s="278">
        <v>-18.41</v>
      </c>
      <c r="E99" s="258">
        <v>488</v>
      </c>
      <c r="F99" s="279">
        <v>24.764247309999998</v>
      </c>
      <c r="G99" s="279">
        <v>25.141666669999999</v>
      </c>
      <c r="H99" s="279">
        <v>24.962903229999998</v>
      </c>
      <c r="I99" s="279">
        <v>23.419305560000002</v>
      </c>
      <c r="J99" s="279">
        <v>22.392876340000001</v>
      </c>
      <c r="K99" s="279">
        <v>20.344027780000001</v>
      </c>
      <c r="L99" s="279">
        <v>22.299327959999999</v>
      </c>
      <c r="M99" s="279">
        <v>23.235215050000001</v>
      </c>
      <c r="N99" s="279">
        <v>24.953055559999999</v>
      </c>
      <c r="O99" s="279">
        <v>25.119220429999999</v>
      </c>
      <c r="P99" s="279">
        <v>25.85083333</v>
      </c>
      <c r="Q99" s="279">
        <v>24.607392470000001</v>
      </c>
      <c r="R99" s="279">
        <v>23.92417264083333</v>
      </c>
      <c r="S99" s="274">
        <f>SUMIFS(Aux_Lista!Y:Y,Aux_Lista!W:W,Aux_TBS!B99,Aux_Lista!X:X,Aux_TBS!A99)</f>
        <v>6</v>
      </c>
      <c r="T99" s="274" t="s">
        <v>6042</v>
      </c>
      <c r="U99" s="274">
        <v>40</v>
      </c>
    </row>
    <row r="100" spans="1:21" x14ac:dyDescent="0.25">
      <c r="A100" s="277" t="s">
        <v>2878</v>
      </c>
      <c r="B100" s="258" t="s">
        <v>1740</v>
      </c>
      <c r="C100" s="274" t="str">
        <f t="shared" si="1"/>
        <v>Jataí, GO</v>
      </c>
      <c r="D100" s="278">
        <v>-17.88</v>
      </c>
      <c r="E100" s="258">
        <v>582</v>
      </c>
      <c r="F100" s="279">
        <v>23.180645160000001</v>
      </c>
      <c r="G100" s="279">
        <v>22.841220239999998</v>
      </c>
      <c r="H100" s="279">
        <v>22.76586022</v>
      </c>
      <c r="I100" s="279">
        <v>22.56847222</v>
      </c>
      <c r="J100" s="279">
        <v>19.758602150000002</v>
      </c>
      <c r="K100" s="279">
        <v>19.85055556</v>
      </c>
      <c r="L100" s="279">
        <v>19.52473118</v>
      </c>
      <c r="M100" s="279">
        <v>22.561290320000001</v>
      </c>
      <c r="N100" s="279">
        <v>23.465833329999999</v>
      </c>
      <c r="O100" s="279">
        <v>24.505913979999999</v>
      </c>
      <c r="P100" s="279">
        <v>24.106249999999999</v>
      </c>
      <c r="Q100" s="279">
        <v>23.9063172</v>
      </c>
      <c r="R100" s="279">
        <v>22.419640963333336</v>
      </c>
      <c r="S100" s="274">
        <f>SUMIFS(Aux_Lista!Y:Y,Aux_Lista!W:W,Aux_TBS!B100,Aux_Lista!X:X,Aux_TBS!A100)</f>
        <v>6</v>
      </c>
      <c r="T100" s="274" t="s">
        <v>6042</v>
      </c>
      <c r="U100" s="274">
        <v>40</v>
      </c>
    </row>
    <row r="101" spans="1:21" x14ac:dyDescent="0.25">
      <c r="A101" s="277" t="s">
        <v>1913</v>
      </c>
      <c r="B101" s="258" t="s">
        <v>1740</v>
      </c>
      <c r="C101" s="274" t="str">
        <f t="shared" si="1"/>
        <v>Luziânia, GO</v>
      </c>
      <c r="D101" s="278">
        <v>-16.25</v>
      </c>
      <c r="E101" s="258">
        <v>958</v>
      </c>
      <c r="F101" s="279">
        <v>22.483064519999999</v>
      </c>
      <c r="G101" s="279">
        <v>22.593005949999998</v>
      </c>
      <c r="H101" s="279">
        <v>22.724193549999999</v>
      </c>
      <c r="I101" s="279">
        <v>21.521805560000001</v>
      </c>
      <c r="J101" s="279">
        <v>20.746505379999999</v>
      </c>
      <c r="K101" s="279">
        <v>19.69055556</v>
      </c>
      <c r="L101" s="279">
        <v>21.476344090000001</v>
      </c>
      <c r="M101" s="279">
        <v>21.46733871</v>
      </c>
      <c r="N101" s="279">
        <v>23.653472220000001</v>
      </c>
      <c r="O101" s="279">
        <v>22.50282258</v>
      </c>
      <c r="P101" s="279">
        <v>23.147916670000001</v>
      </c>
      <c r="Q101" s="279">
        <v>21.856182799999999</v>
      </c>
      <c r="R101" s="279">
        <v>21.988600632499999</v>
      </c>
      <c r="S101" s="274">
        <f>SUMIFS(Aux_Lista!Y:Y,Aux_Lista!W:W,Aux_TBS!B101,Aux_Lista!X:X,Aux_TBS!A101)</f>
        <v>4</v>
      </c>
      <c r="T101" s="274" t="s">
        <v>6042</v>
      </c>
      <c r="U101" s="274">
        <v>40</v>
      </c>
    </row>
    <row r="102" spans="1:21" x14ac:dyDescent="0.25">
      <c r="A102" s="277" t="s">
        <v>2874</v>
      </c>
      <c r="B102" s="258" t="s">
        <v>1740</v>
      </c>
      <c r="C102" s="274" t="str">
        <f t="shared" si="1"/>
        <v>Mineiros, GO</v>
      </c>
      <c r="D102" s="278">
        <v>-17.57</v>
      </c>
      <c r="E102" s="258">
        <v>706</v>
      </c>
      <c r="F102" s="279">
        <v>22.992876339999999</v>
      </c>
      <c r="G102" s="279">
        <v>22.829464290000001</v>
      </c>
      <c r="H102" s="279">
        <v>22.82836022</v>
      </c>
      <c r="I102" s="279">
        <v>22.467916670000001</v>
      </c>
      <c r="J102" s="279">
        <v>20.039516129999999</v>
      </c>
      <c r="K102" s="279">
        <v>18.923749999999998</v>
      </c>
      <c r="L102" s="279">
        <v>20.327016130000001</v>
      </c>
      <c r="M102" s="279">
        <v>22.001747309999999</v>
      </c>
      <c r="N102" s="279">
        <v>24.15736111</v>
      </c>
      <c r="O102" s="279">
        <v>24.223521510000001</v>
      </c>
      <c r="P102" s="279">
        <v>24.441388889999999</v>
      </c>
      <c r="Q102" s="279">
        <v>23.302956989999998</v>
      </c>
      <c r="R102" s="279">
        <v>22.3779896325</v>
      </c>
      <c r="S102" s="274">
        <f>SUMIFS(Aux_Lista!Y:Y,Aux_Lista!W:W,Aux_TBS!B102,Aux_Lista!X:X,Aux_TBS!A102)</f>
        <v>6</v>
      </c>
      <c r="T102" s="274" t="s">
        <v>6042</v>
      </c>
      <c r="U102" s="274">
        <v>40</v>
      </c>
    </row>
    <row r="103" spans="1:21" x14ac:dyDescent="0.25">
      <c r="A103" s="277" t="s">
        <v>4466</v>
      </c>
      <c r="B103" s="258" t="s">
        <v>1740</v>
      </c>
      <c r="C103" s="274" t="str">
        <f t="shared" si="1"/>
        <v>Monte Alegre de Goiás, GO</v>
      </c>
      <c r="D103" s="278">
        <v>-13.5</v>
      </c>
      <c r="E103" s="258">
        <v>1253</v>
      </c>
      <c r="F103" s="279">
        <v>25.16048387</v>
      </c>
      <c r="G103" s="279">
        <v>24.870238100000002</v>
      </c>
      <c r="H103" s="279">
        <v>25.374731180000001</v>
      </c>
      <c r="I103" s="279">
        <v>24.273888889999998</v>
      </c>
      <c r="J103" s="279">
        <v>23.362231179999998</v>
      </c>
      <c r="K103" s="279">
        <v>23.257638889999999</v>
      </c>
      <c r="L103" s="279">
        <v>23.962768820000001</v>
      </c>
      <c r="M103" s="279">
        <v>25.953091400000002</v>
      </c>
      <c r="N103" s="279">
        <v>27.62013889</v>
      </c>
      <c r="O103" s="279">
        <v>25.59663978</v>
      </c>
      <c r="P103" s="279">
        <v>25.326111109999999</v>
      </c>
      <c r="Q103" s="279">
        <v>24.82419355</v>
      </c>
      <c r="R103" s="279">
        <v>24.965179638333336</v>
      </c>
      <c r="S103" s="274">
        <f>SUMIFS(Aux_Lista!Y:Y,Aux_Lista!W:W,Aux_TBS!B103,Aux_Lista!X:X,Aux_TBS!A103)</f>
        <v>7</v>
      </c>
      <c r="T103" s="274" t="s">
        <v>6042</v>
      </c>
      <c r="U103" s="274">
        <v>40</v>
      </c>
    </row>
    <row r="104" spans="1:21" x14ac:dyDescent="0.25">
      <c r="A104" s="277" t="s">
        <v>2875</v>
      </c>
      <c r="B104" s="258" t="s">
        <v>1740</v>
      </c>
      <c r="C104" s="274" t="str">
        <f t="shared" si="1"/>
        <v>Morrinhos, GO</v>
      </c>
      <c r="D104" s="278">
        <v>-17.73</v>
      </c>
      <c r="E104" s="258">
        <v>771</v>
      </c>
      <c r="F104" s="279">
        <v>23.342069890000001</v>
      </c>
      <c r="G104" s="279">
        <v>23.286160710000001</v>
      </c>
      <c r="H104" s="279">
        <v>23.48602151</v>
      </c>
      <c r="I104" s="279">
        <v>23.016249999999999</v>
      </c>
      <c r="J104" s="279">
        <v>20.122983869999999</v>
      </c>
      <c r="K104" s="279">
        <v>19.62541667</v>
      </c>
      <c r="L104" s="279">
        <v>20.352956989999999</v>
      </c>
      <c r="M104" s="279">
        <v>21.45</v>
      </c>
      <c r="N104" s="279">
        <v>24.534861110000001</v>
      </c>
      <c r="O104" s="279">
        <v>23.05873656</v>
      </c>
      <c r="P104" s="279">
        <v>23.123611109999999</v>
      </c>
      <c r="Q104" s="279">
        <v>23.24341398</v>
      </c>
      <c r="R104" s="279">
        <v>22.386873533333333</v>
      </c>
      <c r="S104" s="274">
        <f>SUMIFS(Aux_Lista!Y:Y,Aux_Lista!W:W,Aux_TBS!B104,Aux_Lista!X:X,Aux_TBS!A104)</f>
        <v>6</v>
      </c>
      <c r="T104" s="274" t="s">
        <v>6042</v>
      </c>
      <c r="U104" s="274">
        <v>40</v>
      </c>
    </row>
    <row r="105" spans="1:21" x14ac:dyDescent="0.25">
      <c r="A105" s="277" t="s">
        <v>2206</v>
      </c>
      <c r="B105" s="258" t="s">
        <v>1740</v>
      </c>
      <c r="C105" s="274" t="str">
        <f t="shared" si="1"/>
        <v>Niquelândia, GO</v>
      </c>
      <c r="D105" s="278">
        <v>-14.47</v>
      </c>
      <c r="E105" s="258">
        <v>583</v>
      </c>
      <c r="F105" s="279">
        <v>23.812231180000001</v>
      </c>
      <c r="G105" s="279">
        <v>24.425000000000001</v>
      </c>
      <c r="H105" s="279">
        <v>23.484543009999999</v>
      </c>
      <c r="I105" s="279">
        <v>24.520416669999999</v>
      </c>
      <c r="J105" s="279">
        <v>23.560483869999999</v>
      </c>
      <c r="K105" s="279">
        <v>23.267916670000002</v>
      </c>
      <c r="L105" s="279">
        <v>22.88575269</v>
      </c>
      <c r="M105" s="279">
        <v>25.155645159999999</v>
      </c>
      <c r="N105" s="279">
        <v>26.813888890000001</v>
      </c>
      <c r="O105" s="279">
        <v>25.845967739999999</v>
      </c>
      <c r="P105" s="279">
        <v>24.636805559999999</v>
      </c>
      <c r="Q105" s="279">
        <v>23.387365590000002</v>
      </c>
      <c r="R105" s="279">
        <v>24.316334752499998</v>
      </c>
      <c r="S105" s="274">
        <f>SUMIFS(Aux_Lista!Y:Y,Aux_Lista!W:W,Aux_TBS!B105,Aux_Lista!X:X,Aux_TBS!A105)</f>
        <v>6</v>
      </c>
      <c r="T105" s="274" t="s">
        <v>6042</v>
      </c>
      <c r="U105" s="274">
        <v>40</v>
      </c>
    </row>
    <row r="106" spans="1:21" x14ac:dyDescent="0.25">
      <c r="A106" s="277" t="s">
        <v>2801</v>
      </c>
      <c r="B106" s="258" t="s">
        <v>1740</v>
      </c>
      <c r="C106" s="274" t="str">
        <f t="shared" si="1"/>
        <v>Paraúna, GO</v>
      </c>
      <c r="D106" s="278">
        <v>-16.96</v>
      </c>
      <c r="E106" s="258">
        <v>678</v>
      </c>
      <c r="F106" s="279">
        <v>24.496102149999999</v>
      </c>
      <c r="G106" s="279">
        <v>24.445238100000001</v>
      </c>
      <c r="H106" s="279">
        <v>24.36841398</v>
      </c>
      <c r="I106" s="279">
        <v>23.778472220000001</v>
      </c>
      <c r="J106" s="279">
        <v>21.72432796</v>
      </c>
      <c r="K106" s="279">
        <v>21.917361110000002</v>
      </c>
      <c r="L106" s="279">
        <v>21.64973118</v>
      </c>
      <c r="M106" s="279">
        <v>24.771236559999998</v>
      </c>
      <c r="N106" s="279">
        <v>25.592500000000001</v>
      </c>
      <c r="O106" s="279">
        <v>26.395698920000001</v>
      </c>
      <c r="P106" s="279">
        <v>24.70027778</v>
      </c>
      <c r="Q106" s="279">
        <v>24.173387099999999</v>
      </c>
      <c r="R106" s="279">
        <v>24.001062255000004</v>
      </c>
      <c r="S106" s="274">
        <f>SUMIFS(Aux_Lista!Y:Y,Aux_Lista!W:W,Aux_TBS!B106,Aux_Lista!X:X,Aux_TBS!A106)</f>
        <v>6</v>
      </c>
      <c r="T106" s="274" t="s">
        <v>6042</v>
      </c>
      <c r="U106" s="274">
        <v>40</v>
      </c>
    </row>
    <row r="107" spans="1:21" x14ac:dyDescent="0.25">
      <c r="A107" s="277" t="s">
        <v>2759</v>
      </c>
      <c r="B107" s="258" t="s">
        <v>1740</v>
      </c>
      <c r="C107" s="274" t="str">
        <f t="shared" si="1"/>
        <v>Pires do Rio, GO</v>
      </c>
      <c r="D107" s="278">
        <v>-17.309999999999999</v>
      </c>
      <c r="E107" s="258">
        <v>752</v>
      </c>
      <c r="F107" s="279">
        <v>23.629838710000001</v>
      </c>
      <c r="G107" s="279">
        <v>24.012202380000002</v>
      </c>
      <c r="H107" s="279">
        <v>23.84986559</v>
      </c>
      <c r="I107" s="279">
        <v>22.569722219999999</v>
      </c>
      <c r="J107" s="279">
        <v>21.290322580000002</v>
      </c>
      <c r="K107" s="279">
        <v>19.764166670000002</v>
      </c>
      <c r="L107" s="279">
        <v>21.40349462</v>
      </c>
      <c r="M107" s="279">
        <v>22.35497312</v>
      </c>
      <c r="N107" s="279">
        <v>24.352916669999999</v>
      </c>
      <c r="O107" s="279">
        <v>23.950940859999999</v>
      </c>
      <c r="P107" s="279">
        <v>24.65208333</v>
      </c>
      <c r="Q107" s="279">
        <v>23.555376339999999</v>
      </c>
      <c r="R107" s="279">
        <v>22.948825257500001</v>
      </c>
      <c r="S107" s="274">
        <f>SUMIFS(Aux_Lista!Y:Y,Aux_Lista!W:W,Aux_TBS!B107,Aux_Lista!X:X,Aux_TBS!A107)</f>
        <v>4</v>
      </c>
      <c r="T107" s="274" t="s">
        <v>6042</v>
      </c>
      <c r="U107" s="274">
        <v>40</v>
      </c>
    </row>
    <row r="108" spans="1:21" x14ac:dyDescent="0.25">
      <c r="A108" s="277" t="s">
        <v>1892</v>
      </c>
      <c r="B108" s="258" t="s">
        <v>1740</v>
      </c>
      <c r="C108" s="274" t="str">
        <f t="shared" si="1"/>
        <v>Posse, GO</v>
      </c>
      <c r="D108" s="278">
        <v>-14.09</v>
      </c>
      <c r="E108" s="258">
        <v>834</v>
      </c>
      <c r="F108" s="279">
        <v>24.300940860000001</v>
      </c>
      <c r="G108" s="279">
        <v>25.29866071</v>
      </c>
      <c r="H108" s="279">
        <v>24.225000000000001</v>
      </c>
      <c r="I108" s="279">
        <v>24.461111110000001</v>
      </c>
      <c r="J108" s="279">
        <v>24.825672040000001</v>
      </c>
      <c r="K108" s="279">
        <v>23.142083329999998</v>
      </c>
      <c r="L108" s="279">
        <v>23.698790320000001</v>
      </c>
      <c r="M108" s="279">
        <v>24.2594086</v>
      </c>
      <c r="N108" s="279">
        <v>26.471527779999999</v>
      </c>
      <c r="O108" s="279">
        <v>24.475940860000001</v>
      </c>
      <c r="P108" s="279">
        <v>24.63513889</v>
      </c>
      <c r="Q108" s="279">
        <v>23.571102150000002</v>
      </c>
      <c r="R108" s="279">
        <v>24.447114720833337</v>
      </c>
      <c r="S108" s="274">
        <f>SUMIFS(Aux_Lista!Y:Y,Aux_Lista!W:W,Aux_TBS!B108,Aux_Lista!X:X,Aux_TBS!A108)</f>
        <v>6</v>
      </c>
      <c r="T108" s="274" t="s">
        <v>6042</v>
      </c>
      <c r="U108" s="274">
        <v>40</v>
      </c>
    </row>
    <row r="109" spans="1:21" x14ac:dyDescent="0.25">
      <c r="A109" s="277" t="s">
        <v>2218</v>
      </c>
      <c r="B109" s="258" t="s">
        <v>1740</v>
      </c>
      <c r="C109" s="274" t="str">
        <f t="shared" si="1"/>
        <v>Rio Verde, GO</v>
      </c>
      <c r="D109" s="278">
        <v>-17.8</v>
      </c>
      <c r="E109" s="258">
        <v>782</v>
      </c>
      <c r="F109" s="279">
        <v>22.56948925</v>
      </c>
      <c r="G109" s="279">
        <v>22.715624999999999</v>
      </c>
      <c r="H109" s="279">
        <v>22.66841398</v>
      </c>
      <c r="I109" s="279">
        <v>22.754722220000001</v>
      </c>
      <c r="J109" s="279">
        <v>20.798387099999999</v>
      </c>
      <c r="K109" s="279">
        <v>21.189305560000001</v>
      </c>
      <c r="L109" s="279">
        <v>21.415456989999999</v>
      </c>
      <c r="M109" s="279">
        <v>23.837768820000001</v>
      </c>
      <c r="N109" s="279">
        <v>24.15847222</v>
      </c>
      <c r="O109" s="279">
        <v>24.736962370000001</v>
      </c>
      <c r="P109" s="279">
        <v>23.359444440000001</v>
      </c>
      <c r="Q109" s="279">
        <v>23.425403230000001</v>
      </c>
      <c r="R109" s="279">
        <v>22.802454265000005</v>
      </c>
      <c r="S109" s="274">
        <f>SUMIFS(Aux_Lista!Y:Y,Aux_Lista!W:W,Aux_TBS!B109,Aux_Lista!X:X,Aux_TBS!A109)</f>
        <v>6</v>
      </c>
      <c r="T109" s="274" t="s">
        <v>6042</v>
      </c>
      <c r="U109" s="274">
        <v>40</v>
      </c>
    </row>
    <row r="110" spans="1:21" x14ac:dyDescent="0.25">
      <c r="A110" s="277" t="s">
        <v>2717</v>
      </c>
      <c r="B110" s="258" t="s">
        <v>1740</v>
      </c>
      <c r="C110" s="274" t="str">
        <f t="shared" si="1"/>
        <v>São Simão, GO</v>
      </c>
      <c r="D110" s="278">
        <v>-18.989999999999998</v>
      </c>
      <c r="E110" s="258">
        <v>489</v>
      </c>
      <c r="F110" s="279">
        <v>24.691801080000001</v>
      </c>
      <c r="G110" s="279">
        <v>24.99821429</v>
      </c>
      <c r="H110" s="279">
        <v>25.169489250000002</v>
      </c>
      <c r="I110" s="279">
        <v>24.119861109999999</v>
      </c>
      <c r="J110" s="279">
        <v>22.954435480000001</v>
      </c>
      <c r="K110" s="279">
        <v>20.332222219999998</v>
      </c>
      <c r="L110" s="279">
        <v>22.50376344</v>
      </c>
      <c r="M110" s="279">
        <v>23.01908602</v>
      </c>
      <c r="N110" s="279">
        <v>24.855694440000001</v>
      </c>
      <c r="O110" s="279">
        <v>24.93803763</v>
      </c>
      <c r="P110" s="279">
        <v>25.728750000000002</v>
      </c>
      <c r="Q110" s="279">
        <v>24.58763441</v>
      </c>
      <c r="R110" s="279">
        <v>23.991582447500004</v>
      </c>
      <c r="S110" s="274">
        <f>SUMIFS(Aux_Lista!Y:Y,Aux_Lista!W:W,Aux_TBS!B110,Aux_Lista!X:X,Aux_TBS!A110)</f>
        <v>6</v>
      </c>
      <c r="T110" s="274" t="s">
        <v>6042</v>
      </c>
      <c r="U110" s="274">
        <v>40</v>
      </c>
    </row>
    <row r="111" spans="1:21" x14ac:dyDescent="0.25">
      <c r="A111" s="277" t="s">
        <v>4799</v>
      </c>
      <c r="B111" s="258" t="s">
        <v>3872</v>
      </c>
      <c r="C111" s="274" t="str">
        <f t="shared" si="1"/>
        <v>Alto Parnaíba, MA</v>
      </c>
      <c r="D111" s="278">
        <v>-9.11</v>
      </c>
      <c r="E111" s="258">
        <v>281</v>
      </c>
      <c r="F111" s="279">
        <v>25.771236559999998</v>
      </c>
      <c r="G111" s="279">
        <v>24.953869050000002</v>
      </c>
      <c r="H111" s="279">
        <v>25.61330645</v>
      </c>
      <c r="I111" s="279">
        <v>25.33472222</v>
      </c>
      <c r="J111" s="279">
        <v>24.890322579999999</v>
      </c>
      <c r="K111" s="279">
        <v>25.051527780000001</v>
      </c>
      <c r="L111" s="279">
        <v>24.711559139999999</v>
      </c>
      <c r="M111" s="279">
        <v>25.819892469999999</v>
      </c>
      <c r="N111" s="279">
        <v>28.045694439999998</v>
      </c>
      <c r="O111" s="279">
        <v>26.329435480000001</v>
      </c>
      <c r="P111" s="279">
        <v>26.831527779999998</v>
      </c>
      <c r="Q111" s="279">
        <v>25.592607529999999</v>
      </c>
      <c r="R111" s="279">
        <v>25.745475123333332</v>
      </c>
      <c r="S111" s="274">
        <f>SUMIFS(Aux_Lista!Y:Y,Aux_Lista!W:W,Aux_TBS!B111,Aux_Lista!X:X,Aux_TBS!A111)</f>
        <v>7</v>
      </c>
      <c r="T111" s="274" t="s">
        <v>6041</v>
      </c>
      <c r="U111" s="274">
        <v>38</v>
      </c>
    </row>
    <row r="112" spans="1:21" x14ac:dyDescent="0.25">
      <c r="A112" s="277" t="s">
        <v>4669</v>
      </c>
      <c r="B112" s="258" t="s">
        <v>3872</v>
      </c>
      <c r="C112" s="274" t="str">
        <f t="shared" si="1"/>
        <v>Bacabal, MA</v>
      </c>
      <c r="D112" s="278">
        <v>-4.24</v>
      </c>
      <c r="E112" s="258">
        <v>28</v>
      </c>
      <c r="F112" s="279">
        <v>26.510483870000002</v>
      </c>
      <c r="G112" s="279">
        <v>26.163988100000001</v>
      </c>
      <c r="H112" s="279">
        <v>26.29758065</v>
      </c>
      <c r="I112" s="279">
        <v>25.88666667</v>
      </c>
      <c r="J112" s="279">
        <v>26.254569889999999</v>
      </c>
      <c r="K112" s="279">
        <v>26.84444444</v>
      </c>
      <c r="L112" s="279">
        <v>26.65201613</v>
      </c>
      <c r="M112" s="279">
        <v>27.633333329999999</v>
      </c>
      <c r="N112" s="279">
        <v>28.768611109999998</v>
      </c>
      <c r="O112" s="279">
        <v>29.234677420000001</v>
      </c>
      <c r="P112" s="279">
        <v>28.897777779999998</v>
      </c>
      <c r="Q112" s="279">
        <v>28.124865589999999</v>
      </c>
      <c r="R112" s="279">
        <v>27.272417915000002</v>
      </c>
      <c r="S112" s="274">
        <f>SUMIFS(Aux_Lista!Y:Y,Aux_Lista!W:W,Aux_TBS!B112,Aux_Lista!X:X,Aux_TBS!A112)</f>
        <v>8</v>
      </c>
      <c r="T112" s="274" t="s">
        <v>6041</v>
      </c>
      <c r="U112" s="274">
        <v>38</v>
      </c>
    </row>
    <row r="113" spans="1:21" x14ac:dyDescent="0.25">
      <c r="A113" s="277" t="s">
        <v>4730</v>
      </c>
      <c r="B113" s="258" t="s">
        <v>3872</v>
      </c>
      <c r="C113" s="274" t="str">
        <f t="shared" si="1"/>
        <v>Balsas, MA</v>
      </c>
      <c r="D113" s="278">
        <v>-7.46</v>
      </c>
      <c r="E113" s="258">
        <v>254</v>
      </c>
      <c r="F113" s="279">
        <v>25.547311830000002</v>
      </c>
      <c r="G113" s="279">
        <v>25.179464289999999</v>
      </c>
      <c r="H113" s="279">
        <v>25.77002688</v>
      </c>
      <c r="I113" s="279">
        <v>25.122916669999999</v>
      </c>
      <c r="J113" s="279">
        <v>25.135215049999999</v>
      </c>
      <c r="K113" s="279">
        <v>25.187361110000001</v>
      </c>
      <c r="L113" s="279">
        <v>25.433064519999999</v>
      </c>
      <c r="M113" s="279">
        <v>26.611827959999999</v>
      </c>
      <c r="N113" s="279">
        <v>28.380694439999999</v>
      </c>
      <c r="O113" s="279">
        <v>26.794220429999999</v>
      </c>
      <c r="P113" s="279">
        <v>26.90319444</v>
      </c>
      <c r="Q113" s="279">
        <v>25.29341398</v>
      </c>
      <c r="R113" s="279">
        <v>25.946559300000001</v>
      </c>
      <c r="S113" s="274">
        <f>SUMIFS(Aux_Lista!Y:Y,Aux_Lista!W:W,Aux_TBS!B113,Aux_Lista!X:X,Aux_TBS!A113)</f>
        <v>7</v>
      </c>
      <c r="T113" s="274" t="s">
        <v>6041</v>
      </c>
      <c r="U113" s="274">
        <v>38</v>
      </c>
    </row>
    <row r="114" spans="1:21" x14ac:dyDescent="0.25">
      <c r="A114" s="277" t="s">
        <v>4621</v>
      </c>
      <c r="B114" s="258" t="s">
        <v>3872</v>
      </c>
      <c r="C114" s="274" t="str">
        <f t="shared" si="1"/>
        <v>Barra do Corda, MA</v>
      </c>
      <c r="D114" s="278">
        <v>-5.51</v>
      </c>
      <c r="E114" s="258">
        <v>153</v>
      </c>
      <c r="F114" s="279">
        <v>26.005376340000002</v>
      </c>
      <c r="G114" s="279">
        <v>25.399553569999998</v>
      </c>
      <c r="H114" s="279">
        <v>25.75094086</v>
      </c>
      <c r="I114" s="279">
        <v>25.362916670000001</v>
      </c>
      <c r="J114" s="279">
        <v>25.21034946</v>
      </c>
      <c r="K114" s="279">
        <v>25.581250000000001</v>
      </c>
      <c r="L114" s="279">
        <v>25.760215049999999</v>
      </c>
      <c r="M114" s="279">
        <v>26.395295699999998</v>
      </c>
      <c r="N114" s="279">
        <v>27.72402778</v>
      </c>
      <c r="O114" s="279">
        <v>27.815053760000001</v>
      </c>
      <c r="P114" s="279">
        <v>27.999861110000001</v>
      </c>
      <c r="Q114" s="279">
        <v>26.366263440000001</v>
      </c>
      <c r="R114" s="279">
        <v>26.280925311666667</v>
      </c>
      <c r="S114" s="274">
        <f>SUMIFS(Aux_Lista!Y:Y,Aux_Lista!W:W,Aux_TBS!B114,Aux_Lista!X:X,Aux_TBS!A114)</f>
        <v>7</v>
      </c>
      <c r="T114" s="274" t="s">
        <v>6041</v>
      </c>
      <c r="U114" s="274">
        <v>38</v>
      </c>
    </row>
    <row r="115" spans="1:21" x14ac:dyDescent="0.25">
      <c r="A115" s="277" t="s">
        <v>4225</v>
      </c>
      <c r="B115" s="258" t="s">
        <v>3872</v>
      </c>
      <c r="C115" s="274" t="str">
        <f t="shared" si="1"/>
        <v>Buriticupu, MA</v>
      </c>
      <c r="D115" s="278">
        <v>-4.32</v>
      </c>
      <c r="E115" s="258">
        <v>175</v>
      </c>
      <c r="F115" s="279">
        <v>26.03870968</v>
      </c>
      <c r="G115" s="279">
        <v>25.224851189999999</v>
      </c>
      <c r="H115" s="279">
        <v>25.232526880000002</v>
      </c>
      <c r="I115" s="279">
        <v>24.869166669999998</v>
      </c>
      <c r="J115" s="279">
        <v>25.14408602</v>
      </c>
      <c r="K115" s="279">
        <v>25.53569444</v>
      </c>
      <c r="L115" s="279">
        <v>25.69784946</v>
      </c>
      <c r="M115" s="279">
        <v>26.503897850000001</v>
      </c>
      <c r="N115" s="279">
        <v>27.573333330000001</v>
      </c>
      <c r="O115" s="279">
        <v>27.50228495</v>
      </c>
      <c r="P115" s="279">
        <v>27.75305556</v>
      </c>
      <c r="Q115" s="279">
        <v>27.226881720000002</v>
      </c>
      <c r="R115" s="279">
        <v>26.191861479166665</v>
      </c>
      <c r="S115" s="274">
        <f>SUMIFS(Aux_Lista!Y:Y,Aux_Lista!W:W,Aux_TBS!B115,Aux_Lista!X:X,Aux_TBS!A115)</f>
        <v>8</v>
      </c>
      <c r="T115" s="274" t="s">
        <v>6041</v>
      </c>
      <c r="U115" s="274">
        <v>38</v>
      </c>
    </row>
    <row r="116" spans="1:21" x14ac:dyDescent="0.25">
      <c r="A116" s="277" t="s">
        <v>4740</v>
      </c>
      <c r="B116" s="258" t="s">
        <v>3872</v>
      </c>
      <c r="C116" s="274" t="str">
        <f t="shared" si="1"/>
        <v>Carolina, MA</v>
      </c>
      <c r="D116" s="278">
        <v>-7.34</v>
      </c>
      <c r="E116" s="258">
        <v>192</v>
      </c>
      <c r="F116" s="279">
        <v>25.501747309999999</v>
      </c>
      <c r="G116" s="279">
        <v>25.80744048</v>
      </c>
      <c r="H116" s="279">
        <v>26.269892469999998</v>
      </c>
      <c r="I116" s="279">
        <v>25.59819444</v>
      </c>
      <c r="J116" s="279">
        <v>25.636962369999999</v>
      </c>
      <c r="K116" s="279">
        <v>26.560138890000001</v>
      </c>
      <c r="L116" s="279">
        <v>27.017741940000001</v>
      </c>
      <c r="M116" s="279">
        <v>28.26908602</v>
      </c>
      <c r="N116" s="279">
        <v>29.120972219999999</v>
      </c>
      <c r="O116" s="279">
        <v>26.938575270000001</v>
      </c>
      <c r="P116" s="279">
        <v>26.289305559999999</v>
      </c>
      <c r="Q116" s="279">
        <v>25.901881719999999</v>
      </c>
      <c r="R116" s="279">
        <v>26.575994890833332</v>
      </c>
      <c r="S116" s="274">
        <f>SUMIFS(Aux_Lista!Y:Y,Aux_Lista!W:W,Aux_TBS!B116,Aux_Lista!X:X,Aux_TBS!A116)</f>
        <v>7</v>
      </c>
      <c r="T116" s="274" t="s">
        <v>6041</v>
      </c>
      <c r="U116" s="274">
        <v>38</v>
      </c>
    </row>
    <row r="117" spans="1:21" x14ac:dyDescent="0.25">
      <c r="A117" s="277" t="s">
        <v>4728</v>
      </c>
      <c r="B117" s="258" t="s">
        <v>3872</v>
      </c>
      <c r="C117" s="274" t="str">
        <f t="shared" si="1"/>
        <v>Caxias, MA</v>
      </c>
      <c r="D117" s="278">
        <v>-4.82</v>
      </c>
      <c r="E117" s="258">
        <v>76</v>
      </c>
      <c r="F117" s="279">
        <v>26.306317199999999</v>
      </c>
      <c r="G117" s="279">
        <v>25.87172619</v>
      </c>
      <c r="H117" s="279">
        <v>25.887231180000001</v>
      </c>
      <c r="I117" s="279">
        <v>25.633888890000001</v>
      </c>
      <c r="J117" s="279">
        <v>25.492204300000001</v>
      </c>
      <c r="K117" s="279">
        <v>25.304722219999999</v>
      </c>
      <c r="L117" s="279">
        <v>25.136155909999999</v>
      </c>
      <c r="M117" s="279">
        <v>25.59193548</v>
      </c>
      <c r="N117" s="279">
        <v>27.317638890000001</v>
      </c>
      <c r="O117" s="279">
        <v>27.994086020000001</v>
      </c>
      <c r="P117" s="279">
        <v>28.446249999999999</v>
      </c>
      <c r="Q117" s="279">
        <v>27.51491935</v>
      </c>
      <c r="R117" s="279">
        <v>26.374756302500003</v>
      </c>
      <c r="S117" s="274">
        <f>SUMIFS(Aux_Lista!Y:Y,Aux_Lista!W:W,Aux_TBS!B117,Aux_Lista!X:X,Aux_TBS!A117)</f>
        <v>7</v>
      </c>
      <c r="T117" s="274" t="s">
        <v>6041</v>
      </c>
      <c r="U117" s="274">
        <v>38</v>
      </c>
    </row>
    <row r="118" spans="1:21" x14ac:dyDescent="0.25">
      <c r="A118" s="277" t="s">
        <v>5120</v>
      </c>
      <c r="B118" s="258" t="s">
        <v>3872</v>
      </c>
      <c r="C118" s="274" t="str">
        <f t="shared" si="1"/>
        <v>Chapadinha, MA</v>
      </c>
      <c r="D118" s="278">
        <v>-3.74</v>
      </c>
      <c r="E118" s="258">
        <v>91</v>
      </c>
      <c r="F118" s="279">
        <v>26.842204299999999</v>
      </c>
      <c r="G118" s="279">
        <v>25.820089289999999</v>
      </c>
      <c r="H118" s="279">
        <v>25.891397850000001</v>
      </c>
      <c r="I118" s="279">
        <v>25.448333330000001</v>
      </c>
      <c r="J118" s="279">
        <v>25.474193549999999</v>
      </c>
      <c r="K118" s="279">
        <v>25.934583329999999</v>
      </c>
      <c r="L118" s="279">
        <v>26.355645160000002</v>
      </c>
      <c r="M118" s="279">
        <v>27.33293011</v>
      </c>
      <c r="N118" s="279">
        <v>28.17777778</v>
      </c>
      <c r="O118" s="279">
        <v>28.29018817</v>
      </c>
      <c r="P118" s="279">
        <v>28.72583333</v>
      </c>
      <c r="Q118" s="279">
        <v>28.366666670000001</v>
      </c>
      <c r="R118" s="279">
        <v>26.888320239166671</v>
      </c>
      <c r="S118" s="274">
        <f>SUMIFS(Aux_Lista!Y:Y,Aux_Lista!W:W,Aux_TBS!B118,Aux_Lista!X:X,Aux_TBS!A118)</f>
        <v>8</v>
      </c>
      <c r="T118" s="274" t="s">
        <v>6041</v>
      </c>
      <c r="U118" s="274">
        <v>38</v>
      </c>
    </row>
    <row r="119" spans="1:21" x14ac:dyDescent="0.25">
      <c r="A119" s="277" t="s">
        <v>1264</v>
      </c>
      <c r="B119" s="258" t="s">
        <v>3872</v>
      </c>
      <c r="C119" s="274" t="str">
        <f t="shared" si="1"/>
        <v>Colinas, MA</v>
      </c>
      <c r="D119" s="278">
        <v>-6.03</v>
      </c>
      <c r="E119" s="258">
        <v>179</v>
      </c>
      <c r="F119" s="279">
        <v>25.988575269999998</v>
      </c>
      <c r="G119" s="279">
        <v>25.275148810000001</v>
      </c>
      <c r="H119" s="279">
        <v>25.662096770000002</v>
      </c>
      <c r="I119" s="279">
        <v>25.404583330000001</v>
      </c>
      <c r="J119" s="279">
        <v>25.299596770000001</v>
      </c>
      <c r="K119" s="279">
        <v>25.42166667</v>
      </c>
      <c r="L119" s="279">
        <v>25.426209679999999</v>
      </c>
      <c r="M119" s="279">
        <v>26.080376340000001</v>
      </c>
      <c r="N119" s="279">
        <v>27.706250000000001</v>
      </c>
      <c r="O119" s="279">
        <v>27.522580649999998</v>
      </c>
      <c r="P119" s="279">
        <v>27.255138890000001</v>
      </c>
      <c r="Q119" s="279">
        <v>25.581720430000001</v>
      </c>
      <c r="R119" s="279">
        <v>26.05199530083334</v>
      </c>
      <c r="S119" s="274">
        <f>SUMIFS(Aux_Lista!Y:Y,Aux_Lista!W:W,Aux_TBS!B119,Aux_Lista!X:X,Aux_TBS!A119)</f>
        <v>7</v>
      </c>
      <c r="T119" s="274" t="s">
        <v>6041</v>
      </c>
      <c r="U119" s="274">
        <v>38</v>
      </c>
    </row>
    <row r="120" spans="1:21" x14ac:dyDescent="0.25">
      <c r="A120" s="277" t="s">
        <v>4818</v>
      </c>
      <c r="B120" s="258" t="s">
        <v>3872</v>
      </c>
      <c r="C120" s="274" t="str">
        <f t="shared" si="1"/>
        <v>Estreito, MA</v>
      </c>
      <c r="D120" s="278">
        <v>-6.65</v>
      </c>
      <c r="E120" s="258">
        <v>180</v>
      </c>
      <c r="F120" s="279">
        <v>25.986559140000001</v>
      </c>
      <c r="G120" s="279">
        <v>26.37410714</v>
      </c>
      <c r="H120" s="279">
        <v>24.943682800000001</v>
      </c>
      <c r="I120" s="279">
        <v>25.12652778</v>
      </c>
      <c r="J120" s="279">
        <v>25.146639780000001</v>
      </c>
      <c r="K120" s="279">
        <v>24.39347222</v>
      </c>
      <c r="L120" s="279">
        <v>24.613037630000001</v>
      </c>
      <c r="M120" s="279">
        <v>26.515053760000001</v>
      </c>
      <c r="N120" s="279">
        <v>27.323194440000002</v>
      </c>
      <c r="O120" s="279">
        <v>27.514247309999998</v>
      </c>
      <c r="P120" s="279">
        <v>26.289305559999999</v>
      </c>
      <c r="Q120" s="279">
        <v>25.901881719999999</v>
      </c>
      <c r="R120" s="279">
        <v>25.843975773333337</v>
      </c>
      <c r="S120" s="274">
        <f>SUMIFS(Aux_Lista!Y:Y,Aux_Lista!W:W,Aux_TBS!B120,Aux_Lista!X:X,Aux_TBS!A120)</f>
        <v>7</v>
      </c>
      <c r="T120" s="274" t="s">
        <v>6041</v>
      </c>
      <c r="U120" s="274">
        <v>38</v>
      </c>
    </row>
    <row r="121" spans="1:21" x14ac:dyDescent="0.25">
      <c r="A121" s="277" t="s">
        <v>3892</v>
      </c>
      <c r="B121" s="258" t="s">
        <v>3872</v>
      </c>
      <c r="C121" s="274" t="str">
        <f t="shared" si="1"/>
        <v>Barreirinhas, MA</v>
      </c>
      <c r="D121" s="278">
        <v>-2.59</v>
      </c>
      <c r="E121" s="258">
        <v>0</v>
      </c>
      <c r="F121" s="279">
        <v>27.909677420000001</v>
      </c>
      <c r="G121" s="279">
        <v>27.011755950000001</v>
      </c>
      <c r="H121" s="279">
        <v>27.089919349999999</v>
      </c>
      <c r="I121" s="279">
        <v>26.40736111</v>
      </c>
      <c r="J121" s="279">
        <v>26.49623656</v>
      </c>
      <c r="K121" s="279">
        <v>27.151666670000001</v>
      </c>
      <c r="L121" s="279">
        <v>27.546236560000001</v>
      </c>
      <c r="M121" s="279">
        <v>27.965591400000001</v>
      </c>
      <c r="N121" s="279">
        <v>27.955416670000002</v>
      </c>
      <c r="O121" s="279">
        <v>27.899596769999999</v>
      </c>
      <c r="P121" s="279">
        <v>28.09222222</v>
      </c>
      <c r="Q121" s="279">
        <v>28.386424730000002</v>
      </c>
      <c r="R121" s="279">
        <v>27.492675450833332</v>
      </c>
      <c r="S121" s="274">
        <f>SUMIFS(Aux_Lista!Y:Y,Aux_Lista!W:W,Aux_TBS!B121,Aux_Lista!X:X,Aux_TBS!A121)</f>
        <v>8</v>
      </c>
      <c r="T121" s="274" t="s">
        <v>6041</v>
      </c>
      <c r="U121" s="274">
        <v>38</v>
      </c>
    </row>
    <row r="122" spans="1:21" x14ac:dyDescent="0.25">
      <c r="A122" s="277" t="s">
        <v>5141</v>
      </c>
      <c r="B122" s="258" t="s">
        <v>3872</v>
      </c>
      <c r="C122" s="274" t="str">
        <f t="shared" si="1"/>
        <v>Humberto de Campos, MA</v>
      </c>
      <c r="D122" s="278">
        <v>-2.27</v>
      </c>
      <c r="E122" s="258">
        <v>0</v>
      </c>
      <c r="F122" s="279">
        <v>27.559408600000001</v>
      </c>
      <c r="G122" s="279">
        <v>26.914136899999999</v>
      </c>
      <c r="H122" s="279">
        <v>27.007795699999999</v>
      </c>
      <c r="I122" s="279">
        <v>26.372638890000001</v>
      </c>
      <c r="J122" s="279">
        <v>26.291666670000001</v>
      </c>
      <c r="K122" s="279">
        <v>27.154583330000001</v>
      </c>
      <c r="L122" s="279">
        <v>27.50698925</v>
      </c>
      <c r="M122" s="279">
        <v>27.811424729999999</v>
      </c>
      <c r="N122" s="279">
        <v>27.734722219999998</v>
      </c>
      <c r="O122" s="279">
        <v>27.731720429999999</v>
      </c>
      <c r="P122" s="279">
        <v>27.967083330000001</v>
      </c>
      <c r="Q122" s="279">
        <v>28.192338710000001</v>
      </c>
      <c r="R122" s="279">
        <v>27.353709063333337</v>
      </c>
      <c r="S122" s="274">
        <f>SUMIFS(Aux_Lista!Y:Y,Aux_Lista!W:W,Aux_TBS!B122,Aux_Lista!X:X,Aux_TBS!A122)</f>
        <v>8</v>
      </c>
      <c r="T122" s="274" t="s">
        <v>6041</v>
      </c>
      <c r="U122" s="274">
        <v>38</v>
      </c>
    </row>
    <row r="123" spans="1:21" x14ac:dyDescent="0.25">
      <c r="A123" s="277" t="s">
        <v>4662</v>
      </c>
      <c r="B123" s="258" t="s">
        <v>3872</v>
      </c>
      <c r="C123" s="274" t="str">
        <f t="shared" si="1"/>
        <v>Grajaú, MA</v>
      </c>
      <c r="D123" s="278">
        <v>-5.82</v>
      </c>
      <c r="E123" s="258">
        <v>230</v>
      </c>
      <c r="F123" s="279">
        <v>25.789381720000002</v>
      </c>
      <c r="G123" s="279">
        <v>25.229166670000001</v>
      </c>
      <c r="H123" s="279">
        <v>25.5266129</v>
      </c>
      <c r="I123" s="279">
        <v>24.959444439999999</v>
      </c>
      <c r="J123" s="279">
        <v>25.137231180000001</v>
      </c>
      <c r="K123" s="279">
        <v>25.736249999999998</v>
      </c>
      <c r="L123" s="279">
        <v>25.981317199999999</v>
      </c>
      <c r="M123" s="279">
        <v>26.34327957</v>
      </c>
      <c r="N123" s="279">
        <v>27.244444439999999</v>
      </c>
      <c r="O123" s="279">
        <v>27.258602150000002</v>
      </c>
      <c r="P123" s="279">
        <v>27.795000000000002</v>
      </c>
      <c r="Q123" s="279">
        <v>26.485349459999998</v>
      </c>
      <c r="R123" s="279">
        <v>26.123839977500001</v>
      </c>
      <c r="S123" s="274">
        <f>SUMIFS(Aux_Lista!Y:Y,Aux_Lista!W:W,Aux_TBS!B123,Aux_Lista!X:X,Aux_TBS!A123)</f>
        <v>7</v>
      </c>
      <c r="T123" s="274" t="s">
        <v>6041</v>
      </c>
      <c r="U123" s="274">
        <v>38</v>
      </c>
    </row>
    <row r="124" spans="1:21" x14ac:dyDescent="0.25">
      <c r="A124" s="277" t="s">
        <v>4709</v>
      </c>
      <c r="B124" s="258" t="s">
        <v>3872</v>
      </c>
      <c r="C124" s="274" t="str">
        <f t="shared" si="1"/>
        <v>Imperatriz, MA</v>
      </c>
      <c r="D124" s="278">
        <v>-5.56</v>
      </c>
      <c r="E124" s="258">
        <v>126</v>
      </c>
      <c r="F124" s="279">
        <v>26.680107530000001</v>
      </c>
      <c r="G124" s="279">
        <v>26.10431548</v>
      </c>
      <c r="H124" s="279">
        <v>26.351881720000002</v>
      </c>
      <c r="I124" s="279">
        <v>25.807777779999999</v>
      </c>
      <c r="J124" s="279">
        <v>25.977284950000001</v>
      </c>
      <c r="K124" s="279">
        <v>26.423749999999998</v>
      </c>
      <c r="L124" s="279">
        <v>26.76680108</v>
      </c>
      <c r="M124" s="279">
        <v>27.170833330000001</v>
      </c>
      <c r="N124" s="279">
        <v>28.06736111</v>
      </c>
      <c r="O124" s="279">
        <v>28.283333330000001</v>
      </c>
      <c r="P124" s="279">
        <v>28.359444440000001</v>
      </c>
      <c r="Q124" s="279">
        <v>26.632258060000002</v>
      </c>
      <c r="R124" s="279">
        <v>26.885429067499999</v>
      </c>
      <c r="S124" s="274">
        <f>SUMIFS(Aux_Lista!Y:Y,Aux_Lista!W:W,Aux_TBS!B124,Aux_Lista!X:X,Aux_TBS!A124)</f>
        <v>7</v>
      </c>
      <c r="T124" s="274" t="s">
        <v>6041</v>
      </c>
      <c r="U124" s="274">
        <v>38</v>
      </c>
    </row>
    <row r="125" spans="1:21" x14ac:dyDescent="0.25">
      <c r="A125" s="277" t="s">
        <v>3902</v>
      </c>
      <c r="B125" s="258" t="s">
        <v>3872</v>
      </c>
      <c r="C125" s="274" t="str">
        <f t="shared" si="1"/>
        <v>São Luís, MA</v>
      </c>
      <c r="D125" s="278">
        <v>-2.5299999999999998</v>
      </c>
      <c r="E125" s="258">
        <v>56</v>
      </c>
      <c r="F125" s="279">
        <v>26.378494620000001</v>
      </c>
      <c r="G125" s="279">
        <v>25.719047620000001</v>
      </c>
      <c r="H125" s="279">
        <v>26.22392473</v>
      </c>
      <c r="I125" s="279">
        <v>26.140277780000002</v>
      </c>
      <c r="J125" s="279">
        <v>27.067338710000001</v>
      </c>
      <c r="K125" s="279">
        <v>26.658611109999999</v>
      </c>
      <c r="L125" s="279">
        <v>26.620698919999999</v>
      </c>
      <c r="M125" s="279">
        <v>26.697177419999999</v>
      </c>
      <c r="N125" s="279">
        <v>27.047916669999999</v>
      </c>
      <c r="O125" s="279">
        <v>27.401344089999998</v>
      </c>
      <c r="P125" s="279">
        <v>27.450555560000002</v>
      </c>
      <c r="Q125" s="279">
        <v>27.575537629999999</v>
      </c>
      <c r="R125" s="279">
        <v>26.748410405000001</v>
      </c>
      <c r="S125" s="274">
        <f>SUMIFS(Aux_Lista!Y:Y,Aux_Lista!W:W,Aux_TBS!B125,Aux_Lista!X:X,Aux_TBS!A125)</f>
        <v>8</v>
      </c>
      <c r="T125" s="274" t="s">
        <v>6041</v>
      </c>
      <c r="U125" s="274">
        <v>38</v>
      </c>
    </row>
    <row r="126" spans="1:21" x14ac:dyDescent="0.25">
      <c r="A126" s="277" t="s">
        <v>3983</v>
      </c>
      <c r="B126" s="258" t="s">
        <v>3872</v>
      </c>
      <c r="C126" s="274" t="str">
        <f t="shared" si="1"/>
        <v>Turiaçu, MA</v>
      </c>
      <c r="D126" s="278">
        <v>-1.66</v>
      </c>
      <c r="E126" s="258">
        <v>41</v>
      </c>
      <c r="F126" s="279">
        <v>26.733064519999999</v>
      </c>
      <c r="G126" s="279">
        <v>25.688541669999999</v>
      </c>
      <c r="H126" s="279">
        <v>25.607526880000002</v>
      </c>
      <c r="I126" s="279">
        <v>25.43041667</v>
      </c>
      <c r="J126" s="279">
        <v>25.184408600000001</v>
      </c>
      <c r="K126" s="279">
        <v>25.919166669999999</v>
      </c>
      <c r="L126" s="279">
        <v>26.446774189999999</v>
      </c>
      <c r="M126" s="279">
        <v>26.972177420000001</v>
      </c>
      <c r="N126" s="279">
        <v>27.274027780000001</v>
      </c>
      <c r="O126" s="279">
        <v>27.379569889999999</v>
      </c>
      <c r="P126" s="279">
        <v>27.688055559999999</v>
      </c>
      <c r="Q126" s="279">
        <v>27.921102149999999</v>
      </c>
      <c r="R126" s="279">
        <v>26.520402666666669</v>
      </c>
      <c r="S126" s="274">
        <f>SUMIFS(Aux_Lista!Y:Y,Aux_Lista!W:W,Aux_TBS!B126,Aux_Lista!X:X,Aux_TBS!A126)</f>
        <v>8</v>
      </c>
      <c r="T126" s="274" t="s">
        <v>6041</v>
      </c>
      <c r="U126" s="274">
        <v>38</v>
      </c>
    </row>
    <row r="127" spans="1:21" x14ac:dyDescent="0.25">
      <c r="A127" s="277" t="s">
        <v>2674</v>
      </c>
      <c r="B127" s="258" t="s">
        <v>274</v>
      </c>
      <c r="C127" s="274" t="str">
        <f t="shared" si="1"/>
        <v>Águas Vermelhas, MG</v>
      </c>
      <c r="D127" s="278">
        <v>-15.75</v>
      </c>
      <c r="E127" s="258">
        <v>740</v>
      </c>
      <c r="F127" s="279">
        <v>22.459139780000001</v>
      </c>
      <c r="G127" s="279">
        <v>23.067857140000001</v>
      </c>
      <c r="H127" s="279">
        <v>23.5672043</v>
      </c>
      <c r="I127" s="279">
        <v>21.604444440000002</v>
      </c>
      <c r="J127" s="279">
        <v>19.191397850000001</v>
      </c>
      <c r="K127" s="279">
        <v>18.75819444</v>
      </c>
      <c r="L127" s="279">
        <v>18.319758060000002</v>
      </c>
      <c r="M127" s="279">
        <v>19.244758059999999</v>
      </c>
      <c r="N127" s="279">
        <v>22.146249999999998</v>
      </c>
      <c r="O127" s="279">
        <v>22.833064520000001</v>
      </c>
      <c r="P127" s="279">
        <v>22.689444439999999</v>
      </c>
      <c r="Q127" s="279">
        <v>22.960483870000001</v>
      </c>
      <c r="R127" s="279">
        <v>21.403499741666668</v>
      </c>
      <c r="S127" s="274">
        <f>SUMIFS(Aux_Lista!Y:Y,Aux_Lista!W:W,Aux_TBS!B127,Aux_Lista!X:X,Aux_TBS!A127)</f>
        <v>5</v>
      </c>
      <c r="T127" s="274" t="s">
        <v>6043</v>
      </c>
      <c r="U127" s="274">
        <v>40</v>
      </c>
    </row>
    <row r="128" spans="1:21" x14ac:dyDescent="0.25">
      <c r="A128" s="277" t="s">
        <v>4900</v>
      </c>
      <c r="B128" s="258" t="s">
        <v>274</v>
      </c>
      <c r="C128" s="274" t="str">
        <f t="shared" si="1"/>
        <v>Aimorés, MG</v>
      </c>
      <c r="D128" s="278">
        <v>-19.5</v>
      </c>
      <c r="E128" s="258">
        <v>84</v>
      </c>
      <c r="F128" s="279">
        <v>25.370161289999999</v>
      </c>
      <c r="G128" s="279">
        <v>26.968601190000001</v>
      </c>
      <c r="H128" s="279">
        <v>27.33763441</v>
      </c>
      <c r="I128" s="279">
        <v>24.554861110000001</v>
      </c>
      <c r="J128" s="279">
        <v>22.647177419999998</v>
      </c>
      <c r="K128" s="279">
        <v>21.57111111</v>
      </c>
      <c r="L128" s="279">
        <v>22.03830645</v>
      </c>
      <c r="M128" s="279">
        <v>22.703897850000001</v>
      </c>
      <c r="N128" s="279">
        <v>25.206805559999999</v>
      </c>
      <c r="O128" s="279">
        <v>25.256182800000001</v>
      </c>
      <c r="P128" s="279">
        <v>26.43305556</v>
      </c>
      <c r="Q128" s="279">
        <v>26.107258059999999</v>
      </c>
      <c r="R128" s="279">
        <v>24.682921067500001</v>
      </c>
      <c r="S128" s="274">
        <f>SUMIFS(Aux_Lista!Y:Y,Aux_Lista!W:W,Aux_TBS!B128,Aux_Lista!X:X,Aux_TBS!A128)</f>
        <v>5</v>
      </c>
      <c r="T128" s="274" t="s">
        <v>6043</v>
      </c>
      <c r="U128" s="274">
        <v>40</v>
      </c>
    </row>
    <row r="129" spans="1:21" x14ac:dyDescent="0.25">
      <c r="A129" s="277" t="s">
        <v>4984</v>
      </c>
      <c r="B129" s="258" t="s">
        <v>274</v>
      </c>
      <c r="C129" s="274" t="str">
        <f t="shared" si="1"/>
        <v>Almenara, MG</v>
      </c>
      <c r="D129" s="278">
        <v>-16.18</v>
      </c>
      <c r="E129" s="258">
        <v>208</v>
      </c>
      <c r="F129" s="279">
        <v>26.372983869999999</v>
      </c>
      <c r="G129" s="279">
        <v>27.416071429999999</v>
      </c>
      <c r="H129" s="279">
        <v>27.637903229999999</v>
      </c>
      <c r="I129" s="279">
        <v>25.134583330000002</v>
      </c>
      <c r="J129" s="279">
        <v>23.252016130000001</v>
      </c>
      <c r="K129" s="279">
        <v>22.549583330000001</v>
      </c>
      <c r="L129" s="279">
        <v>22.30833333</v>
      </c>
      <c r="M129" s="279">
        <v>22.578763439999999</v>
      </c>
      <c r="N129" s="279">
        <v>25.051111110000001</v>
      </c>
      <c r="O129" s="279">
        <v>25.991935479999999</v>
      </c>
      <c r="P129" s="279">
        <v>26.84111111</v>
      </c>
      <c r="Q129" s="279">
        <v>27.630376340000002</v>
      </c>
      <c r="R129" s="279">
        <v>25.230397677499997</v>
      </c>
      <c r="S129" s="274">
        <f>SUMIFS(Aux_Lista!Y:Y,Aux_Lista!W:W,Aux_TBS!B129,Aux_Lista!X:X,Aux_TBS!A129)</f>
        <v>5</v>
      </c>
      <c r="T129" s="274" t="s">
        <v>6043</v>
      </c>
      <c r="U129" s="274">
        <v>40</v>
      </c>
    </row>
    <row r="130" spans="1:21" x14ac:dyDescent="0.25">
      <c r="A130" s="277" t="s">
        <v>2026</v>
      </c>
      <c r="B130" s="258" t="s">
        <v>274</v>
      </c>
      <c r="C130" s="274" t="str">
        <f t="shared" si="1"/>
        <v>Araxá, MG</v>
      </c>
      <c r="D130" s="278">
        <v>-19.59</v>
      </c>
      <c r="E130" s="258">
        <v>1020</v>
      </c>
      <c r="F130" s="279">
        <v>22.998387099999999</v>
      </c>
      <c r="G130" s="279">
        <v>23.465922620000001</v>
      </c>
      <c r="H130" s="279">
        <v>22.468413980000001</v>
      </c>
      <c r="I130" s="279">
        <v>21.45861111</v>
      </c>
      <c r="J130" s="279">
        <v>19.693279570000001</v>
      </c>
      <c r="K130" s="279">
        <v>19.266527780000001</v>
      </c>
      <c r="L130" s="279">
        <v>18.65913978</v>
      </c>
      <c r="M130" s="279">
        <v>21.194892469999999</v>
      </c>
      <c r="N130" s="279">
        <v>21.685694439999999</v>
      </c>
      <c r="O130" s="279">
        <v>23.169892470000001</v>
      </c>
      <c r="P130" s="279">
        <v>21.788472219999999</v>
      </c>
      <c r="Q130" s="279">
        <v>21.121505379999999</v>
      </c>
      <c r="R130" s="279">
        <v>21.41422824333333</v>
      </c>
      <c r="S130" s="274">
        <f>SUMIFS(Aux_Lista!Y:Y,Aux_Lista!W:W,Aux_TBS!B130,Aux_Lista!X:X,Aux_TBS!A130)</f>
        <v>3</v>
      </c>
      <c r="T130" s="274" t="s">
        <v>6043</v>
      </c>
      <c r="U130" s="274">
        <v>40</v>
      </c>
    </row>
    <row r="131" spans="1:21" x14ac:dyDescent="0.25">
      <c r="A131" s="277" t="s">
        <v>2082</v>
      </c>
      <c r="B131" s="258" t="s">
        <v>274</v>
      </c>
      <c r="C131" s="274" t="str">
        <f t="shared" ref="C131:C194" si="2">CONCATENATE(A131,", ",B131)</f>
        <v>Belo Horizonte, MG</v>
      </c>
      <c r="D131" s="278">
        <v>-19.82</v>
      </c>
      <c r="E131" s="258">
        <v>869</v>
      </c>
      <c r="F131" s="279">
        <v>22.992741939999998</v>
      </c>
      <c r="G131" s="279">
        <v>22.599107140000001</v>
      </c>
      <c r="H131" s="279">
        <v>23.988978490000001</v>
      </c>
      <c r="I131" s="279">
        <v>22.419444439999999</v>
      </c>
      <c r="J131" s="279">
        <v>19.867338709999999</v>
      </c>
      <c r="K131" s="279">
        <v>19.414583329999999</v>
      </c>
      <c r="L131" s="279">
        <v>19.38252688</v>
      </c>
      <c r="M131" s="279">
        <v>20.035752689999999</v>
      </c>
      <c r="N131" s="279">
        <v>21.724305560000001</v>
      </c>
      <c r="O131" s="279">
        <v>22.50416667</v>
      </c>
      <c r="P131" s="279">
        <v>24.081805559999999</v>
      </c>
      <c r="Q131" s="279">
        <v>22.11653226</v>
      </c>
      <c r="R131" s="279">
        <v>21.7606069725</v>
      </c>
      <c r="S131" s="274">
        <f>SUMIFS(Aux_Lista!Y:Y,Aux_Lista!W:W,Aux_TBS!B131,Aux_Lista!X:X,Aux_TBS!A131)</f>
        <v>3</v>
      </c>
      <c r="T131" s="274" t="s">
        <v>6043</v>
      </c>
      <c r="U131" s="274">
        <v>40</v>
      </c>
    </row>
    <row r="132" spans="1:21" x14ac:dyDescent="0.25">
      <c r="A132" s="277" t="s">
        <v>2067</v>
      </c>
      <c r="B132" s="258" t="s">
        <v>274</v>
      </c>
      <c r="C132" s="274" t="str">
        <f t="shared" si="2"/>
        <v>Buritis, MG</v>
      </c>
      <c r="D132" s="278">
        <v>-15.62</v>
      </c>
      <c r="E132" s="258">
        <v>894</v>
      </c>
      <c r="F132" s="279">
        <v>22.529704299999999</v>
      </c>
      <c r="G132" s="279">
        <v>23.947470240000001</v>
      </c>
      <c r="H132" s="279">
        <v>23.07002688</v>
      </c>
      <c r="I132" s="279">
        <v>21.56180556</v>
      </c>
      <c r="J132" s="279">
        <v>20.306720429999999</v>
      </c>
      <c r="K132" s="279">
        <v>19.937361110000001</v>
      </c>
      <c r="L132" s="279">
        <v>21.21169355</v>
      </c>
      <c r="M132" s="279">
        <v>21.572983870000002</v>
      </c>
      <c r="N132" s="279">
        <v>24.296944440000001</v>
      </c>
      <c r="O132" s="279">
        <v>23.208198920000001</v>
      </c>
      <c r="P132" s="279">
        <v>23.592361109999999</v>
      </c>
      <c r="Q132" s="279">
        <v>22.245430110000001</v>
      </c>
      <c r="R132" s="279">
        <v>22.290058376666668</v>
      </c>
      <c r="S132" s="274">
        <f>SUMIFS(Aux_Lista!Y:Y,Aux_Lista!W:W,Aux_TBS!B132,Aux_Lista!X:X,Aux_TBS!A132)</f>
        <v>6</v>
      </c>
      <c r="T132" s="274" t="s">
        <v>6043</v>
      </c>
      <c r="U132" s="274">
        <v>40</v>
      </c>
    </row>
    <row r="133" spans="1:21" x14ac:dyDescent="0.25">
      <c r="A133" s="277" t="s">
        <v>909</v>
      </c>
      <c r="B133" s="258" t="s">
        <v>274</v>
      </c>
      <c r="C133" s="274" t="str">
        <f t="shared" si="2"/>
        <v>Caldas, MG</v>
      </c>
      <c r="D133" s="278">
        <v>-21.92</v>
      </c>
      <c r="E133" s="258">
        <v>1150</v>
      </c>
      <c r="F133" s="279">
        <v>20.49946237</v>
      </c>
      <c r="G133" s="279">
        <v>20.60520833</v>
      </c>
      <c r="H133" s="279">
        <v>20.496102149999999</v>
      </c>
      <c r="I133" s="279">
        <v>19.101111110000002</v>
      </c>
      <c r="J133" s="279">
        <v>14.8061828</v>
      </c>
      <c r="K133" s="279">
        <v>13.47847222</v>
      </c>
      <c r="L133" s="279">
        <v>13.2672043</v>
      </c>
      <c r="M133" s="279">
        <v>15.10215054</v>
      </c>
      <c r="N133" s="279">
        <v>18.284166670000001</v>
      </c>
      <c r="O133" s="279">
        <v>18.424462370000001</v>
      </c>
      <c r="P133" s="279">
        <v>19.390694440000001</v>
      </c>
      <c r="Q133" s="279">
        <v>21.1561828</v>
      </c>
      <c r="R133" s="279">
        <v>17.88428334166667</v>
      </c>
      <c r="S133" s="274">
        <f>SUMIFS(Aux_Lista!Y:Y,Aux_Lista!W:W,Aux_TBS!B133,Aux_Lista!X:X,Aux_TBS!A133)</f>
        <v>3</v>
      </c>
      <c r="T133" s="274" t="s">
        <v>6043</v>
      </c>
      <c r="U133" s="274">
        <v>40</v>
      </c>
    </row>
    <row r="134" spans="1:21" x14ac:dyDescent="0.25">
      <c r="A134" s="277" t="s">
        <v>431</v>
      </c>
      <c r="B134" s="258" t="s">
        <v>274</v>
      </c>
      <c r="C134" s="274" t="str">
        <f t="shared" si="2"/>
        <v>Capelinha, MG</v>
      </c>
      <c r="D134" s="278">
        <v>-17.690000000000001</v>
      </c>
      <c r="E134" s="258">
        <v>932</v>
      </c>
      <c r="F134" s="279">
        <v>21.472715050000001</v>
      </c>
      <c r="G134" s="279">
        <v>21.771428570000001</v>
      </c>
      <c r="H134" s="279">
        <v>21.89180108</v>
      </c>
      <c r="I134" s="279">
        <v>19.89805556</v>
      </c>
      <c r="J134" s="279">
        <v>17.867338709999999</v>
      </c>
      <c r="K134" s="279">
        <v>17.436666670000001</v>
      </c>
      <c r="L134" s="279">
        <v>17.681317199999999</v>
      </c>
      <c r="M134" s="279">
        <v>18.0891129</v>
      </c>
      <c r="N134" s="279">
        <v>20.87125</v>
      </c>
      <c r="O134" s="279">
        <v>21.124865589999999</v>
      </c>
      <c r="P134" s="279">
        <v>21.822361109999999</v>
      </c>
      <c r="Q134" s="279">
        <v>21.197983870000002</v>
      </c>
      <c r="R134" s="279">
        <v>20.093741359166668</v>
      </c>
      <c r="S134" s="274">
        <f>SUMIFS(Aux_Lista!Y:Y,Aux_Lista!W:W,Aux_TBS!B134,Aux_Lista!X:X,Aux_TBS!A134)</f>
        <v>3</v>
      </c>
      <c r="T134" s="274" t="s">
        <v>6043</v>
      </c>
      <c r="U134" s="274">
        <v>40</v>
      </c>
    </row>
    <row r="135" spans="1:21" x14ac:dyDescent="0.25">
      <c r="A135" s="277" t="s">
        <v>3275</v>
      </c>
      <c r="B135" s="258" t="s">
        <v>274</v>
      </c>
      <c r="C135" s="274" t="str">
        <f t="shared" si="2"/>
        <v>Carangola, MG</v>
      </c>
      <c r="D135" s="278">
        <v>-20.73</v>
      </c>
      <c r="E135" s="258">
        <v>399</v>
      </c>
      <c r="F135" s="279">
        <v>22.735215050000001</v>
      </c>
      <c r="G135" s="279">
        <v>23.5046131</v>
      </c>
      <c r="H135" s="279">
        <v>22.839784949999999</v>
      </c>
      <c r="I135" s="279">
        <v>22.548333329999998</v>
      </c>
      <c r="J135" s="279">
        <v>18.942876340000002</v>
      </c>
      <c r="K135" s="279">
        <v>18.24291667</v>
      </c>
      <c r="L135" s="279">
        <v>17.328897850000001</v>
      </c>
      <c r="M135" s="279">
        <v>20.550134409999998</v>
      </c>
      <c r="N135" s="279">
        <v>23.747222220000001</v>
      </c>
      <c r="O135" s="279">
        <v>23.24811828</v>
      </c>
      <c r="P135" s="279">
        <v>25.811250000000001</v>
      </c>
      <c r="Q135" s="279">
        <v>25.064650539999999</v>
      </c>
      <c r="R135" s="279">
        <v>22.047001061666666</v>
      </c>
      <c r="S135" s="274">
        <f>SUMIFS(Aux_Lista!Y:Y,Aux_Lista!W:W,Aux_TBS!B135,Aux_Lista!X:X,Aux_TBS!A135)</f>
        <v>2</v>
      </c>
      <c r="T135" s="274" t="s">
        <v>6043</v>
      </c>
      <c r="U135" s="274">
        <v>40</v>
      </c>
    </row>
    <row r="136" spans="1:21" x14ac:dyDescent="0.25">
      <c r="A136" s="277" t="s">
        <v>1936</v>
      </c>
      <c r="B136" s="258" t="s">
        <v>274</v>
      </c>
      <c r="C136" s="274" t="str">
        <f t="shared" si="2"/>
        <v>Caratinga, MG</v>
      </c>
      <c r="D136" s="278">
        <v>-19.79</v>
      </c>
      <c r="E136" s="258">
        <v>615</v>
      </c>
      <c r="F136" s="279">
        <v>23.359811830000002</v>
      </c>
      <c r="G136" s="279">
        <v>24.198363100000002</v>
      </c>
      <c r="H136" s="279">
        <v>23.87311828</v>
      </c>
      <c r="I136" s="279">
        <v>21.641527780000001</v>
      </c>
      <c r="J136" s="279">
        <v>19.422311830000002</v>
      </c>
      <c r="K136" s="279">
        <v>18.315000000000001</v>
      </c>
      <c r="L136" s="279">
        <v>18.919623659999999</v>
      </c>
      <c r="M136" s="279">
        <v>19.776344089999998</v>
      </c>
      <c r="N136" s="279">
        <v>22.250555559999999</v>
      </c>
      <c r="O136" s="279">
        <v>22.55873656</v>
      </c>
      <c r="P136" s="279">
        <v>23.659861110000001</v>
      </c>
      <c r="Q136" s="279">
        <v>23.43696237</v>
      </c>
      <c r="R136" s="279">
        <v>21.784351347500003</v>
      </c>
      <c r="S136" s="274">
        <f>SUMIFS(Aux_Lista!Y:Y,Aux_Lista!W:W,Aux_TBS!B136,Aux_Lista!X:X,Aux_TBS!A136)</f>
        <v>3</v>
      </c>
      <c r="T136" s="274" t="s">
        <v>6043</v>
      </c>
      <c r="U136" s="274">
        <v>40</v>
      </c>
    </row>
    <row r="137" spans="1:21" x14ac:dyDescent="0.25">
      <c r="A137" s="277" t="s">
        <v>2029</v>
      </c>
      <c r="B137" s="258" t="s">
        <v>274</v>
      </c>
      <c r="C137" s="274" t="str">
        <f t="shared" si="2"/>
        <v>Chapada Gaúcha, MG</v>
      </c>
      <c r="D137" s="278">
        <v>-15.31</v>
      </c>
      <c r="E137" s="258">
        <v>880</v>
      </c>
      <c r="F137" s="279">
        <v>23.209677419999998</v>
      </c>
      <c r="G137" s="279">
        <v>23.279166669999999</v>
      </c>
      <c r="H137" s="279">
        <v>23.807930110000001</v>
      </c>
      <c r="I137" s="279">
        <v>22.09</v>
      </c>
      <c r="J137" s="279">
        <v>20.68803763</v>
      </c>
      <c r="K137" s="279">
        <v>20.350416670000001</v>
      </c>
      <c r="L137" s="279">
        <v>21.474059140000001</v>
      </c>
      <c r="M137" s="279">
        <v>21.986693549999998</v>
      </c>
      <c r="N137" s="279">
        <v>24.921944440000001</v>
      </c>
      <c r="O137" s="279">
        <v>23.77849462</v>
      </c>
      <c r="P137" s="279">
        <v>24.220138890000001</v>
      </c>
      <c r="Q137" s="279">
        <v>22.696774189999999</v>
      </c>
      <c r="R137" s="279">
        <v>22.708611110833331</v>
      </c>
      <c r="S137" s="274">
        <f>SUMIFS(Aux_Lista!Y:Y,Aux_Lista!W:W,Aux_TBS!B137,Aux_Lista!X:X,Aux_TBS!A137)</f>
        <v>6</v>
      </c>
      <c r="T137" s="274" t="s">
        <v>6043</v>
      </c>
      <c r="U137" s="274">
        <v>40</v>
      </c>
    </row>
    <row r="138" spans="1:21" x14ac:dyDescent="0.25">
      <c r="A138" s="277" t="s">
        <v>2754</v>
      </c>
      <c r="B138" s="258" t="s">
        <v>274</v>
      </c>
      <c r="C138" s="274" t="str">
        <f t="shared" si="2"/>
        <v>Conceição das Alagoas, MG</v>
      </c>
      <c r="D138" s="278">
        <v>-19.989999999999998</v>
      </c>
      <c r="E138" s="258">
        <v>568</v>
      </c>
      <c r="F138" s="279">
        <v>23.721370969999999</v>
      </c>
      <c r="G138" s="279">
        <v>23.690922619999998</v>
      </c>
      <c r="H138" s="279">
        <v>23.407392470000001</v>
      </c>
      <c r="I138" s="279">
        <v>22.841944439999999</v>
      </c>
      <c r="J138" s="279">
        <v>19.46169355</v>
      </c>
      <c r="K138" s="279">
        <v>19.998611109999999</v>
      </c>
      <c r="L138" s="279">
        <v>19.572177419999999</v>
      </c>
      <c r="M138" s="279">
        <v>22.71922043</v>
      </c>
      <c r="N138" s="279">
        <v>23.768888889999999</v>
      </c>
      <c r="O138" s="279">
        <v>25.678897849999998</v>
      </c>
      <c r="P138" s="279">
        <v>24.515555559999999</v>
      </c>
      <c r="Q138" s="279">
        <v>23.990456989999998</v>
      </c>
      <c r="R138" s="279">
        <v>22.780594358333335</v>
      </c>
      <c r="S138" s="274">
        <f>SUMIFS(Aux_Lista!Y:Y,Aux_Lista!W:W,Aux_TBS!B138,Aux_Lista!X:X,Aux_TBS!A138)</f>
        <v>6</v>
      </c>
      <c r="T138" s="274" t="s">
        <v>6043</v>
      </c>
      <c r="U138" s="274">
        <v>40</v>
      </c>
    </row>
    <row r="139" spans="1:21" x14ac:dyDescent="0.25">
      <c r="A139" s="277" t="s">
        <v>2678</v>
      </c>
      <c r="B139" s="258" t="s">
        <v>274</v>
      </c>
      <c r="C139" s="274" t="str">
        <f t="shared" si="2"/>
        <v>Curvelo, MG</v>
      </c>
      <c r="D139" s="278">
        <v>-18.760000000000002</v>
      </c>
      <c r="E139" s="258">
        <v>670</v>
      </c>
      <c r="F139" s="279">
        <v>24.143413979999998</v>
      </c>
      <c r="G139" s="279">
        <v>24.53035714</v>
      </c>
      <c r="H139" s="279">
        <v>24.61935484</v>
      </c>
      <c r="I139" s="279">
        <v>22.411944439999999</v>
      </c>
      <c r="J139" s="279">
        <v>20.651478489999999</v>
      </c>
      <c r="K139" s="279">
        <v>19.16069444</v>
      </c>
      <c r="L139" s="279">
        <v>20.51908602</v>
      </c>
      <c r="M139" s="279">
        <v>21.026747310000001</v>
      </c>
      <c r="N139" s="279">
        <v>24.431666669999998</v>
      </c>
      <c r="O139" s="279">
        <v>23.984274190000001</v>
      </c>
      <c r="P139" s="279">
        <v>25.32069444</v>
      </c>
      <c r="Q139" s="279">
        <v>23.476881720000002</v>
      </c>
      <c r="R139" s="279">
        <v>22.856382806666669</v>
      </c>
      <c r="S139" s="274">
        <f>SUMIFS(Aux_Lista!Y:Y,Aux_Lista!W:W,Aux_TBS!B139,Aux_Lista!X:X,Aux_TBS!A139)</f>
        <v>3</v>
      </c>
      <c r="T139" s="274" t="s">
        <v>6043</v>
      </c>
      <c r="U139" s="274">
        <v>40</v>
      </c>
    </row>
    <row r="140" spans="1:21" x14ac:dyDescent="0.25">
      <c r="A140" s="277" t="s">
        <v>351</v>
      </c>
      <c r="B140" s="258" t="s">
        <v>274</v>
      </c>
      <c r="C140" s="274" t="str">
        <f t="shared" si="2"/>
        <v>Diamantina, MG</v>
      </c>
      <c r="D140" s="278">
        <v>-18.23</v>
      </c>
      <c r="E140" s="258">
        <v>1356</v>
      </c>
      <c r="F140" s="279">
        <v>19.810349460000001</v>
      </c>
      <c r="G140" s="279">
        <v>20.139434519999998</v>
      </c>
      <c r="H140" s="279">
        <v>20.644758060000001</v>
      </c>
      <c r="I140" s="279">
        <v>18.352499999999999</v>
      </c>
      <c r="J140" s="279">
        <v>16.836827960000001</v>
      </c>
      <c r="K140" s="279">
        <v>15.843611109999999</v>
      </c>
      <c r="L140" s="279">
        <v>16.887096769999999</v>
      </c>
      <c r="M140" s="279">
        <v>16.55497312</v>
      </c>
      <c r="N140" s="279">
        <v>19.34527778</v>
      </c>
      <c r="O140" s="279">
        <v>19.085215049999999</v>
      </c>
      <c r="P140" s="279">
        <v>20.547638890000002</v>
      </c>
      <c r="Q140" s="279">
        <v>19.540322580000002</v>
      </c>
      <c r="R140" s="279">
        <v>18.632333774999999</v>
      </c>
      <c r="S140" s="274">
        <f>SUMIFS(Aux_Lista!Y:Y,Aux_Lista!W:W,Aux_TBS!B140,Aux_Lista!X:X,Aux_TBS!A140)</f>
        <v>3</v>
      </c>
      <c r="T140" s="274" t="s">
        <v>6043</v>
      </c>
      <c r="U140" s="274">
        <v>40</v>
      </c>
    </row>
    <row r="141" spans="1:21" x14ac:dyDescent="0.25">
      <c r="A141" s="277" t="s">
        <v>2208</v>
      </c>
      <c r="B141" s="258" t="s">
        <v>274</v>
      </c>
      <c r="C141" s="274" t="str">
        <f t="shared" si="2"/>
        <v>Dores do Indaiá, MG</v>
      </c>
      <c r="D141" s="278">
        <v>-19.46</v>
      </c>
      <c r="E141" s="258">
        <v>722</v>
      </c>
      <c r="F141" s="279">
        <v>22.973521510000001</v>
      </c>
      <c r="G141" s="279">
        <v>23.612202379999999</v>
      </c>
      <c r="H141" s="279">
        <v>22.712096769999999</v>
      </c>
      <c r="I141" s="279">
        <v>22.660555559999999</v>
      </c>
      <c r="J141" s="279">
        <v>20.051612899999999</v>
      </c>
      <c r="K141" s="279">
        <v>19.930972220000001</v>
      </c>
      <c r="L141" s="279">
        <v>18.768548389999999</v>
      </c>
      <c r="M141" s="279">
        <v>21.569354839999999</v>
      </c>
      <c r="N141" s="279">
        <v>21.94388889</v>
      </c>
      <c r="O141" s="279">
        <v>24.209139780000001</v>
      </c>
      <c r="P141" s="279">
        <v>22.858750000000001</v>
      </c>
      <c r="Q141" s="279">
        <v>22.669758059999999</v>
      </c>
      <c r="R141" s="279">
        <v>21.996700108333332</v>
      </c>
      <c r="S141" s="274">
        <f>SUMIFS(Aux_Lista!Y:Y,Aux_Lista!W:W,Aux_TBS!B141,Aux_Lista!X:X,Aux_TBS!A141)</f>
        <v>3</v>
      </c>
      <c r="T141" s="274" t="s">
        <v>6043</v>
      </c>
      <c r="U141" s="274">
        <v>40</v>
      </c>
    </row>
    <row r="142" spans="1:21" x14ac:dyDescent="0.25">
      <c r="A142" s="277" t="s">
        <v>5247</v>
      </c>
      <c r="B142" s="258" t="s">
        <v>274</v>
      </c>
      <c r="C142" s="274" t="str">
        <f t="shared" si="2"/>
        <v>Espinosa, MG</v>
      </c>
      <c r="D142" s="278">
        <v>-14.92</v>
      </c>
      <c r="E142" s="258">
        <v>570</v>
      </c>
      <c r="F142" s="279">
        <v>24.937768819999999</v>
      </c>
      <c r="G142" s="279">
        <v>26.388541669999999</v>
      </c>
      <c r="H142" s="279">
        <v>26.406989249999999</v>
      </c>
      <c r="I142" s="279">
        <v>24.172499999999999</v>
      </c>
      <c r="J142" s="279">
        <v>22.793145160000002</v>
      </c>
      <c r="K142" s="279">
        <v>22.758888890000001</v>
      </c>
      <c r="L142" s="279">
        <v>23.228360219999999</v>
      </c>
      <c r="M142" s="279">
        <v>24.249193550000001</v>
      </c>
      <c r="N142" s="279">
        <v>27.17694444</v>
      </c>
      <c r="O142" s="279">
        <v>26.479166670000001</v>
      </c>
      <c r="P142" s="279">
        <v>26.16597222</v>
      </c>
      <c r="Q142" s="279">
        <v>25.59180108</v>
      </c>
      <c r="R142" s="279">
        <v>25.0291059975</v>
      </c>
      <c r="S142" s="274">
        <f>SUMIFS(Aux_Lista!Y:Y,Aux_Lista!W:W,Aux_TBS!B142,Aux_Lista!X:X,Aux_TBS!A142)</f>
        <v>6</v>
      </c>
      <c r="T142" s="274" t="s">
        <v>6043</v>
      </c>
      <c r="U142" s="274">
        <v>40</v>
      </c>
    </row>
    <row r="143" spans="1:21" x14ac:dyDescent="0.25">
      <c r="A143" s="277" t="s">
        <v>3806</v>
      </c>
      <c r="B143" s="258" t="s">
        <v>274</v>
      </c>
      <c r="C143" s="274" t="str">
        <f t="shared" si="2"/>
        <v>Florestal, MG</v>
      </c>
      <c r="D143" s="278">
        <v>-19.89</v>
      </c>
      <c r="E143" s="258">
        <v>742</v>
      </c>
      <c r="F143" s="279">
        <v>22.804301079999998</v>
      </c>
      <c r="G143" s="279">
        <v>22.99672619</v>
      </c>
      <c r="H143" s="279">
        <v>22.912096770000002</v>
      </c>
      <c r="I143" s="279">
        <v>20.445555559999999</v>
      </c>
      <c r="J143" s="279">
        <v>18.17163978</v>
      </c>
      <c r="K143" s="279">
        <v>16.46763889</v>
      </c>
      <c r="L143" s="279">
        <v>14.84475806</v>
      </c>
      <c r="M143" s="279">
        <v>17.992741939999998</v>
      </c>
      <c r="N143" s="279">
        <v>19.439305560000001</v>
      </c>
      <c r="O143" s="279">
        <v>22.465188170000001</v>
      </c>
      <c r="P143" s="279">
        <v>22.165833330000002</v>
      </c>
      <c r="Q143" s="279">
        <v>21.83629032</v>
      </c>
      <c r="R143" s="279">
        <v>20.211839637499999</v>
      </c>
      <c r="S143" s="274">
        <f>SUMIFS(Aux_Lista!Y:Y,Aux_Lista!W:W,Aux_TBS!B143,Aux_Lista!X:X,Aux_TBS!A143)</f>
        <v>2</v>
      </c>
      <c r="T143" s="274" t="s">
        <v>6043</v>
      </c>
      <c r="U143" s="274">
        <v>40</v>
      </c>
    </row>
    <row r="144" spans="1:21" x14ac:dyDescent="0.25">
      <c r="A144" s="277" t="s">
        <v>2219</v>
      </c>
      <c r="B144" s="258" t="s">
        <v>274</v>
      </c>
      <c r="C144" s="274" t="str">
        <f t="shared" si="2"/>
        <v>Formiga, MG</v>
      </c>
      <c r="D144" s="278">
        <v>-20.46</v>
      </c>
      <c r="E144" s="258">
        <v>878</v>
      </c>
      <c r="F144" s="279">
        <v>22.13104839</v>
      </c>
      <c r="G144" s="279">
        <v>22.628869049999999</v>
      </c>
      <c r="H144" s="279">
        <v>22.168682799999999</v>
      </c>
      <c r="I144" s="279">
        <v>21.57680556</v>
      </c>
      <c r="J144" s="279">
        <v>18.533870969999999</v>
      </c>
      <c r="K144" s="279">
        <v>18.558194440000001</v>
      </c>
      <c r="L144" s="279">
        <v>17.319220430000001</v>
      </c>
      <c r="M144" s="279">
        <v>20.549193549999998</v>
      </c>
      <c r="N144" s="279">
        <v>20.696666669999999</v>
      </c>
      <c r="O144" s="279">
        <v>23.27567204</v>
      </c>
      <c r="P144" s="279">
        <v>21.991666670000001</v>
      </c>
      <c r="Q144" s="279">
        <v>21.798790319999998</v>
      </c>
      <c r="R144" s="279">
        <v>20.935723407499999</v>
      </c>
      <c r="S144" s="274">
        <f>SUMIFS(Aux_Lista!Y:Y,Aux_Lista!W:W,Aux_TBS!B144,Aux_Lista!X:X,Aux_TBS!A144)</f>
        <v>2</v>
      </c>
      <c r="T144" s="274" t="s">
        <v>6043</v>
      </c>
      <c r="U144" s="274">
        <v>40</v>
      </c>
    </row>
    <row r="145" spans="1:21" x14ac:dyDescent="0.25">
      <c r="A145" s="277" t="s">
        <v>1821</v>
      </c>
      <c r="B145" s="258" t="s">
        <v>274</v>
      </c>
      <c r="C145" s="274" t="str">
        <f t="shared" si="2"/>
        <v>Governador Valadares, MG</v>
      </c>
      <c r="D145" s="278">
        <v>-18.850000000000001</v>
      </c>
      <c r="E145" s="258">
        <v>263</v>
      </c>
      <c r="F145" s="279">
        <v>24.8391129</v>
      </c>
      <c r="G145" s="279">
        <v>26.259374999999999</v>
      </c>
      <c r="H145" s="279">
        <v>26.154569890000001</v>
      </c>
      <c r="I145" s="279">
        <v>23.759444439999999</v>
      </c>
      <c r="J145" s="279">
        <v>21.553360219999998</v>
      </c>
      <c r="K145" s="279">
        <v>21.130416669999999</v>
      </c>
      <c r="L145" s="279">
        <v>21.01263441</v>
      </c>
      <c r="M145" s="279">
        <v>22.175268819999999</v>
      </c>
      <c r="N145" s="279">
        <v>24.878888889999999</v>
      </c>
      <c r="O145" s="279">
        <v>25.2858871</v>
      </c>
      <c r="P145" s="279">
        <v>26.155277779999999</v>
      </c>
      <c r="Q145" s="279">
        <v>25.397983870000001</v>
      </c>
      <c r="R145" s="279">
        <v>24.050184999166664</v>
      </c>
      <c r="S145" s="274">
        <f>SUMIFS(Aux_Lista!Y:Y,Aux_Lista!W:W,Aux_TBS!B145,Aux_Lista!X:X,Aux_TBS!A145)</f>
        <v>5</v>
      </c>
      <c r="T145" s="274" t="s">
        <v>6043</v>
      </c>
      <c r="U145" s="274">
        <v>40</v>
      </c>
    </row>
    <row r="146" spans="1:21" x14ac:dyDescent="0.25">
      <c r="A146" s="277" t="s">
        <v>2077</v>
      </c>
      <c r="B146" s="258" t="s">
        <v>274</v>
      </c>
      <c r="C146" s="274" t="str">
        <f t="shared" si="2"/>
        <v>Guarda-Mor, MG</v>
      </c>
      <c r="D146" s="278">
        <v>-17.77</v>
      </c>
      <c r="E146" s="258">
        <v>616</v>
      </c>
      <c r="F146" s="279">
        <v>21.7905914</v>
      </c>
      <c r="G146" s="279">
        <v>22.233630949999998</v>
      </c>
      <c r="H146" s="279">
        <v>22.581182800000001</v>
      </c>
      <c r="I146" s="279">
        <v>20.624027779999999</v>
      </c>
      <c r="J146" s="279">
        <v>19.407526879999999</v>
      </c>
      <c r="K146" s="279">
        <v>18.14458333</v>
      </c>
      <c r="L146" s="279">
        <v>19.799596770000001</v>
      </c>
      <c r="M146" s="279">
        <v>19.92715054</v>
      </c>
      <c r="N146" s="279">
        <v>22.85541667</v>
      </c>
      <c r="O146" s="279">
        <v>21.874731180000001</v>
      </c>
      <c r="P146" s="279">
        <v>22.95902778</v>
      </c>
      <c r="Q146" s="279">
        <v>21.49435484</v>
      </c>
      <c r="R146" s="279">
        <v>21.14098507666667</v>
      </c>
      <c r="S146" s="274">
        <f>SUMIFS(Aux_Lista!Y:Y,Aux_Lista!W:W,Aux_TBS!B146,Aux_Lista!X:X,Aux_TBS!A146)</f>
        <v>6</v>
      </c>
      <c r="T146" s="274" t="s">
        <v>6043</v>
      </c>
      <c r="U146" s="274">
        <v>40</v>
      </c>
    </row>
    <row r="147" spans="1:21" x14ac:dyDescent="0.25">
      <c r="A147" s="277" t="s">
        <v>310</v>
      </c>
      <c r="B147" s="258" t="s">
        <v>274</v>
      </c>
      <c r="C147" s="274" t="str">
        <f t="shared" si="2"/>
        <v>Ibirité, MG</v>
      </c>
      <c r="D147" s="278">
        <v>-20.03</v>
      </c>
      <c r="E147" s="258">
        <v>1208</v>
      </c>
      <c r="F147" s="279">
        <v>20.902150540000001</v>
      </c>
      <c r="G147" s="279">
        <v>21.432291670000001</v>
      </c>
      <c r="H147" s="279">
        <v>21.670967739999998</v>
      </c>
      <c r="I147" s="279">
        <v>19.88138889</v>
      </c>
      <c r="J147" s="279">
        <v>18.34327957</v>
      </c>
      <c r="K147" s="279">
        <v>17.005833330000002</v>
      </c>
      <c r="L147" s="279">
        <v>18.559005379999999</v>
      </c>
      <c r="M147" s="279">
        <v>18.22674731</v>
      </c>
      <c r="N147" s="279">
        <v>21.01958333</v>
      </c>
      <c r="O147" s="279">
        <v>20.49435484</v>
      </c>
      <c r="P147" s="279">
        <v>21.856111110000001</v>
      </c>
      <c r="Q147" s="279">
        <v>20.185483869999999</v>
      </c>
      <c r="R147" s="279">
        <v>19.964766465</v>
      </c>
      <c r="S147" s="274">
        <f>SUMIFS(Aux_Lista!Y:Y,Aux_Lista!W:W,Aux_TBS!B147,Aux_Lista!X:X,Aux_TBS!A147)</f>
        <v>2</v>
      </c>
      <c r="T147" s="274" t="s">
        <v>6043</v>
      </c>
      <c r="U147" s="274">
        <v>40</v>
      </c>
    </row>
    <row r="148" spans="1:21" x14ac:dyDescent="0.25">
      <c r="A148" s="277" t="s">
        <v>2464</v>
      </c>
      <c r="B148" s="258" t="s">
        <v>274</v>
      </c>
      <c r="C148" s="274" t="str">
        <f t="shared" si="2"/>
        <v>Itaobim, MG</v>
      </c>
      <c r="D148" s="278">
        <v>-16.34</v>
      </c>
      <c r="E148" s="258">
        <v>266</v>
      </c>
      <c r="F148" s="279">
        <v>25.684543009999999</v>
      </c>
      <c r="G148" s="279">
        <v>26.903124999999999</v>
      </c>
      <c r="H148" s="279">
        <v>27.55967742</v>
      </c>
      <c r="I148" s="279">
        <v>24.422361110000001</v>
      </c>
      <c r="J148" s="279">
        <v>22.40537634</v>
      </c>
      <c r="K148" s="279">
        <v>22.616527779999998</v>
      </c>
      <c r="L148" s="279">
        <v>22.731182799999999</v>
      </c>
      <c r="M148" s="279">
        <v>23.84798387</v>
      </c>
      <c r="N148" s="279">
        <v>27.035138889999999</v>
      </c>
      <c r="O148" s="279">
        <v>26.425000000000001</v>
      </c>
      <c r="P148" s="279">
        <v>26.49027778</v>
      </c>
      <c r="Q148" s="279">
        <v>26.634543010000002</v>
      </c>
      <c r="R148" s="279">
        <v>25.229644750833334</v>
      </c>
      <c r="S148" s="274">
        <f>SUMIFS(Aux_Lista!Y:Y,Aux_Lista!W:W,Aux_TBS!B148,Aux_Lista!X:X,Aux_TBS!A148)</f>
        <v>5</v>
      </c>
      <c r="T148" s="274" t="s">
        <v>6043</v>
      </c>
      <c r="U148" s="274">
        <v>40</v>
      </c>
    </row>
    <row r="149" spans="1:21" x14ac:dyDescent="0.25">
      <c r="A149" s="277" t="s">
        <v>2869</v>
      </c>
      <c r="B149" s="258" t="s">
        <v>274</v>
      </c>
      <c r="C149" s="274" t="str">
        <f t="shared" si="2"/>
        <v>Ituiutaba, MG</v>
      </c>
      <c r="D149" s="278">
        <v>-18.97</v>
      </c>
      <c r="E149" s="258">
        <v>560</v>
      </c>
      <c r="F149" s="279">
        <v>24.19637097</v>
      </c>
      <c r="G149" s="279">
        <v>23.86532738</v>
      </c>
      <c r="H149" s="279">
        <v>23.981182799999999</v>
      </c>
      <c r="I149" s="279">
        <v>23.385972219999999</v>
      </c>
      <c r="J149" s="279">
        <v>20.315860220000001</v>
      </c>
      <c r="K149" s="279">
        <v>20.78</v>
      </c>
      <c r="L149" s="279">
        <v>20.074462369999999</v>
      </c>
      <c r="M149" s="279">
        <v>23.59233871</v>
      </c>
      <c r="N149" s="279">
        <v>24.419583329999998</v>
      </c>
      <c r="O149" s="279">
        <v>25.42997312</v>
      </c>
      <c r="P149" s="279">
        <v>24.702638889999999</v>
      </c>
      <c r="Q149" s="279">
        <v>24.48924731</v>
      </c>
      <c r="R149" s="279">
        <v>23.269413110000002</v>
      </c>
      <c r="S149" s="274">
        <f>SUMIFS(Aux_Lista!Y:Y,Aux_Lista!W:W,Aux_TBS!B149,Aux_Lista!X:X,Aux_TBS!A149)</f>
        <v>6</v>
      </c>
      <c r="T149" s="274" t="s">
        <v>6043</v>
      </c>
      <c r="U149" s="274">
        <v>40</v>
      </c>
    </row>
    <row r="150" spans="1:21" x14ac:dyDescent="0.25">
      <c r="A150" s="277" t="s">
        <v>1929</v>
      </c>
      <c r="B150" s="258" t="s">
        <v>274</v>
      </c>
      <c r="C150" s="274" t="str">
        <f t="shared" si="2"/>
        <v>João Pinheiro, MG</v>
      </c>
      <c r="D150" s="278">
        <v>-17.78</v>
      </c>
      <c r="E150" s="258">
        <v>870</v>
      </c>
      <c r="F150" s="279">
        <v>23.131317200000002</v>
      </c>
      <c r="G150" s="279">
        <v>23.696874999999999</v>
      </c>
      <c r="H150" s="279">
        <v>23.91465054</v>
      </c>
      <c r="I150" s="279">
        <v>21.872499999999999</v>
      </c>
      <c r="J150" s="279">
        <v>20.814112900000001</v>
      </c>
      <c r="K150" s="279">
        <v>19.585000000000001</v>
      </c>
      <c r="L150" s="279">
        <v>21.381317200000002</v>
      </c>
      <c r="M150" s="279">
        <v>21.209139780000001</v>
      </c>
      <c r="N150" s="279">
        <v>24.128611110000001</v>
      </c>
      <c r="O150" s="279">
        <v>23.19314516</v>
      </c>
      <c r="P150" s="279">
        <v>24.24291667</v>
      </c>
      <c r="Q150" s="279">
        <v>22.33481183</v>
      </c>
      <c r="R150" s="279">
        <v>22.458699782500002</v>
      </c>
      <c r="S150" s="274">
        <f>SUMIFS(Aux_Lista!Y:Y,Aux_Lista!W:W,Aux_TBS!B150,Aux_Lista!X:X,Aux_TBS!A150)</f>
        <v>6</v>
      </c>
      <c r="T150" s="274" t="s">
        <v>6043</v>
      </c>
      <c r="U150" s="274">
        <v>40</v>
      </c>
    </row>
    <row r="151" spans="1:21" x14ac:dyDescent="0.25">
      <c r="A151" s="277" t="s">
        <v>340</v>
      </c>
      <c r="B151" s="258" t="s">
        <v>274</v>
      </c>
      <c r="C151" s="274" t="str">
        <f t="shared" si="2"/>
        <v>Juiz de Fora, MG</v>
      </c>
      <c r="D151" s="278">
        <v>-21.76</v>
      </c>
      <c r="E151" s="258">
        <v>950</v>
      </c>
      <c r="F151" s="279">
        <v>19.99301075</v>
      </c>
      <c r="G151" s="279">
        <v>20.920833330000001</v>
      </c>
      <c r="H151" s="279">
        <v>20.468951610000001</v>
      </c>
      <c r="I151" s="279">
        <v>19.829583329999998</v>
      </c>
      <c r="J151" s="279">
        <v>17.255376340000002</v>
      </c>
      <c r="K151" s="279">
        <v>16.151111109999999</v>
      </c>
      <c r="L151" s="279">
        <v>16.41236559</v>
      </c>
      <c r="M151" s="279">
        <v>17.990860219999998</v>
      </c>
      <c r="N151" s="279">
        <v>17.126388890000001</v>
      </c>
      <c r="O151" s="279">
        <v>19.460215049999999</v>
      </c>
      <c r="P151" s="279">
        <v>18.44083333</v>
      </c>
      <c r="Q151" s="279">
        <v>19.24717742</v>
      </c>
      <c r="R151" s="279">
        <v>18.608058914166666</v>
      </c>
      <c r="S151" s="274">
        <f>SUMIFS(Aux_Lista!Y:Y,Aux_Lista!W:W,Aux_TBS!B151,Aux_Lista!X:X,Aux_TBS!A151)</f>
        <v>3</v>
      </c>
      <c r="T151" s="274" t="s">
        <v>6043</v>
      </c>
      <c r="U151" s="274">
        <v>40</v>
      </c>
    </row>
    <row r="152" spans="1:21" x14ac:dyDescent="0.25">
      <c r="A152" s="277" t="s">
        <v>1720</v>
      </c>
      <c r="B152" s="258" t="s">
        <v>274</v>
      </c>
      <c r="C152" s="274" t="str">
        <f t="shared" si="2"/>
        <v>Mantena, MG</v>
      </c>
      <c r="D152" s="278">
        <v>-18.78</v>
      </c>
      <c r="E152" s="258">
        <v>214</v>
      </c>
      <c r="F152" s="279">
        <v>25.178897849999998</v>
      </c>
      <c r="G152" s="279">
        <v>26.6764881</v>
      </c>
      <c r="H152" s="279">
        <v>26.74153226</v>
      </c>
      <c r="I152" s="279">
        <v>24.343611110000001</v>
      </c>
      <c r="J152" s="279">
        <v>22.14596774</v>
      </c>
      <c r="K152" s="279">
        <v>21.24472222</v>
      </c>
      <c r="L152" s="279">
        <v>21.37405914</v>
      </c>
      <c r="M152" s="279">
        <v>22.007392469999999</v>
      </c>
      <c r="N152" s="279">
        <v>24.600277779999999</v>
      </c>
      <c r="O152" s="279">
        <v>25.0094086</v>
      </c>
      <c r="P152" s="279">
        <v>26.142222220000001</v>
      </c>
      <c r="Q152" s="279">
        <v>25.819220430000001</v>
      </c>
      <c r="R152" s="279">
        <v>24.273649993333333</v>
      </c>
      <c r="S152" s="274">
        <f>SUMIFS(Aux_Lista!Y:Y,Aux_Lista!W:W,Aux_TBS!B152,Aux_Lista!X:X,Aux_TBS!A152)</f>
        <v>5</v>
      </c>
      <c r="T152" s="274" t="s">
        <v>6043</v>
      </c>
      <c r="U152" s="274">
        <v>40</v>
      </c>
    </row>
    <row r="153" spans="1:21" x14ac:dyDescent="0.25">
      <c r="A153" s="277" t="s">
        <v>476</v>
      </c>
      <c r="B153" s="258" t="s">
        <v>274</v>
      </c>
      <c r="C153" s="274" t="str">
        <f t="shared" si="2"/>
        <v>Maria da Fé, MG</v>
      </c>
      <c r="D153" s="278">
        <v>-22.31</v>
      </c>
      <c r="E153" s="258">
        <v>1276</v>
      </c>
      <c r="F153" s="279">
        <v>18.624865589999999</v>
      </c>
      <c r="G153" s="279">
        <v>18.872470239999998</v>
      </c>
      <c r="H153" s="279">
        <v>18.031586019999999</v>
      </c>
      <c r="I153" s="279">
        <v>17.115138890000001</v>
      </c>
      <c r="J153" s="279">
        <v>13.376209680000001</v>
      </c>
      <c r="K153" s="279">
        <v>13.410555560000001</v>
      </c>
      <c r="L153" s="279">
        <v>11.665994619999999</v>
      </c>
      <c r="M153" s="279">
        <v>15.02540323</v>
      </c>
      <c r="N153" s="279">
        <v>15.08597222</v>
      </c>
      <c r="O153" s="279">
        <v>18.293548390000002</v>
      </c>
      <c r="P153" s="279">
        <v>17.450694439999999</v>
      </c>
      <c r="Q153" s="279">
        <v>18.274462369999998</v>
      </c>
      <c r="R153" s="279">
        <v>16.268908437500002</v>
      </c>
      <c r="S153" s="274">
        <f>SUMIFS(Aux_Lista!Y:Y,Aux_Lista!W:W,Aux_TBS!B153,Aux_Lista!X:X,Aux_TBS!A153)</f>
        <v>2</v>
      </c>
      <c r="T153" s="274" t="s">
        <v>6043</v>
      </c>
      <c r="U153" s="274">
        <v>40</v>
      </c>
    </row>
    <row r="154" spans="1:21" x14ac:dyDescent="0.25">
      <c r="A154" s="277" t="s">
        <v>2443</v>
      </c>
      <c r="B154" s="258" t="s">
        <v>274</v>
      </c>
      <c r="C154" s="274" t="str">
        <f t="shared" si="2"/>
        <v>Porteirinha, MG</v>
      </c>
      <c r="D154" s="278">
        <v>-15.09</v>
      </c>
      <c r="E154" s="258">
        <v>460</v>
      </c>
      <c r="F154" s="279">
        <v>25.276881719999999</v>
      </c>
      <c r="G154" s="279">
        <v>26.031398809999999</v>
      </c>
      <c r="H154" s="279">
        <v>26.18333333</v>
      </c>
      <c r="I154" s="279">
        <v>24.277222219999999</v>
      </c>
      <c r="J154" s="279">
        <v>22.612096770000001</v>
      </c>
      <c r="K154" s="279">
        <v>22.41902778</v>
      </c>
      <c r="L154" s="279">
        <v>22.56061828</v>
      </c>
      <c r="M154" s="279">
        <v>23.854301079999999</v>
      </c>
      <c r="N154" s="279">
        <v>26.91680556</v>
      </c>
      <c r="O154" s="279">
        <v>26.78266129</v>
      </c>
      <c r="P154" s="279">
        <v>26.075138890000002</v>
      </c>
      <c r="Q154" s="279">
        <v>25.169623659999999</v>
      </c>
      <c r="R154" s="279">
        <v>24.846592449166664</v>
      </c>
      <c r="S154" s="274">
        <f>SUMIFS(Aux_Lista!Y:Y,Aux_Lista!W:W,Aux_TBS!B154,Aux_Lista!X:X,Aux_TBS!A154)</f>
        <v>6</v>
      </c>
      <c r="T154" s="274" t="s">
        <v>6043</v>
      </c>
      <c r="U154" s="274">
        <v>40</v>
      </c>
    </row>
    <row r="155" spans="1:21" x14ac:dyDescent="0.25">
      <c r="A155" s="277" t="s">
        <v>2864</v>
      </c>
      <c r="B155" s="258" t="s">
        <v>274</v>
      </c>
      <c r="C155" s="274" t="str">
        <f t="shared" si="2"/>
        <v>Montalvânia, MG</v>
      </c>
      <c r="D155" s="278">
        <v>-14.42</v>
      </c>
      <c r="E155" s="258">
        <v>512</v>
      </c>
      <c r="F155" s="279">
        <v>24.178494619999999</v>
      </c>
      <c r="G155" s="279">
        <v>24.537797619999999</v>
      </c>
      <c r="H155" s="279">
        <v>24.947983870000002</v>
      </c>
      <c r="I155" s="279">
        <v>23.517499999999998</v>
      </c>
      <c r="J155" s="279">
        <v>21.340322579999999</v>
      </c>
      <c r="K155" s="279">
        <v>20.796250000000001</v>
      </c>
      <c r="L155" s="279">
        <v>20.896102150000001</v>
      </c>
      <c r="M155" s="279">
        <v>23.101075269999999</v>
      </c>
      <c r="N155" s="279">
        <v>26.323194440000002</v>
      </c>
      <c r="O155" s="279">
        <v>26.082258060000001</v>
      </c>
      <c r="P155" s="279">
        <v>24.975277779999999</v>
      </c>
      <c r="Q155" s="279">
        <v>24.163037630000002</v>
      </c>
      <c r="R155" s="279">
        <v>23.738274501666666</v>
      </c>
      <c r="S155" s="274">
        <f>SUMIFS(Aux_Lista!Y:Y,Aux_Lista!W:W,Aux_TBS!B155,Aux_Lista!X:X,Aux_TBS!A155)</f>
        <v>6</v>
      </c>
      <c r="T155" s="274" t="s">
        <v>6043</v>
      </c>
      <c r="U155" s="274">
        <v>40</v>
      </c>
    </row>
    <row r="156" spans="1:21" x14ac:dyDescent="0.25">
      <c r="A156" s="277" t="s">
        <v>673</v>
      </c>
      <c r="B156" s="258" t="s">
        <v>274</v>
      </c>
      <c r="C156" s="274" t="str">
        <f t="shared" si="2"/>
        <v>Camanducaia, MG</v>
      </c>
      <c r="D156" s="278">
        <v>-22.86</v>
      </c>
      <c r="E156" s="258">
        <v>1500</v>
      </c>
      <c r="F156" s="279">
        <v>17.728225810000001</v>
      </c>
      <c r="G156" s="279">
        <v>16.959821430000002</v>
      </c>
      <c r="H156" s="279">
        <v>17.4061828</v>
      </c>
      <c r="I156" s="279">
        <v>16.505555560000001</v>
      </c>
      <c r="J156" s="279">
        <v>13.48091398</v>
      </c>
      <c r="K156" s="279">
        <v>12.23833333</v>
      </c>
      <c r="L156" s="279">
        <v>11.399865589999999</v>
      </c>
      <c r="M156" s="279">
        <v>13.165994619999999</v>
      </c>
      <c r="N156" s="279">
        <v>14.30875</v>
      </c>
      <c r="O156" s="279">
        <v>17.568682800000001</v>
      </c>
      <c r="P156" s="279">
        <v>16.338194439999999</v>
      </c>
      <c r="Q156" s="279">
        <v>16.339919349999999</v>
      </c>
      <c r="R156" s="279">
        <v>15.286703309166668</v>
      </c>
      <c r="S156" s="274">
        <f>SUMIFS(Aux_Lista!Y:Y,Aux_Lista!W:W,Aux_TBS!B156,Aux_Lista!X:X,Aux_TBS!A156)</f>
        <v>3</v>
      </c>
      <c r="T156" s="274" t="s">
        <v>6043</v>
      </c>
      <c r="U156" s="274">
        <v>40</v>
      </c>
    </row>
    <row r="157" spans="1:21" x14ac:dyDescent="0.25">
      <c r="A157" s="277" t="s">
        <v>2620</v>
      </c>
      <c r="B157" s="258" t="s">
        <v>274</v>
      </c>
      <c r="C157" s="274" t="str">
        <f t="shared" si="2"/>
        <v>Montes Claros, MG</v>
      </c>
      <c r="D157" s="278">
        <v>-16.739999999999998</v>
      </c>
      <c r="E157" s="258">
        <v>646</v>
      </c>
      <c r="F157" s="279">
        <v>24.360752690000002</v>
      </c>
      <c r="G157" s="279">
        <v>24.62872024</v>
      </c>
      <c r="H157" s="279">
        <v>24.598118280000001</v>
      </c>
      <c r="I157" s="279">
        <v>24.415138890000001</v>
      </c>
      <c r="J157" s="279">
        <v>22.33293011</v>
      </c>
      <c r="K157" s="279">
        <v>20.945138889999999</v>
      </c>
      <c r="L157" s="279">
        <v>20.379032259999999</v>
      </c>
      <c r="M157" s="279">
        <v>22.203763439999999</v>
      </c>
      <c r="N157" s="279">
        <v>24.144444440000001</v>
      </c>
      <c r="O157" s="279">
        <v>25.057123659999998</v>
      </c>
      <c r="P157" s="279">
        <v>25.437777780000001</v>
      </c>
      <c r="Q157" s="279">
        <v>25.636290320000001</v>
      </c>
      <c r="R157" s="279">
        <v>23.67826925</v>
      </c>
      <c r="S157" s="274">
        <f>SUMIFS(Aux_Lista!Y:Y,Aux_Lista!W:W,Aux_TBS!B157,Aux_Lista!X:X,Aux_TBS!A157)</f>
        <v>6</v>
      </c>
      <c r="T157" s="274" t="s">
        <v>6043</v>
      </c>
      <c r="U157" s="274">
        <v>40</v>
      </c>
    </row>
    <row r="158" spans="1:21" x14ac:dyDescent="0.25">
      <c r="A158" s="277" t="s">
        <v>3108</v>
      </c>
      <c r="B158" s="258" t="s">
        <v>274</v>
      </c>
      <c r="C158" s="274" t="str">
        <f t="shared" si="2"/>
        <v>Muriaé, MG</v>
      </c>
      <c r="D158" s="278">
        <v>-21.13</v>
      </c>
      <c r="E158" s="258">
        <v>297</v>
      </c>
      <c r="F158" s="279">
        <v>24.7813172</v>
      </c>
      <c r="G158" s="279">
        <v>25.740029759999999</v>
      </c>
      <c r="H158" s="279">
        <v>25.401881719999999</v>
      </c>
      <c r="I158" s="279">
        <v>22.835694440000001</v>
      </c>
      <c r="J158" s="279">
        <v>21.453897850000001</v>
      </c>
      <c r="K158" s="279">
        <v>19.416250000000002</v>
      </c>
      <c r="L158" s="279">
        <v>20.67997312</v>
      </c>
      <c r="M158" s="279">
        <v>20.715322579999999</v>
      </c>
      <c r="N158" s="279">
        <v>23.752500000000001</v>
      </c>
      <c r="O158" s="279">
        <v>23.429435479999999</v>
      </c>
      <c r="P158" s="279">
        <v>25.96347222</v>
      </c>
      <c r="Q158" s="279">
        <v>24.999865589999999</v>
      </c>
      <c r="R158" s="279">
        <v>23.264136663333332</v>
      </c>
      <c r="S158" s="274">
        <f>SUMIFS(Aux_Lista!Y:Y,Aux_Lista!W:W,Aux_TBS!B158,Aux_Lista!X:X,Aux_TBS!A158)</f>
        <v>3</v>
      </c>
      <c r="T158" s="274" t="s">
        <v>6043</v>
      </c>
      <c r="U158" s="274">
        <v>40</v>
      </c>
    </row>
    <row r="159" spans="1:21" x14ac:dyDescent="0.25">
      <c r="A159" s="277" t="s">
        <v>372</v>
      </c>
      <c r="B159" s="258" t="s">
        <v>274</v>
      </c>
      <c r="C159" s="274" t="str">
        <f t="shared" si="2"/>
        <v>Ouro Branco, MG</v>
      </c>
      <c r="D159" s="278">
        <v>-20.52</v>
      </c>
      <c r="E159" s="258">
        <v>1061</v>
      </c>
      <c r="F159" s="279">
        <v>20.801478490000001</v>
      </c>
      <c r="G159" s="279">
        <v>21.537351189999999</v>
      </c>
      <c r="H159" s="279">
        <v>21.360752690000002</v>
      </c>
      <c r="I159" s="279">
        <v>19.231249999999999</v>
      </c>
      <c r="J159" s="279">
        <v>17.917741939999999</v>
      </c>
      <c r="K159" s="279">
        <v>16.447361109999999</v>
      </c>
      <c r="L159" s="279">
        <v>17.831989249999999</v>
      </c>
      <c r="M159" s="279">
        <v>17.640322579999999</v>
      </c>
      <c r="N159" s="279">
        <v>20.707222219999998</v>
      </c>
      <c r="O159" s="279">
        <v>20.092069890000001</v>
      </c>
      <c r="P159" s="279">
        <v>21.900416669999998</v>
      </c>
      <c r="Q159" s="279">
        <v>20.785349459999999</v>
      </c>
      <c r="R159" s="279">
        <v>19.687775457499999</v>
      </c>
      <c r="S159" s="274">
        <f>SUMIFS(Aux_Lista!Y:Y,Aux_Lista!W:W,Aux_TBS!B159,Aux_Lista!X:X,Aux_TBS!A159)</f>
        <v>3</v>
      </c>
      <c r="T159" s="274" t="s">
        <v>6043</v>
      </c>
      <c r="U159" s="274">
        <v>40</v>
      </c>
    </row>
    <row r="160" spans="1:21" x14ac:dyDescent="0.25">
      <c r="A160" s="277" t="s">
        <v>488</v>
      </c>
      <c r="B160" s="258" t="s">
        <v>274</v>
      </c>
      <c r="C160" s="274" t="str">
        <f t="shared" si="2"/>
        <v>Passa Quatro, MG</v>
      </c>
      <c r="D160" s="278">
        <v>-22.39</v>
      </c>
      <c r="E160" s="258">
        <v>1040</v>
      </c>
      <c r="F160" s="279">
        <v>21.533467739999999</v>
      </c>
      <c r="G160" s="279">
        <v>21.40401786</v>
      </c>
      <c r="H160" s="279">
        <v>20.000672040000001</v>
      </c>
      <c r="I160" s="279">
        <v>18.939166669999999</v>
      </c>
      <c r="J160" s="279">
        <v>15.93803763</v>
      </c>
      <c r="K160" s="279">
        <v>15.22611111</v>
      </c>
      <c r="L160" s="279">
        <v>14.596370970000001</v>
      </c>
      <c r="M160" s="279">
        <v>17.22768817</v>
      </c>
      <c r="N160" s="279">
        <v>16.942499999999999</v>
      </c>
      <c r="O160" s="279">
        <v>19.468548389999999</v>
      </c>
      <c r="P160" s="279">
        <v>18.883749999999999</v>
      </c>
      <c r="Q160" s="279">
        <v>19.492876339999999</v>
      </c>
      <c r="R160" s="279">
        <v>18.30443391</v>
      </c>
      <c r="S160" s="274">
        <f>SUMIFS(Aux_Lista!Y:Y,Aux_Lista!W:W,Aux_TBS!B160,Aux_Lista!X:X,Aux_TBS!A160)</f>
        <v>2</v>
      </c>
      <c r="T160" s="274" t="s">
        <v>6043</v>
      </c>
      <c r="U160" s="274">
        <v>40</v>
      </c>
    </row>
    <row r="161" spans="1:21" x14ac:dyDescent="0.25">
      <c r="A161" s="277" t="s">
        <v>2783</v>
      </c>
      <c r="B161" s="258" t="s">
        <v>274</v>
      </c>
      <c r="C161" s="274" t="str">
        <f t="shared" si="2"/>
        <v>Passos, MG</v>
      </c>
      <c r="D161" s="278">
        <v>-20.75</v>
      </c>
      <c r="E161" s="258">
        <v>875</v>
      </c>
      <c r="F161" s="279">
        <v>22.158467739999999</v>
      </c>
      <c r="G161" s="279">
        <v>22.303125000000001</v>
      </c>
      <c r="H161" s="279">
        <v>21.65524194</v>
      </c>
      <c r="I161" s="279">
        <v>20.92930556</v>
      </c>
      <c r="J161" s="279">
        <v>17.779704299999999</v>
      </c>
      <c r="K161" s="279">
        <v>18.142638890000001</v>
      </c>
      <c r="L161" s="279">
        <v>17.119758059999999</v>
      </c>
      <c r="M161" s="279">
        <v>20.0797043</v>
      </c>
      <c r="N161" s="279">
        <v>20.780972219999999</v>
      </c>
      <c r="O161" s="279">
        <v>22.801344090000001</v>
      </c>
      <c r="P161" s="279">
        <v>22.18791667</v>
      </c>
      <c r="Q161" s="279">
        <v>22.25228495</v>
      </c>
      <c r="R161" s="279">
        <v>20.682538643333331</v>
      </c>
      <c r="S161" s="274">
        <f>SUMIFS(Aux_Lista!Y:Y,Aux_Lista!W:W,Aux_TBS!B161,Aux_Lista!X:X,Aux_TBS!A161)</f>
        <v>4</v>
      </c>
      <c r="T161" s="274" t="s">
        <v>6043</v>
      </c>
      <c r="U161" s="274">
        <v>40</v>
      </c>
    </row>
    <row r="162" spans="1:21" x14ac:dyDescent="0.25">
      <c r="A162" s="277" t="s">
        <v>853</v>
      </c>
      <c r="B162" s="258" t="s">
        <v>274</v>
      </c>
      <c r="C162" s="274" t="str">
        <f t="shared" si="2"/>
        <v>Patrocínio, MG</v>
      </c>
      <c r="D162" s="278">
        <v>-18.940000000000001</v>
      </c>
      <c r="E162" s="258">
        <v>976</v>
      </c>
      <c r="F162" s="279">
        <v>21.261962369999999</v>
      </c>
      <c r="G162" s="279">
        <v>21.59598214</v>
      </c>
      <c r="H162" s="279">
        <v>21.004973119999999</v>
      </c>
      <c r="I162" s="279">
        <v>20.919444439999999</v>
      </c>
      <c r="J162" s="279">
        <v>18.309811830000001</v>
      </c>
      <c r="K162" s="279">
        <v>17.901250000000001</v>
      </c>
      <c r="L162" s="279">
        <v>16.731182799999999</v>
      </c>
      <c r="M162" s="279">
        <v>19.830241940000001</v>
      </c>
      <c r="N162" s="279">
        <v>20.940416670000001</v>
      </c>
      <c r="O162" s="279">
        <v>22.762903229999999</v>
      </c>
      <c r="P162" s="279">
        <v>21.648888889999998</v>
      </c>
      <c r="Q162" s="279">
        <v>21.077688169999998</v>
      </c>
      <c r="R162" s="279">
        <v>20.332062133333334</v>
      </c>
      <c r="S162" s="274">
        <f>SUMIFS(Aux_Lista!Y:Y,Aux_Lista!W:W,Aux_TBS!B162,Aux_Lista!X:X,Aux_TBS!A162)</f>
        <v>4</v>
      </c>
      <c r="T162" s="274" t="s">
        <v>6043</v>
      </c>
      <c r="U162" s="274">
        <v>40</v>
      </c>
    </row>
    <row r="163" spans="1:21" x14ac:dyDescent="0.25">
      <c r="A163" s="277" t="s">
        <v>2773</v>
      </c>
      <c r="B163" s="258" t="s">
        <v>274</v>
      </c>
      <c r="C163" s="274" t="str">
        <f t="shared" si="2"/>
        <v>Pirapora, MG</v>
      </c>
      <c r="D163" s="278">
        <v>-17.34</v>
      </c>
      <c r="E163" s="258">
        <v>489</v>
      </c>
      <c r="F163" s="279">
        <v>24.861559140000001</v>
      </c>
      <c r="G163" s="279">
        <v>25.553720240000001</v>
      </c>
      <c r="H163" s="279">
        <v>25.339650540000001</v>
      </c>
      <c r="I163" s="279">
        <v>23.40027778</v>
      </c>
      <c r="J163" s="279">
        <v>21.383064520000001</v>
      </c>
      <c r="K163" s="279">
        <v>20.642777779999999</v>
      </c>
      <c r="L163" s="279">
        <v>21.597849459999999</v>
      </c>
      <c r="M163" s="279">
        <v>22.54341398</v>
      </c>
      <c r="N163" s="279">
        <v>25.49583333</v>
      </c>
      <c r="O163" s="279">
        <v>25.125268819999999</v>
      </c>
      <c r="P163" s="279">
        <v>25.348888890000001</v>
      </c>
      <c r="Q163" s="279">
        <v>23.565860220000001</v>
      </c>
      <c r="R163" s="279">
        <v>23.738180391666663</v>
      </c>
      <c r="S163" s="274">
        <f>SUMIFS(Aux_Lista!Y:Y,Aux_Lista!W:W,Aux_TBS!B163,Aux_Lista!X:X,Aux_TBS!A163)</f>
        <v>4</v>
      </c>
      <c r="T163" s="274" t="s">
        <v>6043</v>
      </c>
      <c r="U163" s="274">
        <v>40</v>
      </c>
    </row>
    <row r="164" spans="1:21" x14ac:dyDescent="0.25">
      <c r="A164" s="277" t="s">
        <v>2503</v>
      </c>
      <c r="B164" s="258" t="s">
        <v>274</v>
      </c>
      <c r="C164" s="274" t="str">
        <f t="shared" si="2"/>
        <v>Rio Pardo de Minas, MG</v>
      </c>
      <c r="D164" s="278">
        <v>-15.72</v>
      </c>
      <c r="E164" s="258">
        <v>853</v>
      </c>
      <c r="F164" s="279">
        <v>22.477956989999999</v>
      </c>
      <c r="G164" s="279">
        <v>23.039880950000001</v>
      </c>
      <c r="H164" s="279">
        <v>23.58534946</v>
      </c>
      <c r="I164" s="279">
        <v>21.360972220000001</v>
      </c>
      <c r="J164" s="279">
        <v>18.990456989999998</v>
      </c>
      <c r="K164" s="279">
        <v>19.17208333</v>
      </c>
      <c r="L164" s="279">
        <v>19.023521509999998</v>
      </c>
      <c r="M164" s="279">
        <v>19.765725809999999</v>
      </c>
      <c r="N164" s="279">
        <v>22.781805559999999</v>
      </c>
      <c r="O164" s="279">
        <v>22.81438172</v>
      </c>
      <c r="P164" s="279">
        <v>23.145555559999998</v>
      </c>
      <c r="Q164" s="279">
        <v>22.92715054</v>
      </c>
      <c r="R164" s="279">
        <v>21.590403386666665</v>
      </c>
      <c r="S164" s="274">
        <f>SUMIFS(Aux_Lista!Y:Y,Aux_Lista!W:W,Aux_TBS!B164,Aux_Lista!X:X,Aux_TBS!A164)</f>
        <v>5</v>
      </c>
      <c r="T164" s="274" t="s">
        <v>6043</v>
      </c>
      <c r="U164" s="274">
        <v>40</v>
      </c>
    </row>
    <row r="165" spans="1:21" x14ac:dyDescent="0.25">
      <c r="A165" s="277" t="s">
        <v>2791</v>
      </c>
      <c r="B165" s="258" t="s">
        <v>274</v>
      </c>
      <c r="C165" s="274" t="str">
        <f t="shared" si="2"/>
        <v>Sacramento, MG</v>
      </c>
      <c r="D165" s="278">
        <v>-19.86</v>
      </c>
      <c r="E165" s="258">
        <v>912</v>
      </c>
      <c r="F165" s="279">
        <v>22.419086020000002</v>
      </c>
      <c r="G165" s="279">
        <v>22.88244048</v>
      </c>
      <c r="H165" s="279">
        <v>23.484677420000001</v>
      </c>
      <c r="I165" s="279">
        <v>22.443750000000001</v>
      </c>
      <c r="J165" s="279">
        <v>19.33158602</v>
      </c>
      <c r="K165" s="279">
        <v>19.173749999999998</v>
      </c>
      <c r="L165" s="279">
        <v>19.029569890000001</v>
      </c>
      <c r="M165" s="279">
        <v>20.890456990000001</v>
      </c>
      <c r="N165" s="279">
        <v>23.654444439999999</v>
      </c>
      <c r="O165" s="279">
        <v>22.596908599999999</v>
      </c>
      <c r="P165" s="279">
        <v>22.142083329999998</v>
      </c>
      <c r="Q165" s="279">
        <v>23.634946240000001</v>
      </c>
      <c r="R165" s="279">
        <v>21.806974952499999</v>
      </c>
      <c r="S165" s="274">
        <f>SUMIFS(Aux_Lista!Y:Y,Aux_Lista!W:W,Aux_TBS!B165,Aux_Lista!X:X,Aux_TBS!A165)</f>
        <v>3</v>
      </c>
      <c r="T165" s="274" t="s">
        <v>6043</v>
      </c>
      <c r="U165" s="274">
        <v>40</v>
      </c>
    </row>
    <row r="166" spans="1:21" x14ac:dyDescent="0.25">
      <c r="A166" s="277" t="s">
        <v>2778</v>
      </c>
      <c r="B166" s="258" t="s">
        <v>274</v>
      </c>
      <c r="C166" s="274" t="str">
        <f t="shared" si="2"/>
        <v>Salinas, MG</v>
      </c>
      <c r="D166" s="278">
        <v>-16.170000000000002</v>
      </c>
      <c r="E166" s="258">
        <v>495</v>
      </c>
      <c r="F166" s="279">
        <v>24.396639780000001</v>
      </c>
      <c r="G166" s="279">
        <v>24.99494048</v>
      </c>
      <c r="H166" s="279">
        <v>25.118279569999999</v>
      </c>
      <c r="I166" s="279">
        <v>23.20861111</v>
      </c>
      <c r="J166" s="279">
        <v>20.3577957</v>
      </c>
      <c r="K166" s="279">
        <v>20.320277780000001</v>
      </c>
      <c r="L166" s="279">
        <v>20.096908599999999</v>
      </c>
      <c r="M166" s="279">
        <v>21.921908599999998</v>
      </c>
      <c r="N166" s="279">
        <v>25.12763889</v>
      </c>
      <c r="O166" s="279">
        <v>25.16276882</v>
      </c>
      <c r="P166" s="279">
        <v>24.241944440000001</v>
      </c>
      <c r="Q166" s="279">
        <v>24.46451613</v>
      </c>
      <c r="R166" s="279">
        <v>23.284352491666667</v>
      </c>
      <c r="S166" s="274">
        <f>SUMIFS(Aux_Lista!Y:Y,Aux_Lista!W:W,Aux_TBS!B166,Aux_Lista!X:X,Aux_TBS!A166)</f>
        <v>3</v>
      </c>
      <c r="T166" s="274" t="s">
        <v>6043</v>
      </c>
      <c r="U166" s="274">
        <v>40</v>
      </c>
    </row>
    <row r="167" spans="1:21" x14ac:dyDescent="0.25">
      <c r="A167" s="277" t="s">
        <v>520</v>
      </c>
      <c r="B167" s="258" t="s">
        <v>274</v>
      </c>
      <c r="C167" s="274" t="str">
        <f t="shared" si="2"/>
        <v>São João del Rei, MG</v>
      </c>
      <c r="D167" s="278">
        <v>-21.14</v>
      </c>
      <c r="E167" s="258">
        <v>991</v>
      </c>
      <c r="F167" s="279">
        <v>21.430645160000001</v>
      </c>
      <c r="G167" s="279">
        <v>22.186160709999999</v>
      </c>
      <c r="H167" s="279">
        <v>21.827688169999998</v>
      </c>
      <c r="I167" s="279">
        <v>19.419305560000002</v>
      </c>
      <c r="J167" s="279">
        <v>17.564112900000001</v>
      </c>
      <c r="K167" s="279">
        <v>15.60486111</v>
      </c>
      <c r="L167" s="279">
        <v>15.59717742</v>
      </c>
      <c r="M167" s="279">
        <v>18.307661289999999</v>
      </c>
      <c r="N167" s="279">
        <v>18.37916667</v>
      </c>
      <c r="O167" s="279">
        <v>20.175403230000001</v>
      </c>
      <c r="P167" s="279">
        <v>20.41444444</v>
      </c>
      <c r="Q167" s="279">
        <v>21.56008065</v>
      </c>
      <c r="R167" s="279">
        <v>19.372225609166666</v>
      </c>
      <c r="S167" s="274">
        <f>SUMIFS(Aux_Lista!Y:Y,Aux_Lista!W:W,Aux_TBS!B167,Aux_Lista!X:X,Aux_TBS!A167)</f>
        <v>2</v>
      </c>
      <c r="T167" s="274" t="s">
        <v>6043</v>
      </c>
      <c r="U167" s="274">
        <v>40</v>
      </c>
    </row>
    <row r="168" spans="1:21" x14ac:dyDescent="0.25">
      <c r="A168" s="277" t="s">
        <v>3813</v>
      </c>
      <c r="B168" s="258" t="s">
        <v>274</v>
      </c>
      <c r="C168" s="274" t="str">
        <f t="shared" si="2"/>
        <v>São Romão, MG</v>
      </c>
      <c r="D168" s="278">
        <v>-16.37</v>
      </c>
      <c r="E168" s="258">
        <v>460</v>
      </c>
      <c r="F168" s="279">
        <v>24.73413978</v>
      </c>
      <c r="G168" s="279">
        <v>25.1764881</v>
      </c>
      <c r="H168" s="279">
        <v>25.33575269</v>
      </c>
      <c r="I168" s="279">
        <v>23.520416669999999</v>
      </c>
      <c r="J168" s="279">
        <v>21.285215050000001</v>
      </c>
      <c r="K168" s="279">
        <v>20.53458333</v>
      </c>
      <c r="L168" s="279">
        <v>20.83817204</v>
      </c>
      <c r="M168" s="279">
        <v>22.548252690000002</v>
      </c>
      <c r="N168" s="279">
        <v>26.12833333</v>
      </c>
      <c r="O168" s="279">
        <v>26.464919349999999</v>
      </c>
      <c r="P168" s="279">
        <v>26.809027780000001</v>
      </c>
      <c r="Q168" s="279">
        <v>25.008198920000002</v>
      </c>
      <c r="R168" s="279">
        <v>24.031958310833332</v>
      </c>
      <c r="S168" s="274">
        <f>SUMIFS(Aux_Lista!Y:Y,Aux_Lista!W:W,Aux_TBS!B168,Aux_Lista!X:X,Aux_TBS!A168)</f>
        <v>6</v>
      </c>
      <c r="T168" s="274" t="s">
        <v>6043</v>
      </c>
      <c r="U168" s="274">
        <v>40</v>
      </c>
    </row>
    <row r="169" spans="1:21" x14ac:dyDescent="0.25">
      <c r="A169" s="277" t="s">
        <v>1838</v>
      </c>
      <c r="B169" s="258" t="s">
        <v>274</v>
      </c>
      <c r="C169" s="274" t="str">
        <f t="shared" si="2"/>
        <v>Serra dos Aimorés, MG</v>
      </c>
      <c r="D169" s="278">
        <v>-17.78</v>
      </c>
      <c r="E169" s="258">
        <v>208</v>
      </c>
      <c r="F169" s="279">
        <v>26.448521509999999</v>
      </c>
      <c r="G169" s="279">
        <v>24.643005949999999</v>
      </c>
      <c r="H169" s="279">
        <v>25.331989249999999</v>
      </c>
      <c r="I169" s="279">
        <v>24.360416669999999</v>
      </c>
      <c r="J169" s="279">
        <v>22.312365589999999</v>
      </c>
      <c r="K169" s="279">
        <v>21.230555559999999</v>
      </c>
      <c r="L169" s="279">
        <v>21.367607530000001</v>
      </c>
      <c r="M169" s="279">
        <v>20.704569889999998</v>
      </c>
      <c r="N169" s="279">
        <v>21.267916670000002</v>
      </c>
      <c r="O169" s="279">
        <v>22.926612899999999</v>
      </c>
      <c r="P169" s="279">
        <v>23.724583330000002</v>
      </c>
      <c r="Q169" s="279">
        <v>24.832661290000001</v>
      </c>
      <c r="R169" s="279">
        <v>23.262567178333331</v>
      </c>
      <c r="S169" s="274">
        <f>SUMIFS(Aux_Lista!Y:Y,Aux_Lista!W:W,Aux_TBS!B169,Aux_Lista!X:X,Aux_TBS!A169)</f>
        <v>5</v>
      </c>
      <c r="T169" s="274" t="s">
        <v>6043</v>
      </c>
      <c r="U169" s="274">
        <v>40</v>
      </c>
    </row>
    <row r="170" spans="1:21" x14ac:dyDescent="0.25">
      <c r="A170" s="277" t="s">
        <v>1860</v>
      </c>
      <c r="B170" s="258" t="s">
        <v>274</v>
      </c>
      <c r="C170" s="274" t="str">
        <f t="shared" si="2"/>
        <v>Teófilo Otoni, MG</v>
      </c>
      <c r="D170" s="278">
        <v>-17.86</v>
      </c>
      <c r="E170" s="258">
        <v>475</v>
      </c>
      <c r="F170" s="279">
        <v>25.407392470000001</v>
      </c>
      <c r="G170" s="279">
        <v>23.71547619</v>
      </c>
      <c r="H170" s="279">
        <v>24.639381719999999</v>
      </c>
      <c r="I170" s="279">
        <v>23.445</v>
      </c>
      <c r="J170" s="279">
        <v>21.020295699999998</v>
      </c>
      <c r="K170" s="279">
        <v>19.870277779999999</v>
      </c>
      <c r="L170" s="279">
        <v>20.512231180000001</v>
      </c>
      <c r="M170" s="279">
        <v>20.308870970000001</v>
      </c>
      <c r="N170" s="279">
        <v>20.946249999999999</v>
      </c>
      <c r="O170" s="279">
        <v>22.422715050000001</v>
      </c>
      <c r="P170" s="279">
        <v>22.588194439999999</v>
      </c>
      <c r="Q170" s="279">
        <v>23.821236559999999</v>
      </c>
      <c r="R170" s="279">
        <v>22.391443504999998</v>
      </c>
      <c r="S170" s="274">
        <f>SUMIFS(Aux_Lista!Y:Y,Aux_Lista!W:W,Aux_TBS!B170,Aux_Lista!X:X,Aux_TBS!A170)</f>
        <v>5</v>
      </c>
      <c r="T170" s="274" t="s">
        <v>6043</v>
      </c>
      <c r="U170" s="274">
        <v>40</v>
      </c>
    </row>
    <row r="171" spans="1:21" x14ac:dyDescent="0.25">
      <c r="A171" s="277" t="s">
        <v>1631</v>
      </c>
      <c r="B171" s="258" t="s">
        <v>274</v>
      </c>
      <c r="C171" s="274" t="str">
        <f t="shared" si="2"/>
        <v>Timóteo, MG</v>
      </c>
      <c r="D171" s="278">
        <v>-19.579999999999998</v>
      </c>
      <c r="E171" s="258">
        <v>333</v>
      </c>
      <c r="F171" s="279">
        <v>23.479838709999999</v>
      </c>
      <c r="G171" s="279">
        <v>24.567261899999998</v>
      </c>
      <c r="H171" s="279">
        <v>24.55551075</v>
      </c>
      <c r="I171" s="279">
        <v>22.480694440000001</v>
      </c>
      <c r="J171" s="279">
        <v>21.027284949999999</v>
      </c>
      <c r="K171" s="279">
        <v>20.473472220000001</v>
      </c>
      <c r="L171" s="279">
        <v>20.67258065</v>
      </c>
      <c r="M171" s="279">
        <v>21.174327959999999</v>
      </c>
      <c r="N171" s="279">
        <v>23.589444440000001</v>
      </c>
      <c r="O171" s="279">
        <v>23.436693550000001</v>
      </c>
      <c r="P171" s="279">
        <v>24.900416669999998</v>
      </c>
      <c r="Q171" s="279">
        <v>23.802553759999999</v>
      </c>
      <c r="R171" s="279">
        <v>22.846673333333332</v>
      </c>
      <c r="S171" s="274">
        <f>SUMIFS(Aux_Lista!Y:Y,Aux_Lista!W:W,Aux_TBS!B171,Aux_Lista!X:X,Aux_TBS!A171)</f>
        <v>3</v>
      </c>
      <c r="T171" s="274" t="s">
        <v>6043</v>
      </c>
      <c r="U171" s="274">
        <v>40</v>
      </c>
    </row>
    <row r="172" spans="1:21" x14ac:dyDescent="0.25">
      <c r="A172" s="277" t="s">
        <v>1814</v>
      </c>
      <c r="B172" s="258" t="s">
        <v>274</v>
      </c>
      <c r="C172" s="274" t="str">
        <f t="shared" si="2"/>
        <v>Três Marias, MG</v>
      </c>
      <c r="D172" s="278">
        <v>-18.21</v>
      </c>
      <c r="E172" s="258">
        <v>921</v>
      </c>
      <c r="F172" s="279">
        <v>22.763709680000002</v>
      </c>
      <c r="G172" s="279">
        <v>23.394642860000001</v>
      </c>
      <c r="H172" s="279">
        <v>23.321236559999999</v>
      </c>
      <c r="I172" s="279">
        <v>21.3475</v>
      </c>
      <c r="J172" s="279">
        <v>20.39408602</v>
      </c>
      <c r="K172" s="279">
        <v>18.934722220000001</v>
      </c>
      <c r="L172" s="279">
        <v>20.913575269999999</v>
      </c>
      <c r="M172" s="279">
        <v>20.62258065</v>
      </c>
      <c r="N172" s="279">
        <v>23.505416669999999</v>
      </c>
      <c r="O172" s="279">
        <v>22.519892469999998</v>
      </c>
      <c r="P172" s="279">
        <v>23.87013889</v>
      </c>
      <c r="Q172" s="279">
        <v>22.158736560000001</v>
      </c>
      <c r="R172" s="279">
        <v>21.978853154166668</v>
      </c>
      <c r="S172" s="274">
        <f>SUMIFS(Aux_Lista!Y:Y,Aux_Lista!W:W,Aux_TBS!B172,Aux_Lista!X:X,Aux_TBS!A172)</f>
        <v>4</v>
      </c>
      <c r="T172" s="274" t="s">
        <v>6043</v>
      </c>
      <c r="U172" s="274">
        <v>40</v>
      </c>
    </row>
    <row r="173" spans="1:21" x14ac:dyDescent="0.25">
      <c r="A173" s="277" t="s">
        <v>2162</v>
      </c>
      <c r="B173" s="258" t="s">
        <v>274</v>
      </c>
      <c r="C173" s="274" t="str">
        <f t="shared" si="2"/>
        <v>Uberlândia, MG</v>
      </c>
      <c r="D173" s="278">
        <v>-18.920000000000002</v>
      </c>
      <c r="E173" s="258">
        <v>869</v>
      </c>
      <c r="F173" s="279">
        <v>22.965591400000001</v>
      </c>
      <c r="G173" s="279">
        <v>23.393452379999999</v>
      </c>
      <c r="H173" s="279">
        <v>24.64919355</v>
      </c>
      <c r="I173" s="279">
        <v>23.77444444</v>
      </c>
      <c r="J173" s="279">
        <v>21.046908599999998</v>
      </c>
      <c r="K173" s="279">
        <v>20.647083330000001</v>
      </c>
      <c r="L173" s="279">
        <v>20.389650540000002</v>
      </c>
      <c r="M173" s="279">
        <v>21.9688172</v>
      </c>
      <c r="N173" s="279">
        <v>24.69347222</v>
      </c>
      <c r="O173" s="279">
        <v>24.24153226</v>
      </c>
      <c r="P173" s="279">
        <v>23.42013889</v>
      </c>
      <c r="Q173" s="279">
        <v>24.221774190000001</v>
      </c>
      <c r="R173" s="279">
        <v>22.951004916666662</v>
      </c>
      <c r="S173" s="274">
        <f>SUMIFS(Aux_Lista!Y:Y,Aux_Lista!W:W,Aux_TBS!B173,Aux_Lista!X:X,Aux_TBS!A173)</f>
        <v>4</v>
      </c>
      <c r="T173" s="274" t="s">
        <v>6043</v>
      </c>
      <c r="U173" s="274">
        <v>40</v>
      </c>
    </row>
    <row r="174" spans="1:21" x14ac:dyDescent="0.25">
      <c r="A174" s="277" t="s">
        <v>2788</v>
      </c>
      <c r="B174" s="258" t="s">
        <v>274</v>
      </c>
      <c r="C174" s="274" t="str">
        <f t="shared" si="2"/>
        <v>Unaí, MG</v>
      </c>
      <c r="D174" s="278">
        <v>-16.36</v>
      </c>
      <c r="E174" s="258">
        <v>631</v>
      </c>
      <c r="F174" s="279">
        <v>24.15</v>
      </c>
      <c r="G174" s="279">
        <v>24.449255950000001</v>
      </c>
      <c r="H174" s="279">
        <v>24.74395161</v>
      </c>
      <c r="I174" s="279">
        <v>22.949305559999999</v>
      </c>
      <c r="J174" s="279">
        <v>21.506182800000001</v>
      </c>
      <c r="K174" s="279">
        <v>20.544722220000001</v>
      </c>
      <c r="L174" s="279">
        <v>21.670026880000002</v>
      </c>
      <c r="M174" s="279">
        <v>22.52795699</v>
      </c>
      <c r="N174" s="279">
        <v>25.55833333</v>
      </c>
      <c r="O174" s="279">
        <v>24.608333330000001</v>
      </c>
      <c r="P174" s="279">
        <v>24.948472219999999</v>
      </c>
      <c r="Q174" s="279">
        <v>23.6561828</v>
      </c>
      <c r="R174" s="279">
        <v>23.442726974166671</v>
      </c>
      <c r="S174" s="274">
        <f>SUMIFS(Aux_Lista!Y:Y,Aux_Lista!W:W,Aux_TBS!B174,Aux_Lista!X:X,Aux_TBS!A174)</f>
        <v>6</v>
      </c>
      <c r="T174" s="274" t="s">
        <v>6043</v>
      </c>
      <c r="U174" s="274">
        <v>40</v>
      </c>
    </row>
    <row r="175" spans="1:21" x14ac:dyDescent="0.25">
      <c r="A175" s="277" t="s">
        <v>536</v>
      </c>
      <c r="B175" s="258" t="s">
        <v>274</v>
      </c>
      <c r="C175" s="274" t="str">
        <f t="shared" si="2"/>
        <v>Varginha, MG</v>
      </c>
      <c r="D175" s="278">
        <v>-21.55</v>
      </c>
      <c r="E175" s="258">
        <v>955</v>
      </c>
      <c r="F175" s="279">
        <v>21.160618280000001</v>
      </c>
      <c r="G175" s="279">
        <v>21.594791669999999</v>
      </c>
      <c r="H175" s="279">
        <v>21.130241940000001</v>
      </c>
      <c r="I175" s="279">
        <v>20.062777780000001</v>
      </c>
      <c r="J175" s="279">
        <v>17.138172040000001</v>
      </c>
      <c r="K175" s="279">
        <v>16.859444440000001</v>
      </c>
      <c r="L175" s="279">
        <v>16.220833330000001</v>
      </c>
      <c r="M175" s="279">
        <v>19.001747309999999</v>
      </c>
      <c r="N175" s="279">
        <v>18.89722222</v>
      </c>
      <c r="O175" s="279">
        <v>21.412096770000002</v>
      </c>
      <c r="P175" s="279">
        <v>20.40777778</v>
      </c>
      <c r="Q175" s="279">
        <v>20.878360220000001</v>
      </c>
      <c r="R175" s="279">
        <v>19.563673648333335</v>
      </c>
      <c r="S175" s="274">
        <f>SUMIFS(Aux_Lista!Y:Y,Aux_Lista!W:W,Aux_TBS!B175,Aux_Lista!X:X,Aux_TBS!A175)</f>
        <v>2</v>
      </c>
      <c r="T175" s="274" t="s">
        <v>6043</v>
      </c>
      <c r="U175" s="274">
        <v>40</v>
      </c>
    </row>
    <row r="176" spans="1:21" x14ac:dyDescent="0.25">
      <c r="A176" s="277" t="s">
        <v>537</v>
      </c>
      <c r="B176" s="258" t="s">
        <v>274</v>
      </c>
      <c r="C176" s="274" t="str">
        <f t="shared" si="2"/>
        <v>Viçosa, MG</v>
      </c>
      <c r="D176" s="278">
        <v>-20.75</v>
      </c>
      <c r="E176" s="258">
        <v>712</v>
      </c>
      <c r="F176" s="279">
        <v>21.622983869999999</v>
      </c>
      <c r="G176" s="279">
        <v>22.18794643</v>
      </c>
      <c r="H176" s="279">
        <v>21.922446239999999</v>
      </c>
      <c r="I176" s="279">
        <v>19.83847222</v>
      </c>
      <c r="J176" s="279">
        <v>17.773118279999998</v>
      </c>
      <c r="K176" s="279">
        <v>16.063888890000001</v>
      </c>
      <c r="L176" s="279">
        <v>17.302956989999998</v>
      </c>
      <c r="M176" s="279">
        <v>17.31532258</v>
      </c>
      <c r="N176" s="279">
        <v>20.68680556</v>
      </c>
      <c r="O176" s="279">
        <v>21.098655910000002</v>
      </c>
      <c r="P176" s="279">
        <v>22.520416669999999</v>
      </c>
      <c r="Q176" s="279">
        <v>21.738172039999998</v>
      </c>
      <c r="R176" s="279">
        <v>20.005932139999999</v>
      </c>
      <c r="S176" s="274">
        <f>SUMIFS(Aux_Lista!Y:Y,Aux_Lista!W:W,Aux_TBS!B176,Aux_Lista!X:X,Aux_TBS!A176)</f>
        <v>3</v>
      </c>
      <c r="T176" s="274" t="s">
        <v>6043</v>
      </c>
      <c r="U176" s="274">
        <v>40</v>
      </c>
    </row>
    <row r="177" spans="1:21" x14ac:dyDescent="0.25">
      <c r="A177" s="277" t="s">
        <v>3500</v>
      </c>
      <c r="B177" s="258" t="s">
        <v>1978</v>
      </c>
      <c r="C177" s="274" t="str">
        <f t="shared" si="2"/>
        <v>Amambaí, MS</v>
      </c>
      <c r="D177" s="278">
        <v>-23</v>
      </c>
      <c r="E177" s="258">
        <v>431</v>
      </c>
      <c r="F177" s="279">
        <v>24.033870969999999</v>
      </c>
      <c r="G177" s="279">
        <v>24.568154759999999</v>
      </c>
      <c r="H177" s="279">
        <v>24.967473120000001</v>
      </c>
      <c r="I177" s="279">
        <v>23.095833330000001</v>
      </c>
      <c r="J177" s="279">
        <v>19.980376339999999</v>
      </c>
      <c r="K177" s="279">
        <v>15.436249999999999</v>
      </c>
      <c r="L177" s="279">
        <v>19.40336022</v>
      </c>
      <c r="M177" s="279">
        <v>19.925268819999999</v>
      </c>
      <c r="N177" s="279">
        <v>18.803333330000001</v>
      </c>
      <c r="O177" s="279">
        <v>23.59475806</v>
      </c>
      <c r="P177" s="279">
        <v>24.038472219999999</v>
      </c>
      <c r="Q177" s="279">
        <v>25.459946240000001</v>
      </c>
      <c r="R177" s="279">
        <v>21.9422581175</v>
      </c>
      <c r="S177" s="274">
        <f>SUMIFS(Aux_Lista!Y:Y,Aux_Lista!W:W,Aux_TBS!B177,Aux_Lista!X:X,Aux_TBS!A177)</f>
        <v>3</v>
      </c>
      <c r="T177" s="274" t="s">
        <v>6042</v>
      </c>
      <c r="U177" s="274">
        <v>40</v>
      </c>
    </row>
    <row r="178" spans="1:21" x14ac:dyDescent="0.25">
      <c r="A178" s="277" t="s">
        <v>2181</v>
      </c>
      <c r="B178" s="258" t="s">
        <v>1978</v>
      </c>
      <c r="C178" s="274" t="str">
        <f t="shared" si="2"/>
        <v>Campo Grande, MS</v>
      </c>
      <c r="D178" s="278">
        <v>-20.440000000000001</v>
      </c>
      <c r="E178" s="258">
        <v>530</v>
      </c>
      <c r="F178" s="279">
        <v>24.276881719999999</v>
      </c>
      <c r="G178" s="279">
        <v>24.272172619999999</v>
      </c>
      <c r="H178" s="279">
        <v>24.230645160000002</v>
      </c>
      <c r="I178" s="279">
        <v>23.33694444</v>
      </c>
      <c r="J178" s="279">
        <v>20.05497312</v>
      </c>
      <c r="K178" s="279">
        <v>20.17472222</v>
      </c>
      <c r="L178" s="279">
        <v>22.797849459999998</v>
      </c>
      <c r="M178" s="279">
        <v>23.740725810000001</v>
      </c>
      <c r="N178" s="279">
        <v>22.531388889999999</v>
      </c>
      <c r="O178" s="279">
        <v>25.21545699</v>
      </c>
      <c r="P178" s="279">
        <v>25.361944439999998</v>
      </c>
      <c r="Q178" s="279">
        <v>25.381854839999999</v>
      </c>
      <c r="R178" s="279">
        <v>23.447963309166667</v>
      </c>
      <c r="S178" s="274">
        <f>SUMIFS(Aux_Lista!Y:Y,Aux_Lista!W:W,Aux_TBS!B178,Aux_Lista!X:X,Aux_TBS!A178)</f>
        <v>6</v>
      </c>
      <c r="T178" s="274" t="s">
        <v>6042</v>
      </c>
      <c r="U178" s="274">
        <v>40</v>
      </c>
    </row>
    <row r="179" spans="1:21" x14ac:dyDescent="0.25">
      <c r="A179" s="277" t="s">
        <v>2212</v>
      </c>
      <c r="B179" s="258" t="s">
        <v>1978</v>
      </c>
      <c r="C179" s="274" t="str">
        <f t="shared" si="2"/>
        <v>Chapadão do Sul, MS</v>
      </c>
      <c r="D179" s="278">
        <v>-18.79</v>
      </c>
      <c r="E179" s="258">
        <v>818</v>
      </c>
      <c r="F179" s="279">
        <v>22.559408600000001</v>
      </c>
      <c r="G179" s="279">
        <v>22.387499999999999</v>
      </c>
      <c r="H179" s="279">
        <v>22.378629029999999</v>
      </c>
      <c r="I179" s="279">
        <v>22.471527779999999</v>
      </c>
      <c r="J179" s="279">
        <v>19.563575270000001</v>
      </c>
      <c r="K179" s="279">
        <v>20.084444439999999</v>
      </c>
      <c r="L179" s="279">
        <v>21.415053759999999</v>
      </c>
      <c r="M179" s="279">
        <v>23.290725810000001</v>
      </c>
      <c r="N179" s="279">
        <v>22.692083329999999</v>
      </c>
      <c r="O179" s="279">
        <v>24.168145160000002</v>
      </c>
      <c r="P179" s="279">
        <v>24.441388889999999</v>
      </c>
      <c r="Q179" s="279">
        <v>23.302956989999998</v>
      </c>
      <c r="R179" s="279">
        <v>22.396286588333329</v>
      </c>
      <c r="S179" s="274">
        <f>SUMIFS(Aux_Lista!Y:Y,Aux_Lista!W:W,Aux_TBS!B179,Aux_Lista!X:X,Aux_TBS!A179)</f>
        <v>6</v>
      </c>
      <c r="T179" s="274" t="s">
        <v>6042</v>
      </c>
      <c r="U179" s="274">
        <v>40</v>
      </c>
    </row>
    <row r="180" spans="1:21" x14ac:dyDescent="0.25">
      <c r="A180" s="277" t="s">
        <v>2871</v>
      </c>
      <c r="B180" s="258" t="s">
        <v>1978</v>
      </c>
      <c r="C180" s="274" t="str">
        <f t="shared" si="2"/>
        <v>Corumbá, MS</v>
      </c>
      <c r="D180" s="278">
        <v>-19.010000000000002</v>
      </c>
      <c r="E180" s="258">
        <v>126</v>
      </c>
      <c r="F180" s="279">
        <v>27.702553760000001</v>
      </c>
      <c r="G180" s="279">
        <v>27.555505950000001</v>
      </c>
      <c r="H180" s="279">
        <v>28.118279569999999</v>
      </c>
      <c r="I180" s="279">
        <v>27.642916670000002</v>
      </c>
      <c r="J180" s="279">
        <v>22.172311830000002</v>
      </c>
      <c r="K180" s="279">
        <v>23.05236111</v>
      </c>
      <c r="L180" s="279">
        <v>21.857661289999999</v>
      </c>
      <c r="M180" s="279">
        <v>21.968010750000001</v>
      </c>
      <c r="N180" s="279">
        <v>28.425138889999999</v>
      </c>
      <c r="O180" s="279">
        <v>26.996505379999999</v>
      </c>
      <c r="P180" s="279">
        <v>26.750833329999999</v>
      </c>
      <c r="Q180" s="279">
        <v>28.823521509999999</v>
      </c>
      <c r="R180" s="279">
        <v>25.922133336666665</v>
      </c>
      <c r="S180" s="274">
        <f>SUMIFS(Aux_Lista!Y:Y,Aux_Lista!W:W,Aux_TBS!B180,Aux_Lista!X:X,Aux_TBS!A180)</f>
        <v>8</v>
      </c>
      <c r="T180" s="274" t="s">
        <v>6042</v>
      </c>
      <c r="U180" s="274">
        <v>40</v>
      </c>
    </row>
    <row r="181" spans="1:21" x14ac:dyDescent="0.25">
      <c r="A181" s="277" t="s">
        <v>5012</v>
      </c>
      <c r="B181" s="258" t="s">
        <v>1978</v>
      </c>
      <c r="C181" s="274" t="str">
        <f t="shared" si="2"/>
        <v>Coxim, MS</v>
      </c>
      <c r="D181" s="278">
        <v>-18.3</v>
      </c>
      <c r="E181" s="258">
        <v>252</v>
      </c>
      <c r="F181" s="279">
        <v>26.00698925</v>
      </c>
      <c r="G181" s="279">
        <v>25.890773809999999</v>
      </c>
      <c r="H181" s="279">
        <v>25.654704299999999</v>
      </c>
      <c r="I181" s="279">
        <v>24.64763889</v>
      </c>
      <c r="J181" s="279">
        <v>21.360887099999999</v>
      </c>
      <c r="K181" s="279">
        <v>21.425972219999998</v>
      </c>
      <c r="L181" s="279">
        <v>21.532795700000001</v>
      </c>
      <c r="M181" s="279">
        <v>24.792741939999999</v>
      </c>
      <c r="N181" s="279">
        <v>25.50041667</v>
      </c>
      <c r="O181" s="279">
        <v>26.64637097</v>
      </c>
      <c r="P181" s="279">
        <v>27.03875</v>
      </c>
      <c r="Q181" s="279">
        <v>26.185349460000001</v>
      </c>
      <c r="R181" s="279">
        <v>24.723615859166667</v>
      </c>
      <c r="S181" s="274">
        <f>SUMIFS(Aux_Lista!Y:Y,Aux_Lista!W:W,Aux_TBS!B181,Aux_Lista!X:X,Aux_TBS!A181)</f>
        <v>6</v>
      </c>
      <c r="T181" s="274" t="s">
        <v>6042</v>
      </c>
      <c r="U181" s="274">
        <v>40</v>
      </c>
    </row>
    <row r="182" spans="1:21" x14ac:dyDescent="0.25">
      <c r="A182" s="277" t="s">
        <v>3335</v>
      </c>
      <c r="B182" s="258" t="s">
        <v>1978</v>
      </c>
      <c r="C182" s="274" t="str">
        <f t="shared" si="2"/>
        <v>Dourados, MS</v>
      </c>
      <c r="D182" s="278">
        <v>-22.22</v>
      </c>
      <c r="E182" s="258">
        <v>469</v>
      </c>
      <c r="F182" s="279">
        <v>24.490994619999999</v>
      </c>
      <c r="G182" s="279">
        <v>24.284821430000001</v>
      </c>
      <c r="H182" s="279">
        <v>24.40725806</v>
      </c>
      <c r="I182" s="279">
        <v>22.674305560000001</v>
      </c>
      <c r="J182" s="279">
        <v>19.127016130000001</v>
      </c>
      <c r="K182" s="279">
        <v>17.97361111</v>
      </c>
      <c r="L182" s="279">
        <v>21.60819892</v>
      </c>
      <c r="M182" s="279">
        <v>21.852822580000002</v>
      </c>
      <c r="N182" s="279">
        <v>20.6175</v>
      </c>
      <c r="O182" s="279">
        <v>24.58534946</v>
      </c>
      <c r="P182" s="279">
        <v>24.690277779999999</v>
      </c>
      <c r="Q182" s="279">
        <v>25.915725810000001</v>
      </c>
      <c r="R182" s="279">
        <v>22.685656788333336</v>
      </c>
      <c r="S182" s="274">
        <f>SUMIFS(Aux_Lista!Y:Y,Aux_Lista!W:W,Aux_TBS!B182,Aux_Lista!X:X,Aux_TBS!A182)</f>
        <v>3</v>
      </c>
      <c r="T182" s="274" t="s">
        <v>6042</v>
      </c>
      <c r="U182" s="274">
        <v>40</v>
      </c>
    </row>
    <row r="183" spans="1:21" x14ac:dyDescent="0.25">
      <c r="A183" s="277" t="s">
        <v>3230</v>
      </c>
      <c r="B183" s="258" t="s">
        <v>1978</v>
      </c>
      <c r="C183" s="274" t="str">
        <f t="shared" si="2"/>
        <v>Ivinhema, MS</v>
      </c>
      <c r="D183" s="278">
        <v>-22.31</v>
      </c>
      <c r="E183" s="258">
        <v>373</v>
      </c>
      <c r="F183" s="279">
        <v>25.948790320000001</v>
      </c>
      <c r="G183" s="279">
        <v>25.871577380000002</v>
      </c>
      <c r="H183" s="279">
        <v>25.937634410000001</v>
      </c>
      <c r="I183" s="279">
        <v>24.133888890000001</v>
      </c>
      <c r="J183" s="279">
        <v>18.924462370000001</v>
      </c>
      <c r="K183" s="279">
        <v>20.66791667</v>
      </c>
      <c r="L183" s="279">
        <v>21.654166669999999</v>
      </c>
      <c r="M183" s="279">
        <v>22.147177419999998</v>
      </c>
      <c r="N183" s="279">
        <v>21.58402778</v>
      </c>
      <c r="O183" s="279">
        <v>25.49905914</v>
      </c>
      <c r="P183" s="279">
        <v>25.554861110000001</v>
      </c>
      <c r="Q183" s="279">
        <v>26.45147849</v>
      </c>
      <c r="R183" s="279">
        <v>23.697920054166662</v>
      </c>
      <c r="S183" s="274">
        <f>SUMIFS(Aux_Lista!Y:Y,Aux_Lista!W:W,Aux_TBS!B183,Aux_Lista!X:X,Aux_TBS!A183)</f>
        <v>5</v>
      </c>
      <c r="T183" s="274" t="s">
        <v>6042</v>
      </c>
      <c r="U183" s="274">
        <v>40</v>
      </c>
    </row>
    <row r="184" spans="1:21" x14ac:dyDescent="0.25">
      <c r="A184" s="277" t="s">
        <v>3321</v>
      </c>
      <c r="B184" s="258" t="s">
        <v>1978</v>
      </c>
      <c r="C184" s="274" t="str">
        <f t="shared" si="2"/>
        <v>Juti, MS</v>
      </c>
      <c r="D184" s="278">
        <v>-22.86</v>
      </c>
      <c r="E184" s="258">
        <v>379</v>
      </c>
      <c r="F184" s="279">
        <v>24.670161289999999</v>
      </c>
      <c r="G184" s="279">
        <v>25.59702381</v>
      </c>
      <c r="H184" s="279">
        <v>26.047715050000001</v>
      </c>
      <c r="I184" s="279">
        <v>24.610555560000002</v>
      </c>
      <c r="J184" s="279">
        <v>21.435349460000001</v>
      </c>
      <c r="K184" s="279">
        <v>16.991111109999999</v>
      </c>
      <c r="L184" s="279">
        <v>17.616801079999998</v>
      </c>
      <c r="M184" s="279">
        <v>20.420833330000001</v>
      </c>
      <c r="N184" s="279">
        <v>21.14194444</v>
      </c>
      <c r="O184" s="279">
        <v>23.84327957</v>
      </c>
      <c r="P184" s="279">
        <v>26.765138889999999</v>
      </c>
      <c r="Q184" s="279">
        <v>25.696774189999999</v>
      </c>
      <c r="R184" s="279">
        <v>22.903057314999998</v>
      </c>
      <c r="S184" s="274">
        <f>SUMIFS(Aux_Lista!Y:Y,Aux_Lista!W:W,Aux_TBS!B184,Aux_Lista!X:X,Aux_TBS!A184)</f>
        <v>3</v>
      </c>
      <c r="T184" s="274" t="s">
        <v>6042</v>
      </c>
      <c r="U184" s="274">
        <v>40</v>
      </c>
    </row>
    <row r="185" spans="1:21" x14ac:dyDescent="0.25">
      <c r="A185" s="277" t="s">
        <v>5484</v>
      </c>
      <c r="B185" s="258" t="s">
        <v>1978</v>
      </c>
      <c r="C185" s="274" t="str">
        <f t="shared" si="2"/>
        <v>Miranda, MS</v>
      </c>
      <c r="D185" s="278">
        <v>-20.239999999999998</v>
      </c>
      <c r="E185" s="258">
        <v>140</v>
      </c>
      <c r="F185" s="279">
        <v>26.738172039999998</v>
      </c>
      <c r="G185" s="279">
        <v>26.674404760000002</v>
      </c>
      <c r="H185" s="279">
        <v>26.913172039999999</v>
      </c>
      <c r="I185" s="279">
        <v>26.084861109999999</v>
      </c>
      <c r="J185" s="279">
        <v>21.19166667</v>
      </c>
      <c r="K185" s="279">
        <v>21.14</v>
      </c>
      <c r="L185" s="279">
        <v>20.194354839999999</v>
      </c>
      <c r="M185" s="279">
        <v>21.400268820000001</v>
      </c>
      <c r="N185" s="279">
        <v>27.76847222</v>
      </c>
      <c r="O185" s="279">
        <v>24.887365590000002</v>
      </c>
      <c r="P185" s="279">
        <v>24.945277780000001</v>
      </c>
      <c r="Q185" s="279">
        <v>27.646639780000001</v>
      </c>
      <c r="R185" s="279">
        <v>24.632054637500001</v>
      </c>
      <c r="S185" s="274">
        <f>SUMIFS(Aux_Lista!Y:Y,Aux_Lista!W:W,Aux_TBS!B185,Aux_Lista!X:X,Aux_TBS!A185)</f>
        <v>5</v>
      </c>
      <c r="T185" s="274" t="s">
        <v>6042</v>
      </c>
      <c r="U185" s="274">
        <v>40</v>
      </c>
    </row>
    <row r="186" spans="1:21" x14ac:dyDescent="0.25">
      <c r="A186" s="277" t="s">
        <v>3742</v>
      </c>
      <c r="B186" s="258" t="s">
        <v>258</v>
      </c>
      <c r="C186" s="274" t="str">
        <f t="shared" si="2"/>
        <v>Santa Rosa de Viterbo, SP</v>
      </c>
      <c r="D186" s="278">
        <v>-18.989999999999998</v>
      </c>
      <c r="E186" s="258">
        <v>104</v>
      </c>
      <c r="F186" s="279">
        <v>26.46975806</v>
      </c>
      <c r="G186" s="279">
        <v>27.0327381</v>
      </c>
      <c r="H186" s="279">
        <v>26.683198919999999</v>
      </c>
      <c r="I186" s="279">
        <v>24.963750000000001</v>
      </c>
      <c r="J186" s="279">
        <v>21.690994620000001</v>
      </c>
      <c r="K186" s="279">
        <v>20.206111109999998</v>
      </c>
      <c r="L186" s="279">
        <v>22.064247309999999</v>
      </c>
      <c r="M186" s="279">
        <v>24.398387100000001</v>
      </c>
      <c r="N186" s="279">
        <v>23.578888890000002</v>
      </c>
      <c r="O186" s="279">
        <v>26.839919349999999</v>
      </c>
      <c r="P186" s="279">
        <v>27.487638889999999</v>
      </c>
      <c r="Q186" s="279">
        <v>27.281854840000001</v>
      </c>
      <c r="R186" s="279">
        <v>24.891457265833335</v>
      </c>
      <c r="S186" s="274">
        <f>SUMIFS(Aux_Lista!Y:Y,Aux_Lista!W:W,Aux_TBS!B186,Aux_Lista!X:X,Aux_TBS!A186)</f>
        <v>4</v>
      </c>
      <c r="T186" s="274" t="s">
        <v>6043</v>
      </c>
      <c r="U186" s="274">
        <v>40</v>
      </c>
    </row>
    <row r="187" spans="1:21" x14ac:dyDescent="0.25">
      <c r="A187" s="277" t="s">
        <v>3338</v>
      </c>
      <c r="B187" s="258" t="s">
        <v>1978</v>
      </c>
      <c r="C187" s="274" t="str">
        <f t="shared" si="2"/>
        <v>Ponta Porã, MS</v>
      </c>
      <c r="D187" s="278">
        <v>-22.54</v>
      </c>
      <c r="E187" s="258">
        <v>650</v>
      </c>
      <c r="F187" s="279">
        <v>24.021639780000001</v>
      </c>
      <c r="G187" s="279">
        <v>24.856547620000001</v>
      </c>
      <c r="H187" s="279">
        <v>24.646102150000001</v>
      </c>
      <c r="I187" s="279">
        <v>21.588611109999999</v>
      </c>
      <c r="J187" s="279">
        <v>16.557661289999999</v>
      </c>
      <c r="K187" s="279">
        <v>18.60652778</v>
      </c>
      <c r="L187" s="279">
        <v>18.795026880000002</v>
      </c>
      <c r="M187" s="279">
        <v>18.611827959999999</v>
      </c>
      <c r="N187" s="279">
        <v>20.69722222</v>
      </c>
      <c r="O187" s="279">
        <v>20.985483869999999</v>
      </c>
      <c r="P187" s="279">
        <v>22.08736111</v>
      </c>
      <c r="Q187" s="279">
        <v>24.309946239999999</v>
      </c>
      <c r="R187" s="279">
        <v>21.3136631675</v>
      </c>
      <c r="S187" s="274">
        <f>SUMIFS(Aux_Lista!Y:Y,Aux_Lista!W:W,Aux_TBS!B187,Aux_Lista!X:X,Aux_TBS!A187)</f>
        <v>3</v>
      </c>
      <c r="T187" s="274" t="s">
        <v>6042</v>
      </c>
      <c r="U187" s="274">
        <v>40</v>
      </c>
    </row>
    <row r="188" spans="1:21" x14ac:dyDescent="0.25">
      <c r="A188" s="277" t="s">
        <v>5353</v>
      </c>
      <c r="B188" s="258" t="s">
        <v>1978</v>
      </c>
      <c r="C188" s="274" t="str">
        <f t="shared" si="2"/>
        <v>Porto Murtinho, MS</v>
      </c>
      <c r="D188" s="278">
        <v>-21.7</v>
      </c>
      <c r="E188" s="258">
        <v>85</v>
      </c>
      <c r="F188" s="279">
        <v>28.370430110000001</v>
      </c>
      <c r="G188" s="279">
        <v>27.7</v>
      </c>
      <c r="H188" s="279">
        <v>27.9688172</v>
      </c>
      <c r="I188" s="279">
        <v>26.413472219999999</v>
      </c>
      <c r="J188" s="279">
        <v>20.207123660000001</v>
      </c>
      <c r="K188" s="279">
        <v>21.60013889</v>
      </c>
      <c r="L188" s="279">
        <v>19.264784949999999</v>
      </c>
      <c r="M188" s="279">
        <v>20.234946239999999</v>
      </c>
      <c r="N188" s="279">
        <v>27.204722220000001</v>
      </c>
      <c r="O188" s="279">
        <v>27.193682800000001</v>
      </c>
      <c r="P188" s="279">
        <v>31.026944440000001</v>
      </c>
      <c r="Q188" s="279">
        <v>28.42580645</v>
      </c>
      <c r="R188" s="279">
        <v>25.467572431666667</v>
      </c>
      <c r="S188" s="274">
        <f>SUMIFS(Aux_Lista!Y:Y,Aux_Lista!W:W,Aux_TBS!B188,Aux_Lista!X:X,Aux_TBS!A188)</f>
        <v>5</v>
      </c>
      <c r="T188" s="274" t="s">
        <v>6042</v>
      </c>
      <c r="U188" s="274">
        <v>40</v>
      </c>
    </row>
    <row r="189" spans="1:21" x14ac:dyDescent="0.25">
      <c r="A189" s="277" t="s">
        <v>3670</v>
      </c>
      <c r="B189" s="258" t="s">
        <v>1978</v>
      </c>
      <c r="C189" s="274" t="str">
        <f t="shared" si="2"/>
        <v>Rio Brilhante, MS</v>
      </c>
      <c r="D189" s="278">
        <v>-21.78</v>
      </c>
      <c r="E189" s="258">
        <v>329</v>
      </c>
      <c r="F189" s="279">
        <v>24.608064519999999</v>
      </c>
      <c r="G189" s="279">
        <v>25.390476190000001</v>
      </c>
      <c r="H189" s="279">
        <v>25.74341398</v>
      </c>
      <c r="I189" s="279">
        <v>24.02416667</v>
      </c>
      <c r="J189" s="279">
        <v>21.333736559999998</v>
      </c>
      <c r="K189" s="279">
        <v>17.59305556</v>
      </c>
      <c r="L189" s="279">
        <v>20.90766129</v>
      </c>
      <c r="M189" s="279">
        <v>22.34287634</v>
      </c>
      <c r="N189" s="279">
        <v>21.140972219999998</v>
      </c>
      <c r="O189" s="279">
        <v>24.992607530000001</v>
      </c>
      <c r="P189" s="279">
        <v>25.25791667</v>
      </c>
      <c r="Q189" s="279">
        <v>26.169758059999999</v>
      </c>
      <c r="R189" s="279">
        <v>23.292058799166668</v>
      </c>
      <c r="S189" s="274">
        <f>SUMIFS(Aux_Lista!Y:Y,Aux_Lista!W:W,Aux_TBS!B189,Aux_Lista!X:X,Aux_TBS!A189)</f>
        <v>3</v>
      </c>
      <c r="T189" s="274" t="s">
        <v>6042</v>
      </c>
      <c r="U189" s="274">
        <v>40</v>
      </c>
    </row>
    <row r="190" spans="1:21" x14ac:dyDescent="0.25">
      <c r="A190" s="277" t="s">
        <v>3137</v>
      </c>
      <c r="B190" s="258" t="s">
        <v>1978</v>
      </c>
      <c r="C190" s="274" t="str">
        <f t="shared" si="2"/>
        <v>Sete Quedas, MS</v>
      </c>
      <c r="D190" s="278">
        <v>-23.97</v>
      </c>
      <c r="E190" s="258">
        <v>402</v>
      </c>
      <c r="F190" s="279">
        <v>24.46075269</v>
      </c>
      <c r="G190" s="279">
        <v>25.54910714</v>
      </c>
      <c r="H190" s="279">
        <v>25.698790320000001</v>
      </c>
      <c r="I190" s="279">
        <v>23.86861111</v>
      </c>
      <c r="J190" s="279">
        <v>20.259543010000002</v>
      </c>
      <c r="K190" s="279">
        <v>15.685</v>
      </c>
      <c r="L190" s="279">
        <v>20.304435479999999</v>
      </c>
      <c r="M190" s="279">
        <v>20.11008065</v>
      </c>
      <c r="N190" s="279">
        <v>18.938749999999999</v>
      </c>
      <c r="O190" s="279">
        <v>23.196505380000001</v>
      </c>
      <c r="P190" s="279">
        <v>24.18819444</v>
      </c>
      <c r="Q190" s="279">
        <v>25.87728495</v>
      </c>
      <c r="R190" s="279">
        <v>22.3447545975</v>
      </c>
      <c r="S190" s="274">
        <f>SUMIFS(Aux_Lista!Y:Y,Aux_Lista!W:W,Aux_TBS!B190,Aux_Lista!X:X,Aux_TBS!A190)</f>
        <v>3</v>
      </c>
      <c r="T190" s="274" t="s">
        <v>6042</v>
      </c>
      <c r="U190" s="274">
        <v>40</v>
      </c>
    </row>
    <row r="191" spans="1:21" x14ac:dyDescent="0.25">
      <c r="A191" s="277" t="s">
        <v>3217</v>
      </c>
      <c r="B191" s="258" t="s">
        <v>1978</v>
      </c>
      <c r="C191" s="274" t="str">
        <f t="shared" si="2"/>
        <v>Sidrolândia, MS</v>
      </c>
      <c r="D191" s="278">
        <v>-20.98</v>
      </c>
      <c r="E191" s="258">
        <v>464</v>
      </c>
      <c r="F191" s="279">
        <v>24.672983869999999</v>
      </c>
      <c r="G191" s="279">
        <v>25.276488100000002</v>
      </c>
      <c r="H191" s="279">
        <v>25.355779569999999</v>
      </c>
      <c r="I191" s="279">
        <v>24.902222219999999</v>
      </c>
      <c r="J191" s="279">
        <v>21.93897849</v>
      </c>
      <c r="K191" s="279">
        <v>18.689166669999999</v>
      </c>
      <c r="L191" s="279">
        <v>19.436290320000001</v>
      </c>
      <c r="M191" s="279">
        <v>21.25846774</v>
      </c>
      <c r="N191" s="279">
        <v>22.381111109999999</v>
      </c>
      <c r="O191" s="279">
        <v>24.514112900000001</v>
      </c>
      <c r="P191" s="279">
        <v>26.482500000000002</v>
      </c>
      <c r="Q191" s="279">
        <v>25.3344086</v>
      </c>
      <c r="R191" s="279">
        <v>23.353542465833339</v>
      </c>
      <c r="S191" s="274">
        <f>SUMIFS(Aux_Lista!Y:Y,Aux_Lista!W:W,Aux_TBS!B191,Aux_Lista!X:X,Aux_TBS!A191)</f>
        <v>5</v>
      </c>
      <c r="T191" s="274" t="s">
        <v>6042</v>
      </c>
      <c r="U191" s="274">
        <v>40</v>
      </c>
    </row>
    <row r="192" spans="1:21" x14ac:dyDescent="0.25">
      <c r="A192" s="277" t="s">
        <v>3371</v>
      </c>
      <c r="B192" s="258" t="s">
        <v>1978</v>
      </c>
      <c r="C192" s="274" t="str">
        <f t="shared" si="2"/>
        <v>Três Lagoas, MS</v>
      </c>
      <c r="D192" s="278">
        <v>-20.75</v>
      </c>
      <c r="E192" s="258">
        <v>313</v>
      </c>
      <c r="F192" s="279">
        <v>25.796505379999999</v>
      </c>
      <c r="G192" s="279">
        <v>25.939583330000001</v>
      </c>
      <c r="H192" s="279">
        <v>25.443951609999999</v>
      </c>
      <c r="I192" s="279">
        <v>24.53166667</v>
      </c>
      <c r="J192" s="279">
        <v>20.473521510000001</v>
      </c>
      <c r="K192" s="279">
        <v>20.838055560000001</v>
      </c>
      <c r="L192" s="279">
        <v>21.443951609999999</v>
      </c>
      <c r="M192" s="279">
        <v>24.0672043</v>
      </c>
      <c r="N192" s="279">
        <v>23.36597222</v>
      </c>
      <c r="O192" s="279">
        <v>26.64180108</v>
      </c>
      <c r="P192" s="279">
        <v>26.551111110000001</v>
      </c>
      <c r="Q192" s="279">
        <v>27.1969086</v>
      </c>
      <c r="R192" s="279">
        <v>24.357519415000002</v>
      </c>
      <c r="S192" s="274">
        <f>SUMIFS(Aux_Lista!Y:Y,Aux_Lista!W:W,Aux_TBS!B192,Aux_Lista!X:X,Aux_TBS!A192)</f>
        <v>6</v>
      </c>
      <c r="T192" s="274" t="s">
        <v>6042</v>
      </c>
      <c r="U192" s="274">
        <v>40</v>
      </c>
    </row>
    <row r="193" spans="1:21" x14ac:dyDescent="0.25">
      <c r="A193" s="277" t="s">
        <v>1899</v>
      </c>
      <c r="B193" s="258" t="s">
        <v>2185</v>
      </c>
      <c r="C193" s="274" t="str">
        <f t="shared" si="2"/>
        <v>Água Boa, MT</v>
      </c>
      <c r="D193" s="278">
        <v>-14.05</v>
      </c>
      <c r="E193" s="258">
        <v>432</v>
      </c>
      <c r="F193" s="279">
        <v>25.344892470000001</v>
      </c>
      <c r="G193" s="279">
        <v>24.819791670000001</v>
      </c>
      <c r="H193" s="279">
        <v>25.225134409999999</v>
      </c>
      <c r="I193" s="279">
        <v>24.374444440000001</v>
      </c>
      <c r="J193" s="279">
        <v>24.118145160000001</v>
      </c>
      <c r="K193" s="279">
        <v>23.023611110000001</v>
      </c>
      <c r="L193" s="279">
        <v>24.552284950000001</v>
      </c>
      <c r="M193" s="279">
        <v>25.703629029999998</v>
      </c>
      <c r="N193" s="279">
        <v>26.69430556</v>
      </c>
      <c r="O193" s="279">
        <v>25.58064516</v>
      </c>
      <c r="P193" s="279">
        <v>25.369861109999999</v>
      </c>
      <c r="Q193" s="279">
        <v>24.562231180000001</v>
      </c>
      <c r="R193" s="279">
        <v>24.9474146875</v>
      </c>
      <c r="S193" s="274">
        <f>SUMIFS(Aux_Lista!Y:Y,Aux_Lista!W:W,Aux_TBS!B193,Aux_Lista!X:X,Aux_TBS!A193)</f>
        <v>6</v>
      </c>
      <c r="T193" s="274" t="s">
        <v>6042</v>
      </c>
      <c r="U193" s="274">
        <v>40</v>
      </c>
    </row>
    <row r="194" spans="1:21" x14ac:dyDescent="0.25">
      <c r="A194" s="277" t="s">
        <v>2201</v>
      </c>
      <c r="B194" s="258" t="s">
        <v>2185</v>
      </c>
      <c r="C194" s="274" t="str">
        <f t="shared" si="2"/>
        <v>Alto Taquari, MT</v>
      </c>
      <c r="D194" s="278">
        <v>-17.82</v>
      </c>
      <c r="E194" s="258">
        <v>875</v>
      </c>
      <c r="F194" s="279">
        <v>22.636827960000002</v>
      </c>
      <c r="G194" s="279">
        <v>21.920535709999999</v>
      </c>
      <c r="H194" s="279">
        <v>21.966263439999999</v>
      </c>
      <c r="I194" s="279">
        <v>22.26166667</v>
      </c>
      <c r="J194" s="279">
        <v>20.126209679999999</v>
      </c>
      <c r="K194" s="279">
        <v>20.672916669999999</v>
      </c>
      <c r="L194" s="279">
        <v>21.448924730000002</v>
      </c>
      <c r="M194" s="279">
        <v>23.66653226</v>
      </c>
      <c r="N194" s="279">
        <v>23.6175</v>
      </c>
      <c r="O194" s="279">
        <v>23.67715054</v>
      </c>
      <c r="P194" s="279">
        <v>23.359027780000002</v>
      </c>
      <c r="Q194" s="279">
        <v>22.666935479999999</v>
      </c>
      <c r="R194" s="279">
        <v>22.33504091</v>
      </c>
      <c r="S194" s="274">
        <f>SUMIFS(Aux_Lista!Y:Y,Aux_Lista!W:W,Aux_TBS!B194,Aux_Lista!X:X,Aux_TBS!A194)</f>
        <v>6</v>
      </c>
      <c r="T194" s="274" t="s">
        <v>6042</v>
      </c>
      <c r="U194" s="274">
        <v>40</v>
      </c>
    </row>
    <row r="195" spans="1:21" x14ac:dyDescent="0.25">
      <c r="A195" s="277" t="s">
        <v>4821</v>
      </c>
      <c r="B195" s="258" t="s">
        <v>2185</v>
      </c>
      <c r="C195" s="274" t="str">
        <f t="shared" ref="C195:C258" si="3">CONCATENATE(A195,", ",B195)</f>
        <v>Apiacás, MT</v>
      </c>
      <c r="D195" s="278">
        <v>-9.5399999999999991</v>
      </c>
      <c r="E195" s="258">
        <v>220</v>
      </c>
      <c r="F195" s="279">
        <v>24.84744624</v>
      </c>
      <c r="G195" s="279">
        <v>24.916666670000001</v>
      </c>
      <c r="H195" s="279">
        <v>24.808467740000001</v>
      </c>
      <c r="I195" s="279">
        <v>25.743749999999999</v>
      </c>
      <c r="J195" s="279">
        <v>25.289919350000002</v>
      </c>
      <c r="K195" s="279">
        <v>25.03347222</v>
      </c>
      <c r="L195" s="279">
        <v>25.19032258</v>
      </c>
      <c r="M195" s="279">
        <v>26.975672039999999</v>
      </c>
      <c r="N195" s="279">
        <v>26.810833330000001</v>
      </c>
      <c r="O195" s="279">
        <v>26.620026880000001</v>
      </c>
      <c r="P195" s="279">
        <v>25.93263889</v>
      </c>
      <c r="Q195" s="279">
        <v>25.622446239999999</v>
      </c>
      <c r="R195" s="279">
        <v>25.649305181666666</v>
      </c>
      <c r="S195" s="274">
        <f>SUMIFS(Aux_Lista!Y:Y,Aux_Lista!W:W,Aux_TBS!B195,Aux_Lista!X:X,Aux_TBS!A195)</f>
        <v>8</v>
      </c>
      <c r="T195" s="274" t="s">
        <v>6042</v>
      </c>
      <c r="U195" s="274">
        <v>40</v>
      </c>
    </row>
    <row r="196" spans="1:21" x14ac:dyDescent="0.25">
      <c r="A196" s="277" t="s">
        <v>2226</v>
      </c>
      <c r="B196" s="258" t="s">
        <v>2185</v>
      </c>
      <c r="C196" s="274" t="str">
        <f t="shared" si="3"/>
        <v>Campo Novo do Parecis, MT</v>
      </c>
      <c r="D196" s="278">
        <v>-13.68</v>
      </c>
      <c r="E196" s="258">
        <v>570</v>
      </c>
      <c r="F196" s="279">
        <v>24.368682799999998</v>
      </c>
      <c r="G196" s="279">
        <v>24.195535710000001</v>
      </c>
      <c r="H196" s="279">
        <v>23.96774194</v>
      </c>
      <c r="I196" s="279">
        <v>24.178055560000001</v>
      </c>
      <c r="J196" s="279">
        <v>23.709274189999999</v>
      </c>
      <c r="K196" s="279">
        <v>23.16444444</v>
      </c>
      <c r="L196" s="279">
        <v>22.93185484</v>
      </c>
      <c r="M196" s="279">
        <v>23.530645159999999</v>
      </c>
      <c r="N196" s="279">
        <v>24.56319444</v>
      </c>
      <c r="O196" s="279">
        <v>24.912231179999999</v>
      </c>
      <c r="P196" s="279">
        <v>24.420416670000002</v>
      </c>
      <c r="Q196" s="279">
        <v>25.041801079999999</v>
      </c>
      <c r="R196" s="279">
        <v>24.081989834166666</v>
      </c>
      <c r="S196" s="274">
        <f>SUMIFS(Aux_Lista!Y:Y,Aux_Lista!W:W,Aux_TBS!B196,Aux_Lista!X:X,Aux_TBS!A196)</f>
        <v>5</v>
      </c>
      <c r="T196" s="274" t="s">
        <v>6042</v>
      </c>
      <c r="U196" s="274">
        <v>40</v>
      </c>
    </row>
    <row r="197" spans="1:21" x14ac:dyDescent="0.25">
      <c r="A197" s="277" t="s">
        <v>2217</v>
      </c>
      <c r="B197" s="258" t="s">
        <v>2185</v>
      </c>
      <c r="C197" s="274" t="str">
        <f t="shared" si="3"/>
        <v>Campo Verde, MT</v>
      </c>
      <c r="D197" s="278">
        <v>-15.55</v>
      </c>
      <c r="E197" s="258">
        <v>749</v>
      </c>
      <c r="F197" s="279">
        <v>22.415456989999999</v>
      </c>
      <c r="G197" s="279">
        <v>22.635714289999999</v>
      </c>
      <c r="H197" s="279">
        <v>22.874865589999999</v>
      </c>
      <c r="I197" s="279">
        <v>22.506111109999999</v>
      </c>
      <c r="J197" s="279">
        <v>20.883602150000002</v>
      </c>
      <c r="K197" s="279">
        <v>20.975000000000001</v>
      </c>
      <c r="L197" s="279">
        <v>22.790860219999999</v>
      </c>
      <c r="M197" s="279">
        <v>25.169892470000001</v>
      </c>
      <c r="N197" s="279">
        <v>24.862777779999998</v>
      </c>
      <c r="O197" s="279">
        <v>24.462768820000001</v>
      </c>
      <c r="P197" s="279">
        <v>23.85125</v>
      </c>
      <c r="Q197" s="279">
        <v>22.971774190000001</v>
      </c>
      <c r="R197" s="279">
        <v>23.033339467499999</v>
      </c>
      <c r="S197" s="274">
        <f>SUMIFS(Aux_Lista!Y:Y,Aux_Lista!W:W,Aux_TBS!B197,Aux_Lista!X:X,Aux_TBS!A197)</f>
        <v>6</v>
      </c>
      <c r="T197" s="274" t="s">
        <v>6042</v>
      </c>
      <c r="U197" s="274">
        <v>40</v>
      </c>
    </row>
    <row r="198" spans="1:21" x14ac:dyDescent="0.25">
      <c r="A198" s="277" t="s">
        <v>4281</v>
      </c>
      <c r="B198" s="258" t="s">
        <v>2185</v>
      </c>
      <c r="C198" s="274" t="str">
        <f t="shared" si="3"/>
        <v>Carlinda, MT</v>
      </c>
      <c r="D198" s="278">
        <v>-9.9700000000000006</v>
      </c>
      <c r="E198" s="258">
        <v>300</v>
      </c>
      <c r="F198" s="279">
        <v>25.0358871</v>
      </c>
      <c r="G198" s="279">
        <v>24.779910709999999</v>
      </c>
      <c r="H198" s="279">
        <v>24.949865590000002</v>
      </c>
      <c r="I198" s="279">
        <v>24.9575</v>
      </c>
      <c r="J198" s="279">
        <v>25.151881719999999</v>
      </c>
      <c r="K198" s="279">
        <v>25.270416669999999</v>
      </c>
      <c r="L198" s="279">
        <v>26.26075269</v>
      </c>
      <c r="M198" s="279">
        <v>26.90255376</v>
      </c>
      <c r="N198" s="279">
        <v>26.2575</v>
      </c>
      <c r="O198" s="279">
        <v>25.93696237</v>
      </c>
      <c r="P198" s="279">
        <v>25.52597222</v>
      </c>
      <c r="Q198" s="279">
        <v>24.852956989999999</v>
      </c>
      <c r="R198" s="279">
        <v>25.490179984999997</v>
      </c>
      <c r="S198" s="274">
        <f>SUMIFS(Aux_Lista!Y:Y,Aux_Lista!W:W,Aux_TBS!B198,Aux_Lista!X:X,Aux_TBS!A198)</f>
        <v>8</v>
      </c>
      <c r="T198" s="274" t="s">
        <v>6042</v>
      </c>
      <c r="U198" s="274">
        <v>40</v>
      </c>
    </row>
    <row r="199" spans="1:21" x14ac:dyDescent="0.25">
      <c r="A199" s="277" t="s">
        <v>2879</v>
      </c>
      <c r="B199" s="258" t="s">
        <v>2185</v>
      </c>
      <c r="C199" s="274" t="str">
        <f t="shared" si="3"/>
        <v>Comodoro, MT</v>
      </c>
      <c r="D199" s="278">
        <v>-13.66</v>
      </c>
      <c r="E199" s="258">
        <v>591</v>
      </c>
      <c r="F199" s="279">
        <v>23.543548390000002</v>
      </c>
      <c r="G199" s="279">
        <v>23.109523809999999</v>
      </c>
      <c r="H199" s="279">
        <v>23.020698920000001</v>
      </c>
      <c r="I199" s="279">
        <v>23.148472219999999</v>
      </c>
      <c r="J199" s="279">
        <v>20.421236560000001</v>
      </c>
      <c r="K199" s="279">
        <v>20.41416667</v>
      </c>
      <c r="L199" s="279">
        <v>20.613709679999999</v>
      </c>
      <c r="M199" s="279">
        <v>20.933870970000001</v>
      </c>
      <c r="N199" s="279">
        <v>22.992361110000001</v>
      </c>
      <c r="O199" s="279">
        <v>23.871505379999999</v>
      </c>
      <c r="P199" s="279">
        <v>23.649027780000001</v>
      </c>
      <c r="Q199" s="279">
        <v>23.51680108</v>
      </c>
      <c r="R199" s="279">
        <v>22.436243547499998</v>
      </c>
      <c r="S199" s="274">
        <f>SUMIFS(Aux_Lista!Y:Y,Aux_Lista!W:W,Aux_TBS!B199,Aux_Lista!X:X,Aux_TBS!A199)</f>
        <v>5</v>
      </c>
      <c r="T199" s="274" t="s">
        <v>6042</v>
      </c>
      <c r="U199" s="274">
        <v>40</v>
      </c>
    </row>
    <row r="200" spans="1:21" x14ac:dyDescent="0.25">
      <c r="A200" s="277" t="s">
        <v>4715</v>
      </c>
      <c r="B200" s="258" t="s">
        <v>2185</v>
      </c>
      <c r="C200" s="274" t="str">
        <f t="shared" si="3"/>
        <v>Confresa, MT</v>
      </c>
      <c r="D200" s="278">
        <v>-10.65</v>
      </c>
      <c r="E200" s="258">
        <v>237</v>
      </c>
      <c r="F200" s="279">
        <v>25.594489249999999</v>
      </c>
      <c r="G200" s="279">
        <v>25.108035709999999</v>
      </c>
      <c r="H200" s="279">
        <v>25.961827960000001</v>
      </c>
      <c r="I200" s="279">
        <v>25.34791667</v>
      </c>
      <c r="J200" s="279">
        <v>25.531586019999999</v>
      </c>
      <c r="K200" s="279">
        <v>25.734444440000001</v>
      </c>
      <c r="L200" s="279">
        <v>26.508736559999999</v>
      </c>
      <c r="M200" s="279">
        <v>27.494758059999999</v>
      </c>
      <c r="N200" s="279">
        <v>27.67736111</v>
      </c>
      <c r="O200" s="279">
        <v>26.37177419</v>
      </c>
      <c r="P200" s="279">
        <v>26.376805560000001</v>
      </c>
      <c r="Q200" s="279">
        <v>25.84422043</v>
      </c>
      <c r="R200" s="279">
        <v>26.129329663333333</v>
      </c>
      <c r="S200" s="274">
        <f>SUMIFS(Aux_Lista!Y:Y,Aux_Lista!W:W,Aux_TBS!B200,Aux_Lista!X:X,Aux_TBS!A200)</f>
        <v>7</v>
      </c>
      <c r="T200" s="274" t="s">
        <v>6042</v>
      </c>
      <c r="U200" s="274">
        <v>40</v>
      </c>
    </row>
    <row r="201" spans="1:21" x14ac:dyDescent="0.25">
      <c r="A201" s="277" t="s">
        <v>4820</v>
      </c>
      <c r="B201" s="258" t="s">
        <v>2185</v>
      </c>
      <c r="C201" s="274" t="str">
        <f t="shared" si="3"/>
        <v>Cotriguaçu, MT</v>
      </c>
      <c r="D201" s="278">
        <v>-9.86</v>
      </c>
      <c r="E201" s="258">
        <v>261</v>
      </c>
      <c r="F201" s="279">
        <v>24.12177419</v>
      </c>
      <c r="G201" s="279">
        <v>24.245238100000002</v>
      </c>
      <c r="H201" s="279">
        <v>23.97069892</v>
      </c>
      <c r="I201" s="279">
        <v>24.5625</v>
      </c>
      <c r="J201" s="279">
        <v>24.106317199999999</v>
      </c>
      <c r="K201" s="279">
        <v>23.61861111</v>
      </c>
      <c r="L201" s="279">
        <v>23.88575269</v>
      </c>
      <c r="M201" s="279">
        <v>25.71827957</v>
      </c>
      <c r="N201" s="279">
        <v>25.51694444</v>
      </c>
      <c r="O201" s="279">
        <v>25.759005380000001</v>
      </c>
      <c r="P201" s="279">
        <v>25.190277779999999</v>
      </c>
      <c r="Q201" s="279">
        <v>24.761290320000001</v>
      </c>
      <c r="R201" s="279">
        <v>24.621390808333331</v>
      </c>
      <c r="S201" s="274">
        <f>SUMIFS(Aux_Lista!Y:Y,Aux_Lista!W:W,Aux_TBS!B201,Aux_Lista!X:X,Aux_TBS!A201)</f>
        <v>8</v>
      </c>
      <c r="T201" s="274" t="s">
        <v>6042</v>
      </c>
      <c r="U201" s="274">
        <v>40</v>
      </c>
    </row>
    <row r="202" spans="1:21" x14ac:dyDescent="0.25">
      <c r="A202" s="277" t="s">
        <v>5405</v>
      </c>
      <c r="B202" s="258" t="s">
        <v>2185</v>
      </c>
      <c r="C202" s="274" t="str">
        <f t="shared" si="3"/>
        <v>Cuiabá, MT</v>
      </c>
      <c r="D202" s="278">
        <v>-15.62</v>
      </c>
      <c r="E202" s="258">
        <v>151</v>
      </c>
      <c r="F202" s="279">
        <v>27.394892469999998</v>
      </c>
      <c r="G202" s="279">
        <v>27.0483631</v>
      </c>
      <c r="H202" s="279">
        <v>26.118817199999999</v>
      </c>
      <c r="I202" s="279">
        <v>24.814305560000001</v>
      </c>
      <c r="J202" s="279">
        <v>25.696639780000002</v>
      </c>
      <c r="K202" s="279">
        <v>22.844583329999999</v>
      </c>
      <c r="L202" s="279">
        <v>24.120161289999999</v>
      </c>
      <c r="M202" s="279">
        <v>25.999731180000001</v>
      </c>
      <c r="N202" s="279">
        <v>27.23</v>
      </c>
      <c r="O202" s="279">
        <v>28.538978490000002</v>
      </c>
      <c r="P202" s="279">
        <v>28.351805559999999</v>
      </c>
      <c r="Q202" s="279">
        <v>27.05645161</v>
      </c>
      <c r="R202" s="279">
        <v>26.26789413083333</v>
      </c>
      <c r="S202" s="274">
        <f>SUMIFS(Aux_Lista!Y:Y,Aux_Lista!W:W,Aux_TBS!B202,Aux_Lista!X:X,Aux_TBS!A202)</f>
        <v>7</v>
      </c>
      <c r="T202" s="274" t="s">
        <v>6042</v>
      </c>
      <c r="U202" s="274">
        <v>40</v>
      </c>
    </row>
    <row r="203" spans="1:21" x14ac:dyDescent="0.25">
      <c r="A203" s="277" t="s">
        <v>4753</v>
      </c>
      <c r="B203" s="258" t="s">
        <v>2185</v>
      </c>
      <c r="C203" s="274" t="str">
        <f t="shared" si="3"/>
        <v>Gaúcha do Norte, MT</v>
      </c>
      <c r="D203" s="278">
        <v>-13.18</v>
      </c>
      <c r="E203" s="258">
        <v>379</v>
      </c>
      <c r="F203" s="279">
        <v>25.449865590000002</v>
      </c>
      <c r="G203" s="279">
        <v>24.89479167</v>
      </c>
      <c r="H203" s="279">
        <v>25.63158602</v>
      </c>
      <c r="I203" s="279">
        <v>24.951111109999999</v>
      </c>
      <c r="J203" s="279">
        <v>24.84327957</v>
      </c>
      <c r="K203" s="279">
        <v>23.876388890000001</v>
      </c>
      <c r="L203" s="279">
        <v>24.582258060000001</v>
      </c>
      <c r="M203" s="279">
        <v>25.269354839999998</v>
      </c>
      <c r="N203" s="279">
        <v>26.670694439999998</v>
      </c>
      <c r="O203" s="279">
        <v>25.90443548</v>
      </c>
      <c r="P203" s="279">
        <v>25.802916669999998</v>
      </c>
      <c r="Q203" s="279">
        <v>24.725537630000002</v>
      </c>
      <c r="R203" s="279">
        <v>25.216851664166668</v>
      </c>
      <c r="S203" s="274">
        <f>SUMIFS(Aux_Lista!Y:Y,Aux_Lista!W:W,Aux_TBS!B203,Aux_Lista!X:X,Aux_TBS!A203)</f>
        <v>6</v>
      </c>
      <c r="T203" s="274" t="s">
        <v>6042</v>
      </c>
      <c r="U203" s="274">
        <v>40</v>
      </c>
    </row>
    <row r="204" spans="1:21" x14ac:dyDescent="0.25">
      <c r="A204" s="277" t="s">
        <v>4806</v>
      </c>
      <c r="B204" s="258" t="s">
        <v>2185</v>
      </c>
      <c r="C204" s="274" t="str">
        <f t="shared" si="3"/>
        <v>Guarantã do Norte, MT</v>
      </c>
      <c r="D204" s="278">
        <v>-9.7899999999999991</v>
      </c>
      <c r="E204" s="258">
        <v>320</v>
      </c>
      <c r="F204" s="279">
        <v>25.004569889999999</v>
      </c>
      <c r="G204" s="279">
        <v>24.44017857</v>
      </c>
      <c r="H204" s="279">
        <v>25.024865590000001</v>
      </c>
      <c r="I204" s="279">
        <v>25.40666667</v>
      </c>
      <c r="J204" s="279">
        <v>25.215725809999999</v>
      </c>
      <c r="K204" s="279">
        <v>23.98875</v>
      </c>
      <c r="L204" s="279">
        <v>24.37459677</v>
      </c>
      <c r="M204" s="279">
        <v>24.86989247</v>
      </c>
      <c r="N204" s="279">
        <v>25.34333333</v>
      </c>
      <c r="O204" s="279">
        <v>25.554838709999999</v>
      </c>
      <c r="P204" s="279">
        <v>25.760972219999999</v>
      </c>
      <c r="Q204" s="279">
        <v>25.477284950000001</v>
      </c>
      <c r="R204" s="279">
        <v>25.038472915</v>
      </c>
      <c r="S204" s="274">
        <f>SUMIFS(Aux_Lista!Y:Y,Aux_Lista!W:W,Aux_TBS!B204,Aux_Lista!X:X,Aux_TBS!A204)</f>
        <v>8</v>
      </c>
      <c r="T204" s="274" t="s">
        <v>6042</v>
      </c>
      <c r="U204" s="274">
        <v>40</v>
      </c>
    </row>
    <row r="205" spans="1:21" x14ac:dyDescent="0.25">
      <c r="A205" s="277" t="s">
        <v>5482</v>
      </c>
      <c r="B205" s="258" t="s">
        <v>2185</v>
      </c>
      <c r="C205" s="274" t="str">
        <f t="shared" si="3"/>
        <v>Guiratinga, MT</v>
      </c>
      <c r="D205" s="278">
        <v>-16.34</v>
      </c>
      <c r="E205" s="258">
        <v>526</v>
      </c>
      <c r="F205" s="279">
        <v>24.91330645</v>
      </c>
      <c r="G205" s="279">
        <v>24.456250000000001</v>
      </c>
      <c r="H205" s="279">
        <v>24.519623660000001</v>
      </c>
      <c r="I205" s="279">
        <v>24.430138889999998</v>
      </c>
      <c r="J205" s="279">
        <v>22.387768820000002</v>
      </c>
      <c r="K205" s="279">
        <v>22.531527780000001</v>
      </c>
      <c r="L205" s="279">
        <v>22.89919355</v>
      </c>
      <c r="M205" s="279">
        <v>25.968548389999999</v>
      </c>
      <c r="N205" s="279">
        <v>26.797361110000001</v>
      </c>
      <c r="O205" s="279">
        <v>26.7672043</v>
      </c>
      <c r="P205" s="279">
        <v>25.744166669999998</v>
      </c>
      <c r="Q205" s="279">
        <v>24.925537630000001</v>
      </c>
      <c r="R205" s="279">
        <v>24.695052270833333</v>
      </c>
      <c r="S205" s="274">
        <f>SUMIFS(Aux_Lista!Y:Y,Aux_Lista!W:W,Aux_TBS!B205,Aux_Lista!X:X,Aux_TBS!A205)</f>
        <v>6</v>
      </c>
      <c r="T205" s="274" t="s">
        <v>6042</v>
      </c>
      <c r="U205" s="274">
        <v>40</v>
      </c>
    </row>
    <row r="206" spans="1:21" x14ac:dyDescent="0.25">
      <c r="A206" s="277" t="s">
        <v>2207</v>
      </c>
      <c r="B206" s="258" t="s">
        <v>2185</v>
      </c>
      <c r="C206" s="274" t="str">
        <f t="shared" si="3"/>
        <v>Itiquira, MT</v>
      </c>
      <c r="D206" s="278">
        <v>-17.18</v>
      </c>
      <c r="E206" s="258">
        <v>585</v>
      </c>
      <c r="F206" s="279">
        <v>24.31155914</v>
      </c>
      <c r="G206" s="279">
        <v>25.219494050000002</v>
      </c>
      <c r="H206" s="279">
        <v>24.977284950000001</v>
      </c>
      <c r="I206" s="279">
        <v>24.40291667</v>
      </c>
      <c r="J206" s="279">
        <v>21.75510753</v>
      </c>
      <c r="K206" s="279">
        <v>21.15958333</v>
      </c>
      <c r="L206" s="279">
        <v>22.797177420000001</v>
      </c>
      <c r="M206" s="279">
        <v>24.419220429999999</v>
      </c>
      <c r="N206" s="279">
        <v>24.986249999999998</v>
      </c>
      <c r="O206" s="279">
        <v>25.537634409999999</v>
      </c>
      <c r="P206" s="279">
        <v>24.935694439999999</v>
      </c>
      <c r="Q206" s="279">
        <v>23.8702957</v>
      </c>
      <c r="R206" s="279">
        <v>24.031018172500001</v>
      </c>
      <c r="S206" s="274">
        <f>SUMIFS(Aux_Lista!Y:Y,Aux_Lista!W:W,Aux_TBS!B206,Aux_Lista!X:X,Aux_TBS!A206)</f>
        <v>6</v>
      </c>
      <c r="T206" s="274" t="s">
        <v>6042</v>
      </c>
      <c r="U206" s="274">
        <v>40</v>
      </c>
    </row>
    <row r="207" spans="1:21" x14ac:dyDescent="0.25">
      <c r="A207" s="277" t="s">
        <v>4822</v>
      </c>
      <c r="B207" s="258" t="s">
        <v>2185</v>
      </c>
      <c r="C207" s="274" t="str">
        <f t="shared" si="3"/>
        <v>Juara, MT</v>
      </c>
      <c r="D207" s="278">
        <v>-11.26</v>
      </c>
      <c r="E207" s="258">
        <v>260</v>
      </c>
      <c r="F207" s="279">
        <v>25.422715050000001</v>
      </c>
      <c r="G207" s="279">
        <v>25.727678569999998</v>
      </c>
      <c r="H207" s="279">
        <v>25.925134409999998</v>
      </c>
      <c r="I207" s="279">
        <v>26.36902778</v>
      </c>
      <c r="J207" s="279">
        <v>25.264516130000001</v>
      </c>
      <c r="K207" s="279">
        <v>25.340555559999999</v>
      </c>
      <c r="L207" s="279">
        <v>24.71922043</v>
      </c>
      <c r="M207" s="279">
        <v>25.485349459999998</v>
      </c>
      <c r="N207" s="279">
        <v>28.297916669999999</v>
      </c>
      <c r="O207" s="279">
        <v>26.899462369999998</v>
      </c>
      <c r="P207" s="279">
        <v>25.817638890000001</v>
      </c>
      <c r="Q207" s="279">
        <v>25.37634409</v>
      </c>
      <c r="R207" s="279">
        <v>25.88712995083333</v>
      </c>
      <c r="S207" s="274">
        <f>SUMIFS(Aux_Lista!Y:Y,Aux_Lista!W:W,Aux_TBS!B207,Aux_Lista!X:X,Aux_TBS!A207)</f>
        <v>8</v>
      </c>
      <c r="T207" s="274" t="s">
        <v>6042</v>
      </c>
      <c r="U207" s="274">
        <v>40</v>
      </c>
    </row>
    <row r="208" spans="1:21" x14ac:dyDescent="0.25">
      <c r="A208" s="277" t="s">
        <v>4282</v>
      </c>
      <c r="B208" s="258" t="s">
        <v>2185</v>
      </c>
      <c r="C208" s="274" t="str">
        <f t="shared" si="3"/>
        <v>Juína, MT</v>
      </c>
      <c r="D208" s="278">
        <v>-11.38</v>
      </c>
      <c r="E208" s="258">
        <v>200</v>
      </c>
      <c r="F208" s="279">
        <v>24.807930110000001</v>
      </c>
      <c r="G208" s="279">
        <v>24.571874999999999</v>
      </c>
      <c r="H208" s="279">
        <v>24.482258059999999</v>
      </c>
      <c r="I208" s="279">
        <v>24.565694440000001</v>
      </c>
      <c r="J208" s="279">
        <v>24.577284949999999</v>
      </c>
      <c r="K208" s="279">
        <v>23.47319444</v>
      </c>
      <c r="L208" s="279">
        <v>24.411155910000002</v>
      </c>
      <c r="M208" s="279">
        <v>25.663978490000002</v>
      </c>
      <c r="N208" s="279">
        <v>25.591388890000001</v>
      </c>
      <c r="O208" s="279">
        <v>25.92997312</v>
      </c>
      <c r="P208" s="279">
        <v>25.458749999999998</v>
      </c>
      <c r="Q208" s="279">
        <v>24.58064516</v>
      </c>
      <c r="R208" s="279">
        <v>24.842844047499998</v>
      </c>
      <c r="S208" s="274">
        <f>SUMIFS(Aux_Lista!Y:Y,Aux_Lista!W:W,Aux_TBS!B208,Aux_Lista!X:X,Aux_TBS!A208)</f>
        <v>8</v>
      </c>
      <c r="T208" s="274" t="s">
        <v>6042</v>
      </c>
      <c r="U208" s="274">
        <v>40</v>
      </c>
    </row>
    <row r="209" spans="1:21" x14ac:dyDescent="0.25">
      <c r="A209" s="277" t="s">
        <v>5483</v>
      </c>
      <c r="B209" s="258" t="s">
        <v>2185</v>
      </c>
      <c r="C209" s="274" t="str">
        <f t="shared" si="3"/>
        <v>Nova Maringá, MT</v>
      </c>
      <c r="D209" s="278">
        <v>-13.04</v>
      </c>
      <c r="E209" s="258">
        <v>353</v>
      </c>
      <c r="F209" s="279">
        <v>26.578763439999999</v>
      </c>
      <c r="G209" s="279">
        <v>26.6547619</v>
      </c>
      <c r="H209" s="279">
        <v>27.05739247</v>
      </c>
      <c r="I209" s="279">
        <v>27.922777780000001</v>
      </c>
      <c r="J209" s="279">
        <v>26.902822579999999</v>
      </c>
      <c r="K209" s="279">
        <v>23.947916670000001</v>
      </c>
      <c r="L209" s="279">
        <v>24.335215049999999</v>
      </c>
      <c r="M209" s="279">
        <v>25.49865591</v>
      </c>
      <c r="N209" s="279">
        <v>26.502500000000001</v>
      </c>
      <c r="O209" s="279">
        <v>26.96680108</v>
      </c>
      <c r="P209" s="279">
        <v>27.206111109999998</v>
      </c>
      <c r="Q209" s="279">
        <v>26.449059139999999</v>
      </c>
      <c r="R209" s="279">
        <v>26.335231427499995</v>
      </c>
      <c r="S209" s="274">
        <f>SUMIFS(Aux_Lista!Y:Y,Aux_Lista!W:W,Aux_TBS!B209,Aux_Lista!X:X,Aux_TBS!A209)</f>
        <v>5</v>
      </c>
      <c r="T209" s="274" t="s">
        <v>6042</v>
      </c>
      <c r="U209" s="274">
        <v>40</v>
      </c>
    </row>
    <row r="210" spans="1:21" x14ac:dyDescent="0.25">
      <c r="A210" s="277" t="s">
        <v>4795</v>
      </c>
      <c r="B210" s="258" t="s">
        <v>2185</v>
      </c>
      <c r="C210" s="274" t="str">
        <f t="shared" si="3"/>
        <v>Novo Mundo, MT</v>
      </c>
      <c r="D210" s="278">
        <v>-12.52</v>
      </c>
      <c r="E210" s="258">
        <v>431</v>
      </c>
      <c r="F210" s="279">
        <v>24.549327959999999</v>
      </c>
      <c r="G210" s="279">
        <v>24.214732139999999</v>
      </c>
      <c r="H210" s="279">
        <v>23.828091400000002</v>
      </c>
      <c r="I210" s="279">
        <v>23.731666669999999</v>
      </c>
      <c r="J210" s="279">
        <v>23.359408599999998</v>
      </c>
      <c r="K210" s="279">
        <v>23.200833329999998</v>
      </c>
      <c r="L210" s="279">
        <v>25.292876339999999</v>
      </c>
      <c r="M210" s="279">
        <v>27.280645159999999</v>
      </c>
      <c r="N210" s="279">
        <v>26.508055559999999</v>
      </c>
      <c r="O210" s="279">
        <v>26.090188170000001</v>
      </c>
      <c r="P210" s="279">
        <v>24.881111109999999</v>
      </c>
      <c r="Q210" s="279">
        <v>24.251747309999999</v>
      </c>
      <c r="R210" s="279">
        <v>24.765723645833333</v>
      </c>
      <c r="S210" s="274">
        <f>SUMIFS(Aux_Lista!Y:Y,Aux_Lista!W:W,Aux_TBS!B210,Aux_Lista!X:X,Aux_TBS!A210)</f>
        <v>8</v>
      </c>
      <c r="T210" s="274" t="s">
        <v>6042</v>
      </c>
      <c r="U210" s="274">
        <v>40</v>
      </c>
    </row>
    <row r="211" spans="1:21" x14ac:dyDescent="0.25">
      <c r="A211" s="277" t="s">
        <v>2880</v>
      </c>
      <c r="B211" s="258" t="s">
        <v>2185</v>
      </c>
      <c r="C211" s="274" t="str">
        <f t="shared" si="3"/>
        <v>Paranatinga, MT</v>
      </c>
      <c r="D211" s="278">
        <v>-14.43</v>
      </c>
      <c r="E211" s="258">
        <v>474</v>
      </c>
      <c r="F211" s="279">
        <v>24.140053760000001</v>
      </c>
      <c r="G211" s="279">
        <v>24.13735119</v>
      </c>
      <c r="H211" s="279">
        <v>24.241801079999998</v>
      </c>
      <c r="I211" s="279">
        <v>24.516388890000002</v>
      </c>
      <c r="J211" s="279">
        <v>23.07930108</v>
      </c>
      <c r="K211" s="279">
        <v>22.456805559999999</v>
      </c>
      <c r="L211" s="279">
        <v>22.514381719999999</v>
      </c>
      <c r="M211" s="279">
        <v>25.47298387</v>
      </c>
      <c r="N211" s="279">
        <v>26.78569444</v>
      </c>
      <c r="O211" s="279">
        <v>26.384139780000002</v>
      </c>
      <c r="P211" s="279">
        <v>25.11111111</v>
      </c>
      <c r="Q211" s="279">
        <v>24.621908600000001</v>
      </c>
      <c r="R211" s="279">
        <v>24.455160090000003</v>
      </c>
      <c r="S211" s="274">
        <f>SUMIFS(Aux_Lista!Y:Y,Aux_Lista!W:W,Aux_TBS!B211,Aux_Lista!X:X,Aux_TBS!A211)</f>
        <v>6</v>
      </c>
      <c r="T211" s="274" t="s">
        <v>6042</v>
      </c>
      <c r="U211" s="274">
        <v>40</v>
      </c>
    </row>
    <row r="212" spans="1:21" x14ac:dyDescent="0.25">
      <c r="A212" s="277" t="s">
        <v>5354</v>
      </c>
      <c r="B212" s="258" t="s">
        <v>2185</v>
      </c>
      <c r="C212" s="274" t="str">
        <f t="shared" si="3"/>
        <v>Pontes e Lacerda, MT</v>
      </c>
      <c r="D212" s="278">
        <v>-15.25</v>
      </c>
      <c r="E212" s="258">
        <v>256</v>
      </c>
      <c r="F212" s="279">
        <v>26.141666669999999</v>
      </c>
      <c r="G212" s="279">
        <v>25.491964289999999</v>
      </c>
      <c r="H212" s="279">
        <v>25.333198920000001</v>
      </c>
      <c r="I212" s="279">
        <v>25.561944440000001</v>
      </c>
      <c r="J212" s="279">
        <v>24.21075269</v>
      </c>
      <c r="K212" s="279">
        <v>22.374027779999999</v>
      </c>
      <c r="L212" s="279">
        <v>23.156854840000001</v>
      </c>
      <c r="M212" s="279">
        <v>24.956720430000001</v>
      </c>
      <c r="N212" s="279">
        <v>26.23263889</v>
      </c>
      <c r="O212" s="279">
        <v>27.673655910000001</v>
      </c>
      <c r="P212" s="279">
        <v>26.931666669999998</v>
      </c>
      <c r="Q212" s="279">
        <v>25.991263440000001</v>
      </c>
      <c r="R212" s="279">
        <v>25.338029580833336</v>
      </c>
      <c r="S212" s="274">
        <f>SUMIFS(Aux_Lista!Y:Y,Aux_Lista!W:W,Aux_TBS!B212,Aux_Lista!X:X,Aux_TBS!A212)</f>
        <v>5</v>
      </c>
      <c r="T212" s="274" t="s">
        <v>6042</v>
      </c>
      <c r="U212" s="274">
        <v>40</v>
      </c>
    </row>
    <row r="213" spans="1:21" x14ac:dyDescent="0.25">
      <c r="A213" s="277" t="s">
        <v>5510</v>
      </c>
      <c r="B213" s="258" t="s">
        <v>2185</v>
      </c>
      <c r="C213" s="274" t="str">
        <f t="shared" si="3"/>
        <v>Porto Estrela, MT</v>
      </c>
      <c r="D213" s="278">
        <v>-15.32</v>
      </c>
      <c r="E213" s="258">
        <v>145</v>
      </c>
      <c r="F213" s="279">
        <v>26.52701613</v>
      </c>
      <c r="G213" s="279">
        <v>26.104166670000001</v>
      </c>
      <c r="H213" s="279">
        <v>26.058198919999999</v>
      </c>
      <c r="I213" s="279">
        <v>24.942499999999999</v>
      </c>
      <c r="J213" s="279">
        <v>22.923790319999998</v>
      </c>
      <c r="K213" s="279">
        <v>21.715277780000001</v>
      </c>
      <c r="L213" s="279">
        <v>22.922849459999998</v>
      </c>
      <c r="M213" s="279">
        <v>25.61465054</v>
      </c>
      <c r="N213" s="279">
        <v>26.31180556</v>
      </c>
      <c r="O213" s="279">
        <v>27.491666670000001</v>
      </c>
      <c r="P213" s="279">
        <v>27.750555559999999</v>
      </c>
      <c r="Q213" s="279">
        <v>26.428494619999999</v>
      </c>
      <c r="R213" s="279">
        <v>25.399247685833334</v>
      </c>
      <c r="S213" s="274">
        <f>SUMIFS(Aux_Lista!Y:Y,Aux_Lista!W:W,Aux_TBS!B213,Aux_Lista!X:X,Aux_TBS!A213)</f>
        <v>8</v>
      </c>
      <c r="T213" s="274" t="s">
        <v>6042</v>
      </c>
      <c r="U213" s="274">
        <v>40</v>
      </c>
    </row>
    <row r="214" spans="1:21" x14ac:dyDescent="0.25">
      <c r="A214" s="277" t="s">
        <v>4749</v>
      </c>
      <c r="B214" s="258" t="s">
        <v>2185</v>
      </c>
      <c r="C214" s="274" t="str">
        <f t="shared" si="3"/>
        <v>Querência, MT</v>
      </c>
      <c r="D214" s="278">
        <v>-12.63</v>
      </c>
      <c r="E214" s="258">
        <v>382</v>
      </c>
      <c r="F214" s="279">
        <v>25.087096769999999</v>
      </c>
      <c r="G214" s="279">
        <v>24.587648810000001</v>
      </c>
      <c r="H214" s="279">
        <v>25.315591399999999</v>
      </c>
      <c r="I214" s="279">
        <v>24.706250000000001</v>
      </c>
      <c r="J214" s="279">
        <v>24.331854839999998</v>
      </c>
      <c r="K214" s="279">
        <v>23.797361110000001</v>
      </c>
      <c r="L214" s="279">
        <v>24.677956989999998</v>
      </c>
      <c r="M214" s="279">
        <v>25.5530914</v>
      </c>
      <c r="N214" s="279">
        <v>26.301111110000001</v>
      </c>
      <c r="O214" s="279">
        <v>25.46129032</v>
      </c>
      <c r="P214" s="279">
        <v>25.773472219999999</v>
      </c>
      <c r="Q214" s="279">
        <v>24.726344090000001</v>
      </c>
      <c r="R214" s="279">
        <v>25.026589088333328</v>
      </c>
      <c r="S214" s="274">
        <f>SUMIFS(Aux_Lista!Y:Y,Aux_Lista!W:W,Aux_TBS!B214,Aux_Lista!X:X,Aux_TBS!A214)</f>
        <v>7</v>
      </c>
      <c r="T214" s="274" t="s">
        <v>6042</v>
      </c>
      <c r="U214" s="274">
        <v>40</v>
      </c>
    </row>
    <row r="215" spans="1:21" x14ac:dyDescent="0.25">
      <c r="A215" s="277" t="s">
        <v>5500</v>
      </c>
      <c r="B215" s="258" t="s">
        <v>2185</v>
      </c>
      <c r="C215" s="274" t="str">
        <f t="shared" si="3"/>
        <v>Rondonópolis, MT</v>
      </c>
      <c r="D215" s="278">
        <v>-16.47</v>
      </c>
      <c r="E215" s="258">
        <v>284</v>
      </c>
      <c r="F215" s="279">
        <v>25.600403230000001</v>
      </c>
      <c r="G215" s="279">
        <v>25.44166667</v>
      </c>
      <c r="H215" s="279">
        <v>25.86612903</v>
      </c>
      <c r="I215" s="279">
        <v>25.639027779999999</v>
      </c>
      <c r="J215" s="279">
        <v>25.082392469999998</v>
      </c>
      <c r="K215" s="279">
        <v>24.16375</v>
      </c>
      <c r="L215" s="279">
        <v>22.987903230000001</v>
      </c>
      <c r="M215" s="279">
        <v>26.01397849</v>
      </c>
      <c r="N215" s="279">
        <v>25.42319444</v>
      </c>
      <c r="O215" s="279">
        <v>27.33064516</v>
      </c>
      <c r="P215" s="279">
        <v>26.727222220000002</v>
      </c>
      <c r="Q215" s="279">
        <v>25.62258065</v>
      </c>
      <c r="R215" s="279">
        <v>25.491574447499996</v>
      </c>
      <c r="S215" s="274">
        <f>SUMIFS(Aux_Lista!Y:Y,Aux_Lista!W:W,Aux_TBS!B215,Aux_Lista!X:X,Aux_TBS!A215)</f>
        <v>6</v>
      </c>
      <c r="T215" s="274" t="s">
        <v>6042</v>
      </c>
      <c r="U215" s="274">
        <v>40</v>
      </c>
    </row>
    <row r="216" spans="1:21" x14ac:dyDescent="0.25">
      <c r="A216" s="277" t="s">
        <v>5442</v>
      </c>
      <c r="B216" s="258" t="s">
        <v>2185</v>
      </c>
      <c r="C216" s="274" t="str">
        <f t="shared" si="3"/>
        <v>Salto do Céu, MT</v>
      </c>
      <c r="D216" s="278">
        <v>-15.12</v>
      </c>
      <c r="E216" s="258">
        <v>303</v>
      </c>
      <c r="F216" s="279">
        <v>25.26263441</v>
      </c>
      <c r="G216" s="279">
        <v>25.223958329999999</v>
      </c>
      <c r="H216" s="279">
        <v>25.161962370000001</v>
      </c>
      <c r="I216" s="279">
        <v>24.77680556</v>
      </c>
      <c r="J216" s="279">
        <v>23.705510749999998</v>
      </c>
      <c r="K216" s="279">
        <v>21.264722219999999</v>
      </c>
      <c r="L216" s="279">
        <v>22.087096769999999</v>
      </c>
      <c r="M216" s="279">
        <v>23.62782258</v>
      </c>
      <c r="N216" s="279">
        <v>25.052638890000001</v>
      </c>
      <c r="O216" s="279">
        <v>26.84556452</v>
      </c>
      <c r="P216" s="279">
        <v>26.261111110000002</v>
      </c>
      <c r="Q216" s="279">
        <v>25.528629030000001</v>
      </c>
      <c r="R216" s="279">
        <v>24.566538045000001</v>
      </c>
      <c r="S216" s="274">
        <f>SUMIFS(Aux_Lista!Y:Y,Aux_Lista!W:W,Aux_TBS!B216,Aux_Lista!X:X,Aux_TBS!A216)</f>
        <v>5</v>
      </c>
      <c r="T216" s="274" t="s">
        <v>6042</v>
      </c>
      <c r="U216" s="274">
        <v>40</v>
      </c>
    </row>
    <row r="217" spans="1:21" x14ac:dyDescent="0.25">
      <c r="A217" s="277" t="s">
        <v>2863</v>
      </c>
      <c r="B217" s="258" t="s">
        <v>2185</v>
      </c>
      <c r="C217" s="274" t="str">
        <f t="shared" si="3"/>
        <v>Santo Antônio do Leste, MT</v>
      </c>
      <c r="D217" s="278">
        <v>-14.93</v>
      </c>
      <c r="E217" s="258">
        <v>648</v>
      </c>
      <c r="F217" s="279">
        <v>24.350403230000001</v>
      </c>
      <c r="G217" s="279">
        <v>23.649553569999998</v>
      </c>
      <c r="H217" s="279">
        <v>24.0266129</v>
      </c>
      <c r="I217" s="279">
        <v>23.181249999999999</v>
      </c>
      <c r="J217" s="279">
        <v>22.752688169999999</v>
      </c>
      <c r="K217" s="279">
        <v>21.361666670000002</v>
      </c>
      <c r="L217" s="279">
        <v>23.076344089999999</v>
      </c>
      <c r="M217" s="279">
        <v>24.31209677</v>
      </c>
      <c r="N217" s="279">
        <v>25.05763889</v>
      </c>
      <c r="O217" s="279">
        <v>24.560349460000001</v>
      </c>
      <c r="P217" s="279">
        <v>24.404166669999999</v>
      </c>
      <c r="Q217" s="279">
        <v>23.43091398</v>
      </c>
      <c r="R217" s="279">
        <v>23.680307033333335</v>
      </c>
      <c r="S217" s="274">
        <f>SUMIFS(Aux_Lista!Y:Y,Aux_Lista!W:W,Aux_TBS!B217,Aux_Lista!X:X,Aux_TBS!A217)</f>
        <v>6</v>
      </c>
      <c r="T217" s="274" t="s">
        <v>6042</v>
      </c>
      <c r="U217" s="274">
        <v>40</v>
      </c>
    </row>
    <row r="218" spans="1:21" x14ac:dyDescent="0.25">
      <c r="A218" s="277" t="s">
        <v>4615</v>
      </c>
      <c r="B218" s="258" t="s">
        <v>2185</v>
      </c>
      <c r="C218" s="274" t="str">
        <f t="shared" si="3"/>
        <v>São Félix do Araguaia, MT</v>
      </c>
      <c r="D218" s="278">
        <v>-11.62</v>
      </c>
      <c r="E218" s="258">
        <v>218</v>
      </c>
      <c r="F218" s="279">
        <v>26.080913979999998</v>
      </c>
      <c r="G218" s="279">
        <v>26.34702381</v>
      </c>
      <c r="H218" s="279">
        <v>26.77419355</v>
      </c>
      <c r="I218" s="279">
        <v>25.569444440000002</v>
      </c>
      <c r="J218" s="279">
        <v>25.567338710000001</v>
      </c>
      <c r="K218" s="279">
        <v>25.274305559999998</v>
      </c>
      <c r="L218" s="279">
        <v>25.672715050000001</v>
      </c>
      <c r="M218" s="279">
        <v>26.794623659999999</v>
      </c>
      <c r="N218" s="279">
        <v>27.770555559999998</v>
      </c>
      <c r="O218" s="279">
        <v>26.365322580000001</v>
      </c>
      <c r="P218" s="279">
        <v>26.425277779999998</v>
      </c>
      <c r="Q218" s="279">
        <v>26.05362903</v>
      </c>
      <c r="R218" s="279">
        <v>26.22461197583333</v>
      </c>
      <c r="S218" s="274">
        <f>SUMIFS(Aux_Lista!Y:Y,Aux_Lista!W:W,Aux_TBS!B218,Aux_Lista!X:X,Aux_TBS!A218)</f>
        <v>7</v>
      </c>
      <c r="T218" s="274" t="s">
        <v>6042</v>
      </c>
      <c r="U218" s="274">
        <v>40</v>
      </c>
    </row>
    <row r="219" spans="1:21" x14ac:dyDescent="0.25">
      <c r="A219" s="277" t="s">
        <v>5508</v>
      </c>
      <c r="B219" s="258" t="s">
        <v>2185</v>
      </c>
      <c r="C219" s="274" t="str">
        <f t="shared" si="3"/>
        <v>São José do Rio Claro, MT</v>
      </c>
      <c r="D219" s="278">
        <v>-13.45</v>
      </c>
      <c r="E219" s="258">
        <v>350</v>
      </c>
      <c r="F219" s="279">
        <v>24.859677420000001</v>
      </c>
      <c r="G219" s="279">
        <v>25.209970240000001</v>
      </c>
      <c r="H219" s="279">
        <v>25.150940859999999</v>
      </c>
      <c r="I219" s="279">
        <v>25.061111109999999</v>
      </c>
      <c r="J219" s="279">
        <v>24.67715054</v>
      </c>
      <c r="K219" s="279">
        <v>23.730555559999999</v>
      </c>
      <c r="L219" s="279">
        <v>22.526209680000001</v>
      </c>
      <c r="M219" s="279">
        <v>24.330107529999999</v>
      </c>
      <c r="N219" s="279">
        <v>24.594722220000001</v>
      </c>
      <c r="O219" s="279">
        <v>26.662096770000002</v>
      </c>
      <c r="P219" s="279">
        <v>25.839166670000001</v>
      </c>
      <c r="Q219" s="279">
        <v>24.744758059999999</v>
      </c>
      <c r="R219" s="279">
        <v>24.782205555000001</v>
      </c>
      <c r="S219" s="274">
        <f>SUMIFS(Aux_Lista!Y:Y,Aux_Lista!W:W,Aux_TBS!B219,Aux_Lista!X:X,Aux_TBS!A219)</f>
        <v>5</v>
      </c>
      <c r="T219" s="274" t="s">
        <v>6042</v>
      </c>
      <c r="U219" s="274">
        <v>40</v>
      </c>
    </row>
    <row r="220" spans="1:21" x14ac:dyDescent="0.25">
      <c r="A220" s="277" t="s">
        <v>4813</v>
      </c>
      <c r="B220" s="258" t="s">
        <v>2185</v>
      </c>
      <c r="C220" s="274" t="str">
        <f t="shared" si="3"/>
        <v>Sinop, MT</v>
      </c>
      <c r="D220" s="278">
        <v>-11.86</v>
      </c>
      <c r="E220" s="258">
        <v>371</v>
      </c>
      <c r="F220" s="279">
        <v>23.996505379999999</v>
      </c>
      <c r="G220" s="279">
        <v>24.00818452</v>
      </c>
      <c r="H220" s="279">
        <v>24.355376339999999</v>
      </c>
      <c r="I220" s="279">
        <v>24.721111109999999</v>
      </c>
      <c r="J220" s="279">
        <v>24.058467740000001</v>
      </c>
      <c r="K220" s="279">
        <v>24.074444440000001</v>
      </c>
      <c r="L220" s="279">
        <v>25.211155909999999</v>
      </c>
      <c r="M220" s="279">
        <v>27.524059139999999</v>
      </c>
      <c r="N220" s="279">
        <v>26.913194440000002</v>
      </c>
      <c r="O220" s="279">
        <v>26.232392470000001</v>
      </c>
      <c r="P220" s="279">
        <v>25.169861109999999</v>
      </c>
      <c r="Q220" s="279">
        <v>24.58763441</v>
      </c>
      <c r="R220" s="279">
        <v>25.071032250833337</v>
      </c>
      <c r="S220" s="274">
        <f>SUMIFS(Aux_Lista!Y:Y,Aux_Lista!W:W,Aux_TBS!B220,Aux_Lista!X:X,Aux_TBS!A220)</f>
        <v>8</v>
      </c>
      <c r="T220" s="274" t="s">
        <v>6042</v>
      </c>
      <c r="U220" s="274">
        <v>40</v>
      </c>
    </row>
    <row r="221" spans="1:21" x14ac:dyDescent="0.25">
      <c r="A221" s="277" t="s">
        <v>4791</v>
      </c>
      <c r="B221" s="258" t="s">
        <v>2185</v>
      </c>
      <c r="C221" s="274" t="str">
        <f t="shared" si="3"/>
        <v>Sorriso, MT</v>
      </c>
      <c r="D221" s="278">
        <v>-12.55</v>
      </c>
      <c r="E221" s="258">
        <v>380</v>
      </c>
      <c r="F221" s="279">
        <v>24.794892470000001</v>
      </c>
      <c r="G221" s="279">
        <v>24.987500000000001</v>
      </c>
      <c r="H221" s="279">
        <v>24.954569889999998</v>
      </c>
      <c r="I221" s="279">
        <v>25.50902778</v>
      </c>
      <c r="J221" s="279">
        <v>25.06626344</v>
      </c>
      <c r="K221" s="279">
        <v>25.06888889</v>
      </c>
      <c r="L221" s="279">
        <v>24.55645161</v>
      </c>
      <c r="M221" s="279">
        <v>26.048655910000001</v>
      </c>
      <c r="N221" s="279">
        <v>26.43486111</v>
      </c>
      <c r="O221" s="279">
        <v>25.875672040000001</v>
      </c>
      <c r="P221" s="279">
        <v>25.435416669999999</v>
      </c>
      <c r="Q221" s="279">
        <v>25.60685484</v>
      </c>
      <c r="R221" s="279">
        <v>25.361587887500004</v>
      </c>
      <c r="S221" s="274">
        <f>SUMIFS(Aux_Lista!Y:Y,Aux_Lista!W:W,Aux_TBS!B221,Aux_Lista!X:X,Aux_TBS!A221)</f>
        <v>5</v>
      </c>
      <c r="T221" s="274" t="s">
        <v>6042</v>
      </c>
      <c r="U221" s="274">
        <v>40</v>
      </c>
    </row>
    <row r="222" spans="1:21" x14ac:dyDescent="0.25">
      <c r="A222" s="277" t="s">
        <v>5101</v>
      </c>
      <c r="B222" s="258" t="s">
        <v>2185</v>
      </c>
      <c r="C222" s="274" t="str">
        <f t="shared" si="3"/>
        <v>Tangará da Serra, MT</v>
      </c>
      <c r="D222" s="278">
        <v>-14.62</v>
      </c>
      <c r="E222" s="258">
        <v>322</v>
      </c>
      <c r="F222" s="279">
        <v>25.245161289999999</v>
      </c>
      <c r="G222" s="279">
        <v>24.628422619999998</v>
      </c>
      <c r="H222" s="279">
        <v>24.481586020000002</v>
      </c>
      <c r="I222" s="279">
        <v>23.437222219999999</v>
      </c>
      <c r="J222" s="279">
        <v>24.97056452</v>
      </c>
      <c r="K222" s="279">
        <v>24.681666669999998</v>
      </c>
      <c r="L222" s="279">
        <v>22.644623660000001</v>
      </c>
      <c r="M222" s="279">
        <v>25.775268820000001</v>
      </c>
      <c r="N222" s="279">
        <v>23.564861109999999</v>
      </c>
      <c r="O222" s="279">
        <v>25.999731180000001</v>
      </c>
      <c r="P222" s="279">
        <v>25.510416670000001</v>
      </c>
      <c r="Q222" s="279">
        <v>24.571505380000001</v>
      </c>
      <c r="R222" s="279">
        <v>24.62591918</v>
      </c>
      <c r="S222" s="274">
        <f>SUMIFS(Aux_Lista!Y:Y,Aux_Lista!W:W,Aux_TBS!B222,Aux_Lista!X:X,Aux_TBS!A222)</f>
        <v>7</v>
      </c>
      <c r="T222" s="274" t="s">
        <v>6042</v>
      </c>
      <c r="U222" s="274">
        <v>40</v>
      </c>
    </row>
    <row r="223" spans="1:21" x14ac:dyDescent="0.25">
      <c r="A223" s="277" t="s">
        <v>5494</v>
      </c>
      <c r="B223" s="258" t="s">
        <v>2185</v>
      </c>
      <c r="C223" s="274" t="str">
        <f t="shared" si="3"/>
        <v>Vila Bela da Santíssima Trindade, MT</v>
      </c>
      <c r="D223" s="278">
        <v>-15.01</v>
      </c>
      <c r="E223" s="258">
        <v>222</v>
      </c>
      <c r="F223" s="279">
        <v>26.114919350000001</v>
      </c>
      <c r="G223" s="279">
        <v>25.442708329999999</v>
      </c>
      <c r="H223" s="279">
        <v>25.646774189999999</v>
      </c>
      <c r="I223" s="279">
        <v>25.741111109999999</v>
      </c>
      <c r="J223" s="279">
        <v>22.127956990000001</v>
      </c>
      <c r="K223" s="279">
        <v>22.748750000000001</v>
      </c>
      <c r="L223" s="279">
        <v>22.207392469999998</v>
      </c>
      <c r="M223" s="279">
        <v>22.8</v>
      </c>
      <c r="N223" s="279">
        <v>26.506111109999999</v>
      </c>
      <c r="O223" s="279">
        <v>26.6030914</v>
      </c>
      <c r="P223" s="279">
        <v>25.581944440000001</v>
      </c>
      <c r="Q223" s="279">
        <v>26.233467739999998</v>
      </c>
      <c r="R223" s="279">
        <v>24.812852260833335</v>
      </c>
      <c r="S223" s="274">
        <f>SUMIFS(Aux_Lista!Y:Y,Aux_Lista!W:W,Aux_TBS!B223,Aux_Lista!X:X,Aux_TBS!A223)</f>
        <v>5</v>
      </c>
      <c r="T223" s="274" t="s">
        <v>6042</v>
      </c>
      <c r="U223" s="274">
        <v>40</v>
      </c>
    </row>
    <row r="224" spans="1:21" x14ac:dyDescent="0.25">
      <c r="A224" s="277" t="s">
        <v>28</v>
      </c>
      <c r="B224" s="258" t="s">
        <v>29</v>
      </c>
      <c r="C224" s="274" t="str">
        <f t="shared" si="3"/>
        <v>Belém, PA</v>
      </c>
      <c r="D224" s="278">
        <v>-1.46</v>
      </c>
      <c r="E224" s="258">
        <v>24</v>
      </c>
      <c r="F224" s="279">
        <v>26.511827960000002</v>
      </c>
      <c r="G224" s="279">
        <v>26.984523809999999</v>
      </c>
      <c r="H224" s="279">
        <v>27.36142473</v>
      </c>
      <c r="I224" s="279">
        <v>26.624444440000001</v>
      </c>
      <c r="J224" s="279">
        <v>27.193817200000002</v>
      </c>
      <c r="K224" s="279">
        <v>27.086388889999998</v>
      </c>
      <c r="L224" s="279">
        <v>27.18185484</v>
      </c>
      <c r="M224" s="279">
        <v>27.390994620000001</v>
      </c>
      <c r="N224" s="279">
        <v>27.74027778</v>
      </c>
      <c r="O224" s="279">
        <v>27.512499999999999</v>
      </c>
      <c r="P224" s="279">
        <v>27.481805560000002</v>
      </c>
      <c r="Q224" s="279">
        <v>26.838037629999999</v>
      </c>
      <c r="R224" s="279">
        <v>27.158991454999995</v>
      </c>
      <c r="S224" s="274">
        <f>SUMIFS(Aux_Lista!Y:Y,Aux_Lista!W:W,Aux_TBS!B224,Aux_Lista!X:X,Aux_TBS!A224)</f>
        <v>8</v>
      </c>
      <c r="T224" s="274" t="s">
        <v>6040</v>
      </c>
      <c r="U224" s="274">
        <v>38</v>
      </c>
    </row>
    <row r="225" spans="1:21" x14ac:dyDescent="0.25">
      <c r="A225" s="277" t="s">
        <v>4023</v>
      </c>
      <c r="B225" s="258" t="s">
        <v>29</v>
      </c>
      <c r="C225" s="274" t="str">
        <f t="shared" si="3"/>
        <v>Bragança, PA</v>
      </c>
      <c r="D225" s="278">
        <v>-1.05</v>
      </c>
      <c r="E225" s="258">
        <v>33</v>
      </c>
      <c r="F225" s="279">
        <v>26.84475806</v>
      </c>
      <c r="G225" s="279">
        <v>25.47142857</v>
      </c>
      <c r="H225" s="279">
        <v>25.548118280000001</v>
      </c>
      <c r="I225" s="279">
        <v>25.227222220000002</v>
      </c>
      <c r="J225" s="279">
        <v>25.600672039999999</v>
      </c>
      <c r="K225" s="279">
        <v>25.523472219999999</v>
      </c>
      <c r="L225" s="279">
        <v>25.8125</v>
      </c>
      <c r="M225" s="279">
        <v>26.778091400000001</v>
      </c>
      <c r="N225" s="279">
        <v>27.36375</v>
      </c>
      <c r="O225" s="279">
        <v>27.674462370000001</v>
      </c>
      <c r="P225" s="279">
        <v>27.939305560000001</v>
      </c>
      <c r="Q225" s="279">
        <v>27.811290320000001</v>
      </c>
      <c r="R225" s="279">
        <v>26.466255919999998</v>
      </c>
      <c r="S225" s="274">
        <f>SUMIFS(Aux_Lista!Y:Y,Aux_Lista!W:W,Aux_TBS!B225,Aux_Lista!X:X,Aux_TBS!A225)</f>
        <v>8</v>
      </c>
      <c r="T225" s="274" t="s">
        <v>6040</v>
      </c>
      <c r="U225" s="274">
        <v>38</v>
      </c>
    </row>
    <row r="226" spans="1:21" x14ac:dyDescent="0.25">
      <c r="A226" s="277" t="s">
        <v>4013</v>
      </c>
      <c r="B226" s="258" t="s">
        <v>29</v>
      </c>
      <c r="C226" s="274" t="str">
        <f t="shared" si="3"/>
        <v>Cametá, PA</v>
      </c>
      <c r="D226" s="278">
        <v>-2.25</v>
      </c>
      <c r="E226" s="258">
        <v>22</v>
      </c>
      <c r="F226" s="279">
        <v>26.77607527</v>
      </c>
      <c r="G226" s="279">
        <v>26.307738100000002</v>
      </c>
      <c r="H226" s="279">
        <v>26.23736559</v>
      </c>
      <c r="I226" s="279">
        <v>26.331250000000001</v>
      </c>
      <c r="J226" s="279">
        <v>26.256317200000002</v>
      </c>
      <c r="K226" s="279">
        <v>26.86902778</v>
      </c>
      <c r="L226" s="279">
        <v>27.652419349999999</v>
      </c>
      <c r="M226" s="279">
        <v>28.017607529999999</v>
      </c>
      <c r="N226" s="279">
        <v>27.88180556</v>
      </c>
      <c r="O226" s="279">
        <v>28.369086020000001</v>
      </c>
      <c r="P226" s="279">
        <v>28.288611110000002</v>
      </c>
      <c r="Q226" s="279">
        <v>27.53736559</v>
      </c>
      <c r="R226" s="279">
        <v>27.210389091666666</v>
      </c>
      <c r="S226" s="274">
        <f>SUMIFS(Aux_Lista!Y:Y,Aux_Lista!W:W,Aux_TBS!B226,Aux_Lista!X:X,Aux_TBS!A226)</f>
        <v>8</v>
      </c>
      <c r="T226" s="274" t="s">
        <v>6040</v>
      </c>
      <c r="U226" s="274">
        <v>38</v>
      </c>
    </row>
    <row r="227" spans="1:21" x14ac:dyDescent="0.25">
      <c r="A227" s="277" t="s">
        <v>4154</v>
      </c>
      <c r="B227" s="258" t="s">
        <v>29</v>
      </c>
      <c r="C227" s="274" t="str">
        <f t="shared" si="3"/>
        <v>Castanhal, PA</v>
      </c>
      <c r="D227" s="278">
        <v>-1.3</v>
      </c>
      <c r="E227" s="258">
        <v>65</v>
      </c>
      <c r="F227" s="279">
        <v>26.624865589999999</v>
      </c>
      <c r="G227" s="279">
        <v>25.702083330000001</v>
      </c>
      <c r="H227" s="279">
        <v>25.16518817</v>
      </c>
      <c r="I227" s="279">
        <v>25.522916670000001</v>
      </c>
      <c r="J227" s="279">
        <v>25.799596770000001</v>
      </c>
      <c r="K227" s="279">
        <v>26.17055556</v>
      </c>
      <c r="L227" s="279">
        <v>26.094489249999999</v>
      </c>
      <c r="M227" s="279">
        <v>26.280107529999999</v>
      </c>
      <c r="N227" s="279">
        <v>26.480694440000001</v>
      </c>
      <c r="O227" s="279">
        <v>26.81572581</v>
      </c>
      <c r="P227" s="279">
        <v>27.123611109999999</v>
      </c>
      <c r="Q227" s="279">
        <v>26.632661290000001</v>
      </c>
      <c r="R227" s="279">
        <v>26.201041293333333</v>
      </c>
      <c r="S227" s="274">
        <f>SUMIFS(Aux_Lista!Y:Y,Aux_Lista!W:W,Aux_TBS!B227,Aux_Lista!X:X,Aux_TBS!A227)</f>
        <v>8</v>
      </c>
      <c r="T227" s="274" t="s">
        <v>6040</v>
      </c>
      <c r="U227" s="274">
        <v>38</v>
      </c>
    </row>
    <row r="228" spans="1:21" x14ac:dyDescent="0.25">
      <c r="A228" s="277" t="s">
        <v>5078</v>
      </c>
      <c r="B228" s="258" t="s">
        <v>29</v>
      </c>
      <c r="C228" s="274" t="str">
        <f t="shared" si="3"/>
        <v>Conceição do Araguaia, PA</v>
      </c>
      <c r="D228" s="278">
        <v>-6.28</v>
      </c>
      <c r="E228" s="258">
        <v>180</v>
      </c>
      <c r="F228" s="279">
        <v>26.573118279999999</v>
      </c>
      <c r="G228" s="279">
        <v>25.858630949999998</v>
      </c>
      <c r="H228" s="279">
        <v>26.104838709999999</v>
      </c>
      <c r="I228" s="279">
        <v>25.500277780000001</v>
      </c>
      <c r="J228" s="279">
        <v>25.768817200000001</v>
      </c>
      <c r="K228" s="279">
        <v>26.730555559999999</v>
      </c>
      <c r="L228" s="279">
        <v>27.22069892</v>
      </c>
      <c r="M228" s="279">
        <v>27.99852151</v>
      </c>
      <c r="N228" s="279">
        <v>28.993055559999998</v>
      </c>
      <c r="O228" s="279">
        <v>27.892338710000001</v>
      </c>
      <c r="P228" s="279">
        <v>26.684305559999999</v>
      </c>
      <c r="Q228" s="279">
        <v>25.816935480000001</v>
      </c>
      <c r="R228" s="279">
        <v>26.761841184999994</v>
      </c>
      <c r="S228" s="274">
        <f>SUMIFS(Aux_Lista!Y:Y,Aux_Lista!W:W,Aux_TBS!B228,Aux_Lista!X:X,Aux_TBS!A228)</f>
        <v>8</v>
      </c>
      <c r="T228" s="274" t="s">
        <v>6040</v>
      </c>
      <c r="U228" s="274">
        <v>38</v>
      </c>
    </row>
    <row r="229" spans="1:21" x14ac:dyDescent="0.25">
      <c r="A229" s="277" t="s">
        <v>4216</v>
      </c>
      <c r="B229" s="258" t="s">
        <v>29</v>
      </c>
      <c r="C229" s="274" t="str">
        <f t="shared" si="3"/>
        <v>Itaituba, PA</v>
      </c>
      <c r="D229" s="278">
        <v>-4.28</v>
      </c>
      <c r="E229" s="258">
        <v>13</v>
      </c>
      <c r="F229" s="279">
        <v>26.440456990000001</v>
      </c>
      <c r="G229" s="279">
        <v>26.097321430000001</v>
      </c>
      <c r="H229" s="279">
        <v>26.170833330000001</v>
      </c>
      <c r="I229" s="279">
        <v>26.32069444</v>
      </c>
      <c r="J229" s="279">
        <v>26.192473119999999</v>
      </c>
      <c r="K229" s="279">
        <v>26.44277778</v>
      </c>
      <c r="L229" s="279">
        <v>27.146236559999998</v>
      </c>
      <c r="M229" s="279">
        <v>27.816397850000001</v>
      </c>
      <c r="N229" s="279">
        <v>27.876249999999999</v>
      </c>
      <c r="O229" s="279">
        <v>28.004973119999999</v>
      </c>
      <c r="P229" s="279">
        <v>27.37833333</v>
      </c>
      <c r="Q229" s="279">
        <v>26.404166669999999</v>
      </c>
      <c r="R229" s="279">
        <v>26.857576218333332</v>
      </c>
      <c r="S229" s="274">
        <f>SUMIFS(Aux_Lista!Y:Y,Aux_Lista!W:W,Aux_TBS!B229,Aux_Lista!X:X,Aux_TBS!A229)</f>
        <v>8</v>
      </c>
      <c r="T229" s="274" t="s">
        <v>6040</v>
      </c>
      <c r="U229" s="274">
        <v>38</v>
      </c>
    </row>
    <row r="230" spans="1:21" x14ac:dyDescent="0.25">
      <c r="A230" s="277" t="s">
        <v>4238</v>
      </c>
      <c r="B230" s="258" t="s">
        <v>29</v>
      </c>
      <c r="C230" s="274" t="str">
        <f t="shared" si="3"/>
        <v>Marabá, PA</v>
      </c>
      <c r="D230" s="278">
        <v>-5.37</v>
      </c>
      <c r="E230" s="258">
        <v>84</v>
      </c>
      <c r="F230" s="279">
        <v>25.852553759999999</v>
      </c>
      <c r="G230" s="279">
        <v>26.103571429999999</v>
      </c>
      <c r="H230" s="279">
        <v>26.518817200000001</v>
      </c>
      <c r="I230" s="279">
        <v>26.585277779999998</v>
      </c>
      <c r="J230" s="279">
        <v>26.894220430000001</v>
      </c>
      <c r="K230" s="279">
        <v>26.447916670000001</v>
      </c>
      <c r="L230" s="279">
        <v>25.914919350000002</v>
      </c>
      <c r="M230" s="279">
        <v>26.427822580000001</v>
      </c>
      <c r="N230" s="279">
        <v>27.291944440000002</v>
      </c>
      <c r="O230" s="279">
        <v>26.980107530000002</v>
      </c>
      <c r="P230" s="279">
        <v>26.94541667</v>
      </c>
      <c r="Q230" s="279">
        <v>25.96962366</v>
      </c>
      <c r="R230" s="279">
        <v>26.494349291666669</v>
      </c>
      <c r="S230" s="274">
        <f>SUMIFS(Aux_Lista!Y:Y,Aux_Lista!W:W,Aux_TBS!B230,Aux_Lista!X:X,Aux_TBS!A230)</f>
        <v>8</v>
      </c>
      <c r="T230" s="274" t="s">
        <v>6040</v>
      </c>
      <c r="U230" s="274">
        <v>38</v>
      </c>
    </row>
    <row r="231" spans="1:21" x14ac:dyDescent="0.25">
      <c r="A231" s="277" t="s">
        <v>4175</v>
      </c>
      <c r="B231" s="258" t="s">
        <v>29</v>
      </c>
      <c r="C231" s="274" t="str">
        <f t="shared" si="3"/>
        <v>Novo Repartimento, PA</v>
      </c>
      <c r="D231" s="278">
        <v>-4.26</v>
      </c>
      <c r="E231" s="258">
        <v>113</v>
      </c>
      <c r="F231" s="279">
        <v>25.731720429999999</v>
      </c>
      <c r="G231" s="279">
        <v>25.607440480000001</v>
      </c>
      <c r="H231" s="279">
        <v>25.898655909999999</v>
      </c>
      <c r="I231" s="279">
        <v>25.39458333</v>
      </c>
      <c r="J231" s="279">
        <v>25.370430110000001</v>
      </c>
      <c r="K231" s="279">
        <v>26.263750000000002</v>
      </c>
      <c r="L231" s="279">
        <v>26.867741939999998</v>
      </c>
      <c r="M231" s="279">
        <v>27.3344086</v>
      </c>
      <c r="N231" s="279">
        <v>27.314444439999999</v>
      </c>
      <c r="O231" s="279">
        <v>27.33534946</v>
      </c>
      <c r="P231" s="279">
        <v>26.775138890000001</v>
      </c>
      <c r="Q231" s="279">
        <v>25.881451609999999</v>
      </c>
      <c r="R231" s="279">
        <v>26.31459293333333</v>
      </c>
      <c r="S231" s="274">
        <f>SUMIFS(Aux_Lista!Y:Y,Aux_Lista!W:W,Aux_TBS!B231,Aux_Lista!X:X,Aux_TBS!A231)</f>
        <v>8</v>
      </c>
      <c r="T231" s="274" t="s">
        <v>6040</v>
      </c>
      <c r="U231" s="274">
        <v>38</v>
      </c>
    </row>
    <row r="232" spans="1:21" x14ac:dyDescent="0.25">
      <c r="A232" s="277" t="s">
        <v>4241</v>
      </c>
      <c r="B232" s="258" t="s">
        <v>29</v>
      </c>
      <c r="C232" s="274" t="str">
        <f t="shared" si="3"/>
        <v>Pacajá, PA</v>
      </c>
      <c r="D232" s="278">
        <v>-3.84</v>
      </c>
      <c r="E232" s="258">
        <v>108</v>
      </c>
      <c r="F232" s="279">
        <v>25.565994620000001</v>
      </c>
      <c r="G232" s="279">
        <v>25.434523810000002</v>
      </c>
      <c r="H232" s="279">
        <v>25.634274189999999</v>
      </c>
      <c r="I232" s="279">
        <v>25.742638889999998</v>
      </c>
      <c r="J232" s="279">
        <v>25.662500000000001</v>
      </c>
      <c r="K232" s="279">
        <v>25.620694440000001</v>
      </c>
      <c r="L232" s="279">
        <v>25.904569890000001</v>
      </c>
      <c r="M232" s="279">
        <v>26.479838709999999</v>
      </c>
      <c r="N232" s="279">
        <v>27.085277779999998</v>
      </c>
      <c r="O232" s="279">
        <v>27.041397849999999</v>
      </c>
      <c r="P232" s="279">
        <v>26.987777779999998</v>
      </c>
      <c r="Q232" s="279">
        <v>25.983870970000002</v>
      </c>
      <c r="R232" s="279">
        <v>26.09527991083333</v>
      </c>
      <c r="S232" s="274">
        <f>SUMIFS(Aux_Lista!Y:Y,Aux_Lista!W:W,Aux_TBS!B232,Aux_Lista!X:X,Aux_TBS!A232)</f>
        <v>8</v>
      </c>
      <c r="T232" s="274" t="s">
        <v>6040</v>
      </c>
      <c r="U232" s="274">
        <v>38</v>
      </c>
    </row>
    <row r="233" spans="1:21" x14ac:dyDescent="0.25">
      <c r="A233" s="277" t="s">
        <v>4570</v>
      </c>
      <c r="B233" s="258" t="s">
        <v>29</v>
      </c>
      <c r="C233" s="274" t="str">
        <f t="shared" si="3"/>
        <v>Paragominas, PA</v>
      </c>
      <c r="D233" s="278">
        <v>-3.01</v>
      </c>
      <c r="E233" s="258">
        <v>101</v>
      </c>
      <c r="F233" s="279">
        <v>25.606720429999999</v>
      </c>
      <c r="G233" s="279">
        <v>25.5766369</v>
      </c>
      <c r="H233" s="279">
        <v>25.262903229999999</v>
      </c>
      <c r="I233" s="279">
        <v>25.436527779999999</v>
      </c>
      <c r="J233" s="279">
        <v>25.77755376</v>
      </c>
      <c r="K233" s="279">
        <v>25.71458333</v>
      </c>
      <c r="L233" s="279">
        <v>25.793010750000001</v>
      </c>
      <c r="M233" s="279">
        <v>26.714247310000001</v>
      </c>
      <c r="N233" s="279">
        <v>27.41041667</v>
      </c>
      <c r="O233" s="279">
        <v>27.9780914</v>
      </c>
      <c r="P233" s="279">
        <v>27.879583329999999</v>
      </c>
      <c r="Q233" s="279">
        <v>27.243279569999999</v>
      </c>
      <c r="R233" s="279">
        <v>26.366129538333336</v>
      </c>
      <c r="S233" s="274">
        <f>SUMIFS(Aux_Lista!Y:Y,Aux_Lista!W:W,Aux_TBS!B233,Aux_Lista!X:X,Aux_TBS!A233)</f>
        <v>8</v>
      </c>
      <c r="T233" s="274" t="s">
        <v>6040</v>
      </c>
      <c r="U233" s="274">
        <v>38</v>
      </c>
    </row>
    <row r="234" spans="1:21" x14ac:dyDescent="0.25">
      <c r="A234" s="277" t="s">
        <v>4274</v>
      </c>
      <c r="B234" s="258" t="s">
        <v>29</v>
      </c>
      <c r="C234" s="274" t="str">
        <f t="shared" si="3"/>
        <v>Placas, PA</v>
      </c>
      <c r="D234" s="278">
        <v>-3.86</v>
      </c>
      <c r="E234" s="258">
        <v>96</v>
      </c>
      <c r="F234" s="279">
        <v>25.692876340000002</v>
      </c>
      <c r="G234" s="279">
        <v>25.50639881</v>
      </c>
      <c r="H234" s="279">
        <v>25.463844089999998</v>
      </c>
      <c r="I234" s="279">
        <v>25.500277780000001</v>
      </c>
      <c r="J234" s="279">
        <v>25.47016129</v>
      </c>
      <c r="K234" s="279">
        <v>25.831527779999998</v>
      </c>
      <c r="L234" s="279">
        <v>26.208064520000001</v>
      </c>
      <c r="M234" s="279">
        <v>26.886021509999999</v>
      </c>
      <c r="N234" s="279">
        <v>27.461805559999998</v>
      </c>
      <c r="O234" s="279">
        <v>27.564516130000001</v>
      </c>
      <c r="P234" s="279">
        <v>27.094722220000001</v>
      </c>
      <c r="Q234" s="279">
        <v>26.472715050000001</v>
      </c>
      <c r="R234" s="279">
        <v>26.262744256666664</v>
      </c>
      <c r="S234" s="274">
        <f>SUMIFS(Aux_Lista!Y:Y,Aux_Lista!W:W,Aux_TBS!B234,Aux_Lista!X:X,Aux_TBS!A234)</f>
        <v>8</v>
      </c>
      <c r="T234" s="274" t="s">
        <v>6040</v>
      </c>
      <c r="U234" s="274">
        <v>38</v>
      </c>
    </row>
    <row r="235" spans="1:21" x14ac:dyDescent="0.25">
      <c r="A235" s="277" t="s">
        <v>4572</v>
      </c>
      <c r="B235" s="258" t="s">
        <v>29</v>
      </c>
      <c r="C235" s="274" t="str">
        <f t="shared" si="3"/>
        <v>Rondon do Pará, PA</v>
      </c>
      <c r="D235" s="278">
        <v>-4.78</v>
      </c>
      <c r="E235" s="258">
        <v>221</v>
      </c>
      <c r="F235" s="279">
        <v>25.82513441</v>
      </c>
      <c r="G235" s="279">
        <v>25.376190480000002</v>
      </c>
      <c r="H235" s="279">
        <v>25.50147849</v>
      </c>
      <c r="I235" s="279">
        <v>25.232222220000001</v>
      </c>
      <c r="J235" s="279">
        <v>25.241397849999998</v>
      </c>
      <c r="K235" s="279">
        <v>25.739166669999999</v>
      </c>
      <c r="L235" s="279">
        <v>26.360618280000001</v>
      </c>
      <c r="M235" s="279">
        <v>26.981720429999999</v>
      </c>
      <c r="N235" s="279">
        <v>27.28166667</v>
      </c>
      <c r="O235" s="279">
        <v>27.734543009999999</v>
      </c>
      <c r="P235" s="279">
        <v>28.024999999999999</v>
      </c>
      <c r="Q235" s="279">
        <v>26.6969086</v>
      </c>
      <c r="R235" s="279">
        <v>26.333003925833328</v>
      </c>
      <c r="S235" s="274">
        <f>SUMIFS(Aux_Lista!Y:Y,Aux_Lista!W:W,Aux_TBS!B235,Aux_Lista!X:X,Aux_TBS!A235)</f>
        <v>8</v>
      </c>
      <c r="T235" s="274" t="s">
        <v>6040</v>
      </c>
      <c r="U235" s="274">
        <v>38</v>
      </c>
    </row>
    <row r="236" spans="1:21" x14ac:dyDescent="0.25">
      <c r="A236" s="277" t="s">
        <v>3919</v>
      </c>
      <c r="B236" s="258" t="s">
        <v>29</v>
      </c>
      <c r="C236" s="274" t="str">
        <f t="shared" si="3"/>
        <v>Salinópolis, PA</v>
      </c>
      <c r="D236" s="278">
        <v>-0.62</v>
      </c>
      <c r="E236" s="258">
        <v>20</v>
      </c>
      <c r="F236" s="279">
        <v>27.41465054</v>
      </c>
      <c r="G236" s="279">
        <v>25.94122024</v>
      </c>
      <c r="H236" s="279">
        <v>26.3702957</v>
      </c>
      <c r="I236" s="279">
        <v>26.28875</v>
      </c>
      <c r="J236" s="279">
        <v>25.934139779999999</v>
      </c>
      <c r="K236" s="279">
        <v>26.209583330000001</v>
      </c>
      <c r="L236" s="279">
        <v>27.341666669999999</v>
      </c>
      <c r="M236" s="279">
        <v>27.8</v>
      </c>
      <c r="N236" s="279">
        <v>27.93819444</v>
      </c>
      <c r="O236" s="279">
        <v>28.079838710000001</v>
      </c>
      <c r="P236" s="279">
        <v>28.214166670000001</v>
      </c>
      <c r="Q236" s="279">
        <v>28.293145160000002</v>
      </c>
      <c r="R236" s="279">
        <v>27.152137603333333</v>
      </c>
      <c r="S236" s="274">
        <f>SUMIFS(Aux_Lista!Y:Y,Aux_Lista!W:W,Aux_TBS!B236,Aux_Lista!X:X,Aux_TBS!A236)</f>
        <v>8</v>
      </c>
      <c r="T236" s="274" t="s">
        <v>6040</v>
      </c>
      <c r="U236" s="274">
        <v>38</v>
      </c>
    </row>
    <row r="237" spans="1:21" x14ac:dyDescent="0.25">
      <c r="A237" s="277" t="s">
        <v>4623</v>
      </c>
      <c r="B237" s="258" t="s">
        <v>29</v>
      </c>
      <c r="C237" s="274" t="str">
        <f t="shared" si="3"/>
        <v>Santana do Araguaia, PA</v>
      </c>
      <c r="D237" s="278">
        <v>-9.34</v>
      </c>
      <c r="E237" s="258">
        <v>168</v>
      </c>
      <c r="F237" s="279">
        <v>26.20564516</v>
      </c>
      <c r="G237" s="279">
        <v>25.504910710000001</v>
      </c>
      <c r="H237" s="279">
        <v>26.079166669999999</v>
      </c>
      <c r="I237" s="279">
        <v>25.679444440000001</v>
      </c>
      <c r="J237" s="279">
        <v>25.81908602</v>
      </c>
      <c r="K237" s="279">
        <v>26.029444439999999</v>
      </c>
      <c r="L237" s="279">
        <v>26.213037629999999</v>
      </c>
      <c r="M237" s="279">
        <v>27.442741940000001</v>
      </c>
      <c r="N237" s="279">
        <v>27.935416669999999</v>
      </c>
      <c r="O237" s="279">
        <v>26.481182799999999</v>
      </c>
      <c r="P237" s="279">
        <v>26.52</v>
      </c>
      <c r="Q237" s="279">
        <v>26.013306450000002</v>
      </c>
      <c r="R237" s="279">
        <v>26.326948577499994</v>
      </c>
      <c r="S237" s="274">
        <f>SUMIFS(Aux_Lista!Y:Y,Aux_Lista!W:W,Aux_TBS!B237,Aux_Lista!X:X,Aux_TBS!A237)</f>
        <v>8</v>
      </c>
      <c r="T237" s="274" t="s">
        <v>6040</v>
      </c>
      <c r="U237" s="274">
        <v>38</v>
      </c>
    </row>
    <row r="238" spans="1:21" x14ac:dyDescent="0.25">
      <c r="A238" s="277" t="s">
        <v>4238</v>
      </c>
      <c r="B238" s="258" t="s">
        <v>29</v>
      </c>
      <c r="C238" s="274" t="str">
        <f t="shared" si="3"/>
        <v>Marabá, PA</v>
      </c>
      <c r="D238" s="278">
        <v>-6.08</v>
      </c>
      <c r="E238" s="258">
        <v>719</v>
      </c>
      <c r="F238" s="279">
        <v>22.81061828</v>
      </c>
      <c r="G238" s="279">
        <v>22.356547620000001</v>
      </c>
      <c r="H238" s="279">
        <v>22.75887097</v>
      </c>
      <c r="I238" s="279">
        <v>22.29513889</v>
      </c>
      <c r="J238" s="279">
        <v>22.420967739999998</v>
      </c>
      <c r="K238" s="279">
        <v>23.98416667</v>
      </c>
      <c r="L238" s="279">
        <v>25.219489249999999</v>
      </c>
      <c r="M238" s="279">
        <v>25.815188169999999</v>
      </c>
      <c r="N238" s="279">
        <v>24.888472220000001</v>
      </c>
      <c r="O238" s="279">
        <v>24.295967739999998</v>
      </c>
      <c r="P238" s="279">
        <v>24.305833329999999</v>
      </c>
      <c r="Q238" s="279">
        <v>22.727419350000002</v>
      </c>
      <c r="R238" s="279">
        <v>23.656556685833337</v>
      </c>
      <c r="S238" s="274">
        <f>SUMIFS(Aux_Lista!Y:Y,Aux_Lista!W:W,Aux_TBS!B238,Aux_Lista!X:X,Aux_TBS!A238)</f>
        <v>8</v>
      </c>
      <c r="T238" s="274" t="s">
        <v>6040</v>
      </c>
      <c r="U238" s="274">
        <v>38</v>
      </c>
    </row>
    <row r="239" spans="1:21" x14ac:dyDescent="0.25">
      <c r="A239" s="277" t="s">
        <v>3939</v>
      </c>
      <c r="B239" s="258" t="s">
        <v>29</v>
      </c>
      <c r="C239" s="274" t="str">
        <f t="shared" si="3"/>
        <v>Soure, PA</v>
      </c>
      <c r="D239" s="278">
        <v>-0.81</v>
      </c>
      <c r="E239" s="258">
        <v>11</v>
      </c>
      <c r="F239" s="279">
        <v>27.609543009999999</v>
      </c>
      <c r="G239" s="279">
        <v>28.012797620000001</v>
      </c>
      <c r="H239" s="279">
        <v>28.295833330000001</v>
      </c>
      <c r="I239" s="279">
        <v>27.394027779999998</v>
      </c>
      <c r="J239" s="279">
        <v>27.965322579999999</v>
      </c>
      <c r="K239" s="279">
        <v>27.46430556</v>
      </c>
      <c r="L239" s="279">
        <v>27.80833333</v>
      </c>
      <c r="M239" s="279">
        <v>28.261290320000001</v>
      </c>
      <c r="N239" s="279">
        <v>28.406805559999999</v>
      </c>
      <c r="O239" s="279">
        <v>28.480241939999999</v>
      </c>
      <c r="P239" s="279">
        <v>28.595555560000001</v>
      </c>
      <c r="Q239" s="279">
        <v>28.59193548</v>
      </c>
      <c r="R239" s="279">
        <v>28.073832672500004</v>
      </c>
      <c r="S239" s="274">
        <f>SUMIFS(Aux_Lista!Y:Y,Aux_Lista!W:W,Aux_TBS!B239,Aux_Lista!X:X,Aux_TBS!A239)</f>
        <v>8</v>
      </c>
      <c r="T239" s="274" t="s">
        <v>6040</v>
      </c>
      <c r="U239" s="274">
        <v>38</v>
      </c>
    </row>
    <row r="240" spans="1:21" x14ac:dyDescent="0.25">
      <c r="A240" s="277" t="s">
        <v>4484</v>
      </c>
      <c r="B240" s="258" t="s">
        <v>29</v>
      </c>
      <c r="C240" s="274" t="str">
        <f t="shared" si="3"/>
        <v>Tomé-Açu, PA</v>
      </c>
      <c r="D240" s="278">
        <v>-2.59</v>
      </c>
      <c r="E240" s="258">
        <v>38</v>
      </c>
      <c r="F240" s="279">
        <v>25.289516129999999</v>
      </c>
      <c r="G240" s="279">
        <v>25.104017859999999</v>
      </c>
      <c r="H240" s="279">
        <v>25.054301079999998</v>
      </c>
      <c r="I240" s="279">
        <v>25.335416670000001</v>
      </c>
      <c r="J240" s="279">
        <v>25.602553759999999</v>
      </c>
      <c r="K240" s="279">
        <v>25.719583329999999</v>
      </c>
      <c r="L240" s="279">
        <v>25.720295700000001</v>
      </c>
      <c r="M240" s="279">
        <v>26.479435479999999</v>
      </c>
      <c r="N240" s="279">
        <v>26.628611110000001</v>
      </c>
      <c r="O240" s="279">
        <v>27.013440859999999</v>
      </c>
      <c r="P240" s="279">
        <v>27.024722220000001</v>
      </c>
      <c r="Q240" s="279">
        <v>26.938306449999999</v>
      </c>
      <c r="R240" s="279">
        <v>25.992516720833333</v>
      </c>
      <c r="S240" s="274">
        <f>SUMIFS(Aux_Lista!Y:Y,Aux_Lista!W:W,Aux_TBS!B240,Aux_Lista!X:X,Aux_TBS!A240)</f>
        <v>8</v>
      </c>
      <c r="T240" s="274" t="s">
        <v>6040</v>
      </c>
      <c r="U240" s="274">
        <v>38</v>
      </c>
    </row>
    <row r="241" spans="1:21" x14ac:dyDescent="0.25">
      <c r="A241" s="277" t="s">
        <v>4048</v>
      </c>
      <c r="B241" s="258" t="s">
        <v>29</v>
      </c>
      <c r="C241" s="274" t="str">
        <f t="shared" si="3"/>
        <v>Tucuruí, PA</v>
      </c>
      <c r="D241" s="278">
        <v>-3.82</v>
      </c>
      <c r="E241" s="258">
        <v>148</v>
      </c>
      <c r="F241" s="279">
        <v>26.513172040000001</v>
      </c>
      <c r="G241" s="279">
        <v>27.00416667</v>
      </c>
      <c r="H241" s="279">
        <v>27.3483871</v>
      </c>
      <c r="I241" s="279">
        <v>26.63777778</v>
      </c>
      <c r="J241" s="279">
        <v>27.726478490000002</v>
      </c>
      <c r="K241" s="279">
        <v>27.561527779999999</v>
      </c>
      <c r="L241" s="279">
        <v>27.915456989999999</v>
      </c>
      <c r="M241" s="279">
        <v>27.626747309999999</v>
      </c>
      <c r="N241" s="279">
        <v>27.624444440000001</v>
      </c>
      <c r="O241" s="279">
        <v>27.862903230000001</v>
      </c>
      <c r="P241" s="279">
        <v>27.69763889</v>
      </c>
      <c r="Q241" s="279">
        <v>26.787903230000001</v>
      </c>
      <c r="R241" s="279">
        <v>27.358883662499995</v>
      </c>
      <c r="S241" s="274">
        <f>SUMIFS(Aux_Lista!Y:Y,Aux_Lista!W:W,Aux_TBS!B241,Aux_Lista!X:X,Aux_TBS!A241)</f>
        <v>8</v>
      </c>
      <c r="T241" s="274" t="s">
        <v>6040</v>
      </c>
      <c r="U241" s="274">
        <v>38</v>
      </c>
    </row>
    <row r="242" spans="1:21" x14ac:dyDescent="0.25">
      <c r="A242" s="277" t="s">
        <v>2163</v>
      </c>
      <c r="B242" s="258" t="s">
        <v>1763</v>
      </c>
      <c r="C242" s="274" t="str">
        <f t="shared" si="3"/>
        <v>Areia, PB</v>
      </c>
      <c r="D242" s="278">
        <v>-6.96</v>
      </c>
      <c r="E242" s="258">
        <v>575</v>
      </c>
      <c r="F242" s="279">
        <v>23.759005380000001</v>
      </c>
      <c r="G242" s="279">
        <v>22.91443452</v>
      </c>
      <c r="H242" s="279">
        <v>23.435349460000001</v>
      </c>
      <c r="I242" s="279">
        <v>23.152222219999999</v>
      </c>
      <c r="J242" s="279">
        <v>22.4</v>
      </c>
      <c r="K242" s="279">
        <v>21.397500000000001</v>
      </c>
      <c r="L242" s="279">
        <v>20.7813172</v>
      </c>
      <c r="M242" s="279">
        <v>20.798387099999999</v>
      </c>
      <c r="N242" s="279">
        <v>21.637638890000002</v>
      </c>
      <c r="O242" s="279">
        <v>22.675403230000001</v>
      </c>
      <c r="P242" s="279">
        <v>23.021805560000001</v>
      </c>
      <c r="Q242" s="279">
        <v>23.714381719999999</v>
      </c>
      <c r="R242" s="279">
        <v>22.473953773333335</v>
      </c>
      <c r="S242" s="274">
        <f>SUMIFS(Aux_Lista!Y:Y,Aux_Lista!W:W,Aux_TBS!B242,Aux_Lista!X:X,Aux_TBS!A242)</f>
        <v>8</v>
      </c>
      <c r="T242" s="274" t="s">
        <v>6041</v>
      </c>
      <c r="U242" s="274">
        <v>38</v>
      </c>
    </row>
    <row r="243" spans="1:21" x14ac:dyDescent="0.25">
      <c r="A243" s="277" t="s">
        <v>5010</v>
      </c>
      <c r="B243" s="258" t="s">
        <v>1763</v>
      </c>
      <c r="C243" s="274" t="str">
        <f t="shared" si="3"/>
        <v>Cabaceiras, PB</v>
      </c>
      <c r="D243" s="278">
        <v>-7.48</v>
      </c>
      <c r="E243" s="258">
        <v>436</v>
      </c>
      <c r="F243" s="279">
        <v>27.027688170000001</v>
      </c>
      <c r="G243" s="279">
        <v>26.123809519999998</v>
      </c>
      <c r="H243" s="279">
        <v>26.731586020000002</v>
      </c>
      <c r="I243" s="279">
        <v>25.925972219999998</v>
      </c>
      <c r="J243" s="279">
        <v>24.81814516</v>
      </c>
      <c r="K243" s="279">
        <v>23.45291667</v>
      </c>
      <c r="L243" s="279">
        <v>23.109677420000001</v>
      </c>
      <c r="M243" s="279">
        <v>23.078763439999999</v>
      </c>
      <c r="N243" s="279">
        <v>24.859444440000001</v>
      </c>
      <c r="O243" s="279">
        <v>26.150940859999999</v>
      </c>
      <c r="P243" s="279">
        <v>26.31583333</v>
      </c>
      <c r="Q243" s="279">
        <v>26.959005380000001</v>
      </c>
      <c r="R243" s="279">
        <v>25.379481885833332</v>
      </c>
      <c r="S243" s="274">
        <f>SUMIFS(Aux_Lista!Y:Y,Aux_Lista!W:W,Aux_TBS!B243,Aux_Lista!X:X,Aux_TBS!A243)</f>
        <v>8</v>
      </c>
      <c r="T243" s="274" t="s">
        <v>6041</v>
      </c>
      <c r="U243" s="274">
        <v>38</v>
      </c>
    </row>
    <row r="244" spans="1:21" x14ac:dyDescent="0.25">
      <c r="A244" s="277" t="s">
        <v>3973</v>
      </c>
      <c r="B244" s="258" t="s">
        <v>1763</v>
      </c>
      <c r="C244" s="274" t="str">
        <f t="shared" si="3"/>
        <v>Mataraca, PB</v>
      </c>
      <c r="D244" s="278">
        <v>-6.61</v>
      </c>
      <c r="E244" s="258">
        <v>136</v>
      </c>
      <c r="F244" s="279">
        <v>25.789381720000002</v>
      </c>
      <c r="G244" s="279">
        <v>25.392559519999999</v>
      </c>
      <c r="H244" s="279">
        <v>25.885483870000002</v>
      </c>
      <c r="I244" s="279">
        <v>26.039027780000001</v>
      </c>
      <c r="J244" s="279">
        <v>25.057258059999999</v>
      </c>
      <c r="K244" s="279">
        <v>23.750972220000001</v>
      </c>
      <c r="L244" s="279">
        <v>23.236962370000001</v>
      </c>
      <c r="M244" s="279">
        <v>23.274999999999999</v>
      </c>
      <c r="N244" s="279">
        <v>24.23875</v>
      </c>
      <c r="O244" s="279">
        <v>24.63897849</v>
      </c>
      <c r="P244" s="279">
        <v>25.184583329999999</v>
      </c>
      <c r="Q244" s="279">
        <v>25.773387100000001</v>
      </c>
      <c r="R244" s="279">
        <v>24.855195371666667</v>
      </c>
      <c r="S244" s="274">
        <f>SUMIFS(Aux_Lista!Y:Y,Aux_Lista!W:W,Aux_TBS!B244,Aux_Lista!X:X,Aux_TBS!A244)</f>
        <v>8</v>
      </c>
      <c r="T244" s="274" t="s">
        <v>6041</v>
      </c>
      <c r="U244" s="274">
        <v>38</v>
      </c>
    </row>
    <row r="245" spans="1:21" x14ac:dyDescent="0.25">
      <c r="A245" s="277" t="s">
        <v>2131</v>
      </c>
      <c r="B245" s="258" t="s">
        <v>1763</v>
      </c>
      <c r="C245" s="274" t="str">
        <f t="shared" si="3"/>
        <v>Campina Grande, PB</v>
      </c>
      <c r="D245" s="278">
        <v>-7.23</v>
      </c>
      <c r="E245" s="258">
        <v>548</v>
      </c>
      <c r="F245" s="279">
        <v>24.92580645</v>
      </c>
      <c r="G245" s="279">
        <v>23.99583333</v>
      </c>
      <c r="H245" s="279">
        <v>24.567473119999999</v>
      </c>
      <c r="I245" s="279">
        <v>24.242361110000001</v>
      </c>
      <c r="J245" s="279">
        <v>23.440188169999999</v>
      </c>
      <c r="K245" s="279">
        <v>22.983194439999998</v>
      </c>
      <c r="L245" s="279">
        <v>21.669758059999999</v>
      </c>
      <c r="M245" s="279">
        <v>21.846370969999999</v>
      </c>
      <c r="N245" s="279">
        <v>22.856805560000002</v>
      </c>
      <c r="O245" s="279">
        <v>23.89180108</v>
      </c>
      <c r="P245" s="279">
        <v>24.207638889999998</v>
      </c>
      <c r="Q245" s="279">
        <v>24.883333329999999</v>
      </c>
      <c r="R245" s="279">
        <v>23.625880375833333</v>
      </c>
      <c r="S245" s="274">
        <f>SUMIFS(Aux_Lista!Y:Y,Aux_Lista!W:W,Aux_TBS!B245,Aux_Lista!X:X,Aux_TBS!A245)</f>
        <v>8</v>
      </c>
      <c r="T245" s="274" t="s">
        <v>6041</v>
      </c>
      <c r="U245" s="274">
        <v>38</v>
      </c>
    </row>
    <row r="246" spans="1:21" x14ac:dyDescent="0.25">
      <c r="A246" s="277" t="s">
        <v>4833</v>
      </c>
      <c r="B246" s="258" t="s">
        <v>1763</v>
      </c>
      <c r="C246" s="274" t="str">
        <f t="shared" si="3"/>
        <v>João Pessoa, PB</v>
      </c>
      <c r="D246" s="278">
        <v>-7.11</v>
      </c>
      <c r="E246" s="258">
        <v>44</v>
      </c>
      <c r="F246" s="279">
        <v>27.087768820000001</v>
      </c>
      <c r="G246" s="279">
        <v>27.709672619999999</v>
      </c>
      <c r="H246" s="279">
        <v>27.039381720000002</v>
      </c>
      <c r="I246" s="279">
        <v>26.292222219999999</v>
      </c>
      <c r="J246" s="279">
        <v>25.738440860000001</v>
      </c>
      <c r="K246" s="279">
        <v>24.649583329999999</v>
      </c>
      <c r="L246" s="279">
        <v>24.188172040000001</v>
      </c>
      <c r="M246" s="279">
        <v>24.233870970000002</v>
      </c>
      <c r="N246" s="279">
        <v>25.583333329999999</v>
      </c>
      <c r="O246" s="279">
        <v>26.127956990000001</v>
      </c>
      <c r="P246" s="279">
        <v>26.709861109999999</v>
      </c>
      <c r="Q246" s="279">
        <v>26.962499999999999</v>
      </c>
      <c r="R246" s="279">
        <v>26.026897000833333</v>
      </c>
      <c r="S246" s="274">
        <f>SUMIFS(Aux_Lista!Y:Y,Aux_Lista!W:W,Aux_TBS!B246,Aux_Lista!X:X,Aux_TBS!A246)</f>
        <v>8</v>
      </c>
      <c r="T246" s="274" t="s">
        <v>6041</v>
      </c>
      <c r="U246" s="274">
        <v>38</v>
      </c>
    </row>
    <row r="247" spans="1:21" x14ac:dyDescent="0.25">
      <c r="A247" s="277" t="s">
        <v>2209</v>
      </c>
      <c r="B247" s="258" t="s">
        <v>1763</v>
      </c>
      <c r="C247" s="274" t="str">
        <f t="shared" si="3"/>
        <v>Monteiro, PB</v>
      </c>
      <c r="D247" s="278">
        <v>-7.89</v>
      </c>
      <c r="E247" s="258">
        <v>604</v>
      </c>
      <c r="F247" s="279">
        <v>26.201209680000002</v>
      </c>
      <c r="G247" s="279">
        <v>24.859375</v>
      </c>
      <c r="H247" s="279">
        <v>25.499193550000001</v>
      </c>
      <c r="I247" s="279">
        <v>24.41527778</v>
      </c>
      <c r="J247" s="279">
        <v>23.240322580000001</v>
      </c>
      <c r="K247" s="279">
        <v>21.991527779999998</v>
      </c>
      <c r="L247" s="279">
        <v>21.74395161</v>
      </c>
      <c r="M247" s="279">
        <v>21.88252688</v>
      </c>
      <c r="N247" s="279">
        <v>23.947083330000002</v>
      </c>
      <c r="O247" s="279">
        <v>25.481317199999999</v>
      </c>
      <c r="P247" s="279">
        <v>25.67055556</v>
      </c>
      <c r="Q247" s="279">
        <v>25.97392473</v>
      </c>
      <c r="R247" s="279">
        <v>24.242188806666672</v>
      </c>
      <c r="S247" s="274">
        <f>SUMIFS(Aux_Lista!Y:Y,Aux_Lista!W:W,Aux_TBS!B247,Aux_Lista!X:X,Aux_TBS!A247)</f>
        <v>6</v>
      </c>
      <c r="T247" s="274" t="s">
        <v>6041</v>
      </c>
      <c r="U247" s="274">
        <v>38</v>
      </c>
    </row>
    <row r="248" spans="1:21" x14ac:dyDescent="0.25">
      <c r="A248" s="277" t="s">
        <v>5108</v>
      </c>
      <c r="B248" s="258" t="s">
        <v>1763</v>
      </c>
      <c r="C248" s="274" t="str">
        <f t="shared" si="3"/>
        <v>Patos, PB</v>
      </c>
      <c r="D248" s="278">
        <v>-7.02</v>
      </c>
      <c r="E248" s="258">
        <v>249</v>
      </c>
      <c r="F248" s="279">
        <v>28.741397849999998</v>
      </c>
      <c r="G248" s="279">
        <v>26.998809519999998</v>
      </c>
      <c r="H248" s="279">
        <v>27.079435480000001</v>
      </c>
      <c r="I248" s="279">
        <v>26.335416670000001</v>
      </c>
      <c r="J248" s="279">
        <v>25.94596774</v>
      </c>
      <c r="K248" s="279">
        <v>25.19430556</v>
      </c>
      <c r="L248" s="279">
        <v>25.714247310000001</v>
      </c>
      <c r="M248" s="279">
        <v>25.964247310000001</v>
      </c>
      <c r="N248" s="279">
        <v>27.74736111</v>
      </c>
      <c r="O248" s="279">
        <v>28.894623660000001</v>
      </c>
      <c r="P248" s="279">
        <v>29.122222220000001</v>
      </c>
      <c r="Q248" s="279">
        <v>29.14543011</v>
      </c>
      <c r="R248" s="279">
        <v>27.240288711666665</v>
      </c>
      <c r="S248" s="274">
        <f>SUMIFS(Aux_Lista!Y:Y,Aux_Lista!W:W,Aux_TBS!B248,Aux_Lista!X:X,Aux_TBS!A248)</f>
        <v>7</v>
      </c>
      <c r="T248" s="274" t="s">
        <v>6041</v>
      </c>
      <c r="U248" s="274">
        <v>38</v>
      </c>
    </row>
    <row r="249" spans="1:21" x14ac:dyDescent="0.25">
      <c r="A249" s="277" t="s">
        <v>4445</v>
      </c>
      <c r="B249" s="258" t="s">
        <v>1763</v>
      </c>
      <c r="C249" s="274" t="str">
        <f t="shared" si="3"/>
        <v>Sousa, PB</v>
      </c>
      <c r="D249" s="278">
        <v>-6.84</v>
      </c>
      <c r="E249" s="258">
        <v>234</v>
      </c>
      <c r="F249" s="279">
        <v>26.728763440000002</v>
      </c>
      <c r="G249" s="279">
        <v>27.311755949999998</v>
      </c>
      <c r="H249" s="279">
        <v>27.90349462</v>
      </c>
      <c r="I249" s="279">
        <v>26.981249999999999</v>
      </c>
      <c r="J249" s="279">
        <v>26.266129029999998</v>
      </c>
      <c r="K249" s="279">
        <v>24.37388889</v>
      </c>
      <c r="L249" s="279">
        <v>24.65806452</v>
      </c>
      <c r="M249" s="279">
        <v>26.55362903</v>
      </c>
      <c r="N249" s="279">
        <v>27.750277780000001</v>
      </c>
      <c r="O249" s="279">
        <v>27.40672043</v>
      </c>
      <c r="P249" s="279">
        <v>28.116250000000001</v>
      </c>
      <c r="Q249" s="279">
        <v>27.94637097</v>
      </c>
      <c r="R249" s="279">
        <v>26.833049554999999</v>
      </c>
      <c r="S249" s="274">
        <f>SUMIFS(Aux_Lista!Y:Y,Aux_Lista!W:W,Aux_TBS!B249,Aux_Lista!X:X,Aux_TBS!A249)</f>
        <v>7</v>
      </c>
      <c r="T249" s="274" t="s">
        <v>6041</v>
      </c>
      <c r="U249" s="274">
        <v>38</v>
      </c>
    </row>
    <row r="250" spans="1:21" x14ac:dyDescent="0.25">
      <c r="A250" s="277" t="s">
        <v>2223</v>
      </c>
      <c r="B250" s="258" t="s">
        <v>242</v>
      </c>
      <c r="C250" s="274" t="str">
        <f t="shared" si="3"/>
        <v>Arcoverde, PE</v>
      </c>
      <c r="D250" s="278">
        <v>-8.42</v>
      </c>
      <c r="E250" s="258">
        <v>681</v>
      </c>
      <c r="F250" s="279">
        <v>25.723790319999999</v>
      </c>
      <c r="G250" s="279">
        <v>24.50178571</v>
      </c>
      <c r="H250" s="279">
        <v>24.971236560000001</v>
      </c>
      <c r="I250" s="279">
        <v>24.09416667</v>
      </c>
      <c r="J250" s="279">
        <v>22.422715050000001</v>
      </c>
      <c r="K250" s="279">
        <v>21.239722220000001</v>
      </c>
      <c r="L250" s="279">
        <v>20.878494620000001</v>
      </c>
      <c r="M250" s="279">
        <v>20.857930110000002</v>
      </c>
      <c r="N250" s="279">
        <v>23.065972219999999</v>
      </c>
      <c r="O250" s="279">
        <v>24.947983870000002</v>
      </c>
      <c r="P250" s="279">
        <v>25.154166669999999</v>
      </c>
      <c r="Q250" s="279">
        <v>25.245026880000001</v>
      </c>
      <c r="R250" s="279">
        <v>23.591915908333334</v>
      </c>
      <c r="S250" s="274">
        <f>SUMIFS(Aux_Lista!Y:Y,Aux_Lista!W:W,Aux_TBS!B250,Aux_Lista!X:X,Aux_TBS!A250)</f>
        <v>7</v>
      </c>
      <c r="T250" s="274" t="s">
        <v>6041</v>
      </c>
      <c r="U250" s="274">
        <v>38</v>
      </c>
    </row>
    <row r="251" spans="1:21" x14ac:dyDescent="0.25">
      <c r="A251" s="277" t="s">
        <v>5062</v>
      </c>
      <c r="B251" s="258" t="s">
        <v>242</v>
      </c>
      <c r="C251" s="274" t="str">
        <f t="shared" si="3"/>
        <v>Cabrobó, PE</v>
      </c>
      <c r="D251" s="278">
        <v>-8.5</v>
      </c>
      <c r="E251" s="258">
        <v>342</v>
      </c>
      <c r="F251" s="279">
        <v>28.560349460000001</v>
      </c>
      <c r="G251" s="279">
        <v>27.011755950000001</v>
      </c>
      <c r="H251" s="279">
        <v>27.402419349999999</v>
      </c>
      <c r="I251" s="279">
        <v>25.864305559999998</v>
      </c>
      <c r="J251" s="279">
        <v>24.529973120000001</v>
      </c>
      <c r="K251" s="279">
        <v>24.286944439999999</v>
      </c>
      <c r="L251" s="279">
        <v>24.617204300000001</v>
      </c>
      <c r="M251" s="279">
        <v>25.030510750000001</v>
      </c>
      <c r="N251" s="279">
        <v>27.377500000000001</v>
      </c>
      <c r="O251" s="279">
        <v>28.642741940000001</v>
      </c>
      <c r="P251" s="279">
        <v>29.36861111</v>
      </c>
      <c r="Q251" s="279">
        <v>28.68655914</v>
      </c>
      <c r="R251" s="279">
        <v>26.781572926666666</v>
      </c>
      <c r="S251" s="274">
        <f>SUMIFS(Aux_Lista!Y:Y,Aux_Lista!W:W,Aux_TBS!B251,Aux_Lista!X:X,Aux_TBS!A251)</f>
        <v>7</v>
      </c>
      <c r="T251" s="274" t="s">
        <v>6041</v>
      </c>
      <c r="U251" s="274">
        <v>38</v>
      </c>
    </row>
    <row r="252" spans="1:21" x14ac:dyDescent="0.25">
      <c r="A252" s="277" t="s">
        <v>2210</v>
      </c>
      <c r="B252" s="258" t="s">
        <v>242</v>
      </c>
      <c r="C252" s="274" t="str">
        <f t="shared" si="3"/>
        <v>Caruaru, PE</v>
      </c>
      <c r="D252" s="278">
        <v>-8.24</v>
      </c>
      <c r="E252" s="258">
        <v>550</v>
      </c>
      <c r="F252" s="279">
        <v>25.004301080000001</v>
      </c>
      <c r="G252" s="279">
        <v>23.90357143</v>
      </c>
      <c r="H252" s="279">
        <v>24.270833329999999</v>
      </c>
      <c r="I252" s="279">
        <v>24.312638889999999</v>
      </c>
      <c r="J252" s="279">
        <v>23.43696237</v>
      </c>
      <c r="K252" s="279">
        <v>21.89083333</v>
      </c>
      <c r="L252" s="279">
        <v>21.254838710000001</v>
      </c>
      <c r="M252" s="279">
        <v>21.264784949999999</v>
      </c>
      <c r="N252" s="279">
        <v>22.354583330000001</v>
      </c>
      <c r="O252" s="279">
        <v>23.798790319999998</v>
      </c>
      <c r="P252" s="279">
        <v>23.96805556</v>
      </c>
      <c r="Q252" s="279">
        <v>24.643682800000001</v>
      </c>
      <c r="R252" s="279">
        <v>23.341989675000004</v>
      </c>
      <c r="S252" s="274">
        <f>SUMIFS(Aux_Lista!Y:Y,Aux_Lista!W:W,Aux_TBS!B252,Aux_Lista!X:X,Aux_TBS!A252)</f>
        <v>8</v>
      </c>
      <c r="T252" s="274" t="s">
        <v>6041</v>
      </c>
      <c r="U252" s="274">
        <v>38</v>
      </c>
    </row>
    <row r="253" spans="1:21" x14ac:dyDescent="0.25">
      <c r="A253" s="277" t="s">
        <v>3125</v>
      </c>
      <c r="B253" s="258" t="s">
        <v>242</v>
      </c>
      <c r="C253" s="274" t="str">
        <f t="shared" si="3"/>
        <v>Floresta, PE</v>
      </c>
      <c r="D253" s="278">
        <v>-8.61</v>
      </c>
      <c r="E253" s="258">
        <v>329</v>
      </c>
      <c r="F253" s="279">
        <v>28.242876339999999</v>
      </c>
      <c r="G253" s="279">
        <v>27.096279760000002</v>
      </c>
      <c r="H253" s="279">
        <v>27.9</v>
      </c>
      <c r="I253" s="279">
        <v>26.170416670000002</v>
      </c>
      <c r="J253" s="279">
        <v>24.808064519999999</v>
      </c>
      <c r="K253" s="279">
        <v>23.940694440000001</v>
      </c>
      <c r="L253" s="279">
        <v>24.108064519999999</v>
      </c>
      <c r="M253" s="279">
        <v>24.295967739999998</v>
      </c>
      <c r="N253" s="279">
        <v>26.71986111</v>
      </c>
      <c r="O253" s="279">
        <v>28.62258065</v>
      </c>
      <c r="P253" s="279">
        <v>28.854027779999999</v>
      </c>
      <c r="Q253" s="279">
        <v>28.5</v>
      </c>
      <c r="R253" s="279">
        <v>26.604902794166666</v>
      </c>
      <c r="S253" s="274">
        <f>SUMIFS(Aux_Lista!Y:Y,Aux_Lista!W:W,Aux_TBS!B253,Aux_Lista!X:X,Aux_TBS!A253)</f>
        <v>7</v>
      </c>
      <c r="T253" s="274" t="s">
        <v>6041</v>
      </c>
      <c r="U253" s="274">
        <v>38</v>
      </c>
    </row>
    <row r="254" spans="1:21" x14ac:dyDescent="0.25">
      <c r="A254" s="277" t="s">
        <v>2224</v>
      </c>
      <c r="B254" s="258" t="s">
        <v>242</v>
      </c>
      <c r="C254" s="274" t="str">
        <f t="shared" si="3"/>
        <v>Garanhuns, PE</v>
      </c>
      <c r="D254" s="278">
        <v>-8.89</v>
      </c>
      <c r="E254" s="258">
        <v>823</v>
      </c>
      <c r="F254" s="279">
        <v>22.64825269</v>
      </c>
      <c r="G254" s="279">
        <v>23.21696429</v>
      </c>
      <c r="H254" s="279">
        <v>22.568413979999999</v>
      </c>
      <c r="I254" s="279">
        <v>21.980972220000002</v>
      </c>
      <c r="J254" s="279">
        <v>20.471236560000001</v>
      </c>
      <c r="K254" s="279">
        <v>18.991944440000001</v>
      </c>
      <c r="L254" s="279">
        <v>18.15725806</v>
      </c>
      <c r="M254" s="279">
        <v>18.67956989</v>
      </c>
      <c r="N254" s="279">
        <v>19.748611109999999</v>
      </c>
      <c r="O254" s="279">
        <v>20.606048390000002</v>
      </c>
      <c r="P254" s="279">
        <v>22.544583329999998</v>
      </c>
      <c r="Q254" s="279">
        <v>23.039112899999999</v>
      </c>
      <c r="R254" s="279">
        <v>21.054413988333334</v>
      </c>
      <c r="S254" s="274">
        <f>SUMIFS(Aux_Lista!Y:Y,Aux_Lista!W:W,Aux_TBS!B254,Aux_Lista!X:X,Aux_TBS!A254)</f>
        <v>5</v>
      </c>
      <c r="T254" s="274" t="s">
        <v>6041</v>
      </c>
      <c r="U254" s="274">
        <v>38</v>
      </c>
    </row>
    <row r="255" spans="1:21" x14ac:dyDescent="0.25">
      <c r="A255" s="277" t="s">
        <v>5419</v>
      </c>
      <c r="B255" s="258" t="s">
        <v>242</v>
      </c>
      <c r="C255" s="274" t="str">
        <f t="shared" si="3"/>
        <v>Ibimirim, PE</v>
      </c>
      <c r="D255" s="278">
        <v>-8.51</v>
      </c>
      <c r="E255" s="258">
        <v>448</v>
      </c>
      <c r="F255" s="279">
        <v>27.82137097</v>
      </c>
      <c r="G255" s="279">
        <v>26.493154759999999</v>
      </c>
      <c r="H255" s="279">
        <v>27.394220430000001</v>
      </c>
      <c r="I255" s="279">
        <v>25.711388889999998</v>
      </c>
      <c r="J255" s="279">
        <v>23.759274189999999</v>
      </c>
      <c r="K255" s="279">
        <v>22.600416670000001</v>
      </c>
      <c r="L255" s="279">
        <v>22.63158602</v>
      </c>
      <c r="M255" s="279">
        <v>22.927284950000001</v>
      </c>
      <c r="N255" s="279">
        <v>25.338194439999999</v>
      </c>
      <c r="O255" s="279">
        <v>27.55873656</v>
      </c>
      <c r="P255" s="279">
        <v>27.724444439999999</v>
      </c>
      <c r="Q255" s="279">
        <v>27.290053759999999</v>
      </c>
      <c r="R255" s="279">
        <v>25.60417717333333</v>
      </c>
      <c r="S255" s="274">
        <f>SUMIFS(Aux_Lista!Y:Y,Aux_Lista!W:W,Aux_TBS!B255,Aux_Lista!X:X,Aux_TBS!A255)</f>
        <v>8</v>
      </c>
      <c r="T255" s="274" t="s">
        <v>6041</v>
      </c>
      <c r="U255" s="274">
        <v>38</v>
      </c>
    </row>
    <row r="256" spans="1:21" x14ac:dyDescent="0.25">
      <c r="A256" s="277" t="s">
        <v>4908</v>
      </c>
      <c r="B256" s="258" t="s">
        <v>242</v>
      </c>
      <c r="C256" s="274" t="str">
        <f t="shared" si="3"/>
        <v>Palmares, PE</v>
      </c>
      <c r="D256" s="278">
        <v>-8.67</v>
      </c>
      <c r="E256" s="258">
        <v>180</v>
      </c>
      <c r="F256" s="279">
        <v>26.661155910000002</v>
      </c>
      <c r="G256" s="279">
        <v>25.76889881</v>
      </c>
      <c r="H256" s="279">
        <v>26.55551075</v>
      </c>
      <c r="I256" s="279">
        <v>25.953888890000002</v>
      </c>
      <c r="J256" s="279">
        <v>24.8125</v>
      </c>
      <c r="K256" s="279">
        <v>23.63</v>
      </c>
      <c r="L256" s="279">
        <v>23.009274189999999</v>
      </c>
      <c r="M256" s="279">
        <v>23.077688169999998</v>
      </c>
      <c r="N256" s="279">
        <v>24.16333333</v>
      </c>
      <c r="O256" s="279">
        <v>25.32836022</v>
      </c>
      <c r="P256" s="279">
        <v>25.530694440000001</v>
      </c>
      <c r="Q256" s="279">
        <v>26.184005379999999</v>
      </c>
      <c r="R256" s="279">
        <v>25.056275840833333</v>
      </c>
      <c r="S256" s="274">
        <f>SUMIFS(Aux_Lista!Y:Y,Aux_Lista!W:W,Aux_TBS!B256,Aux_Lista!X:X,Aux_TBS!A256)</f>
        <v>8</v>
      </c>
      <c r="T256" s="274" t="s">
        <v>6041</v>
      </c>
      <c r="U256" s="274">
        <v>38</v>
      </c>
    </row>
    <row r="257" spans="1:21" x14ac:dyDescent="0.25">
      <c r="A257" s="277" t="s">
        <v>5024</v>
      </c>
      <c r="B257" s="258" t="s">
        <v>242</v>
      </c>
      <c r="C257" s="274" t="str">
        <f t="shared" si="3"/>
        <v>Petrolina, PE</v>
      </c>
      <c r="D257" s="278">
        <v>-9.39</v>
      </c>
      <c r="E257" s="258">
        <v>370</v>
      </c>
      <c r="F257" s="279">
        <v>28.529166669999999</v>
      </c>
      <c r="G257" s="279">
        <v>27.060565480000001</v>
      </c>
      <c r="H257" s="279">
        <v>27.8030914</v>
      </c>
      <c r="I257" s="279">
        <v>26.127500000000001</v>
      </c>
      <c r="J257" s="279">
        <v>25.00698925</v>
      </c>
      <c r="K257" s="279">
        <v>24.735416669999999</v>
      </c>
      <c r="L257" s="279">
        <v>24.983333330000001</v>
      </c>
      <c r="M257" s="279">
        <v>25.45107527</v>
      </c>
      <c r="N257" s="279">
        <v>27.841805560000001</v>
      </c>
      <c r="O257" s="279">
        <v>28.057123659999998</v>
      </c>
      <c r="P257" s="279">
        <v>28.83583333</v>
      </c>
      <c r="Q257" s="279">
        <v>28.504301080000001</v>
      </c>
      <c r="R257" s="279">
        <v>26.91135014166667</v>
      </c>
      <c r="S257" s="274">
        <f>SUMIFS(Aux_Lista!Y:Y,Aux_Lista!W:W,Aux_TBS!B257,Aux_Lista!X:X,Aux_TBS!A257)</f>
        <v>7</v>
      </c>
      <c r="T257" s="274" t="s">
        <v>6041</v>
      </c>
      <c r="U257" s="274">
        <v>38</v>
      </c>
    </row>
    <row r="258" spans="1:21" x14ac:dyDescent="0.25">
      <c r="A258" s="277" t="s">
        <v>3928</v>
      </c>
      <c r="B258" s="258" t="s">
        <v>242</v>
      </c>
      <c r="C258" s="274" t="str">
        <f t="shared" si="3"/>
        <v>Recife, PE</v>
      </c>
      <c r="D258" s="278">
        <v>-8.0500000000000007</v>
      </c>
      <c r="E258" s="258">
        <v>10</v>
      </c>
      <c r="F258" s="279">
        <v>26.772983870000001</v>
      </c>
      <c r="G258" s="279">
        <v>27.405505949999998</v>
      </c>
      <c r="H258" s="279">
        <v>26.371370970000001</v>
      </c>
      <c r="I258" s="279">
        <v>26.412777779999999</v>
      </c>
      <c r="J258" s="279">
        <v>25.109677420000001</v>
      </c>
      <c r="K258" s="279">
        <v>24.534722219999999</v>
      </c>
      <c r="L258" s="279">
        <v>23.94354839</v>
      </c>
      <c r="M258" s="279">
        <v>24.11653226</v>
      </c>
      <c r="N258" s="279">
        <v>24.855694440000001</v>
      </c>
      <c r="O258" s="279">
        <v>26.356182799999999</v>
      </c>
      <c r="P258" s="279">
        <v>26.62166667</v>
      </c>
      <c r="Q258" s="279">
        <v>26.652822579999999</v>
      </c>
      <c r="R258" s="279">
        <v>25.762790445833332</v>
      </c>
      <c r="S258" s="274">
        <f>SUMIFS(Aux_Lista!Y:Y,Aux_Lista!W:W,Aux_TBS!B258,Aux_Lista!X:X,Aux_TBS!A258)</f>
        <v>8</v>
      </c>
      <c r="T258" s="274" t="s">
        <v>6041</v>
      </c>
      <c r="U258" s="274">
        <v>38</v>
      </c>
    </row>
    <row r="259" spans="1:21" x14ac:dyDescent="0.25">
      <c r="A259" s="277" t="s">
        <v>5094</v>
      </c>
      <c r="B259" s="258" t="s">
        <v>242</v>
      </c>
      <c r="C259" s="274" t="str">
        <f t="shared" ref="C259:C322" si="4">CONCATENATE(A259,", ",B259)</f>
        <v>Serra Talhada, PE</v>
      </c>
      <c r="D259" s="278">
        <v>-7.95</v>
      </c>
      <c r="E259" s="258">
        <v>461</v>
      </c>
      <c r="F259" s="279">
        <v>25.566129029999999</v>
      </c>
      <c r="G259" s="279">
        <v>26.38005952</v>
      </c>
      <c r="H259" s="279">
        <v>25.421370970000002</v>
      </c>
      <c r="I259" s="279">
        <v>24.62277778</v>
      </c>
      <c r="J259" s="279">
        <v>23.435887099999999</v>
      </c>
      <c r="K259" s="279">
        <v>22.574305559999999</v>
      </c>
      <c r="L259" s="279">
        <v>22.805645160000001</v>
      </c>
      <c r="M259" s="279">
        <v>23.388844089999999</v>
      </c>
      <c r="N259" s="279">
        <v>26.168333329999999</v>
      </c>
      <c r="O259" s="279">
        <v>27.639784949999999</v>
      </c>
      <c r="P259" s="279">
        <v>27.95027778</v>
      </c>
      <c r="Q259" s="279">
        <v>27.306989250000001</v>
      </c>
      <c r="R259" s="279">
        <v>25.271700376666669</v>
      </c>
      <c r="S259" s="274">
        <f>SUMIFS(Aux_Lista!Y:Y,Aux_Lista!W:W,Aux_TBS!B259,Aux_Lista!X:X,Aux_TBS!A259)</f>
        <v>6</v>
      </c>
      <c r="T259" s="274" t="s">
        <v>6041</v>
      </c>
      <c r="U259" s="274">
        <v>38</v>
      </c>
    </row>
    <row r="260" spans="1:21" x14ac:dyDescent="0.25">
      <c r="A260" s="277" t="s">
        <v>5040</v>
      </c>
      <c r="B260" s="258" t="s">
        <v>242</v>
      </c>
      <c r="C260" s="274" t="str">
        <f t="shared" si="4"/>
        <v>Surubim, PE</v>
      </c>
      <c r="D260" s="278">
        <v>-7.84</v>
      </c>
      <c r="E260" s="258">
        <v>418</v>
      </c>
      <c r="F260" s="279">
        <v>25.84986559</v>
      </c>
      <c r="G260" s="279">
        <v>24.914285710000001</v>
      </c>
      <c r="H260" s="279">
        <v>25.141935480000001</v>
      </c>
      <c r="I260" s="279">
        <v>25.17166667</v>
      </c>
      <c r="J260" s="279">
        <v>24.246639779999999</v>
      </c>
      <c r="K260" s="279">
        <v>22.577361109999998</v>
      </c>
      <c r="L260" s="279">
        <v>22.047043009999999</v>
      </c>
      <c r="M260" s="279">
        <v>22.035752689999999</v>
      </c>
      <c r="N260" s="279">
        <v>23.322916670000001</v>
      </c>
      <c r="O260" s="279">
        <v>24.67392473</v>
      </c>
      <c r="P260" s="279">
        <v>24.94805556</v>
      </c>
      <c r="Q260" s="279">
        <v>25.733870970000002</v>
      </c>
      <c r="R260" s="279">
        <v>24.221943164166674</v>
      </c>
      <c r="S260" s="274">
        <f>SUMIFS(Aux_Lista!Y:Y,Aux_Lista!W:W,Aux_TBS!B260,Aux_Lista!X:X,Aux_TBS!A260)</f>
        <v>8</v>
      </c>
      <c r="T260" s="274" t="s">
        <v>6041</v>
      </c>
      <c r="U260" s="274">
        <v>38</v>
      </c>
    </row>
    <row r="261" spans="1:21" x14ac:dyDescent="0.25">
      <c r="A261" s="277" t="s">
        <v>5336</v>
      </c>
      <c r="B261" s="258" t="s">
        <v>3870</v>
      </c>
      <c r="C261" s="274" t="str">
        <f t="shared" si="4"/>
        <v>Alvorada do Gurguéia, PI</v>
      </c>
      <c r="D261" s="278">
        <v>-8.44</v>
      </c>
      <c r="E261" s="258">
        <v>270</v>
      </c>
      <c r="F261" s="279">
        <v>25.568951609999999</v>
      </c>
      <c r="G261" s="279">
        <v>24.83080357</v>
      </c>
      <c r="H261" s="279">
        <v>25.365053759999999</v>
      </c>
      <c r="I261" s="279">
        <v>24.880694439999999</v>
      </c>
      <c r="J261" s="279">
        <v>24.84704301</v>
      </c>
      <c r="K261" s="279">
        <v>24.826111109999999</v>
      </c>
      <c r="L261" s="279">
        <v>26.28413978</v>
      </c>
      <c r="M261" s="279">
        <v>27.679301079999998</v>
      </c>
      <c r="N261" s="279">
        <v>28.667777780000002</v>
      </c>
      <c r="O261" s="279">
        <v>28.244758059999999</v>
      </c>
      <c r="P261" s="279">
        <v>28.293888890000002</v>
      </c>
      <c r="Q261" s="279">
        <v>26.0797043</v>
      </c>
      <c r="R261" s="279">
        <v>26.2973522825</v>
      </c>
      <c r="S261" s="274">
        <f>SUMIFS(Aux_Lista!Y:Y,Aux_Lista!W:W,Aux_TBS!B261,Aux_Lista!X:X,Aux_TBS!A261)</f>
        <v>7</v>
      </c>
      <c r="T261" s="274" t="s">
        <v>6041</v>
      </c>
      <c r="U261" s="274">
        <v>38</v>
      </c>
    </row>
    <row r="262" spans="1:21" x14ac:dyDescent="0.25">
      <c r="A262" s="277" t="s">
        <v>1343</v>
      </c>
      <c r="B262" s="258" t="s">
        <v>3870</v>
      </c>
      <c r="C262" s="274" t="str">
        <f t="shared" si="4"/>
        <v>Bom Jesus, PI</v>
      </c>
      <c r="D262" s="278">
        <v>-9.07</v>
      </c>
      <c r="E262" s="258">
        <v>331</v>
      </c>
      <c r="F262" s="279">
        <v>25.68790323</v>
      </c>
      <c r="G262" s="279">
        <v>25.313839290000001</v>
      </c>
      <c r="H262" s="279">
        <v>25.481720429999999</v>
      </c>
      <c r="I262" s="279">
        <v>25.221944440000001</v>
      </c>
      <c r="J262" s="279">
        <v>24.929838709999999</v>
      </c>
      <c r="K262" s="279">
        <v>24.878194440000001</v>
      </c>
      <c r="L262" s="279">
        <v>25.449731180000001</v>
      </c>
      <c r="M262" s="279">
        <v>27.487903230000001</v>
      </c>
      <c r="N262" s="279">
        <v>30.2225</v>
      </c>
      <c r="O262" s="279">
        <v>27.945698920000002</v>
      </c>
      <c r="P262" s="279">
        <v>28.20861111</v>
      </c>
      <c r="Q262" s="279">
        <v>25.862096770000001</v>
      </c>
      <c r="R262" s="279">
        <v>26.390831812499997</v>
      </c>
      <c r="S262" s="274">
        <f>SUMIFS(Aux_Lista!Y:Y,Aux_Lista!W:W,Aux_TBS!B262,Aux_Lista!X:X,Aux_TBS!A262)</f>
        <v>7</v>
      </c>
      <c r="T262" s="274" t="s">
        <v>6041</v>
      </c>
      <c r="U262" s="274">
        <v>38</v>
      </c>
    </row>
    <row r="263" spans="1:21" x14ac:dyDescent="0.25">
      <c r="A263" s="277" t="s">
        <v>3116</v>
      </c>
      <c r="B263" s="258" t="s">
        <v>3870</v>
      </c>
      <c r="C263" s="274" t="str">
        <f t="shared" si="4"/>
        <v>Caracol, PI</v>
      </c>
      <c r="D263" s="278">
        <v>-9.2899999999999991</v>
      </c>
      <c r="E263" s="258">
        <v>100</v>
      </c>
      <c r="F263" s="279">
        <v>24.569758060000002</v>
      </c>
      <c r="G263" s="279">
        <v>26.725892859999998</v>
      </c>
      <c r="H263" s="279">
        <v>23.78642473</v>
      </c>
      <c r="I263" s="279">
        <v>23.633333329999999</v>
      </c>
      <c r="J263" s="279">
        <v>23.248387099999999</v>
      </c>
      <c r="K263" s="279">
        <v>21.845416669999999</v>
      </c>
      <c r="L263" s="279">
        <v>22.374865589999999</v>
      </c>
      <c r="M263" s="279">
        <v>24.140053760000001</v>
      </c>
      <c r="N263" s="279">
        <v>26.700555560000002</v>
      </c>
      <c r="O263" s="279">
        <v>27.31155914</v>
      </c>
      <c r="P263" s="279">
        <v>27.49625</v>
      </c>
      <c r="Q263" s="279">
        <v>24.740053759999999</v>
      </c>
      <c r="R263" s="279">
        <v>24.714379213333331</v>
      </c>
      <c r="S263" s="274">
        <f>SUMIFS(Aux_Lista!Y:Y,Aux_Lista!W:W,Aux_TBS!B263,Aux_Lista!X:X,Aux_TBS!A263)</f>
        <v>7</v>
      </c>
      <c r="T263" s="274" t="s">
        <v>6041</v>
      </c>
      <c r="U263" s="274">
        <v>38</v>
      </c>
    </row>
    <row r="264" spans="1:21" x14ac:dyDescent="0.25">
      <c r="A264" s="277" t="s">
        <v>5504</v>
      </c>
      <c r="B264" s="258" t="s">
        <v>3870</v>
      </c>
      <c r="C264" s="274" t="str">
        <f t="shared" si="4"/>
        <v>Castelo do Piauí, PI</v>
      </c>
      <c r="D264" s="278">
        <v>-5.35</v>
      </c>
      <c r="E264" s="258">
        <v>286</v>
      </c>
      <c r="F264" s="279">
        <v>26.7405914</v>
      </c>
      <c r="G264" s="279">
        <v>28.229166670000001</v>
      </c>
      <c r="H264" s="279">
        <v>28.124731180000001</v>
      </c>
      <c r="I264" s="279">
        <v>28.189305560000001</v>
      </c>
      <c r="J264" s="279">
        <v>24.764784949999999</v>
      </c>
      <c r="K264" s="279">
        <v>24.928055560000001</v>
      </c>
      <c r="L264" s="279">
        <v>25.377150539999999</v>
      </c>
      <c r="M264" s="279">
        <v>26.57137097</v>
      </c>
      <c r="N264" s="279">
        <v>28.706111109999998</v>
      </c>
      <c r="O264" s="279">
        <v>28.8438172</v>
      </c>
      <c r="P264" s="279">
        <v>29.408055560000001</v>
      </c>
      <c r="Q264" s="279">
        <v>28.181182799999998</v>
      </c>
      <c r="R264" s="279">
        <v>27.338693624999994</v>
      </c>
      <c r="S264" s="274">
        <f>SUMIFS(Aux_Lista!Y:Y,Aux_Lista!W:W,Aux_TBS!B264,Aux_Lista!X:X,Aux_TBS!A264)</f>
        <v>7</v>
      </c>
      <c r="T264" s="274" t="s">
        <v>6041</v>
      </c>
      <c r="U264" s="274">
        <v>38</v>
      </c>
    </row>
    <row r="265" spans="1:21" x14ac:dyDescent="0.25">
      <c r="A265" s="277" t="s">
        <v>4555</v>
      </c>
      <c r="B265" s="258" t="s">
        <v>3870</v>
      </c>
      <c r="C265" s="274" t="str">
        <f t="shared" si="4"/>
        <v>Esperantina, PI</v>
      </c>
      <c r="D265" s="278">
        <v>-3.9</v>
      </c>
      <c r="E265" s="258">
        <v>65</v>
      </c>
      <c r="F265" s="279">
        <v>27.300940860000001</v>
      </c>
      <c r="G265" s="279">
        <v>26.110565480000002</v>
      </c>
      <c r="H265" s="279">
        <v>25.831451609999998</v>
      </c>
      <c r="I265" s="279">
        <v>25.619861109999999</v>
      </c>
      <c r="J265" s="279">
        <v>25.527284949999999</v>
      </c>
      <c r="K265" s="279">
        <v>25.89569444</v>
      </c>
      <c r="L265" s="279">
        <v>26.268951609999998</v>
      </c>
      <c r="M265" s="279">
        <v>27.235618280000001</v>
      </c>
      <c r="N265" s="279">
        <v>28.237083330000001</v>
      </c>
      <c r="O265" s="279">
        <v>28.58629032</v>
      </c>
      <c r="P265" s="279">
        <v>28.677222220000001</v>
      </c>
      <c r="Q265" s="279">
        <v>28.41424731</v>
      </c>
      <c r="R265" s="279">
        <v>26.975434293333333</v>
      </c>
      <c r="S265" s="274">
        <f>SUMIFS(Aux_Lista!Y:Y,Aux_Lista!W:W,Aux_TBS!B265,Aux_Lista!X:X,Aux_TBS!A265)</f>
        <v>8</v>
      </c>
      <c r="T265" s="274" t="s">
        <v>6041</v>
      </c>
      <c r="U265" s="274">
        <v>38</v>
      </c>
    </row>
    <row r="266" spans="1:21" x14ac:dyDescent="0.25">
      <c r="A266" s="277" t="s">
        <v>5088</v>
      </c>
      <c r="B266" s="258" t="s">
        <v>3870</v>
      </c>
      <c r="C266" s="274" t="str">
        <f t="shared" si="4"/>
        <v>Floriano, PI</v>
      </c>
      <c r="D266" s="278">
        <v>-6.77</v>
      </c>
      <c r="E266" s="258">
        <v>123</v>
      </c>
      <c r="F266" s="279">
        <v>28.015591400000002</v>
      </c>
      <c r="G266" s="279">
        <v>26.11488095</v>
      </c>
      <c r="H266" s="279">
        <v>26.474731179999999</v>
      </c>
      <c r="I266" s="279">
        <v>26.272500000000001</v>
      </c>
      <c r="J266" s="279">
        <v>26.953897850000001</v>
      </c>
      <c r="K266" s="279">
        <v>26.11680556</v>
      </c>
      <c r="L266" s="279">
        <v>27.015725809999999</v>
      </c>
      <c r="M266" s="279">
        <v>28.667741939999999</v>
      </c>
      <c r="N266" s="279">
        <v>30.055138889999998</v>
      </c>
      <c r="O266" s="279">
        <v>29.43091398</v>
      </c>
      <c r="P266" s="279">
        <v>28.06625</v>
      </c>
      <c r="Q266" s="279">
        <v>27.68844086</v>
      </c>
      <c r="R266" s="279">
        <v>27.572718201666671</v>
      </c>
      <c r="S266" s="274">
        <f>SUMIFS(Aux_Lista!Y:Y,Aux_Lista!W:W,Aux_TBS!B266,Aux_Lista!X:X,Aux_TBS!A266)</f>
        <v>7</v>
      </c>
      <c r="T266" s="274" t="s">
        <v>6041</v>
      </c>
      <c r="U266" s="274">
        <v>38</v>
      </c>
    </row>
    <row r="267" spans="1:21" x14ac:dyDescent="0.25">
      <c r="A267" s="277" t="s">
        <v>5035</v>
      </c>
      <c r="B267" s="258" t="s">
        <v>3870</v>
      </c>
      <c r="C267" s="274" t="str">
        <f t="shared" si="4"/>
        <v>Gilbués, PI</v>
      </c>
      <c r="D267" s="278">
        <v>-9.8699999999999992</v>
      </c>
      <c r="E267" s="258">
        <v>425</v>
      </c>
      <c r="F267" s="279">
        <v>25.65766129</v>
      </c>
      <c r="G267" s="279">
        <v>26.45133929</v>
      </c>
      <c r="H267" s="279">
        <v>26.29341398</v>
      </c>
      <c r="I267" s="279">
        <v>26.213611109999999</v>
      </c>
      <c r="J267" s="279">
        <v>25.911693549999999</v>
      </c>
      <c r="K267" s="279">
        <v>24.500138889999999</v>
      </c>
      <c r="L267" s="279">
        <v>25.297715050000001</v>
      </c>
      <c r="M267" s="279">
        <v>27.30591398</v>
      </c>
      <c r="N267" s="279">
        <v>29.770416669999999</v>
      </c>
      <c r="O267" s="279">
        <v>27.374731180000001</v>
      </c>
      <c r="P267" s="279">
        <v>27.654166669999999</v>
      </c>
      <c r="Q267" s="279">
        <v>25.55873656</v>
      </c>
      <c r="R267" s="279">
        <v>26.499128185</v>
      </c>
      <c r="S267" s="274">
        <f>SUMIFS(Aux_Lista!Y:Y,Aux_Lista!W:W,Aux_TBS!B267,Aux_Lista!X:X,Aux_TBS!A267)</f>
        <v>7</v>
      </c>
      <c r="T267" s="274" t="s">
        <v>6041</v>
      </c>
      <c r="U267" s="274">
        <v>38</v>
      </c>
    </row>
    <row r="268" spans="1:21" x14ac:dyDescent="0.25">
      <c r="A268" s="277" t="s">
        <v>5502</v>
      </c>
      <c r="B268" s="258" t="s">
        <v>3870</v>
      </c>
      <c r="C268" s="274" t="str">
        <f t="shared" si="4"/>
        <v>Oeiras, PI</v>
      </c>
      <c r="D268" s="278">
        <v>-6.97</v>
      </c>
      <c r="E268" s="258">
        <v>156</v>
      </c>
      <c r="F268" s="279">
        <v>26.45336022</v>
      </c>
      <c r="G268" s="279">
        <v>25.879761899999998</v>
      </c>
      <c r="H268" s="279">
        <v>25.970833330000001</v>
      </c>
      <c r="I268" s="279">
        <v>25.55541667</v>
      </c>
      <c r="J268" s="279">
        <v>25.35497312</v>
      </c>
      <c r="K268" s="279">
        <v>24.734999999999999</v>
      </c>
      <c r="L268" s="279">
        <v>25.196639780000002</v>
      </c>
      <c r="M268" s="279">
        <v>27.08293011</v>
      </c>
      <c r="N268" s="279">
        <v>29.098472220000001</v>
      </c>
      <c r="O268" s="279">
        <v>29.155913980000001</v>
      </c>
      <c r="P268" s="279">
        <v>29.41486111</v>
      </c>
      <c r="Q268" s="279">
        <v>27.614784950000001</v>
      </c>
      <c r="R268" s="279">
        <v>26.792745615833336</v>
      </c>
      <c r="S268" s="274">
        <f>SUMIFS(Aux_Lista!Y:Y,Aux_Lista!W:W,Aux_TBS!B268,Aux_Lista!X:X,Aux_TBS!A268)</f>
        <v>7</v>
      </c>
      <c r="T268" s="274" t="s">
        <v>6041</v>
      </c>
      <c r="U268" s="274">
        <v>38</v>
      </c>
    </row>
    <row r="269" spans="1:21" x14ac:dyDescent="0.25">
      <c r="A269" s="277" t="s">
        <v>5025</v>
      </c>
      <c r="B269" s="258" t="s">
        <v>3870</v>
      </c>
      <c r="C269" s="274" t="str">
        <f t="shared" si="4"/>
        <v>Parnaíba, PI</v>
      </c>
      <c r="D269" s="278">
        <v>-2.9</v>
      </c>
      <c r="E269" s="258">
        <v>80</v>
      </c>
      <c r="F269" s="279">
        <v>26.911962370000001</v>
      </c>
      <c r="G269" s="279">
        <v>28.009374999999999</v>
      </c>
      <c r="H269" s="279">
        <v>27.265994620000001</v>
      </c>
      <c r="I269" s="279">
        <v>25.730277780000002</v>
      </c>
      <c r="J269" s="279">
        <v>26.200672040000001</v>
      </c>
      <c r="K269" s="279">
        <v>26.18152778</v>
      </c>
      <c r="L269" s="279">
        <v>26.407392470000001</v>
      </c>
      <c r="M269" s="279">
        <v>27.459543010000001</v>
      </c>
      <c r="N269" s="279">
        <v>28.200138890000002</v>
      </c>
      <c r="O269" s="279">
        <v>28.332123660000001</v>
      </c>
      <c r="P269" s="279">
        <v>29.14083333</v>
      </c>
      <c r="Q269" s="279">
        <v>28.354838709999999</v>
      </c>
      <c r="R269" s="279">
        <v>27.34955663833334</v>
      </c>
      <c r="S269" s="274">
        <f>SUMIFS(Aux_Lista!Y:Y,Aux_Lista!W:W,Aux_TBS!B269,Aux_Lista!X:X,Aux_TBS!A269)</f>
        <v>8</v>
      </c>
      <c r="T269" s="274" t="s">
        <v>6041</v>
      </c>
      <c r="U269" s="274">
        <v>38</v>
      </c>
    </row>
    <row r="270" spans="1:21" x14ac:dyDescent="0.25">
      <c r="A270" s="277" t="s">
        <v>4940</v>
      </c>
      <c r="B270" s="258" t="s">
        <v>3870</v>
      </c>
      <c r="C270" s="274" t="str">
        <f t="shared" si="4"/>
        <v>Paulistana, PI</v>
      </c>
      <c r="D270" s="278">
        <v>-8.14</v>
      </c>
      <c r="E270" s="258">
        <v>374</v>
      </c>
      <c r="F270" s="279">
        <v>27.02795699</v>
      </c>
      <c r="G270" s="279">
        <v>28.720684519999999</v>
      </c>
      <c r="H270" s="279">
        <v>28.380913979999999</v>
      </c>
      <c r="I270" s="279">
        <v>26.938472220000001</v>
      </c>
      <c r="J270" s="279">
        <v>28.512231180000001</v>
      </c>
      <c r="K270" s="279">
        <v>26.04666667</v>
      </c>
      <c r="L270" s="279">
        <v>25.53319892</v>
      </c>
      <c r="M270" s="279">
        <v>26.090591400000001</v>
      </c>
      <c r="N270" s="279">
        <v>27.596250000000001</v>
      </c>
      <c r="O270" s="279">
        <v>29.691935480000001</v>
      </c>
      <c r="P270" s="279">
        <v>29.701250000000002</v>
      </c>
      <c r="Q270" s="279">
        <v>26.84180108</v>
      </c>
      <c r="R270" s="279">
        <v>27.590162703333331</v>
      </c>
      <c r="S270" s="274">
        <f>SUMIFS(Aux_Lista!Y:Y,Aux_Lista!W:W,Aux_TBS!B270,Aux_Lista!X:X,Aux_TBS!A270)</f>
        <v>7</v>
      </c>
      <c r="T270" s="274" t="s">
        <v>6041</v>
      </c>
      <c r="U270" s="274">
        <v>38</v>
      </c>
    </row>
    <row r="271" spans="1:21" x14ac:dyDescent="0.25">
      <c r="A271" s="277" t="s">
        <v>5341</v>
      </c>
      <c r="B271" s="258" t="s">
        <v>3870</v>
      </c>
      <c r="C271" s="274" t="str">
        <f t="shared" si="4"/>
        <v>Picos, PI</v>
      </c>
      <c r="D271" s="278">
        <v>-7.07</v>
      </c>
      <c r="E271" s="258">
        <v>233</v>
      </c>
      <c r="F271" s="279">
        <v>27.17903226</v>
      </c>
      <c r="G271" s="279">
        <v>28.653273810000002</v>
      </c>
      <c r="H271" s="279">
        <v>27.746370970000001</v>
      </c>
      <c r="I271" s="279">
        <v>26.59708333</v>
      </c>
      <c r="J271" s="279">
        <v>27.45887097</v>
      </c>
      <c r="K271" s="279">
        <v>26.35430556</v>
      </c>
      <c r="L271" s="279">
        <v>26.26169355</v>
      </c>
      <c r="M271" s="279">
        <v>27.944220430000001</v>
      </c>
      <c r="N271" s="279">
        <v>30.22583333</v>
      </c>
      <c r="O271" s="279">
        <v>30.33252688</v>
      </c>
      <c r="P271" s="279">
        <v>31.21458333</v>
      </c>
      <c r="Q271" s="279">
        <v>28.740994619999999</v>
      </c>
      <c r="R271" s="279">
        <v>28.225732419999996</v>
      </c>
      <c r="S271" s="274">
        <f>SUMIFS(Aux_Lista!Y:Y,Aux_Lista!W:W,Aux_TBS!B271,Aux_Lista!X:X,Aux_TBS!A271)</f>
        <v>7</v>
      </c>
      <c r="T271" s="274" t="s">
        <v>6041</v>
      </c>
      <c r="U271" s="274">
        <v>38</v>
      </c>
    </row>
    <row r="272" spans="1:21" x14ac:dyDescent="0.25">
      <c r="A272" s="277" t="s">
        <v>5465</v>
      </c>
      <c r="B272" s="258" t="s">
        <v>3870</v>
      </c>
      <c r="C272" s="274" t="str">
        <f t="shared" si="4"/>
        <v>Piripiri, PI</v>
      </c>
      <c r="D272" s="278">
        <v>-4.2699999999999996</v>
      </c>
      <c r="E272" s="258">
        <v>161</v>
      </c>
      <c r="F272" s="279">
        <v>27.34139785</v>
      </c>
      <c r="G272" s="279">
        <v>28.442857140000001</v>
      </c>
      <c r="H272" s="279">
        <v>27.37459677</v>
      </c>
      <c r="I272" s="279">
        <v>27.028888890000001</v>
      </c>
      <c r="J272" s="279">
        <v>27.15725806</v>
      </c>
      <c r="K272" s="279">
        <v>26.933611110000001</v>
      </c>
      <c r="L272" s="279">
        <v>27.77284946</v>
      </c>
      <c r="M272" s="279">
        <v>28.392069889999998</v>
      </c>
      <c r="N272" s="279">
        <v>29.316527780000001</v>
      </c>
      <c r="O272" s="279">
        <v>28.976612899999999</v>
      </c>
      <c r="P272" s="279">
        <v>28.95972222</v>
      </c>
      <c r="Q272" s="279">
        <v>27.219489249999999</v>
      </c>
      <c r="R272" s="279">
        <v>27.909656776666665</v>
      </c>
      <c r="S272" s="274">
        <f>SUMIFS(Aux_Lista!Y:Y,Aux_Lista!W:W,Aux_TBS!B272,Aux_Lista!X:X,Aux_TBS!A272)</f>
        <v>7</v>
      </c>
      <c r="T272" s="274" t="s">
        <v>6041</v>
      </c>
      <c r="U272" s="274">
        <v>38</v>
      </c>
    </row>
    <row r="273" spans="1:21" x14ac:dyDescent="0.25">
      <c r="A273" s="277" t="s">
        <v>4291</v>
      </c>
      <c r="B273" s="258" t="s">
        <v>3870</v>
      </c>
      <c r="C273" s="274" t="str">
        <f t="shared" si="4"/>
        <v>São João do Piauí, PI</v>
      </c>
      <c r="D273" s="278">
        <v>-8.36</v>
      </c>
      <c r="E273" s="258">
        <v>235</v>
      </c>
      <c r="F273" s="279">
        <v>26.62916667</v>
      </c>
      <c r="G273" s="279">
        <v>28.57633929</v>
      </c>
      <c r="H273" s="279">
        <v>27.698387100000001</v>
      </c>
      <c r="I273" s="279">
        <v>27.297499999999999</v>
      </c>
      <c r="J273" s="279">
        <v>29.30551075</v>
      </c>
      <c r="K273" s="279">
        <v>27.811111109999999</v>
      </c>
      <c r="L273" s="279">
        <v>27.334274189999999</v>
      </c>
      <c r="M273" s="279">
        <v>27.865456989999998</v>
      </c>
      <c r="N273" s="279">
        <v>29.283750000000001</v>
      </c>
      <c r="O273" s="279">
        <v>30.303225810000001</v>
      </c>
      <c r="P273" s="279">
        <v>29.610277780000001</v>
      </c>
      <c r="Q273" s="279">
        <v>27.232526880000002</v>
      </c>
      <c r="R273" s="279">
        <v>28.245627214166671</v>
      </c>
      <c r="S273" s="274">
        <f>SUMIFS(Aux_Lista!Y:Y,Aux_Lista!W:W,Aux_TBS!B273,Aux_Lista!X:X,Aux_TBS!A273)</f>
        <v>7</v>
      </c>
      <c r="T273" s="274" t="s">
        <v>6041</v>
      </c>
      <c r="U273" s="274">
        <v>38</v>
      </c>
    </row>
    <row r="274" spans="1:21" x14ac:dyDescent="0.25">
      <c r="A274" s="277" t="s">
        <v>4496</v>
      </c>
      <c r="B274" s="258" t="s">
        <v>3870</v>
      </c>
      <c r="C274" s="274" t="str">
        <f t="shared" si="4"/>
        <v>São Pedro do Piauí, PI</v>
      </c>
      <c r="D274" s="278">
        <v>-5.91</v>
      </c>
      <c r="E274" s="258">
        <v>287</v>
      </c>
      <c r="F274" s="279">
        <v>25.654704299999999</v>
      </c>
      <c r="G274" s="279">
        <v>26.365625000000001</v>
      </c>
      <c r="H274" s="279">
        <v>25.93373656</v>
      </c>
      <c r="I274" s="279">
        <v>25.917777780000002</v>
      </c>
      <c r="J274" s="279">
        <v>25.910080650000001</v>
      </c>
      <c r="K274" s="279">
        <v>24.77263889</v>
      </c>
      <c r="L274" s="279">
        <v>24.97163978</v>
      </c>
      <c r="M274" s="279">
        <v>25.84663978</v>
      </c>
      <c r="N274" s="279">
        <v>27.976388889999999</v>
      </c>
      <c r="O274" s="279">
        <v>27.596370969999999</v>
      </c>
      <c r="P274" s="279">
        <v>28.072777779999999</v>
      </c>
      <c r="Q274" s="279">
        <v>25.867741939999998</v>
      </c>
      <c r="R274" s="279">
        <v>26.240510193333336</v>
      </c>
      <c r="S274" s="274">
        <f>SUMIFS(Aux_Lista!Y:Y,Aux_Lista!W:W,Aux_TBS!B274,Aux_Lista!X:X,Aux_TBS!A274)</f>
        <v>7</v>
      </c>
      <c r="T274" s="274" t="s">
        <v>6041</v>
      </c>
      <c r="U274" s="274">
        <v>38</v>
      </c>
    </row>
    <row r="275" spans="1:21" x14ac:dyDescent="0.25">
      <c r="A275" s="277" t="s">
        <v>4790</v>
      </c>
      <c r="B275" s="258" t="s">
        <v>3870</v>
      </c>
      <c r="C275" s="274" t="str">
        <f t="shared" si="4"/>
        <v>São Raimundo Nonato, PI</v>
      </c>
      <c r="D275" s="278">
        <v>-9.0299999999999994</v>
      </c>
      <c r="E275" s="258">
        <v>402</v>
      </c>
      <c r="F275" s="279">
        <v>27.536962370000001</v>
      </c>
      <c r="G275" s="279">
        <v>28.40625</v>
      </c>
      <c r="H275" s="279">
        <v>27.136155909999999</v>
      </c>
      <c r="I275" s="279">
        <v>26.53763889</v>
      </c>
      <c r="J275" s="279">
        <v>26.565860220000001</v>
      </c>
      <c r="K275" s="279">
        <v>25.530416670000001</v>
      </c>
      <c r="L275" s="279">
        <v>24.926209679999999</v>
      </c>
      <c r="M275" s="279">
        <v>26.68239247</v>
      </c>
      <c r="N275" s="279">
        <v>28.228611109999999</v>
      </c>
      <c r="O275" s="279">
        <v>27.692069889999999</v>
      </c>
      <c r="P275" s="279">
        <v>28.05458333</v>
      </c>
      <c r="Q275" s="279">
        <v>27.253494620000001</v>
      </c>
      <c r="R275" s="279">
        <v>27.045887096666664</v>
      </c>
      <c r="S275" s="274">
        <f>SUMIFS(Aux_Lista!Y:Y,Aux_Lista!W:W,Aux_TBS!B275,Aux_Lista!X:X,Aux_TBS!A275)</f>
        <v>7</v>
      </c>
      <c r="T275" s="274" t="s">
        <v>6041</v>
      </c>
      <c r="U275" s="274">
        <v>38</v>
      </c>
    </row>
    <row r="276" spans="1:21" x14ac:dyDescent="0.25">
      <c r="A276" s="277" t="s">
        <v>4758</v>
      </c>
      <c r="B276" s="258" t="s">
        <v>3870</v>
      </c>
      <c r="C276" s="274" t="str">
        <f t="shared" si="4"/>
        <v>Teresina, PI</v>
      </c>
      <c r="D276" s="278">
        <v>-5.09</v>
      </c>
      <c r="E276" s="258">
        <v>74</v>
      </c>
      <c r="F276" s="279">
        <v>27.346774190000001</v>
      </c>
      <c r="G276" s="279">
        <v>26.48169643</v>
      </c>
      <c r="H276" s="279">
        <v>27.715725809999999</v>
      </c>
      <c r="I276" s="279">
        <v>27.103611109999999</v>
      </c>
      <c r="J276" s="279">
        <v>27.376747309999999</v>
      </c>
      <c r="K276" s="279">
        <v>26.551666669999999</v>
      </c>
      <c r="L276" s="279">
        <v>26.863844090000001</v>
      </c>
      <c r="M276" s="279">
        <v>28.330913979999998</v>
      </c>
      <c r="N276" s="279">
        <v>29.316527780000001</v>
      </c>
      <c r="O276" s="279">
        <v>28.976612899999999</v>
      </c>
      <c r="P276" s="279">
        <v>28.95972222</v>
      </c>
      <c r="Q276" s="279">
        <v>27.214247310000001</v>
      </c>
      <c r="R276" s="279">
        <v>27.68650748333334</v>
      </c>
      <c r="S276" s="274">
        <f>SUMIFS(Aux_Lista!Y:Y,Aux_Lista!W:W,Aux_TBS!B276,Aux_Lista!X:X,Aux_TBS!A276)</f>
        <v>7</v>
      </c>
      <c r="T276" s="274" t="s">
        <v>6041</v>
      </c>
      <c r="U276" s="274">
        <v>38</v>
      </c>
    </row>
    <row r="277" spans="1:21" x14ac:dyDescent="0.25">
      <c r="A277" s="277" t="s">
        <v>5048</v>
      </c>
      <c r="B277" s="258" t="s">
        <v>3870</v>
      </c>
      <c r="C277" s="274" t="str">
        <f t="shared" si="4"/>
        <v>Uruçuí, PI</v>
      </c>
      <c r="D277" s="278">
        <v>-7.47</v>
      </c>
      <c r="E277" s="258">
        <v>393</v>
      </c>
      <c r="F277" s="279">
        <v>25.463844089999998</v>
      </c>
      <c r="G277" s="279">
        <v>24.42782738</v>
      </c>
      <c r="H277" s="279">
        <v>24.802956989999998</v>
      </c>
      <c r="I277" s="279">
        <v>24.62277778</v>
      </c>
      <c r="J277" s="279">
        <v>24.682258059999999</v>
      </c>
      <c r="K277" s="279">
        <v>24.824027780000002</v>
      </c>
      <c r="L277" s="279">
        <v>25.93655914</v>
      </c>
      <c r="M277" s="279">
        <v>27.117204300000001</v>
      </c>
      <c r="N277" s="279">
        <v>28.854027779999999</v>
      </c>
      <c r="O277" s="279">
        <v>26.912096770000002</v>
      </c>
      <c r="P277" s="279">
        <v>26.64236111</v>
      </c>
      <c r="Q277" s="279">
        <v>25.40295699</v>
      </c>
      <c r="R277" s="279">
        <v>25.807408180833335</v>
      </c>
      <c r="S277" s="274">
        <f>SUMIFS(Aux_Lista!Y:Y,Aux_Lista!W:W,Aux_TBS!B277,Aux_Lista!X:X,Aux_TBS!A277)</f>
        <v>7</v>
      </c>
      <c r="T277" s="274" t="s">
        <v>6041</v>
      </c>
      <c r="U277" s="274">
        <v>38</v>
      </c>
    </row>
    <row r="278" spans="1:21" x14ac:dyDescent="0.25">
      <c r="A278" s="277" t="s">
        <v>5359</v>
      </c>
      <c r="B278" s="258" t="s">
        <v>3870</v>
      </c>
      <c r="C278" s="274" t="str">
        <f t="shared" si="4"/>
        <v>Valença do Piauí, PI</v>
      </c>
      <c r="D278" s="278">
        <v>-6.4</v>
      </c>
      <c r="E278" s="258">
        <v>301</v>
      </c>
      <c r="F278" s="279">
        <v>26.318682800000001</v>
      </c>
      <c r="G278" s="279">
        <v>27.710863100000001</v>
      </c>
      <c r="H278" s="279">
        <v>26.860349459999998</v>
      </c>
      <c r="I278" s="279">
        <v>26.615138890000001</v>
      </c>
      <c r="J278" s="279">
        <v>25.135483870000002</v>
      </c>
      <c r="K278" s="279">
        <v>25.313749999999999</v>
      </c>
      <c r="L278" s="279">
        <v>25.615725810000001</v>
      </c>
      <c r="M278" s="279">
        <v>26.593145159999999</v>
      </c>
      <c r="N278" s="279">
        <v>28.863194440000001</v>
      </c>
      <c r="O278" s="279">
        <v>28.951747309999998</v>
      </c>
      <c r="P278" s="279">
        <v>29.491527779999998</v>
      </c>
      <c r="Q278" s="279">
        <v>27.45564516</v>
      </c>
      <c r="R278" s="279">
        <v>27.077104481666669</v>
      </c>
      <c r="S278" s="274">
        <f>SUMIFS(Aux_Lista!Y:Y,Aux_Lista!W:W,Aux_TBS!B278,Aux_Lista!X:X,Aux_TBS!A278)</f>
        <v>7</v>
      </c>
      <c r="T278" s="274" t="s">
        <v>6041</v>
      </c>
      <c r="U278" s="274">
        <v>38</v>
      </c>
    </row>
    <row r="279" spans="1:21" x14ac:dyDescent="0.25">
      <c r="A279" s="277" t="s">
        <v>538</v>
      </c>
      <c r="B279" s="258" t="s">
        <v>239</v>
      </c>
      <c r="C279" s="274" t="str">
        <f t="shared" si="4"/>
        <v>Castro, PR</v>
      </c>
      <c r="D279" s="278">
        <v>-24.79</v>
      </c>
      <c r="E279" s="258">
        <v>1008</v>
      </c>
      <c r="F279" s="279">
        <v>19.416397849999999</v>
      </c>
      <c r="G279" s="279">
        <v>20.488392860000001</v>
      </c>
      <c r="H279" s="279">
        <v>19.244623659999998</v>
      </c>
      <c r="I279" s="279">
        <v>17.296388889999999</v>
      </c>
      <c r="J279" s="279">
        <v>13.93360215</v>
      </c>
      <c r="K279" s="279">
        <v>13.665416670000001</v>
      </c>
      <c r="L279" s="279">
        <v>13.44596774</v>
      </c>
      <c r="M279" s="279">
        <v>14.943010749999999</v>
      </c>
      <c r="N279" s="279">
        <v>14.57847222</v>
      </c>
      <c r="O279" s="279">
        <v>17.738978490000001</v>
      </c>
      <c r="P279" s="279">
        <v>18.40777778</v>
      </c>
      <c r="Q279" s="279">
        <v>19.568682800000001</v>
      </c>
      <c r="R279" s="279">
        <v>16.893975988333334</v>
      </c>
      <c r="S279" s="274">
        <f>SUMIFS(Aux_Lista!Y:Y,Aux_Lista!W:W,Aux_TBS!B279,Aux_Lista!X:X,Aux_TBS!A279)</f>
        <v>1</v>
      </c>
      <c r="T279" s="274" t="s">
        <v>6044</v>
      </c>
      <c r="U279" s="274">
        <v>40</v>
      </c>
    </row>
    <row r="280" spans="1:21" x14ac:dyDescent="0.25">
      <c r="A280" s="277" t="s">
        <v>3070</v>
      </c>
      <c r="B280" s="258" t="s">
        <v>239</v>
      </c>
      <c r="C280" s="274" t="str">
        <f t="shared" si="4"/>
        <v>Cidade Gaúcha, PR</v>
      </c>
      <c r="D280" s="278">
        <v>-23.36</v>
      </c>
      <c r="E280" s="258">
        <v>381</v>
      </c>
      <c r="F280" s="279">
        <v>24.78266129</v>
      </c>
      <c r="G280" s="279">
        <v>25.70223214</v>
      </c>
      <c r="H280" s="279">
        <v>25.238037630000001</v>
      </c>
      <c r="I280" s="279">
        <v>22.909861110000001</v>
      </c>
      <c r="J280" s="279">
        <v>19.329838710000001</v>
      </c>
      <c r="K280" s="279">
        <v>17.88291667</v>
      </c>
      <c r="L280" s="279">
        <v>20.796102149999999</v>
      </c>
      <c r="M280" s="279">
        <v>21.251612900000001</v>
      </c>
      <c r="N280" s="279">
        <v>20.50902778</v>
      </c>
      <c r="O280" s="279">
        <v>24.371908600000001</v>
      </c>
      <c r="P280" s="279">
        <v>24.72513889</v>
      </c>
      <c r="Q280" s="279">
        <v>26.45793011</v>
      </c>
      <c r="R280" s="279">
        <v>22.829772331666671</v>
      </c>
      <c r="S280" s="274">
        <f>SUMIFS(Aux_Lista!Y:Y,Aux_Lista!W:W,Aux_TBS!B280,Aux_Lista!X:X,Aux_TBS!A280)</f>
        <v>3</v>
      </c>
      <c r="T280" s="274" t="s">
        <v>6044</v>
      </c>
      <c r="U280" s="274">
        <v>40</v>
      </c>
    </row>
    <row r="281" spans="1:21" x14ac:dyDescent="0.25">
      <c r="A281" s="277" t="s">
        <v>1377</v>
      </c>
      <c r="B281" s="258" t="s">
        <v>239</v>
      </c>
      <c r="C281" s="274" t="str">
        <f t="shared" si="4"/>
        <v>Clevelândia, PR</v>
      </c>
      <c r="D281" s="278">
        <v>-26.42</v>
      </c>
      <c r="E281" s="258">
        <v>980</v>
      </c>
      <c r="F281" s="279">
        <v>19.423252690000002</v>
      </c>
      <c r="G281" s="279">
        <v>21.154613099999999</v>
      </c>
      <c r="H281" s="279">
        <v>20.617607530000001</v>
      </c>
      <c r="I281" s="279">
        <v>18.630416669999999</v>
      </c>
      <c r="J281" s="279">
        <v>16.257123660000001</v>
      </c>
      <c r="K281" s="279">
        <v>13.018333330000001</v>
      </c>
      <c r="L281" s="279">
        <v>15.45846774</v>
      </c>
      <c r="M281" s="279">
        <v>15.24865591</v>
      </c>
      <c r="N281" s="279">
        <v>13.745972220000001</v>
      </c>
      <c r="O281" s="279">
        <v>17.617338709999999</v>
      </c>
      <c r="P281" s="279">
        <v>19.307777779999999</v>
      </c>
      <c r="Q281" s="279">
        <v>20.510080649999999</v>
      </c>
      <c r="R281" s="279">
        <v>17.582469999166666</v>
      </c>
      <c r="S281" s="274">
        <f>SUMIFS(Aux_Lista!Y:Y,Aux_Lista!W:W,Aux_TBS!B281,Aux_Lista!X:X,Aux_TBS!A281)</f>
        <v>1</v>
      </c>
      <c r="T281" s="274" t="s">
        <v>6044</v>
      </c>
      <c r="U281" s="274">
        <v>40</v>
      </c>
    </row>
    <row r="282" spans="1:21" x14ac:dyDescent="0.25">
      <c r="A282" s="277" t="s">
        <v>539</v>
      </c>
      <c r="B282" s="258" t="s">
        <v>239</v>
      </c>
      <c r="C282" s="274" t="str">
        <f t="shared" si="4"/>
        <v>Curitiba, PR</v>
      </c>
      <c r="D282" s="278">
        <v>-25.43</v>
      </c>
      <c r="E282" s="258">
        <v>924</v>
      </c>
      <c r="F282" s="279">
        <v>19.61841398</v>
      </c>
      <c r="G282" s="279">
        <v>20.869642859999999</v>
      </c>
      <c r="H282" s="279">
        <v>19.941935480000001</v>
      </c>
      <c r="I282" s="279">
        <v>17.85347222</v>
      </c>
      <c r="J282" s="279">
        <v>15.018817200000001</v>
      </c>
      <c r="K282" s="279">
        <v>14.712638889999999</v>
      </c>
      <c r="L282" s="279">
        <v>15.39018817</v>
      </c>
      <c r="M282" s="279">
        <v>15.72459677</v>
      </c>
      <c r="N282" s="279">
        <v>14.61972222</v>
      </c>
      <c r="O282" s="279">
        <v>17.5983871</v>
      </c>
      <c r="P282" s="279">
        <v>18.009861109999999</v>
      </c>
      <c r="Q282" s="279">
        <v>19.409677420000001</v>
      </c>
      <c r="R282" s="279">
        <v>17.397279451666666</v>
      </c>
      <c r="S282" s="274">
        <f>SUMIFS(Aux_Lista!Y:Y,Aux_Lista!W:W,Aux_TBS!B282,Aux_Lista!X:X,Aux_TBS!A282)</f>
        <v>1</v>
      </c>
      <c r="T282" s="274" t="s">
        <v>6044</v>
      </c>
      <c r="U282" s="274">
        <v>40</v>
      </c>
    </row>
    <row r="283" spans="1:21" x14ac:dyDescent="0.25">
      <c r="A283" s="277" t="s">
        <v>3228</v>
      </c>
      <c r="B283" s="258" t="s">
        <v>239</v>
      </c>
      <c r="C283" s="274" t="str">
        <f t="shared" si="4"/>
        <v>Diamante do Norte, PR</v>
      </c>
      <c r="D283" s="278">
        <v>-22.64</v>
      </c>
      <c r="E283" s="258">
        <v>362</v>
      </c>
      <c r="F283" s="279">
        <v>24.587499999999999</v>
      </c>
      <c r="G283" s="279">
        <v>25.64241071</v>
      </c>
      <c r="H283" s="279">
        <v>24.929166670000001</v>
      </c>
      <c r="I283" s="279">
        <v>22.858472219999999</v>
      </c>
      <c r="J283" s="279">
        <v>19.237096770000001</v>
      </c>
      <c r="K283" s="279">
        <v>18.32152778</v>
      </c>
      <c r="L283" s="279">
        <v>20.785349459999999</v>
      </c>
      <c r="M283" s="279">
        <v>21.55403226</v>
      </c>
      <c r="N283" s="279">
        <v>20.536666669999999</v>
      </c>
      <c r="O283" s="279">
        <v>24.496908600000001</v>
      </c>
      <c r="P283" s="279">
        <v>24.511111110000002</v>
      </c>
      <c r="Q283" s="279">
        <v>26.195295699999999</v>
      </c>
      <c r="R283" s="279">
        <v>22.804628162499998</v>
      </c>
      <c r="S283" s="274">
        <f>SUMIFS(Aux_Lista!Y:Y,Aux_Lista!W:W,Aux_TBS!B283,Aux_Lista!X:X,Aux_TBS!A283)</f>
        <v>3</v>
      </c>
      <c r="T283" s="274" t="s">
        <v>6044</v>
      </c>
      <c r="U283" s="274">
        <v>40</v>
      </c>
    </row>
    <row r="284" spans="1:21" x14ac:dyDescent="0.25">
      <c r="A284" s="277" t="s">
        <v>1555</v>
      </c>
      <c r="B284" s="258" t="s">
        <v>239</v>
      </c>
      <c r="C284" s="274" t="str">
        <f t="shared" si="4"/>
        <v>Dois Vizinhos, PR</v>
      </c>
      <c r="D284" s="278">
        <v>-25.69</v>
      </c>
      <c r="E284" s="258">
        <v>520</v>
      </c>
      <c r="F284" s="279">
        <v>23.181586020000001</v>
      </c>
      <c r="G284" s="279">
        <v>23.450595239999998</v>
      </c>
      <c r="H284" s="279">
        <v>22.699865590000002</v>
      </c>
      <c r="I284" s="279">
        <v>19.299305560000001</v>
      </c>
      <c r="J284" s="279">
        <v>16.765322579999999</v>
      </c>
      <c r="K284" s="279">
        <v>14.682499999999999</v>
      </c>
      <c r="L284" s="279">
        <v>17.616801079999998</v>
      </c>
      <c r="M284" s="279">
        <v>18.511424730000002</v>
      </c>
      <c r="N284" s="279">
        <v>17.216666669999999</v>
      </c>
      <c r="O284" s="279">
        <v>20.830107529999999</v>
      </c>
      <c r="P284" s="279">
        <v>22.31180556</v>
      </c>
      <c r="Q284" s="279">
        <v>23.766397850000001</v>
      </c>
      <c r="R284" s="279">
        <v>20.027698200833335</v>
      </c>
      <c r="S284" s="274">
        <f>SUMIFS(Aux_Lista!Y:Y,Aux_Lista!W:W,Aux_TBS!B284,Aux_Lista!X:X,Aux_TBS!A284)</f>
        <v>2</v>
      </c>
      <c r="T284" s="274" t="s">
        <v>6044</v>
      </c>
      <c r="U284" s="274">
        <v>40</v>
      </c>
    </row>
    <row r="285" spans="1:21" x14ac:dyDescent="0.25">
      <c r="A285" s="277" t="s">
        <v>3405</v>
      </c>
      <c r="B285" s="258" t="s">
        <v>239</v>
      </c>
      <c r="C285" s="274" t="str">
        <f t="shared" si="4"/>
        <v>Foz do Iguaçu, PR</v>
      </c>
      <c r="D285" s="278">
        <v>-25.6</v>
      </c>
      <c r="E285" s="258">
        <v>231</v>
      </c>
      <c r="F285" s="279">
        <v>25.994220429999999</v>
      </c>
      <c r="G285" s="279">
        <v>26.32857143</v>
      </c>
      <c r="H285" s="279">
        <v>25.117607530000001</v>
      </c>
      <c r="I285" s="279">
        <v>22.489027780000001</v>
      </c>
      <c r="J285" s="279">
        <v>18.87311828</v>
      </c>
      <c r="K285" s="279">
        <v>14.294166669999999</v>
      </c>
      <c r="L285" s="279">
        <v>14.926881720000001</v>
      </c>
      <c r="M285" s="279">
        <v>18.649999999999999</v>
      </c>
      <c r="N285" s="279">
        <v>18.796388889999999</v>
      </c>
      <c r="O285" s="279">
        <v>22.173387099999999</v>
      </c>
      <c r="P285" s="279">
        <v>25.766249999999999</v>
      </c>
      <c r="Q285" s="279">
        <v>25.393682800000001</v>
      </c>
      <c r="R285" s="279">
        <v>21.566941885833341</v>
      </c>
      <c r="S285" s="274">
        <f>SUMIFS(Aux_Lista!Y:Y,Aux_Lista!W:W,Aux_TBS!B285,Aux_Lista!X:X,Aux_TBS!A285)</f>
        <v>3</v>
      </c>
      <c r="T285" s="274" t="s">
        <v>6044</v>
      </c>
      <c r="U285" s="274">
        <v>40</v>
      </c>
    </row>
    <row r="286" spans="1:21" x14ac:dyDescent="0.25">
      <c r="A286" s="277" t="s">
        <v>1577</v>
      </c>
      <c r="B286" s="258" t="s">
        <v>239</v>
      </c>
      <c r="C286" s="274" t="str">
        <f t="shared" si="4"/>
        <v>General Carneiro, PR</v>
      </c>
      <c r="D286" s="278">
        <v>-26.4</v>
      </c>
      <c r="E286" s="258">
        <v>1018</v>
      </c>
      <c r="F286" s="279">
        <v>18.568010749999999</v>
      </c>
      <c r="G286" s="279">
        <v>20.177976189999999</v>
      </c>
      <c r="H286" s="279">
        <v>19.23413978</v>
      </c>
      <c r="I286" s="279">
        <v>15.71777778</v>
      </c>
      <c r="J286" s="279">
        <v>13.80215054</v>
      </c>
      <c r="K286" s="279">
        <v>11.342083329999999</v>
      </c>
      <c r="L286" s="279">
        <v>11.923387099999999</v>
      </c>
      <c r="M286" s="279">
        <v>13.62446237</v>
      </c>
      <c r="N286" s="279">
        <v>13.07375</v>
      </c>
      <c r="O286" s="279">
        <v>16.480376339999999</v>
      </c>
      <c r="P286" s="279">
        <v>17.420277779999999</v>
      </c>
      <c r="Q286" s="279">
        <v>18.967069890000001</v>
      </c>
      <c r="R286" s="279">
        <v>15.860955154166666</v>
      </c>
      <c r="S286" s="274">
        <f>SUMIFS(Aux_Lista!Y:Y,Aux_Lista!W:W,Aux_TBS!B286,Aux_Lista!X:X,Aux_TBS!A286)</f>
        <v>2</v>
      </c>
      <c r="T286" s="274" t="s">
        <v>6044</v>
      </c>
      <c r="U286" s="274">
        <v>40</v>
      </c>
    </row>
    <row r="287" spans="1:21" x14ac:dyDescent="0.25">
      <c r="A287" s="277" t="s">
        <v>540</v>
      </c>
      <c r="B287" s="258" t="s">
        <v>239</v>
      </c>
      <c r="C287" s="274" t="str">
        <f t="shared" si="4"/>
        <v>Ibaiti, PR</v>
      </c>
      <c r="D287" s="278">
        <v>-23.77</v>
      </c>
      <c r="E287" s="258">
        <v>930</v>
      </c>
      <c r="F287" s="279">
        <v>21.779973120000001</v>
      </c>
      <c r="G287" s="279">
        <v>23.456101189999998</v>
      </c>
      <c r="H287" s="279">
        <v>23.09045699</v>
      </c>
      <c r="I287" s="279">
        <v>20.205138890000001</v>
      </c>
      <c r="J287" s="279">
        <v>17.417741939999999</v>
      </c>
      <c r="K287" s="279">
        <v>16.710972219999999</v>
      </c>
      <c r="L287" s="279">
        <v>18.31196237</v>
      </c>
      <c r="M287" s="279">
        <v>18.68561828</v>
      </c>
      <c r="N287" s="279">
        <v>18.16680556</v>
      </c>
      <c r="O287" s="279">
        <v>21.11330645</v>
      </c>
      <c r="P287" s="279">
        <v>21.246388889999999</v>
      </c>
      <c r="Q287" s="279">
        <v>22.559139779999999</v>
      </c>
      <c r="R287" s="279">
        <v>20.228633806666668</v>
      </c>
      <c r="S287" s="274">
        <f>SUMIFS(Aux_Lista!Y:Y,Aux_Lista!W:W,Aux_TBS!B287,Aux_Lista!X:X,Aux_TBS!A287)</f>
        <v>2</v>
      </c>
      <c r="T287" s="274" t="s">
        <v>6044</v>
      </c>
      <c r="U287" s="274">
        <v>40</v>
      </c>
    </row>
    <row r="288" spans="1:21" x14ac:dyDescent="0.25">
      <c r="A288" s="277" t="s">
        <v>3192</v>
      </c>
      <c r="B288" s="258" t="s">
        <v>239</v>
      </c>
      <c r="C288" s="274" t="str">
        <f t="shared" si="4"/>
        <v>Icaraíma, PR</v>
      </c>
      <c r="D288" s="278">
        <v>-23.4</v>
      </c>
      <c r="E288" s="258">
        <v>385</v>
      </c>
      <c r="F288" s="279">
        <v>25.455510749999998</v>
      </c>
      <c r="G288" s="279">
        <v>26.215922620000001</v>
      </c>
      <c r="H288" s="279">
        <v>25.354435479999999</v>
      </c>
      <c r="I288" s="279">
        <v>23.16111111</v>
      </c>
      <c r="J288" s="279">
        <v>18.41330645</v>
      </c>
      <c r="K288" s="279">
        <v>19.628888889999999</v>
      </c>
      <c r="L288" s="279">
        <v>18.777419349999999</v>
      </c>
      <c r="M288" s="279">
        <v>19.958736559999998</v>
      </c>
      <c r="N288" s="279">
        <v>22.288194440000002</v>
      </c>
      <c r="O288" s="279">
        <v>21.892876340000001</v>
      </c>
      <c r="P288" s="279">
        <v>23.496805559999999</v>
      </c>
      <c r="Q288" s="279">
        <v>24.674327959999999</v>
      </c>
      <c r="R288" s="279">
        <v>22.443127959166663</v>
      </c>
      <c r="S288" s="274">
        <f>SUMIFS(Aux_Lista!Y:Y,Aux_Lista!W:W,Aux_TBS!B288,Aux_Lista!X:X,Aux_TBS!A288)</f>
        <v>3</v>
      </c>
      <c r="T288" s="274" t="s">
        <v>6044</v>
      </c>
      <c r="U288" s="274">
        <v>40</v>
      </c>
    </row>
    <row r="289" spans="1:21" x14ac:dyDescent="0.25">
      <c r="A289" s="277" t="s">
        <v>2899</v>
      </c>
      <c r="B289" s="258" t="s">
        <v>239</v>
      </c>
      <c r="C289" s="274" t="str">
        <f t="shared" si="4"/>
        <v>Paranaguá, PR</v>
      </c>
      <c r="D289" s="278">
        <v>-25.57</v>
      </c>
      <c r="E289" s="258">
        <v>1</v>
      </c>
      <c r="F289" s="279">
        <v>24.33763441</v>
      </c>
      <c r="G289" s="279">
        <v>24.80238095</v>
      </c>
      <c r="H289" s="279">
        <v>24.267069889999998</v>
      </c>
      <c r="I289" s="279">
        <v>21.89569444</v>
      </c>
      <c r="J289" s="279">
        <v>19.63534946</v>
      </c>
      <c r="K289" s="279">
        <v>17.52263889</v>
      </c>
      <c r="L289" s="279">
        <v>18.459677419999998</v>
      </c>
      <c r="M289" s="279">
        <v>18.780645159999999</v>
      </c>
      <c r="N289" s="279">
        <v>18.270277780000001</v>
      </c>
      <c r="O289" s="279">
        <v>20.699596769999999</v>
      </c>
      <c r="P289" s="279">
        <v>21.99027778</v>
      </c>
      <c r="Q289" s="279">
        <v>22.303494619999999</v>
      </c>
      <c r="R289" s="279">
        <v>21.080394797500002</v>
      </c>
      <c r="S289" s="274">
        <f>SUMIFS(Aux_Lista!Y:Y,Aux_Lista!W:W,Aux_TBS!B289,Aux_Lista!X:X,Aux_TBS!A289)</f>
        <v>3</v>
      </c>
      <c r="T289" s="274" t="s">
        <v>6044</v>
      </c>
      <c r="U289" s="274">
        <v>40</v>
      </c>
    </row>
    <row r="290" spans="1:21" x14ac:dyDescent="0.25">
      <c r="A290" s="277" t="s">
        <v>1226</v>
      </c>
      <c r="B290" s="258" t="s">
        <v>239</v>
      </c>
      <c r="C290" s="274" t="str">
        <f t="shared" si="4"/>
        <v>Inácio Martins, PR</v>
      </c>
      <c r="D290" s="278">
        <v>-25.57</v>
      </c>
      <c r="E290" s="258">
        <v>1260</v>
      </c>
      <c r="F290" s="279">
        <v>19.496505379999999</v>
      </c>
      <c r="G290" s="279">
        <v>19.376190480000002</v>
      </c>
      <c r="H290" s="279">
        <v>19.757661290000001</v>
      </c>
      <c r="I290" s="279">
        <v>16.943611109999999</v>
      </c>
      <c r="J290" s="279">
        <v>13.113844090000001</v>
      </c>
      <c r="K290" s="279">
        <v>14.20805556</v>
      </c>
      <c r="L290" s="279">
        <v>11.971370970000001</v>
      </c>
      <c r="M290" s="279">
        <v>13.74005376</v>
      </c>
      <c r="N290" s="279">
        <v>17.279305560000001</v>
      </c>
      <c r="O290" s="279">
        <v>14.77836022</v>
      </c>
      <c r="P290" s="279">
        <v>17.19458333</v>
      </c>
      <c r="Q290" s="279">
        <v>17.92862903</v>
      </c>
      <c r="R290" s="279">
        <v>16.315680898333333</v>
      </c>
      <c r="S290" s="274">
        <f>SUMIFS(Aux_Lista!Y:Y,Aux_Lista!W:W,Aux_TBS!B290,Aux_Lista!X:X,Aux_TBS!A290)</f>
        <v>2</v>
      </c>
      <c r="T290" s="274" t="s">
        <v>6044</v>
      </c>
      <c r="U290" s="274">
        <v>40</v>
      </c>
    </row>
    <row r="291" spans="1:21" x14ac:dyDescent="0.25">
      <c r="A291" s="277" t="s">
        <v>1573</v>
      </c>
      <c r="B291" s="258" t="s">
        <v>239</v>
      </c>
      <c r="C291" s="274" t="str">
        <f t="shared" si="4"/>
        <v>Ivaí, PR</v>
      </c>
      <c r="D291" s="278">
        <v>-25.01</v>
      </c>
      <c r="E291" s="258">
        <v>808</v>
      </c>
      <c r="F291" s="279">
        <v>22.39314516</v>
      </c>
      <c r="G291" s="279">
        <v>22.217559519999998</v>
      </c>
      <c r="H291" s="279">
        <v>22.163575269999999</v>
      </c>
      <c r="I291" s="279">
        <v>19.757638889999999</v>
      </c>
      <c r="J291" s="279">
        <v>15.8375</v>
      </c>
      <c r="K291" s="279">
        <v>15.717083329999999</v>
      </c>
      <c r="L291" s="279">
        <v>13.794892470000001</v>
      </c>
      <c r="M291" s="279">
        <v>17.295967739999998</v>
      </c>
      <c r="N291" s="279">
        <v>16.766388890000002</v>
      </c>
      <c r="O291" s="279">
        <v>20.190188169999999</v>
      </c>
      <c r="P291" s="279">
        <v>20.632361110000002</v>
      </c>
      <c r="Q291" s="279">
        <v>22.50981183</v>
      </c>
      <c r="R291" s="279">
        <v>19.106342698333332</v>
      </c>
      <c r="S291" s="274">
        <f>SUMIFS(Aux_Lista!Y:Y,Aux_Lista!W:W,Aux_TBS!B291,Aux_Lista!X:X,Aux_TBS!A291)</f>
        <v>2</v>
      </c>
      <c r="T291" s="274" t="s">
        <v>6044</v>
      </c>
      <c r="U291" s="274">
        <v>40</v>
      </c>
    </row>
    <row r="292" spans="1:21" x14ac:dyDescent="0.25">
      <c r="A292" s="277" t="s">
        <v>3365</v>
      </c>
      <c r="B292" s="258" t="s">
        <v>239</v>
      </c>
      <c r="C292" s="274" t="str">
        <f t="shared" si="4"/>
        <v>Joaquim Távora, PR</v>
      </c>
      <c r="D292" s="278">
        <v>-23.5</v>
      </c>
      <c r="E292" s="258">
        <v>522</v>
      </c>
      <c r="F292" s="279">
        <v>22.955913979999998</v>
      </c>
      <c r="G292" s="279">
        <v>23.466815480000001</v>
      </c>
      <c r="H292" s="279">
        <v>22.759005380000001</v>
      </c>
      <c r="I292" s="279">
        <v>20.703749999999999</v>
      </c>
      <c r="J292" s="279">
        <v>16.90443548</v>
      </c>
      <c r="K292" s="279">
        <v>16.533194439999999</v>
      </c>
      <c r="L292" s="279">
        <v>17.27889785</v>
      </c>
      <c r="M292" s="279">
        <v>18.972849459999999</v>
      </c>
      <c r="N292" s="279">
        <v>18.74847222</v>
      </c>
      <c r="O292" s="279">
        <v>22.04663978</v>
      </c>
      <c r="P292" s="279">
        <v>22.390138889999999</v>
      </c>
      <c r="Q292" s="279">
        <v>23.54112903</v>
      </c>
      <c r="R292" s="279">
        <v>20.525103499166665</v>
      </c>
      <c r="S292" s="274">
        <f>SUMIFS(Aux_Lista!Y:Y,Aux_Lista!W:W,Aux_TBS!B292,Aux_Lista!X:X,Aux_TBS!A292)</f>
        <v>2</v>
      </c>
      <c r="T292" s="274" t="s">
        <v>6044</v>
      </c>
      <c r="U292" s="274">
        <v>40</v>
      </c>
    </row>
    <row r="293" spans="1:21" x14ac:dyDescent="0.25">
      <c r="A293" s="277" t="s">
        <v>3596</v>
      </c>
      <c r="B293" s="258" t="s">
        <v>239</v>
      </c>
      <c r="C293" s="274" t="str">
        <f t="shared" si="4"/>
        <v>Londrina, PR</v>
      </c>
      <c r="D293" s="278">
        <v>-23.38</v>
      </c>
      <c r="E293" s="258">
        <v>566</v>
      </c>
      <c r="F293" s="279">
        <v>23.900403229999998</v>
      </c>
      <c r="G293" s="279">
        <v>23.98854167</v>
      </c>
      <c r="H293" s="279">
        <v>24.199596769999999</v>
      </c>
      <c r="I293" s="279">
        <v>22.925416670000001</v>
      </c>
      <c r="J293" s="279">
        <v>18.535215050000001</v>
      </c>
      <c r="K293" s="279">
        <v>18.684583329999999</v>
      </c>
      <c r="L293" s="279">
        <v>16.613440860000001</v>
      </c>
      <c r="M293" s="279">
        <v>19.711827960000001</v>
      </c>
      <c r="N293" s="279">
        <v>23.300694440000001</v>
      </c>
      <c r="O293" s="279">
        <v>23.494086020000001</v>
      </c>
      <c r="P293" s="279">
        <v>22.737500000000001</v>
      </c>
      <c r="Q293" s="279">
        <v>24.097715050000001</v>
      </c>
      <c r="R293" s="279">
        <v>21.849085087500001</v>
      </c>
      <c r="S293" s="274">
        <f>SUMIFS(Aux_Lista!Y:Y,Aux_Lista!W:W,Aux_TBS!B293,Aux_Lista!X:X,Aux_TBS!A293)</f>
        <v>3</v>
      </c>
      <c r="T293" s="274" t="s">
        <v>6044</v>
      </c>
      <c r="U293" s="274">
        <v>40</v>
      </c>
    </row>
    <row r="294" spans="1:21" x14ac:dyDescent="0.25">
      <c r="A294" s="277" t="s">
        <v>3261</v>
      </c>
      <c r="B294" s="258" t="s">
        <v>239</v>
      </c>
      <c r="C294" s="274" t="str">
        <f t="shared" si="4"/>
        <v>Marechal Cândido Rondon, PR</v>
      </c>
      <c r="D294" s="278">
        <v>-24.56</v>
      </c>
      <c r="E294" s="258">
        <v>392</v>
      </c>
      <c r="F294" s="279">
        <v>23.90537634</v>
      </c>
      <c r="G294" s="279">
        <v>24.328422620000001</v>
      </c>
      <c r="H294" s="279">
        <v>24.061827959999999</v>
      </c>
      <c r="I294" s="279">
        <v>21.392777779999999</v>
      </c>
      <c r="J294" s="279">
        <v>17.76908602</v>
      </c>
      <c r="K294" s="279">
        <v>15.836527780000001</v>
      </c>
      <c r="L294" s="279">
        <v>19.274999999999999</v>
      </c>
      <c r="M294" s="279">
        <v>20.186693550000001</v>
      </c>
      <c r="N294" s="279">
        <v>18.60430556</v>
      </c>
      <c r="O294" s="279">
        <v>23.16612903</v>
      </c>
      <c r="P294" s="279">
        <v>23.507222219999999</v>
      </c>
      <c r="Q294" s="279">
        <v>24.884274189999999</v>
      </c>
      <c r="R294" s="279">
        <v>21.409803587499997</v>
      </c>
      <c r="S294" s="274">
        <f>SUMIFS(Aux_Lista!Y:Y,Aux_Lista!W:W,Aux_TBS!B294,Aux_Lista!X:X,Aux_TBS!A294)</f>
        <v>3</v>
      </c>
      <c r="T294" s="274" t="s">
        <v>6044</v>
      </c>
      <c r="U294" s="274">
        <v>40</v>
      </c>
    </row>
    <row r="295" spans="1:21" x14ac:dyDescent="0.25">
      <c r="A295" s="277" t="s">
        <v>3235</v>
      </c>
      <c r="B295" s="258" t="s">
        <v>239</v>
      </c>
      <c r="C295" s="274" t="str">
        <f t="shared" si="4"/>
        <v>Maringá, PR</v>
      </c>
      <c r="D295" s="278">
        <v>-23.42</v>
      </c>
      <c r="E295" s="258">
        <v>542</v>
      </c>
      <c r="F295" s="279">
        <v>24.389516130000001</v>
      </c>
      <c r="G295" s="279">
        <v>24.858184519999998</v>
      </c>
      <c r="H295" s="279">
        <v>25.305107530000001</v>
      </c>
      <c r="I295" s="279">
        <v>24.014583330000001</v>
      </c>
      <c r="J295" s="279">
        <v>19.588709680000001</v>
      </c>
      <c r="K295" s="279">
        <v>20.261944440000001</v>
      </c>
      <c r="L295" s="279">
        <v>18.854838709999999</v>
      </c>
      <c r="M295" s="279">
        <v>21.024999999999999</v>
      </c>
      <c r="N295" s="279">
        <v>25.160555559999999</v>
      </c>
      <c r="O295" s="279">
        <v>23.925268819999999</v>
      </c>
      <c r="P295" s="279">
        <v>24.015138889999999</v>
      </c>
      <c r="Q295" s="279">
        <v>25.146102150000001</v>
      </c>
      <c r="R295" s="279">
        <v>23.04541248</v>
      </c>
      <c r="S295" s="274">
        <f>SUMIFS(Aux_Lista!Y:Y,Aux_Lista!W:W,Aux_TBS!B295,Aux_Lista!X:X,Aux_TBS!A295)</f>
        <v>1</v>
      </c>
      <c r="T295" s="274" t="s">
        <v>6044</v>
      </c>
      <c r="U295" s="274">
        <v>40</v>
      </c>
    </row>
    <row r="296" spans="1:21" x14ac:dyDescent="0.25">
      <c r="A296" s="277" t="s">
        <v>2053</v>
      </c>
      <c r="B296" s="258" t="s">
        <v>239</v>
      </c>
      <c r="C296" s="274" t="str">
        <f t="shared" si="4"/>
        <v>Nova Fátima, PR</v>
      </c>
      <c r="D296" s="278">
        <v>-23.43</v>
      </c>
      <c r="E296" s="258">
        <v>668</v>
      </c>
      <c r="F296" s="279">
        <v>21.870698919999999</v>
      </c>
      <c r="G296" s="279">
        <v>22.617261899999999</v>
      </c>
      <c r="H296" s="279">
        <v>22.12688172</v>
      </c>
      <c r="I296" s="279">
        <v>20.775694439999999</v>
      </c>
      <c r="J296" s="279">
        <v>18.44637097</v>
      </c>
      <c r="K296" s="279">
        <v>19.487361109999998</v>
      </c>
      <c r="L296" s="279">
        <v>16.929704300000001</v>
      </c>
      <c r="M296" s="279">
        <v>19.543951610000001</v>
      </c>
      <c r="N296" s="279">
        <v>23.169583329999998</v>
      </c>
      <c r="O296" s="279">
        <v>19.977822580000002</v>
      </c>
      <c r="P296" s="279">
        <v>21.96430556</v>
      </c>
      <c r="Q296" s="279">
        <v>22.59139785</v>
      </c>
      <c r="R296" s="279">
        <v>20.791752857499997</v>
      </c>
      <c r="S296" s="274">
        <f>SUMIFS(Aux_Lista!Y:Y,Aux_Lista!W:W,Aux_TBS!B296,Aux_Lista!X:X,Aux_TBS!A296)</f>
        <v>3</v>
      </c>
      <c r="T296" s="274" t="s">
        <v>6044</v>
      </c>
      <c r="U296" s="274">
        <v>40</v>
      </c>
    </row>
    <row r="297" spans="1:21" x14ac:dyDescent="0.25">
      <c r="A297" s="277" t="s">
        <v>396</v>
      </c>
      <c r="B297" s="258" t="s">
        <v>239</v>
      </c>
      <c r="C297" s="274" t="str">
        <f t="shared" si="4"/>
        <v>Nova Tebas, PR</v>
      </c>
      <c r="D297" s="278">
        <v>-24.44</v>
      </c>
      <c r="E297" s="258">
        <v>654</v>
      </c>
      <c r="F297" s="279">
        <v>22.421370970000002</v>
      </c>
      <c r="G297" s="279">
        <v>22.937351190000001</v>
      </c>
      <c r="H297" s="279">
        <v>22.291263440000002</v>
      </c>
      <c r="I297" s="279">
        <v>19.985972220000001</v>
      </c>
      <c r="J297" s="279">
        <v>17.33252688</v>
      </c>
      <c r="K297" s="279">
        <v>16.06666667</v>
      </c>
      <c r="L297" s="279">
        <v>17.93844086</v>
      </c>
      <c r="M297" s="279">
        <v>18.72580645</v>
      </c>
      <c r="N297" s="279">
        <v>18.085000000000001</v>
      </c>
      <c r="O297" s="279">
        <v>21.425000000000001</v>
      </c>
      <c r="P297" s="279">
        <v>21.933611110000001</v>
      </c>
      <c r="Q297" s="279">
        <v>23.389784949999999</v>
      </c>
      <c r="R297" s="279">
        <v>20.211066228333333</v>
      </c>
      <c r="S297" s="274">
        <f>SUMIFS(Aux_Lista!Y:Y,Aux_Lista!W:W,Aux_TBS!B297,Aux_Lista!X:X,Aux_TBS!A297)</f>
        <v>2</v>
      </c>
      <c r="T297" s="274" t="s">
        <v>6044</v>
      </c>
      <c r="U297" s="274">
        <v>40</v>
      </c>
    </row>
    <row r="298" spans="1:21" x14ac:dyDescent="0.25">
      <c r="A298" s="277" t="s">
        <v>3291</v>
      </c>
      <c r="B298" s="258" t="s">
        <v>239</v>
      </c>
      <c r="C298" s="274" t="str">
        <f t="shared" si="4"/>
        <v>Paranapoema, PR</v>
      </c>
      <c r="D298" s="278">
        <v>-22.49</v>
      </c>
      <c r="E298" s="258">
        <v>311</v>
      </c>
      <c r="F298" s="279">
        <v>24.838709680000001</v>
      </c>
      <c r="G298" s="279">
        <v>25.963839289999999</v>
      </c>
      <c r="H298" s="279">
        <v>24.35497312</v>
      </c>
      <c r="I298" s="279">
        <v>23.104166670000001</v>
      </c>
      <c r="J298" s="279">
        <v>19.152284949999999</v>
      </c>
      <c r="K298" s="279">
        <v>18.648472219999999</v>
      </c>
      <c r="L298" s="279">
        <v>20.4016129</v>
      </c>
      <c r="M298" s="279">
        <v>21.52607527</v>
      </c>
      <c r="N298" s="279">
        <v>20.792777780000002</v>
      </c>
      <c r="O298" s="279">
        <v>24.76491935</v>
      </c>
      <c r="P298" s="279">
        <v>24.684722220000001</v>
      </c>
      <c r="Q298" s="279">
        <v>26.34045699</v>
      </c>
      <c r="R298" s="279">
        <v>22.88108420333333</v>
      </c>
      <c r="S298" s="274">
        <f>SUMIFS(Aux_Lista!Y:Y,Aux_Lista!W:W,Aux_TBS!B298,Aux_Lista!X:X,Aux_TBS!A298)</f>
        <v>3</v>
      </c>
      <c r="T298" s="274" t="s">
        <v>6044</v>
      </c>
      <c r="U298" s="274">
        <v>40</v>
      </c>
    </row>
    <row r="299" spans="1:21" x14ac:dyDescent="0.25">
      <c r="A299" s="277" t="s">
        <v>1446</v>
      </c>
      <c r="B299" s="258" t="s">
        <v>239</v>
      </c>
      <c r="C299" s="274" t="str">
        <f t="shared" si="4"/>
        <v>Planalto, PR</v>
      </c>
      <c r="D299" s="278">
        <v>-25.72</v>
      </c>
      <c r="E299" s="258">
        <v>346</v>
      </c>
      <c r="F299" s="279">
        <v>25.20793011</v>
      </c>
      <c r="G299" s="279">
        <v>25.501041669999999</v>
      </c>
      <c r="H299" s="279">
        <v>24.14596774</v>
      </c>
      <c r="I299" s="279">
        <v>21.05347222</v>
      </c>
      <c r="J299" s="279">
        <v>17.333602150000001</v>
      </c>
      <c r="K299" s="279">
        <v>15.51527778</v>
      </c>
      <c r="L299" s="279">
        <v>18.847311829999999</v>
      </c>
      <c r="M299" s="279">
        <v>19.246505379999999</v>
      </c>
      <c r="N299" s="279">
        <v>18.0975</v>
      </c>
      <c r="O299" s="279">
        <v>22.09986559</v>
      </c>
      <c r="P299" s="279">
        <v>23.765138889999999</v>
      </c>
      <c r="Q299" s="279">
        <v>25.265053760000001</v>
      </c>
      <c r="R299" s="279">
        <v>21.339888926666664</v>
      </c>
      <c r="S299" s="274">
        <f>SUMIFS(Aux_Lista!Y:Y,Aux_Lista!W:W,Aux_TBS!B299,Aux_Lista!X:X,Aux_TBS!A299)</f>
        <v>2</v>
      </c>
      <c r="T299" s="274" t="s">
        <v>6044</v>
      </c>
      <c r="U299" s="274">
        <v>40</v>
      </c>
    </row>
    <row r="300" spans="1:21" x14ac:dyDescent="0.25">
      <c r="A300" s="277" t="s">
        <v>1623</v>
      </c>
      <c r="B300" s="258" t="s">
        <v>252</v>
      </c>
      <c r="C300" s="274" t="str">
        <f t="shared" si="4"/>
        <v>Arraial do Cabo, RJ</v>
      </c>
      <c r="D300" s="278">
        <v>-22.97</v>
      </c>
      <c r="E300" s="258">
        <v>4</v>
      </c>
      <c r="F300" s="279">
        <v>23.199327960000002</v>
      </c>
      <c r="G300" s="279">
        <v>24.702083330000001</v>
      </c>
      <c r="H300" s="279">
        <v>25.243548390000001</v>
      </c>
      <c r="I300" s="279">
        <v>24.525416669999998</v>
      </c>
      <c r="J300" s="279">
        <v>22.59233871</v>
      </c>
      <c r="K300" s="279">
        <v>21.997916669999999</v>
      </c>
      <c r="L300" s="279">
        <v>21.46827957</v>
      </c>
      <c r="M300" s="279">
        <v>21.822043010000002</v>
      </c>
      <c r="N300" s="279">
        <v>21.226388889999999</v>
      </c>
      <c r="O300" s="279">
        <v>22.235483869999999</v>
      </c>
      <c r="P300" s="279">
        <v>22.989166669999999</v>
      </c>
      <c r="Q300" s="279">
        <v>23.304301079999998</v>
      </c>
      <c r="R300" s="279">
        <v>22.942191234999999</v>
      </c>
      <c r="S300" s="274">
        <f>SUMIFS(Aux_Lista!Y:Y,Aux_Lista!W:W,Aux_TBS!B300,Aux_Lista!X:X,Aux_TBS!A300)</f>
        <v>3</v>
      </c>
      <c r="T300" s="274" t="s">
        <v>6043</v>
      </c>
      <c r="U300" s="274">
        <v>40</v>
      </c>
    </row>
    <row r="301" spans="1:21" x14ac:dyDescent="0.25">
      <c r="A301" s="277" t="s">
        <v>3345</v>
      </c>
      <c r="B301" s="258" t="s">
        <v>252</v>
      </c>
      <c r="C301" s="274" t="str">
        <f t="shared" si="4"/>
        <v>Cambuci, RJ</v>
      </c>
      <c r="D301" s="278">
        <v>-21.58</v>
      </c>
      <c r="E301" s="258">
        <v>35</v>
      </c>
      <c r="F301" s="279">
        <v>26.0938172</v>
      </c>
      <c r="G301" s="279">
        <v>25.324999999999999</v>
      </c>
      <c r="H301" s="279">
        <v>25.957392469999998</v>
      </c>
      <c r="I301" s="279">
        <v>25.03944444</v>
      </c>
      <c r="J301" s="279">
        <v>22.243817199999999</v>
      </c>
      <c r="K301" s="279">
        <v>20.21986111</v>
      </c>
      <c r="L301" s="279">
        <v>19.008064520000001</v>
      </c>
      <c r="M301" s="279">
        <v>21.78548387</v>
      </c>
      <c r="N301" s="279">
        <v>21.874444440000001</v>
      </c>
      <c r="O301" s="279">
        <v>24.390053760000001</v>
      </c>
      <c r="P301" s="279">
        <v>23.734722219999998</v>
      </c>
      <c r="Q301" s="279">
        <v>24.097177420000001</v>
      </c>
      <c r="R301" s="279">
        <v>23.314106554166667</v>
      </c>
      <c r="S301" s="274">
        <f>SUMIFS(Aux_Lista!Y:Y,Aux_Lista!W:W,Aux_TBS!B301,Aux_Lista!X:X,Aux_TBS!A301)</f>
        <v>5</v>
      </c>
      <c r="T301" s="274" t="s">
        <v>6043</v>
      </c>
      <c r="U301" s="274">
        <v>40</v>
      </c>
    </row>
    <row r="302" spans="1:21" x14ac:dyDescent="0.25">
      <c r="A302" s="277" t="s">
        <v>2942</v>
      </c>
      <c r="B302" s="258" t="s">
        <v>252</v>
      </c>
      <c r="C302" s="274" t="str">
        <f t="shared" si="4"/>
        <v>Campos dos Goytacazes, RJ</v>
      </c>
      <c r="D302" s="278">
        <v>-21.75</v>
      </c>
      <c r="E302" s="258">
        <v>25</v>
      </c>
      <c r="F302" s="279">
        <v>25.71680108</v>
      </c>
      <c r="G302" s="279">
        <v>26.86904762</v>
      </c>
      <c r="H302" s="279">
        <v>26.247446239999999</v>
      </c>
      <c r="I302" s="279">
        <v>24.05541667</v>
      </c>
      <c r="J302" s="279">
        <v>22.555241939999998</v>
      </c>
      <c r="K302" s="279">
        <v>20.472222219999999</v>
      </c>
      <c r="L302" s="279">
        <v>21.289112899999999</v>
      </c>
      <c r="M302" s="279">
        <v>21.592607529999999</v>
      </c>
      <c r="N302" s="279">
        <v>23.44805556</v>
      </c>
      <c r="O302" s="279">
        <v>23.868145160000001</v>
      </c>
      <c r="P302" s="279">
        <v>26.263472220000001</v>
      </c>
      <c r="Q302" s="279">
        <v>26.00188172</v>
      </c>
      <c r="R302" s="279">
        <v>24.031620905</v>
      </c>
      <c r="S302" s="274">
        <f>SUMIFS(Aux_Lista!Y:Y,Aux_Lista!W:W,Aux_TBS!B302,Aux_Lista!X:X,Aux_TBS!A302)</f>
        <v>5</v>
      </c>
      <c r="T302" s="274" t="s">
        <v>6043</v>
      </c>
      <c r="U302" s="274">
        <v>40</v>
      </c>
    </row>
    <row r="303" spans="1:21" x14ac:dyDescent="0.25">
      <c r="A303" s="277" t="s">
        <v>3123</v>
      </c>
      <c r="B303" s="258" t="s">
        <v>252</v>
      </c>
      <c r="C303" s="274" t="str">
        <f t="shared" si="4"/>
        <v>Duque de Caxias, RJ</v>
      </c>
      <c r="D303" s="278">
        <v>-22.57</v>
      </c>
      <c r="E303" s="258">
        <v>0</v>
      </c>
      <c r="F303" s="279">
        <v>25.733467739999998</v>
      </c>
      <c r="G303" s="279">
        <v>24.594047620000001</v>
      </c>
      <c r="H303" s="279">
        <v>25.507661290000001</v>
      </c>
      <c r="I303" s="279">
        <v>24.741111109999999</v>
      </c>
      <c r="J303" s="279">
        <v>21.83669355</v>
      </c>
      <c r="K303" s="279">
        <v>20.423055560000002</v>
      </c>
      <c r="L303" s="279">
        <v>19.28548387</v>
      </c>
      <c r="M303" s="279">
        <v>22.155510750000001</v>
      </c>
      <c r="N303" s="279">
        <v>21.585416670000001</v>
      </c>
      <c r="O303" s="279">
        <v>21.65672043</v>
      </c>
      <c r="P303" s="279">
        <v>23.596666670000001</v>
      </c>
      <c r="Q303" s="279">
        <v>25.61465054</v>
      </c>
      <c r="R303" s="279">
        <v>23.060873816666668</v>
      </c>
      <c r="S303" s="274">
        <f>SUMIFS(Aux_Lista!Y:Y,Aux_Lista!W:W,Aux_TBS!B303,Aux_Lista!X:X,Aux_TBS!A303)</f>
        <v>5</v>
      </c>
      <c r="T303" s="274" t="s">
        <v>6043</v>
      </c>
      <c r="U303" s="274">
        <v>40</v>
      </c>
    </row>
    <row r="304" spans="1:21" x14ac:dyDescent="0.25">
      <c r="A304" s="277" t="s">
        <v>2942</v>
      </c>
      <c r="B304" s="258" t="s">
        <v>252</v>
      </c>
      <c r="C304" s="274" t="str">
        <f t="shared" si="4"/>
        <v>Campos dos Goytacazes, RJ</v>
      </c>
      <c r="D304" s="278">
        <v>-22.04</v>
      </c>
      <c r="E304" s="258">
        <v>4</v>
      </c>
      <c r="F304" s="279">
        <v>25.15389785</v>
      </c>
      <c r="G304" s="279">
        <v>26.637499999999999</v>
      </c>
      <c r="H304" s="279">
        <v>26.29153226</v>
      </c>
      <c r="I304" s="279">
        <v>24.76958333</v>
      </c>
      <c r="J304" s="279">
        <v>23.74865591</v>
      </c>
      <c r="K304" s="279">
        <v>21.475277779999999</v>
      </c>
      <c r="L304" s="279">
        <v>21.593145159999999</v>
      </c>
      <c r="M304" s="279">
        <v>22.54206989</v>
      </c>
      <c r="N304" s="279">
        <v>21.839444440000001</v>
      </c>
      <c r="O304" s="279">
        <v>23.516935480000001</v>
      </c>
      <c r="P304" s="279">
        <v>23.910555559999999</v>
      </c>
      <c r="Q304" s="279">
        <v>24.16048387</v>
      </c>
      <c r="R304" s="279">
        <v>23.803256794166668</v>
      </c>
      <c r="S304" s="274">
        <f>SUMIFS(Aux_Lista!Y:Y,Aux_Lista!W:W,Aux_TBS!B304,Aux_Lista!X:X,Aux_TBS!A304)</f>
        <v>5</v>
      </c>
      <c r="T304" s="274" t="s">
        <v>6043</v>
      </c>
      <c r="U304" s="274">
        <v>40</v>
      </c>
    </row>
    <row r="305" spans="1:21" x14ac:dyDescent="0.25">
      <c r="A305" s="277" t="s">
        <v>3024</v>
      </c>
      <c r="B305" s="258" t="s">
        <v>252</v>
      </c>
      <c r="C305" s="274" t="str">
        <f t="shared" si="4"/>
        <v>Macaé, RJ</v>
      </c>
      <c r="D305" s="278">
        <v>-22.37</v>
      </c>
      <c r="E305" s="258">
        <v>32</v>
      </c>
      <c r="F305" s="279">
        <v>25.201612900000001</v>
      </c>
      <c r="G305" s="279">
        <v>26.195982140000002</v>
      </c>
      <c r="H305" s="279">
        <v>25.591532260000001</v>
      </c>
      <c r="I305" s="279">
        <v>23.39083333</v>
      </c>
      <c r="J305" s="279">
        <v>22.394892469999998</v>
      </c>
      <c r="K305" s="279">
        <v>20.174166670000002</v>
      </c>
      <c r="L305" s="279">
        <v>21.035080650000001</v>
      </c>
      <c r="M305" s="279">
        <v>21.34287634</v>
      </c>
      <c r="N305" s="279">
        <v>22.844722220000001</v>
      </c>
      <c r="O305" s="279">
        <v>23.162231179999999</v>
      </c>
      <c r="P305" s="279">
        <v>26.046527780000002</v>
      </c>
      <c r="Q305" s="279">
        <v>25.666397849999999</v>
      </c>
      <c r="R305" s="279">
        <v>23.5872379825</v>
      </c>
      <c r="S305" s="274">
        <f>SUMIFS(Aux_Lista!Y:Y,Aux_Lista!W:W,Aux_TBS!B305,Aux_Lista!X:X,Aux_TBS!A305)</f>
        <v>5</v>
      </c>
      <c r="T305" s="274" t="s">
        <v>6043</v>
      </c>
      <c r="U305" s="274">
        <v>40</v>
      </c>
    </row>
    <row r="306" spans="1:21" x14ac:dyDescent="0.25">
      <c r="A306" s="277" t="s">
        <v>1835</v>
      </c>
      <c r="B306" s="258" t="s">
        <v>252</v>
      </c>
      <c r="C306" s="274" t="str">
        <f t="shared" si="4"/>
        <v>Niterói, RJ</v>
      </c>
      <c r="D306" s="278">
        <v>-22.91</v>
      </c>
      <c r="E306" s="258">
        <v>13</v>
      </c>
      <c r="F306" s="279">
        <v>23.49583333</v>
      </c>
      <c r="G306" s="279">
        <v>25.278273810000002</v>
      </c>
      <c r="H306" s="279">
        <v>24.72674731</v>
      </c>
      <c r="I306" s="279">
        <v>22.71013889</v>
      </c>
      <c r="J306" s="279">
        <v>22.3344086</v>
      </c>
      <c r="K306" s="279">
        <v>20.136805559999999</v>
      </c>
      <c r="L306" s="279">
        <v>20.30685484</v>
      </c>
      <c r="M306" s="279">
        <v>21.947580649999999</v>
      </c>
      <c r="N306" s="279">
        <v>19.517638890000001</v>
      </c>
      <c r="O306" s="279">
        <v>20.82607527</v>
      </c>
      <c r="P306" s="279">
        <v>20.74583333</v>
      </c>
      <c r="Q306" s="279">
        <v>21.497849460000001</v>
      </c>
      <c r="R306" s="279">
        <v>21.96033666166667</v>
      </c>
      <c r="S306" s="274">
        <f>SUMIFS(Aux_Lista!Y:Y,Aux_Lista!W:W,Aux_TBS!B306,Aux_Lista!X:X,Aux_TBS!A306)</f>
        <v>5</v>
      </c>
      <c r="T306" s="274" t="s">
        <v>6043</v>
      </c>
      <c r="U306" s="274">
        <v>40</v>
      </c>
    </row>
    <row r="307" spans="1:21" x14ac:dyDescent="0.25">
      <c r="A307" s="277" t="s">
        <v>5897</v>
      </c>
      <c r="B307" s="258" t="s">
        <v>252</v>
      </c>
      <c r="C307" s="274" t="str">
        <f t="shared" si="4"/>
        <v>Parati, RJ</v>
      </c>
      <c r="D307" s="278">
        <v>-23.22</v>
      </c>
      <c r="E307" s="258">
        <v>4</v>
      </c>
      <c r="F307" s="279">
        <v>24.737634409999998</v>
      </c>
      <c r="G307" s="279">
        <v>25.596726189999998</v>
      </c>
      <c r="H307" s="279">
        <v>24.218951610000001</v>
      </c>
      <c r="I307" s="279">
        <v>23.215138889999999</v>
      </c>
      <c r="J307" s="279">
        <v>20.207123660000001</v>
      </c>
      <c r="K307" s="279">
        <v>19.576111109999999</v>
      </c>
      <c r="L307" s="279">
        <v>18.854838709999999</v>
      </c>
      <c r="M307" s="279">
        <v>20.640322579999999</v>
      </c>
      <c r="N307" s="279">
        <v>19.989999999999998</v>
      </c>
      <c r="O307" s="279">
        <v>22.16935484</v>
      </c>
      <c r="P307" s="279">
        <v>22.307083330000001</v>
      </c>
      <c r="Q307" s="279">
        <v>22.881317200000002</v>
      </c>
      <c r="R307" s="279">
        <v>22.032883544166669</v>
      </c>
      <c r="S307" s="274">
        <f>SUMIFS(Aux_Lista!Y:Y,Aux_Lista!W:W,Aux_TBS!B307,Aux_Lista!X:X,Aux_TBS!A307)</f>
        <v>3</v>
      </c>
      <c r="T307" s="274" t="s">
        <v>6043</v>
      </c>
      <c r="U307" s="274">
        <v>40</v>
      </c>
    </row>
    <row r="308" spans="1:21" x14ac:dyDescent="0.25">
      <c r="A308" s="277" t="s">
        <v>671</v>
      </c>
      <c r="B308" s="258" t="s">
        <v>252</v>
      </c>
      <c r="C308" s="274" t="str">
        <f t="shared" si="4"/>
        <v>Petrópolis, RJ</v>
      </c>
      <c r="D308" s="278">
        <v>-22.46</v>
      </c>
      <c r="E308" s="258">
        <v>1777</v>
      </c>
      <c r="F308" s="279">
        <v>15.86505376</v>
      </c>
      <c r="G308" s="279">
        <v>15.88467262</v>
      </c>
      <c r="H308" s="279">
        <v>15.196236559999999</v>
      </c>
      <c r="I308" s="279">
        <v>14.80513889</v>
      </c>
      <c r="J308" s="279">
        <v>11.710887100000001</v>
      </c>
      <c r="K308" s="279">
        <v>11.31569444</v>
      </c>
      <c r="L308" s="279">
        <v>11.60497312</v>
      </c>
      <c r="M308" s="279">
        <v>12.527419350000001</v>
      </c>
      <c r="N308" s="279">
        <v>12.032500000000001</v>
      </c>
      <c r="O308" s="279">
        <v>14.565188170000001</v>
      </c>
      <c r="P308" s="279">
        <v>13.497638889999999</v>
      </c>
      <c r="Q308" s="279">
        <v>14.356317199999999</v>
      </c>
      <c r="R308" s="279">
        <v>13.613476675000001</v>
      </c>
      <c r="S308" s="274">
        <f>SUMIFS(Aux_Lista!Y:Y,Aux_Lista!W:W,Aux_TBS!B308,Aux_Lista!X:X,Aux_TBS!A308)</f>
        <v>3</v>
      </c>
      <c r="T308" s="274" t="s">
        <v>6043</v>
      </c>
      <c r="U308" s="274">
        <v>40</v>
      </c>
    </row>
    <row r="309" spans="1:21" x14ac:dyDescent="0.25">
      <c r="A309" s="277" t="s">
        <v>2165</v>
      </c>
      <c r="B309" s="258" t="s">
        <v>252</v>
      </c>
      <c r="C309" s="274" t="str">
        <f t="shared" si="4"/>
        <v>Resende, RJ</v>
      </c>
      <c r="D309" s="278">
        <v>-22.47</v>
      </c>
      <c r="E309" s="258">
        <v>440</v>
      </c>
      <c r="F309" s="279">
        <v>22.53172043</v>
      </c>
      <c r="G309" s="279">
        <v>22.9641369</v>
      </c>
      <c r="H309" s="279">
        <v>22.907795700000001</v>
      </c>
      <c r="I309" s="279">
        <v>21.854583330000001</v>
      </c>
      <c r="J309" s="279">
        <v>18.87540323</v>
      </c>
      <c r="K309" s="279">
        <v>17.85083333</v>
      </c>
      <c r="L309" s="279">
        <v>17.1563172</v>
      </c>
      <c r="M309" s="279">
        <v>19.5311828</v>
      </c>
      <c r="N309" s="279">
        <v>19.254999999999999</v>
      </c>
      <c r="O309" s="279">
        <v>21.932661289999999</v>
      </c>
      <c r="P309" s="279">
        <v>21.49583333</v>
      </c>
      <c r="Q309" s="279">
        <v>22.205241940000001</v>
      </c>
      <c r="R309" s="279">
        <v>20.713392456666668</v>
      </c>
      <c r="S309" s="274">
        <f>SUMIFS(Aux_Lista!Y:Y,Aux_Lista!W:W,Aux_TBS!B309,Aux_Lista!X:X,Aux_TBS!A309)</f>
        <v>3</v>
      </c>
      <c r="T309" s="274" t="s">
        <v>6043</v>
      </c>
      <c r="U309" s="274">
        <v>40</v>
      </c>
    </row>
    <row r="310" spans="1:21" x14ac:dyDescent="0.25">
      <c r="A310" s="277" t="s">
        <v>2891</v>
      </c>
      <c r="B310" s="258" t="s">
        <v>252</v>
      </c>
      <c r="C310" s="274" t="str">
        <f t="shared" si="4"/>
        <v>Rio de Janeiro, RJ</v>
      </c>
      <c r="D310" s="278">
        <v>-22.86</v>
      </c>
      <c r="E310" s="258">
        <v>45</v>
      </c>
      <c r="F310" s="279">
        <v>25.57419355</v>
      </c>
      <c r="G310" s="279">
        <v>26.037500000000001</v>
      </c>
      <c r="H310" s="279">
        <v>25.780645159999999</v>
      </c>
      <c r="I310" s="279">
        <v>24.412916670000001</v>
      </c>
      <c r="J310" s="279">
        <v>21.342473120000001</v>
      </c>
      <c r="K310" s="279">
        <v>20.62722222</v>
      </c>
      <c r="L310" s="279">
        <v>19.465188170000001</v>
      </c>
      <c r="M310" s="279">
        <v>21.967204299999999</v>
      </c>
      <c r="N310" s="279">
        <v>20.949444440000001</v>
      </c>
      <c r="O310" s="279">
        <v>23.925403230000001</v>
      </c>
      <c r="P310" s="279">
        <v>23.602083329999999</v>
      </c>
      <c r="Q310" s="279">
        <v>24.311693550000001</v>
      </c>
      <c r="R310" s="279">
        <v>23.166330644999999</v>
      </c>
      <c r="S310" s="274">
        <f>SUMIFS(Aux_Lista!Y:Y,Aux_Lista!W:W,Aux_TBS!B310,Aux_Lista!X:X,Aux_TBS!A310)</f>
        <v>8</v>
      </c>
      <c r="T310" s="274" t="s">
        <v>6043</v>
      </c>
      <c r="U310" s="274">
        <v>40</v>
      </c>
    </row>
    <row r="311" spans="1:21" x14ac:dyDescent="0.25">
      <c r="A311" s="277" t="s">
        <v>549</v>
      </c>
      <c r="B311" s="258" t="s">
        <v>252</v>
      </c>
      <c r="C311" s="274" t="str">
        <f t="shared" si="4"/>
        <v>Teresópolis, RJ</v>
      </c>
      <c r="D311" s="278">
        <v>-22.41</v>
      </c>
      <c r="E311" s="258">
        <v>980</v>
      </c>
      <c r="F311" s="279">
        <v>19.93709677</v>
      </c>
      <c r="G311" s="279">
        <v>20.678571430000002</v>
      </c>
      <c r="H311" s="279">
        <v>21.170967739999998</v>
      </c>
      <c r="I311" s="279">
        <v>18.86972222</v>
      </c>
      <c r="J311" s="279">
        <v>15.25349462</v>
      </c>
      <c r="K311" s="279">
        <v>15.76152778</v>
      </c>
      <c r="L311" s="279">
        <v>15.23508065</v>
      </c>
      <c r="M311" s="279">
        <v>15.9438172</v>
      </c>
      <c r="N311" s="279">
        <v>17.143055560000001</v>
      </c>
      <c r="O311" s="279">
        <v>18.350000000000001</v>
      </c>
      <c r="P311" s="279">
        <v>17.439861109999999</v>
      </c>
      <c r="Q311" s="279">
        <v>18.468548389999999</v>
      </c>
      <c r="R311" s="279">
        <v>17.854311955833332</v>
      </c>
      <c r="S311" s="274">
        <f>SUMIFS(Aux_Lista!Y:Y,Aux_Lista!W:W,Aux_TBS!B311,Aux_Lista!X:X,Aux_TBS!A311)</f>
        <v>2</v>
      </c>
      <c r="T311" s="274" t="s">
        <v>6043</v>
      </c>
      <c r="U311" s="274">
        <v>40</v>
      </c>
    </row>
    <row r="312" spans="1:21" x14ac:dyDescent="0.25">
      <c r="A312" s="277" t="s">
        <v>2106</v>
      </c>
      <c r="B312" s="258" t="s">
        <v>252</v>
      </c>
      <c r="C312" s="274" t="str">
        <f t="shared" si="4"/>
        <v>Valença, RJ</v>
      </c>
      <c r="D312" s="278">
        <v>-22.25</v>
      </c>
      <c r="E312" s="258">
        <v>367</v>
      </c>
      <c r="F312" s="279">
        <v>23.504569889999999</v>
      </c>
      <c r="G312" s="279">
        <v>24.669345239999998</v>
      </c>
      <c r="H312" s="279">
        <v>25.061827959999999</v>
      </c>
      <c r="I312" s="279">
        <v>23.32375</v>
      </c>
      <c r="J312" s="279">
        <v>19.127150539999999</v>
      </c>
      <c r="K312" s="279">
        <v>19.00638889</v>
      </c>
      <c r="L312" s="279">
        <v>18.677553759999999</v>
      </c>
      <c r="M312" s="279">
        <v>19.522580649999998</v>
      </c>
      <c r="N312" s="279">
        <v>21.71</v>
      </c>
      <c r="O312" s="279">
        <v>22.136155909999999</v>
      </c>
      <c r="P312" s="279">
        <v>25.348333329999999</v>
      </c>
      <c r="Q312" s="279">
        <v>23.91706989</v>
      </c>
      <c r="R312" s="279">
        <v>22.167060504999998</v>
      </c>
      <c r="S312" s="274">
        <f>SUMIFS(Aux_Lista!Y:Y,Aux_Lista!W:W,Aux_TBS!B312,Aux_Lista!X:X,Aux_TBS!A312)</f>
        <v>3</v>
      </c>
      <c r="T312" s="274" t="s">
        <v>6043</v>
      </c>
      <c r="U312" s="274">
        <v>40</v>
      </c>
    </row>
    <row r="313" spans="1:21" x14ac:dyDescent="0.25">
      <c r="A313" s="277" t="s">
        <v>5133</v>
      </c>
      <c r="B313" s="258" t="s">
        <v>1667</v>
      </c>
      <c r="C313" s="274" t="str">
        <f t="shared" si="4"/>
        <v>Apodi, RN</v>
      </c>
      <c r="D313" s="278">
        <v>-5.63</v>
      </c>
      <c r="E313" s="258">
        <v>150</v>
      </c>
      <c r="F313" s="279">
        <v>28.450940859999999</v>
      </c>
      <c r="G313" s="279">
        <v>26.705505949999999</v>
      </c>
      <c r="H313" s="279">
        <v>26.426612899999999</v>
      </c>
      <c r="I313" s="279">
        <v>25.94194444</v>
      </c>
      <c r="J313" s="279">
        <v>25.770564520000001</v>
      </c>
      <c r="K313" s="279">
        <v>25.421388889999999</v>
      </c>
      <c r="L313" s="279">
        <v>25.273655909999999</v>
      </c>
      <c r="M313" s="279">
        <v>25.762096769999999</v>
      </c>
      <c r="N313" s="279">
        <v>26.863611110000001</v>
      </c>
      <c r="O313" s="279">
        <v>27.562768819999999</v>
      </c>
      <c r="P313" s="279">
        <v>28.388194439999999</v>
      </c>
      <c r="Q313" s="279">
        <v>28.55833333</v>
      </c>
      <c r="R313" s="279">
        <v>26.760468161666665</v>
      </c>
      <c r="S313" s="274">
        <f>SUMIFS(Aux_Lista!Y:Y,Aux_Lista!W:W,Aux_TBS!B313,Aux_Lista!X:X,Aux_TBS!A313)</f>
        <v>8</v>
      </c>
      <c r="T313" s="274" t="s">
        <v>6041</v>
      </c>
      <c r="U313" s="274">
        <v>38</v>
      </c>
    </row>
    <row r="314" spans="1:21" x14ac:dyDescent="0.25">
      <c r="A314" s="277" t="s">
        <v>5352</v>
      </c>
      <c r="B314" s="258" t="s">
        <v>1667</v>
      </c>
      <c r="C314" s="274" t="str">
        <f t="shared" si="4"/>
        <v>Caicó, RN</v>
      </c>
      <c r="D314" s="278">
        <v>-6.46</v>
      </c>
      <c r="E314" s="258">
        <v>170</v>
      </c>
      <c r="F314" s="279">
        <v>29.248387099999999</v>
      </c>
      <c r="G314" s="279">
        <v>29.244345240000001</v>
      </c>
      <c r="H314" s="279">
        <v>27.06155914</v>
      </c>
      <c r="I314" s="279">
        <v>26.142222220000001</v>
      </c>
      <c r="J314" s="279">
        <v>26.00658602</v>
      </c>
      <c r="K314" s="279">
        <v>25.86527778</v>
      </c>
      <c r="L314" s="279">
        <v>25.912500000000001</v>
      </c>
      <c r="M314" s="279">
        <v>27.01263441</v>
      </c>
      <c r="N314" s="279">
        <v>28.128194440000001</v>
      </c>
      <c r="O314" s="279">
        <v>29.12352151</v>
      </c>
      <c r="P314" s="279">
        <v>29.707777780000001</v>
      </c>
      <c r="Q314" s="279">
        <v>29.939516130000001</v>
      </c>
      <c r="R314" s="279">
        <v>27.782710147500001</v>
      </c>
      <c r="S314" s="274">
        <f>SUMIFS(Aux_Lista!Y:Y,Aux_Lista!W:W,Aux_TBS!B314,Aux_Lista!X:X,Aux_TBS!A314)</f>
        <v>7</v>
      </c>
      <c r="T314" s="274" t="s">
        <v>6041</v>
      </c>
      <c r="U314" s="274">
        <v>38</v>
      </c>
    </row>
    <row r="315" spans="1:21" x14ac:dyDescent="0.25">
      <c r="A315" s="277" t="s">
        <v>4144</v>
      </c>
      <c r="B315" s="258" t="s">
        <v>1667</v>
      </c>
      <c r="C315" s="274" t="str">
        <f t="shared" si="4"/>
        <v>Macau, RN</v>
      </c>
      <c r="D315" s="278">
        <v>-5.1100000000000003</v>
      </c>
      <c r="E315" s="258">
        <v>3</v>
      </c>
      <c r="F315" s="279">
        <v>27.58158602</v>
      </c>
      <c r="G315" s="279">
        <v>27.43154762</v>
      </c>
      <c r="H315" s="279">
        <v>27.285752689999999</v>
      </c>
      <c r="I315" s="279">
        <v>26.981944439999999</v>
      </c>
      <c r="J315" s="279">
        <v>26.980645160000002</v>
      </c>
      <c r="K315" s="279">
        <v>26.345416669999999</v>
      </c>
      <c r="L315" s="279">
        <v>26.00752688</v>
      </c>
      <c r="M315" s="279">
        <v>26.112096770000001</v>
      </c>
      <c r="N315" s="279">
        <v>26.733888889999999</v>
      </c>
      <c r="O315" s="279">
        <v>26.600940860000001</v>
      </c>
      <c r="P315" s="279">
        <v>27.154861109999999</v>
      </c>
      <c r="Q315" s="279">
        <v>27.651478489999999</v>
      </c>
      <c r="R315" s="279">
        <v>26.905640466666664</v>
      </c>
      <c r="S315" s="274">
        <f>SUMIFS(Aux_Lista!Y:Y,Aux_Lista!W:W,Aux_TBS!B315,Aux_Lista!X:X,Aux_TBS!A315)</f>
        <v>8</v>
      </c>
      <c r="T315" s="274" t="s">
        <v>6041</v>
      </c>
      <c r="U315" s="274">
        <v>38</v>
      </c>
    </row>
    <row r="316" spans="1:21" x14ac:dyDescent="0.25">
      <c r="A316" s="277" t="s">
        <v>4991</v>
      </c>
      <c r="B316" s="258" t="s">
        <v>1667</v>
      </c>
      <c r="C316" s="274" t="str">
        <f t="shared" si="4"/>
        <v>Mossoró, RN</v>
      </c>
      <c r="D316" s="278">
        <v>-5.19</v>
      </c>
      <c r="E316" s="258">
        <v>36</v>
      </c>
      <c r="F316" s="279">
        <v>28.024999999999999</v>
      </c>
      <c r="G316" s="279">
        <v>28.25818452</v>
      </c>
      <c r="H316" s="279">
        <v>26.470967739999999</v>
      </c>
      <c r="I316" s="279">
        <v>26.063888890000001</v>
      </c>
      <c r="J316" s="279">
        <v>25.983467739999998</v>
      </c>
      <c r="K316" s="279">
        <v>25.17847222</v>
      </c>
      <c r="L316" s="279">
        <v>25.215591400000001</v>
      </c>
      <c r="M316" s="279">
        <v>25.69314516</v>
      </c>
      <c r="N316" s="279">
        <v>26.803055560000001</v>
      </c>
      <c r="O316" s="279">
        <v>27.3922043</v>
      </c>
      <c r="P316" s="279">
        <v>27.66</v>
      </c>
      <c r="Q316" s="279">
        <v>27.905913980000001</v>
      </c>
      <c r="R316" s="279">
        <v>26.720824292499998</v>
      </c>
      <c r="S316" s="274">
        <f>SUMIFS(Aux_Lista!Y:Y,Aux_Lista!W:W,Aux_TBS!B316,Aux_Lista!X:X,Aux_TBS!A316)</f>
        <v>7</v>
      </c>
      <c r="T316" s="274" t="s">
        <v>6041</v>
      </c>
      <c r="U316" s="274">
        <v>38</v>
      </c>
    </row>
    <row r="317" spans="1:21" x14ac:dyDescent="0.25">
      <c r="A317" s="277" t="s">
        <v>4145</v>
      </c>
      <c r="B317" s="258" t="s">
        <v>1667</v>
      </c>
      <c r="C317" s="274" t="str">
        <f t="shared" si="4"/>
        <v>Natal, RN</v>
      </c>
      <c r="D317" s="278">
        <v>-5.8</v>
      </c>
      <c r="E317" s="258">
        <v>49</v>
      </c>
      <c r="F317" s="279">
        <v>27.58158602</v>
      </c>
      <c r="G317" s="279">
        <v>27.43154762</v>
      </c>
      <c r="H317" s="279">
        <v>27.285752689999999</v>
      </c>
      <c r="I317" s="279">
        <v>26.981944439999999</v>
      </c>
      <c r="J317" s="279">
        <v>26.980645160000002</v>
      </c>
      <c r="K317" s="279">
        <v>26.345416669999999</v>
      </c>
      <c r="L317" s="279">
        <v>26.00752688</v>
      </c>
      <c r="M317" s="279">
        <v>26.112096770000001</v>
      </c>
      <c r="N317" s="279">
        <v>26.733888889999999</v>
      </c>
      <c r="O317" s="279">
        <v>26.600940860000001</v>
      </c>
      <c r="P317" s="279">
        <v>27.154861109999999</v>
      </c>
      <c r="Q317" s="279">
        <v>27.651478489999999</v>
      </c>
      <c r="R317" s="279">
        <v>26.905640466666664</v>
      </c>
      <c r="S317" s="274">
        <f>SUMIFS(Aux_Lista!Y:Y,Aux_Lista!W:W,Aux_TBS!B317,Aux_Lista!X:X,Aux_TBS!A317)</f>
        <v>8</v>
      </c>
      <c r="T317" s="274" t="s">
        <v>6041</v>
      </c>
      <c r="U317" s="274">
        <v>38</v>
      </c>
    </row>
    <row r="318" spans="1:21" x14ac:dyDescent="0.25">
      <c r="A318" s="277" t="s">
        <v>3967</v>
      </c>
      <c r="B318" s="258" t="s">
        <v>1667</v>
      </c>
      <c r="C318" s="274" t="str">
        <f t="shared" si="4"/>
        <v>Touros, RN</v>
      </c>
      <c r="D318" s="278">
        <v>-5.16</v>
      </c>
      <c r="E318" s="258">
        <v>17</v>
      </c>
      <c r="F318" s="279">
        <v>28.090591400000001</v>
      </c>
      <c r="G318" s="279">
        <v>28.346279760000002</v>
      </c>
      <c r="H318" s="279">
        <v>27.556317199999999</v>
      </c>
      <c r="I318" s="279">
        <v>26.962638890000001</v>
      </c>
      <c r="J318" s="279">
        <v>26.231317199999999</v>
      </c>
      <c r="K318" s="279">
        <v>25.5</v>
      </c>
      <c r="L318" s="279">
        <v>25.25147849</v>
      </c>
      <c r="M318" s="279">
        <v>25.416397849999999</v>
      </c>
      <c r="N318" s="279">
        <v>26.651111109999999</v>
      </c>
      <c r="O318" s="279">
        <v>27.064516130000001</v>
      </c>
      <c r="P318" s="279">
        <v>27.37875</v>
      </c>
      <c r="Q318" s="279">
        <v>27.755376340000002</v>
      </c>
      <c r="R318" s="279">
        <v>26.85039786416667</v>
      </c>
      <c r="S318" s="274">
        <f>SUMIFS(Aux_Lista!Y:Y,Aux_Lista!W:W,Aux_TBS!B318,Aux_Lista!X:X,Aux_TBS!A318)</f>
        <v>8</v>
      </c>
      <c r="T318" s="274" t="s">
        <v>6041</v>
      </c>
      <c r="U318" s="274">
        <v>38</v>
      </c>
    </row>
    <row r="319" spans="1:21" x14ac:dyDescent="0.25">
      <c r="A319" s="277" t="s">
        <v>4781</v>
      </c>
      <c r="B319" s="258" t="s">
        <v>2198</v>
      </c>
      <c r="C319" s="274" t="str">
        <f t="shared" si="4"/>
        <v>Ariquemes, RO</v>
      </c>
      <c r="D319" s="278">
        <v>-9.9499999999999993</v>
      </c>
      <c r="E319" s="258">
        <v>140</v>
      </c>
      <c r="F319" s="279">
        <v>25.524999999999999</v>
      </c>
      <c r="G319" s="279">
        <v>25.147172619999999</v>
      </c>
      <c r="H319" s="279">
        <v>25.53494624</v>
      </c>
      <c r="I319" s="279">
        <v>25.331111109999998</v>
      </c>
      <c r="J319" s="279">
        <v>25.42163978</v>
      </c>
      <c r="K319" s="279">
        <v>24.436944440000001</v>
      </c>
      <c r="L319" s="279">
        <v>24.958198920000001</v>
      </c>
      <c r="M319" s="279">
        <v>26.890994620000001</v>
      </c>
      <c r="N319" s="279">
        <v>26.635972219999999</v>
      </c>
      <c r="O319" s="279">
        <v>26.442473119999999</v>
      </c>
      <c r="P319" s="279">
        <v>25.798888890000001</v>
      </c>
      <c r="Q319" s="279">
        <v>25.40766129</v>
      </c>
      <c r="R319" s="279">
        <v>25.627583604166663</v>
      </c>
      <c r="S319" s="274">
        <f>SUMIFS(Aux_Lista!Y:Y,Aux_Lista!W:W,Aux_TBS!B319,Aux_Lista!X:X,Aux_TBS!A319)</f>
        <v>8</v>
      </c>
      <c r="T319" s="274" t="s">
        <v>6040</v>
      </c>
      <c r="U319" s="274">
        <v>38</v>
      </c>
    </row>
    <row r="320" spans="1:21" x14ac:dyDescent="0.25">
      <c r="A320" s="277" t="s">
        <v>4803</v>
      </c>
      <c r="B320" s="258" t="s">
        <v>2198</v>
      </c>
      <c r="C320" s="274" t="str">
        <f t="shared" si="4"/>
        <v>Cacoal, RO</v>
      </c>
      <c r="D320" s="278">
        <v>-11.45</v>
      </c>
      <c r="E320" s="258">
        <v>210</v>
      </c>
      <c r="F320" s="279">
        <v>26.047715050000001</v>
      </c>
      <c r="G320" s="279">
        <v>25.404315480000001</v>
      </c>
      <c r="H320" s="279">
        <v>25.727419350000002</v>
      </c>
      <c r="I320" s="279">
        <v>25.65583333</v>
      </c>
      <c r="J320" s="279">
        <v>25.5983871</v>
      </c>
      <c r="K320" s="279">
        <v>24.468888889999999</v>
      </c>
      <c r="L320" s="279">
        <v>25.90712366</v>
      </c>
      <c r="M320" s="279">
        <v>27.551344090000001</v>
      </c>
      <c r="N320" s="279">
        <v>27.53013889</v>
      </c>
      <c r="O320" s="279">
        <v>27.146639780000001</v>
      </c>
      <c r="P320" s="279">
        <v>26.900138890000001</v>
      </c>
      <c r="Q320" s="279">
        <v>25.747849460000001</v>
      </c>
      <c r="R320" s="279">
        <v>26.140482830833331</v>
      </c>
      <c r="S320" s="274">
        <f>SUMIFS(Aux_Lista!Y:Y,Aux_Lista!W:W,Aux_TBS!B320,Aux_Lista!X:X,Aux_TBS!A320)</f>
        <v>8</v>
      </c>
      <c r="T320" s="274" t="s">
        <v>6040</v>
      </c>
      <c r="U320" s="274">
        <v>38</v>
      </c>
    </row>
    <row r="321" spans="1:21" x14ac:dyDescent="0.25">
      <c r="A321" s="277" t="s">
        <v>4272</v>
      </c>
      <c r="B321" s="258" t="s">
        <v>2198</v>
      </c>
      <c r="C321" s="274" t="str">
        <f t="shared" si="4"/>
        <v>Porto Velho, RO</v>
      </c>
      <c r="D321" s="278">
        <v>-8.76</v>
      </c>
      <c r="E321" s="258">
        <v>95</v>
      </c>
      <c r="F321" s="279">
        <v>25.707258060000001</v>
      </c>
      <c r="G321" s="279">
        <v>25.319345240000001</v>
      </c>
      <c r="H321" s="279">
        <v>25.6155914</v>
      </c>
      <c r="I321" s="279">
        <v>25.680972220000001</v>
      </c>
      <c r="J321" s="279">
        <v>25.57419355</v>
      </c>
      <c r="K321" s="279">
        <v>24.978611109999999</v>
      </c>
      <c r="L321" s="279">
        <v>25.4</v>
      </c>
      <c r="M321" s="279">
        <v>26.427553759999999</v>
      </c>
      <c r="N321" s="279">
        <v>26.812361110000001</v>
      </c>
      <c r="O321" s="279">
        <v>27.193413979999999</v>
      </c>
      <c r="P321" s="279">
        <v>26.600694440000002</v>
      </c>
      <c r="Q321" s="279">
        <v>25.830913979999998</v>
      </c>
      <c r="R321" s="279">
        <v>25.928409070833329</v>
      </c>
      <c r="S321" s="274">
        <f>SUMIFS(Aux_Lista!Y:Y,Aux_Lista!W:W,Aux_TBS!B321,Aux_Lista!X:X,Aux_TBS!A321)</f>
        <v>8</v>
      </c>
      <c r="T321" s="274" t="s">
        <v>6040</v>
      </c>
      <c r="U321" s="274">
        <v>38</v>
      </c>
    </row>
    <row r="322" spans="1:21" x14ac:dyDescent="0.25">
      <c r="A322" s="277" t="s">
        <v>2199</v>
      </c>
      <c r="B322" s="258" t="s">
        <v>2198</v>
      </c>
      <c r="C322" s="274" t="str">
        <f t="shared" si="4"/>
        <v>Vilhena, RO</v>
      </c>
      <c r="D322" s="278">
        <v>-12.73</v>
      </c>
      <c r="E322" s="258">
        <v>590</v>
      </c>
      <c r="F322" s="279">
        <v>24.010483870000002</v>
      </c>
      <c r="G322" s="279">
        <v>23.561160709999999</v>
      </c>
      <c r="H322" s="279">
        <v>23.727553759999999</v>
      </c>
      <c r="I322" s="279">
        <v>24.198472219999999</v>
      </c>
      <c r="J322" s="279">
        <v>24.15537634</v>
      </c>
      <c r="K322" s="279">
        <v>22.92319444</v>
      </c>
      <c r="L322" s="279">
        <v>23.886290320000001</v>
      </c>
      <c r="M322" s="279">
        <v>25.41518817</v>
      </c>
      <c r="N322" s="279">
        <v>25.282916669999999</v>
      </c>
      <c r="O322" s="279">
        <v>24.929704300000001</v>
      </c>
      <c r="P322" s="279">
        <v>24.62347222</v>
      </c>
      <c r="Q322" s="279">
        <v>23.805376339999999</v>
      </c>
      <c r="R322" s="279">
        <v>24.209932446666667</v>
      </c>
      <c r="S322" s="274">
        <f>SUMIFS(Aux_Lista!Y:Y,Aux_Lista!W:W,Aux_TBS!B322,Aux_Lista!X:X,Aux_TBS!A322)</f>
        <v>8</v>
      </c>
      <c r="T322" s="274" t="s">
        <v>6040</v>
      </c>
      <c r="U322" s="274">
        <v>38</v>
      </c>
    </row>
    <row r="323" spans="1:21" x14ac:dyDescent="0.25">
      <c r="A323" s="277" t="s">
        <v>2057</v>
      </c>
      <c r="B323" s="258" t="s">
        <v>1694</v>
      </c>
      <c r="C323" s="274" t="str">
        <f t="shared" ref="C323:C386" si="5">CONCATENATE(A323,", ",B323)</f>
        <v>Boa Vista, RR</v>
      </c>
      <c r="D323" s="278">
        <v>2.8</v>
      </c>
      <c r="E323" s="258">
        <v>90</v>
      </c>
      <c r="F323" s="279">
        <v>27.28413978</v>
      </c>
      <c r="G323" s="279">
        <v>28.05654762</v>
      </c>
      <c r="H323" s="279">
        <v>26.131854839999999</v>
      </c>
      <c r="I323" s="279">
        <v>26.128611110000001</v>
      </c>
      <c r="J323" s="279">
        <v>25.900940859999999</v>
      </c>
      <c r="K323" s="279">
        <v>25.91263889</v>
      </c>
      <c r="L323" s="279">
        <v>26.181317199999999</v>
      </c>
      <c r="M323" s="279">
        <v>27.079032260000002</v>
      </c>
      <c r="N323" s="279">
        <v>28.168888890000002</v>
      </c>
      <c r="O323" s="279">
        <v>28.72956989</v>
      </c>
      <c r="P323" s="279">
        <v>27.431805560000001</v>
      </c>
      <c r="Q323" s="279">
        <v>27.217473120000001</v>
      </c>
      <c r="R323" s="279">
        <v>27.018568335000001</v>
      </c>
      <c r="S323" s="274">
        <f>SUMIFS(Aux_Lista!Y:Y,Aux_Lista!W:W,Aux_TBS!B323,Aux_Lista!X:X,Aux_TBS!A323)</f>
        <v>8</v>
      </c>
      <c r="T323" s="274" t="s">
        <v>6040</v>
      </c>
      <c r="U323" s="274">
        <v>38</v>
      </c>
    </row>
    <row r="324" spans="1:21" x14ac:dyDescent="0.25">
      <c r="A324" s="277" t="s">
        <v>1578</v>
      </c>
      <c r="B324" s="258" t="s">
        <v>232</v>
      </c>
      <c r="C324" s="274" t="str">
        <f t="shared" si="5"/>
        <v>Alegrete, RS</v>
      </c>
      <c r="D324" s="278">
        <v>-29.78</v>
      </c>
      <c r="E324" s="258">
        <v>121</v>
      </c>
      <c r="F324" s="279">
        <v>24.970026879999999</v>
      </c>
      <c r="G324" s="279">
        <v>24.476488100000001</v>
      </c>
      <c r="H324" s="279">
        <v>23.071236559999999</v>
      </c>
      <c r="I324" s="279">
        <v>18.468472219999999</v>
      </c>
      <c r="J324" s="279">
        <v>15.911290320000001</v>
      </c>
      <c r="K324" s="279">
        <v>12.11194444</v>
      </c>
      <c r="L324" s="279">
        <v>14.55806452</v>
      </c>
      <c r="M324" s="279">
        <v>14.41935484</v>
      </c>
      <c r="N324" s="279">
        <v>15.13986111</v>
      </c>
      <c r="O324" s="279">
        <v>19.422849459999998</v>
      </c>
      <c r="P324" s="279">
        <v>23.138194439999999</v>
      </c>
      <c r="Q324" s="279">
        <v>24.439516130000001</v>
      </c>
      <c r="R324" s="279">
        <v>19.177274918333335</v>
      </c>
      <c r="S324" s="274">
        <f>SUMIFS(Aux_Lista!Y:Y,Aux_Lista!W:W,Aux_TBS!B324,Aux_Lista!X:X,Aux_TBS!A324)</f>
        <v>2</v>
      </c>
      <c r="T324" s="274" t="s">
        <v>6044</v>
      </c>
      <c r="U324" s="274">
        <v>40</v>
      </c>
    </row>
    <row r="325" spans="1:21" x14ac:dyDescent="0.25">
      <c r="A325" s="277" t="s">
        <v>1583</v>
      </c>
      <c r="B325" s="258" t="s">
        <v>232</v>
      </c>
      <c r="C325" s="274" t="str">
        <f t="shared" si="5"/>
        <v>Bagé, RS</v>
      </c>
      <c r="D325" s="278">
        <v>-31.33</v>
      </c>
      <c r="E325" s="258">
        <v>230</v>
      </c>
      <c r="F325" s="279">
        <v>23.048118280000001</v>
      </c>
      <c r="G325" s="279">
        <v>22.600892859999998</v>
      </c>
      <c r="H325" s="279">
        <v>21.249731180000001</v>
      </c>
      <c r="I325" s="279">
        <v>17.979583330000001</v>
      </c>
      <c r="J325" s="279">
        <v>14.977016130000001</v>
      </c>
      <c r="K325" s="279">
        <v>11.35388889</v>
      </c>
      <c r="L325" s="279">
        <v>14.44731183</v>
      </c>
      <c r="M325" s="279">
        <v>13.109274190000001</v>
      </c>
      <c r="N325" s="279">
        <v>13.360618280000001</v>
      </c>
      <c r="O325" s="279">
        <v>17.206989249999999</v>
      </c>
      <c r="P325" s="279">
        <v>20.987361109999998</v>
      </c>
      <c r="Q325" s="279">
        <v>21.093010750000001</v>
      </c>
      <c r="R325" s="279">
        <v>17.617816339999997</v>
      </c>
      <c r="S325" s="274">
        <f>SUMIFS(Aux_Lista!Y:Y,Aux_Lista!W:W,Aux_TBS!B325,Aux_Lista!X:X,Aux_TBS!A325)</f>
        <v>2</v>
      </c>
      <c r="T325" s="274" t="s">
        <v>6044</v>
      </c>
      <c r="U325" s="274">
        <v>40</v>
      </c>
    </row>
    <row r="326" spans="1:21" x14ac:dyDescent="0.25">
      <c r="A326" s="277" t="s">
        <v>1147</v>
      </c>
      <c r="B326" s="258" t="s">
        <v>232</v>
      </c>
      <c r="C326" s="274" t="str">
        <f t="shared" si="5"/>
        <v>Bento Gonçalves, RS</v>
      </c>
      <c r="D326" s="278">
        <v>-29.17</v>
      </c>
      <c r="E326" s="258">
        <v>640</v>
      </c>
      <c r="F326" s="279">
        <v>21.339381719999999</v>
      </c>
      <c r="G326" s="279">
        <v>21.210267859999998</v>
      </c>
      <c r="H326" s="279">
        <v>20.580510749999998</v>
      </c>
      <c r="I326" s="279">
        <v>17.298888890000001</v>
      </c>
      <c r="J326" s="279">
        <v>14.765322579999999</v>
      </c>
      <c r="K326" s="279">
        <v>11.793611110000001</v>
      </c>
      <c r="L326" s="279">
        <v>14.94650538</v>
      </c>
      <c r="M326" s="279">
        <v>14.64717742</v>
      </c>
      <c r="N326" s="279">
        <v>13.33375</v>
      </c>
      <c r="O326" s="279">
        <v>16.785349459999999</v>
      </c>
      <c r="P326" s="279">
        <v>19.229444440000002</v>
      </c>
      <c r="Q326" s="279">
        <v>20.348655910000002</v>
      </c>
      <c r="R326" s="279">
        <v>17.189905460000002</v>
      </c>
      <c r="S326" s="274">
        <f>SUMIFS(Aux_Lista!Y:Y,Aux_Lista!W:W,Aux_TBS!B326,Aux_Lista!X:X,Aux_TBS!A326)</f>
        <v>1</v>
      </c>
      <c r="T326" s="274" t="s">
        <v>6044</v>
      </c>
      <c r="U326" s="274">
        <v>40</v>
      </c>
    </row>
    <row r="327" spans="1:21" x14ac:dyDescent="0.25">
      <c r="A327" s="277" t="s">
        <v>1242</v>
      </c>
      <c r="B327" s="258" t="s">
        <v>232</v>
      </c>
      <c r="C327" s="274" t="str">
        <f t="shared" si="5"/>
        <v>Caçapava do Sul, RS</v>
      </c>
      <c r="D327" s="278">
        <v>-30.51</v>
      </c>
      <c r="E327" s="258">
        <v>420</v>
      </c>
      <c r="F327" s="279">
        <v>21.808467740000001</v>
      </c>
      <c r="G327" s="279">
        <v>21.66592262</v>
      </c>
      <c r="H327" s="279">
        <v>20.789516129999999</v>
      </c>
      <c r="I327" s="279">
        <v>17.87916667</v>
      </c>
      <c r="J327" s="279">
        <v>14.912634410000001</v>
      </c>
      <c r="K327" s="279">
        <v>10.308611109999999</v>
      </c>
      <c r="L327" s="279">
        <v>15.76653226</v>
      </c>
      <c r="M327" s="279">
        <v>14.157526880000001</v>
      </c>
      <c r="N327" s="279">
        <v>14.83152778</v>
      </c>
      <c r="O327" s="279">
        <v>17.99395161</v>
      </c>
      <c r="P327" s="279">
        <v>18.37458333</v>
      </c>
      <c r="Q327" s="279">
        <v>22.76680108</v>
      </c>
      <c r="R327" s="279">
        <v>17.604603468333334</v>
      </c>
      <c r="S327" s="274">
        <f>SUMIFS(Aux_Lista!Y:Y,Aux_Lista!W:W,Aux_TBS!B327,Aux_Lista!X:X,Aux_TBS!A327)</f>
        <v>2</v>
      </c>
      <c r="T327" s="274" t="s">
        <v>6044</v>
      </c>
      <c r="U327" s="274">
        <v>40</v>
      </c>
    </row>
    <row r="328" spans="1:21" x14ac:dyDescent="0.25">
      <c r="A328" s="277" t="s">
        <v>1206</v>
      </c>
      <c r="B328" s="258" t="s">
        <v>232</v>
      </c>
      <c r="C328" s="274" t="str">
        <f t="shared" si="5"/>
        <v>Camaquã, RS</v>
      </c>
      <c r="D328" s="278">
        <v>-30.81</v>
      </c>
      <c r="E328" s="258">
        <v>108</v>
      </c>
      <c r="F328" s="279">
        <v>23.006451609999999</v>
      </c>
      <c r="G328" s="279">
        <v>22.32395833</v>
      </c>
      <c r="H328" s="279">
        <v>21.949596769999999</v>
      </c>
      <c r="I328" s="279">
        <v>18.074027780000002</v>
      </c>
      <c r="J328" s="279">
        <v>15.40067204</v>
      </c>
      <c r="K328" s="279">
        <v>12.005416670000001</v>
      </c>
      <c r="L328" s="279">
        <v>14.75564516</v>
      </c>
      <c r="M328" s="279">
        <v>13.217473119999999</v>
      </c>
      <c r="N328" s="279">
        <v>14.52763889</v>
      </c>
      <c r="O328" s="279">
        <v>17.730376339999999</v>
      </c>
      <c r="P328" s="279">
        <v>20.642222220000001</v>
      </c>
      <c r="Q328" s="279">
        <v>21.63346774</v>
      </c>
      <c r="R328" s="279">
        <v>17.938912222499997</v>
      </c>
      <c r="S328" s="274">
        <f>SUMIFS(Aux_Lista!Y:Y,Aux_Lista!W:W,Aux_TBS!B328,Aux_Lista!X:X,Aux_TBS!A328)</f>
        <v>2</v>
      </c>
      <c r="T328" s="274" t="s">
        <v>6044</v>
      </c>
      <c r="U328" s="274">
        <v>40</v>
      </c>
    </row>
    <row r="329" spans="1:21" x14ac:dyDescent="0.25">
      <c r="A329" s="277" t="s">
        <v>1130</v>
      </c>
      <c r="B329" s="258" t="s">
        <v>232</v>
      </c>
      <c r="C329" s="274" t="str">
        <f t="shared" si="5"/>
        <v>Canela, RS</v>
      </c>
      <c r="D329" s="278">
        <v>-29.37</v>
      </c>
      <c r="E329" s="258">
        <v>830</v>
      </c>
      <c r="F329" s="279">
        <v>18.3391129</v>
      </c>
      <c r="G329" s="279">
        <v>19.827976190000001</v>
      </c>
      <c r="H329" s="279">
        <v>18.90712366</v>
      </c>
      <c r="I329" s="279">
        <v>16.309999999999999</v>
      </c>
      <c r="J329" s="279">
        <v>14.18212366</v>
      </c>
      <c r="K329" s="279">
        <v>9.633472222</v>
      </c>
      <c r="L329" s="279">
        <v>10.61236559</v>
      </c>
      <c r="M329" s="279">
        <v>13.56572581</v>
      </c>
      <c r="N329" s="279">
        <v>12.93527778</v>
      </c>
      <c r="O329" s="279">
        <v>14.86102151</v>
      </c>
      <c r="P329" s="279">
        <v>19.693194439999999</v>
      </c>
      <c r="Q329" s="279">
        <v>19.12083333</v>
      </c>
      <c r="R329" s="279">
        <v>15.665685591000001</v>
      </c>
      <c r="S329" s="274">
        <f>SUMIFS(Aux_Lista!Y:Y,Aux_Lista!W:W,Aux_TBS!B329,Aux_Lista!X:X,Aux_TBS!A329)</f>
        <v>1</v>
      </c>
      <c r="T329" s="274" t="s">
        <v>6044</v>
      </c>
      <c r="U329" s="274">
        <v>40</v>
      </c>
    </row>
    <row r="330" spans="1:21" x14ac:dyDescent="0.25">
      <c r="A330" s="277" t="s">
        <v>1126</v>
      </c>
      <c r="B330" s="258" t="s">
        <v>232</v>
      </c>
      <c r="C330" s="274" t="str">
        <f t="shared" si="5"/>
        <v>Canguçu, RS</v>
      </c>
      <c r="D330" s="278">
        <v>-31.41</v>
      </c>
      <c r="E330" s="258">
        <v>464</v>
      </c>
      <c r="F330" s="279">
        <v>19.92715054</v>
      </c>
      <c r="G330" s="279">
        <v>20.96964286</v>
      </c>
      <c r="H330" s="279">
        <v>19.973118280000001</v>
      </c>
      <c r="I330" s="279">
        <v>17.846666670000001</v>
      </c>
      <c r="J330" s="279">
        <v>15.30174731</v>
      </c>
      <c r="K330" s="279">
        <v>10.57777778</v>
      </c>
      <c r="L330" s="279">
        <v>9.9864247309999996</v>
      </c>
      <c r="M330" s="279">
        <v>13.94784946</v>
      </c>
      <c r="N330" s="279">
        <v>12.758749999999999</v>
      </c>
      <c r="O330" s="279">
        <v>15.134677419999999</v>
      </c>
      <c r="P330" s="279">
        <v>19.20597222</v>
      </c>
      <c r="Q330" s="279">
        <v>19.631720430000001</v>
      </c>
      <c r="R330" s="279">
        <v>16.271791475083337</v>
      </c>
      <c r="S330" s="274">
        <f>SUMIFS(Aux_Lista!Y:Y,Aux_Lista!W:W,Aux_TBS!B330,Aux_Lista!X:X,Aux_TBS!A330)</f>
        <v>2</v>
      </c>
      <c r="T330" s="274" t="s">
        <v>6044</v>
      </c>
      <c r="U330" s="274">
        <v>40</v>
      </c>
    </row>
    <row r="331" spans="1:21" x14ac:dyDescent="0.25">
      <c r="A331" s="277" t="s">
        <v>1131</v>
      </c>
      <c r="B331" s="258" t="s">
        <v>232</v>
      </c>
      <c r="C331" s="274" t="str">
        <f t="shared" si="5"/>
        <v>Chuí, RS</v>
      </c>
      <c r="D331" s="278">
        <v>-33.74</v>
      </c>
      <c r="E331" s="258">
        <v>26</v>
      </c>
      <c r="F331" s="279">
        <v>23.018817200000001</v>
      </c>
      <c r="G331" s="279">
        <v>23.54508929</v>
      </c>
      <c r="H331" s="279">
        <v>21.975537630000002</v>
      </c>
      <c r="I331" s="279">
        <v>18.757361110000002</v>
      </c>
      <c r="J331" s="279">
        <v>16.01680108</v>
      </c>
      <c r="K331" s="279">
        <v>11.61111111</v>
      </c>
      <c r="L331" s="279">
        <v>10.643548389999999</v>
      </c>
      <c r="M331" s="279">
        <v>13.658736559999999</v>
      </c>
      <c r="N331" s="279">
        <v>13.48847222</v>
      </c>
      <c r="O331" s="279">
        <v>15.096908600000001</v>
      </c>
      <c r="P331" s="279">
        <v>19.036666669999999</v>
      </c>
      <c r="Q331" s="279">
        <v>20.46680108</v>
      </c>
      <c r="R331" s="279">
        <v>17.276320911666669</v>
      </c>
      <c r="S331" s="274">
        <f>SUMIFS(Aux_Lista!Y:Y,Aux_Lista!W:W,Aux_TBS!B331,Aux_Lista!X:X,Aux_TBS!A331)</f>
        <v>2</v>
      </c>
      <c r="T331" s="274" t="s">
        <v>6044</v>
      </c>
      <c r="U331" s="274">
        <v>40</v>
      </c>
    </row>
    <row r="332" spans="1:21" x14ac:dyDescent="0.25">
      <c r="A332" s="277" t="s">
        <v>1564</v>
      </c>
      <c r="B332" s="258" t="s">
        <v>232</v>
      </c>
      <c r="C332" s="274" t="str">
        <f t="shared" si="5"/>
        <v>Cruz Alta, RS</v>
      </c>
      <c r="D332" s="278">
        <v>-28.6</v>
      </c>
      <c r="E332" s="258">
        <v>432</v>
      </c>
      <c r="F332" s="279">
        <v>23.333736559999998</v>
      </c>
      <c r="G332" s="279">
        <v>22.610714290000001</v>
      </c>
      <c r="H332" s="279">
        <v>21.624327959999999</v>
      </c>
      <c r="I332" s="279">
        <v>18.42736111</v>
      </c>
      <c r="J332" s="279">
        <v>15.922715050000001</v>
      </c>
      <c r="K332" s="279">
        <v>12.531388890000001</v>
      </c>
      <c r="L332" s="279">
        <v>16.215591400000001</v>
      </c>
      <c r="M332" s="279">
        <v>14.778091399999999</v>
      </c>
      <c r="N332" s="279">
        <v>14.187361109999999</v>
      </c>
      <c r="O332" s="279">
        <v>18.327956990000001</v>
      </c>
      <c r="P332" s="279">
        <v>22.001805560000001</v>
      </c>
      <c r="Q332" s="279">
        <v>23.08629032</v>
      </c>
      <c r="R332" s="279">
        <v>18.587278386666664</v>
      </c>
      <c r="S332" s="274">
        <f>SUMIFS(Aux_Lista!Y:Y,Aux_Lista!W:W,Aux_TBS!B332,Aux_Lista!X:X,Aux_TBS!A332)</f>
        <v>2</v>
      </c>
      <c r="T332" s="274" t="s">
        <v>6044</v>
      </c>
      <c r="U332" s="274">
        <v>40</v>
      </c>
    </row>
    <row r="333" spans="1:21" x14ac:dyDescent="0.25">
      <c r="A333" s="277" t="s">
        <v>1560</v>
      </c>
      <c r="B333" s="258" t="s">
        <v>232</v>
      </c>
      <c r="C333" s="274" t="str">
        <f t="shared" si="5"/>
        <v>Erechim, RS</v>
      </c>
      <c r="D333" s="278">
        <v>-27.63</v>
      </c>
      <c r="E333" s="258">
        <v>765</v>
      </c>
      <c r="F333" s="279">
        <v>21.233736560000001</v>
      </c>
      <c r="G333" s="279">
        <v>21.17559524</v>
      </c>
      <c r="H333" s="279">
        <v>20.019220430000001</v>
      </c>
      <c r="I333" s="279">
        <v>16.919444439999999</v>
      </c>
      <c r="J333" s="279">
        <v>14.341263440000001</v>
      </c>
      <c r="K333" s="279">
        <v>12.015000000000001</v>
      </c>
      <c r="L333" s="279">
        <v>16.380510749999999</v>
      </c>
      <c r="M333" s="279">
        <v>15.72862903</v>
      </c>
      <c r="N333" s="279">
        <v>13.95013889</v>
      </c>
      <c r="O333" s="279">
        <v>17.228225810000001</v>
      </c>
      <c r="P333" s="279">
        <v>19.409861110000001</v>
      </c>
      <c r="Q333" s="279">
        <v>21.15013441</v>
      </c>
      <c r="R333" s="279">
        <v>17.462646675833337</v>
      </c>
      <c r="S333" s="274">
        <f>SUMIFS(Aux_Lista!Y:Y,Aux_Lista!W:W,Aux_TBS!B333,Aux_Lista!X:X,Aux_TBS!A333)</f>
        <v>2</v>
      </c>
      <c r="T333" s="274" t="s">
        <v>6044</v>
      </c>
      <c r="U333" s="274">
        <v>40</v>
      </c>
    </row>
    <row r="334" spans="1:21" x14ac:dyDescent="0.25">
      <c r="A334" s="277" t="s">
        <v>1510</v>
      </c>
      <c r="B334" s="258" t="s">
        <v>232</v>
      </c>
      <c r="C334" s="274" t="str">
        <f t="shared" si="5"/>
        <v>Frederico Westphalen, RS</v>
      </c>
      <c r="D334" s="278">
        <v>-27.4</v>
      </c>
      <c r="E334" s="258">
        <v>490</v>
      </c>
      <c r="F334" s="279">
        <v>23.681182799999998</v>
      </c>
      <c r="G334" s="279">
        <v>23.64434524</v>
      </c>
      <c r="H334" s="279">
        <v>22.205913979999998</v>
      </c>
      <c r="I334" s="279">
        <v>18.502777779999999</v>
      </c>
      <c r="J334" s="279">
        <v>15.821236559999999</v>
      </c>
      <c r="K334" s="279">
        <v>12.83888889</v>
      </c>
      <c r="L334" s="279">
        <v>17.526881719999999</v>
      </c>
      <c r="M334" s="279">
        <v>16.906048389999999</v>
      </c>
      <c r="N334" s="279">
        <v>15.76597222</v>
      </c>
      <c r="O334" s="279">
        <v>19.428897849999998</v>
      </c>
      <c r="P334" s="279">
        <v>21.695833329999999</v>
      </c>
      <c r="Q334" s="279">
        <v>23.18696237</v>
      </c>
      <c r="R334" s="279">
        <v>19.2670784275</v>
      </c>
      <c r="S334" s="274">
        <f>SUMIFS(Aux_Lista!Y:Y,Aux_Lista!W:W,Aux_TBS!B334,Aux_Lista!X:X,Aux_TBS!A334)</f>
        <v>3</v>
      </c>
      <c r="T334" s="274" t="s">
        <v>6044</v>
      </c>
      <c r="U334" s="274">
        <v>40</v>
      </c>
    </row>
    <row r="335" spans="1:21" x14ac:dyDescent="0.25">
      <c r="A335" s="277" t="s">
        <v>1245</v>
      </c>
      <c r="B335" s="258" t="s">
        <v>232</v>
      </c>
      <c r="C335" s="274" t="str">
        <f t="shared" si="5"/>
        <v>Jaguarão, RS</v>
      </c>
      <c r="D335" s="278">
        <v>-32.57</v>
      </c>
      <c r="E335" s="258">
        <v>47</v>
      </c>
      <c r="F335" s="279">
        <v>22.80174731</v>
      </c>
      <c r="G335" s="279">
        <v>23.407589290000001</v>
      </c>
      <c r="H335" s="279">
        <v>21.716666669999999</v>
      </c>
      <c r="I335" s="279">
        <v>18.13666667</v>
      </c>
      <c r="J335" s="279">
        <v>15.20658602</v>
      </c>
      <c r="K335" s="279">
        <v>11.251805559999999</v>
      </c>
      <c r="L335" s="279">
        <v>14.61357527</v>
      </c>
      <c r="M335" s="279">
        <v>12.58817204</v>
      </c>
      <c r="N335" s="279">
        <v>14.02819444</v>
      </c>
      <c r="O335" s="279">
        <v>17.878360220000001</v>
      </c>
      <c r="P335" s="279">
        <v>21.295416670000002</v>
      </c>
      <c r="Q335" s="279">
        <v>21.725403230000001</v>
      </c>
      <c r="R335" s="279">
        <v>17.887515282500001</v>
      </c>
      <c r="S335" s="274">
        <f>SUMIFS(Aux_Lista!Y:Y,Aux_Lista!W:W,Aux_TBS!B335,Aux_Lista!X:X,Aux_TBS!A335)</f>
        <v>2</v>
      </c>
      <c r="T335" s="274" t="s">
        <v>6044</v>
      </c>
      <c r="U335" s="274">
        <v>40</v>
      </c>
    </row>
    <row r="336" spans="1:21" x14ac:dyDescent="0.25">
      <c r="A336" s="277" t="s">
        <v>1162</v>
      </c>
      <c r="B336" s="258" t="s">
        <v>232</v>
      </c>
      <c r="C336" s="274" t="str">
        <f t="shared" si="5"/>
        <v>Lagoa Vermelha, RS</v>
      </c>
      <c r="D336" s="278">
        <v>-28.22</v>
      </c>
      <c r="E336" s="258">
        <v>842</v>
      </c>
      <c r="F336" s="279">
        <v>20.3436828</v>
      </c>
      <c r="G336" s="279">
        <v>20.325744050000001</v>
      </c>
      <c r="H336" s="279">
        <v>19.384005380000001</v>
      </c>
      <c r="I336" s="279">
        <v>16.709444439999999</v>
      </c>
      <c r="J336" s="279">
        <v>14.21129032</v>
      </c>
      <c r="K336" s="279">
        <v>11.27</v>
      </c>
      <c r="L336" s="279">
        <v>14.846370970000001</v>
      </c>
      <c r="M336" s="279">
        <v>14.787634410000001</v>
      </c>
      <c r="N336" s="279">
        <v>12.799583330000001</v>
      </c>
      <c r="O336" s="279">
        <v>16.378360220000001</v>
      </c>
      <c r="P336" s="279">
        <v>18.434027780000001</v>
      </c>
      <c r="Q336" s="279">
        <v>20.0672043</v>
      </c>
      <c r="R336" s="279">
        <v>16.629778999999999</v>
      </c>
      <c r="S336" s="274">
        <f>SUMIFS(Aux_Lista!Y:Y,Aux_Lista!W:W,Aux_TBS!B336,Aux_Lista!X:X,Aux_TBS!A336)</f>
        <v>2</v>
      </c>
      <c r="T336" s="274" t="s">
        <v>6044</v>
      </c>
      <c r="U336" s="274">
        <v>40</v>
      </c>
    </row>
    <row r="337" spans="1:21" x14ac:dyDescent="0.25">
      <c r="A337" s="277" t="s">
        <v>1136</v>
      </c>
      <c r="B337" s="258" t="s">
        <v>232</v>
      </c>
      <c r="C337" s="274" t="str">
        <f t="shared" si="5"/>
        <v>Mostardas, RS</v>
      </c>
      <c r="D337" s="278">
        <v>-31.25</v>
      </c>
      <c r="E337" s="258">
        <v>10</v>
      </c>
      <c r="F337" s="279">
        <v>22.505376340000002</v>
      </c>
      <c r="G337" s="279">
        <v>23.748065480000001</v>
      </c>
      <c r="H337" s="279">
        <v>23.43709677</v>
      </c>
      <c r="I337" s="279">
        <v>21.155694440000001</v>
      </c>
      <c r="J337" s="279">
        <v>18.28172043</v>
      </c>
      <c r="K337" s="279">
        <v>13.731111110000001</v>
      </c>
      <c r="L337" s="279">
        <v>13.170833330000001</v>
      </c>
      <c r="M337" s="279">
        <v>14.61680108</v>
      </c>
      <c r="N337" s="279">
        <v>15.38125</v>
      </c>
      <c r="O337" s="279">
        <v>18.713978489999999</v>
      </c>
      <c r="P337" s="279">
        <v>20.678055560000001</v>
      </c>
      <c r="Q337" s="279">
        <v>21.360215050000001</v>
      </c>
      <c r="R337" s="279">
        <v>18.898349839999998</v>
      </c>
      <c r="S337" s="274">
        <f>SUMIFS(Aux_Lista!Y:Y,Aux_Lista!W:W,Aux_TBS!B337,Aux_Lista!X:X,Aux_TBS!A337)</f>
        <v>2</v>
      </c>
      <c r="T337" s="274" t="s">
        <v>6044</v>
      </c>
      <c r="U337" s="274">
        <v>40</v>
      </c>
    </row>
    <row r="338" spans="1:21" x14ac:dyDescent="0.25">
      <c r="A338" s="277" t="s">
        <v>1207</v>
      </c>
      <c r="B338" s="258" t="s">
        <v>232</v>
      </c>
      <c r="C338" s="274" t="str">
        <f t="shared" si="5"/>
        <v>Palmeira das Missões, RS</v>
      </c>
      <c r="D338" s="278">
        <v>-27.92</v>
      </c>
      <c r="E338" s="258">
        <v>642</v>
      </c>
      <c r="F338" s="279">
        <v>21.329435480000001</v>
      </c>
      <c r="G338" s="279">
        <v>22.829464290000001</v>
      </c>
      <c r="H338" s="279">
        <v>21.226344090000001</v>
      </c>
      <c r="I338" s="279">
        <v>18.497638890000001</v>
      </c>
      <c r="J338" s="279">
        <v>15.81733871</v>
      </c>
      <c r="K338" s="279">
        <v>12.67111111</v>
      </c>
      <c r="L338" s="279">
        <v>17.037634409999999</v>
      </c>
      <c r="M338" s="279">
        <v>15.97459677</v>
      </c>
      <c r="N338" s="279">
        <v>14.28027778</v>
      </c>
      <c r="O338" s="279">
        <v>18.108064519999999</v>
      </c>
      <c r="P338" s="279">
        <v>20.845138890000001</v>
      </c>
      <c r="Q338" s="279">
        <v>22.044086020000002</v>
      </c>
      <c r="R338" s="279">
        <v>18.388427580000002</v>
      </c>
      <c r="S338" s="274">
        <f>SUMIFS(Aux_Lista!Y:Y,Aux_Lista!W:W,Aux_TBS!B338,Aux_Lista!X:X,Aux_TBS!A338)</f>
        <v>2</v>
      </c>
      <c r="T338" s="274" t="s">
        <v>6044</v>
      </c>
      <c r="U338" s="274">
        <v>40</v>
      </c>
    </row>
    <row r="339" spans="1:21" x14ac:dyDescent="0.25">
      <c r="A339" s="277" t="s">
        <v>1184</v>
      </c>
      <c r="B339" s="258" t="s">
        <v>232</v>
      </c>
      <c r="C339" s="274" t="str">
        <f t="shared" si="5"/>
        <v>Passo Fundo, RS</v>
      </c>
      <c r="D339" s="278">
        <v>-28.26</v>
      </c>
      <c r="E339" s="258">
        <v>684</v>
      </c>
      <c r="F339" s="279">
        <v>21.414516129999999</v>
      </c>
      <c r="G339" s="279">
        <v>21.11309524</v>
      </c>
      <c r="H339" s="279">
        <v>20.322177419999999</v>
      </c>
      <c r="I339" s="279">
        <v>17.580138890000001</v>
      </c>
      <c r="J339" s="279">
        <v>14.77271505</v>
      </c>
      <c r="K339" s="279">
        <v>12.06986111</v>
      </c>
      <c r="L339" s="279">
        <v>15.3969086</v>
      </c>
      <c r="M339" s="279">
        <v>15.11787634</v>
      </c>
      <c r="N339" s="279">
        <v>13.55402778</v>
      </c>
      <c r="O339" s="279">
        <v>17.385080649999999</v>
      </c>
      <c r="P339" s="279">
        <v>20.002083330000001</v>
      </c>
      <c r="Q339" s="279">
        <v>21.407392470000001</v>
      </c>
      <c r="R339" s="279">
        <v>17.511322750833333</v>
      </c>
      <c r="S339" s="274">
        <f>SUMIFS(Aux_Lista!Y:Y,Aux_Lista!W:W,Aux_TBS!B339,Aux_Lista!X:X,Aux_TBS!A339)</f>
        <v>2</v>
      </c>
      <c r="T339" s="274" t="s">
        <v>6044</v>
      </c>
      <c r="U339" s="274">
        <v>40</v>
      </c>
    </row>
    <row r="340" spans="1:21" x14ac:dyDescent="0.25">
      <c r="A340" s="277" t="s">
        <v>1148</v>
      </c>
      <c r="B340" s="258" t="s">
        <v>232</v>
      </c>
      <c r="C340" s="274" t="str">
        <f t="shared" si="5"/>
        <v>Porto Alegre, RS</v>
      </c>
      <c r="D340" s="278">
        <v>-30.03</v>
      </c>
      <c r="E340" s="258">
        <v>47</v>
      </c>
      <c r="F340" s="279">
        <v>25.324059139999999</v>
      </c>
      <c r="G340" s="279">
        <v>24.32261905</v>
      </c>
      <c r="H340" s="279">
        <v>23.611962370000001</v>
      </c>
      <c r="I340" s="279">
        <v>20.379027780000001</v>
      </c>
      <c r="J340" s="279">
        <v>15.771102150000001</v>
      </c>
      <c r="K340" s="279">
        <v>15.74291667</v>
      </c>
      <c r="L340" s="279">
        <v>17.49717742</v>
      </c>
      <c r="M340" s="279">
        <v>15.575672040000001</v>
      </c>
      <c r="N340" s="279">
        <v>16.326944439999998</v>
      </c>
      <c r="O340" s="279">
        <v>20.371370970000001</v>
      </c>
      <c r="P340" s="279">
        <v>20.74513889</v>
      </c>
      <c r="Q340" s="279">
        <v>24.84704301</v>
      </c>
      <c r="R340" s="279">
        <v>20.042919494166664</v>
      </c>
      <c r="S340" s="274">
        <f>SUMIFS(Aux_Lista!Y:Y,Aux_Lista!W:W,Aux_TBS!B340,Aux_Lista!X:X,Aux_TBS!A340)</f>
        <v>3</v>
      </c>
      <c r="T340" s="274" t="s">
        <v>6044</v>
      </c>
      <c r="U340" s="274">
        <v>40</v>
      </c>
    </row>
    <row r="341" spans="1:21" x14ac:dyDescent="0.25">
      <c r="A341" s="277" t="s">
        <v>1590</v>
      </c>
      <c r="B341" s="258" t="s">
        <v>232</v>
      </c>
      <c r="C341" s="274" t="str">
        <f t="shared" si="5"/>
        <v>Quaraí, RS</v>
      </c>
      <c r="D341" s="278">
        <v>-30.37</v>
      </c>
      <c r="E341" s="258">
        <v>124</v>
      </c>
      <c r="F341" s="279">
        <v>25.399059139999999</v>
      </c>
      <c r="G341" s="279">
        <v>25.36354167</v>
      </c>
      <c r="H341" s="279">
        <v>23.069220430000001</v>
      </c>
      <c r="I341" s="279">
        <v>18.323472219999999</v>
      </c>
      <c r="J341" s="279">
        <v>15.341129029999999</v>
      </c>
      <c r="K341" s="279">
        <v>11.11527778</v>
      </c>
      <c r="L341" s="279">
        <v>15.82069892</v>
      </c>
      <c r="M341" s="279">
        <v>13.457258059999999</v>
      </c>
      <c r="N341" s="279">
        <v>14.708888890000001</v>
      </c>
      <c r="O341" s="279">
        <v>18.796102149999999</v>
      </c>
      <c r="P341" s="279">
        <v>23.014027779999999</v>
      </c>
      <c r="Q341" s="279">
        <v>24.526478489999999</v>
      </c>
      <c r="R341" s="279">
        <v>19.077929546666663</v>
      </c>
      <c r="S341" s="274">
        <f>SUMIFS(Aux_Lista!Y:Y,Aux_Lista!W:W,Aux_TBS!B341,Aux_Lista!X:X,Aux_TBS!A341)</f>
        <v>2</v>
      </c>
      <c r="T341" s="274" t="s">
        <v>6044</v>
      </c>
      <c r="U341" s="274">
        <v>40</v>
      </c>
    </row>
    <row r="342" spans="1:21" x14ac:dyDescent="0.25">
      <c r="A342" s="277" t="s">
        <v>1214</v>
      </c>
      <c r="B342" s="258" t="s">
        <v>232</v>
      </c>
      <c r="C342" s="274" t="str">
        <f t="shared" si="5"/>
        <v>Rio Pardo, RS</v>
      </c>
      <c r="D342" s="278">
        <v>-29.87</v>
      </c>
      <c r="E342" s="258">
        <v>111</v>
      </c>
      <c r="F342" s="279">
        <v>23.555241939999998</v>
      </c>
      <c r="G342" s="279">
        <v>23.54598214</v>
      </c>
      <c r="H342" s="279">
        <v>22.628897850000001</v>
      </c>
      <c r="I342" s="279">
        <v>18.721250000000001</v>
      </c>
      <c r="J342" s="279">
        <v>16.046102149999999</v>
      </c>
      <c r="K342" s="279">
        <v>12.337222219999999</v>
      </c>
      <c r="L342" s="279">
        <v>15.85026882</v>
      </c>
      <c r="M342" s="279">
        <v>14.68494624</v>
      </c>
      <c r="N342" s="279">
        <v>15.17527778</v>
      </c>
      <c r="O342" s="279">
        <v>18.600672039999999</v>
      </c>
      <c r="P342" s="279">
        <v>21.835277779999998</v>
      </c>
      <c r="Q342" s="279">
        <v>22.754301080000001</v>
      </c>
      <c r="R342" s="279">
        <v>18.811286669999998</v>
      </c>
      <c r="S342" s="274">
        <f>SUMIFS(Aux_Lista!Y:Y,Aux_Lista!W:W,Aux_TBS!B342,Aux_Lista!X:X,Aux_TBS!A342)</f>
        <v>2</v>
      </c>
      <c r="T342" s="274" t="s">
        <v>6044</v>
      </c>
      <c r="U342" s="274">
        <v>40</v>
      </c>
    </row>
    <row r="343" spans="1:21" x14ac:dyDescent="0.25">
      <c r="A343" s="277" t="s">
        <v>1576</v>
      </c>
      <c r="B343" s="258" t="s">
        <v>232</v>
      </c>
      <c r="C343" s="274" t="str">
        <f t="shared" si="5"/>
        <v>Santa Maria, RS</v>
      </c>
      <c r="D343" s="278">
        <v>-29.68</v>
      </c>
      <c r="E343" s="258">
        <v>95</v>
      </c>
      <c r="F343" s="279">
        <v>24.927016129999998</v>
      </c>
      <c r="G343" s="279">
        <v>24.82395833</v>
      </c>
      <c r="H343" s="279">
        <v>22.20981183</v>
      </c>
      <c r="I343" s="279">
        <v>18.638055560000002</v>
      </c>
      <c r="J343" s="279">
        <v>16.547043009999999</v>
      </c>
      <c r="K343" s="279">
        <v>15.63236111</v>
      </c>
      <c r="L343" s="279">
        <v>14.426881720000001</v>
      </c>
      <c r="M343" s="279">
        <v>13.41814516</v>
      </c>
      <c r="N343" s="279">
        <v>16.024027780000001</v>
      </c>
      <c r="O343" s="279">
        <v>19.805241939999998</v>
      </c>
      <c r="P343" s="279">
        <v>21.30347222</v>
      </c>
      <c r="Q343" s="279">
        <v>21.158870969999999</v>
      </c>
      <c r="R343" s="279">
        <v>19.076240479999999</v>
      </c>
      <c r="S343" s="274">
        <f>SUMIFS(Aux_Lista!Y:Y,Aux_Lista!W:W,Aux_TBS!B343,Aux_Lista!X:X,Aux_TBS!A343)</f>
        <v>2</v>
      </c>
      <c r="T343" s="274" t="s">
        <v>6044</v>
      </c>
      <c r="U343" s="274">
        <v>40</v>
      </c>
    </row>
    <row r="344" spans="1:21" x14ac:dyDescent="0.25">
      <c r="A344" s="277" t="s">
        <v>5883</v>
      </c>
      <c r="B344" s="258" t="s">
        <v>232</v>
      </c>
      <c r="C344" s="274" t="str">
        <f t="shared" si="5"/>
        <v>Santana do Livramento, RS</v>
      </c>
      <c r="D344" s="278">
        <v>-30.89</v>
      </c>
      <c r="E344" s="258">
        <v>328</v>
      </c>
      <c r="F344" s="279">
        <v>23.362634409999998</v>
      </c>
      <c r="G344" s="279">
        <v>23.14241071</v>
      </c>
      <c r="H344" s="279">
        <v>21.699731180000001</v>
      </c>
      <c r="I344" s="279">
        <v>17.344722220000001</v>
      </c>
      <c r="J344" s="279">
        <v>14.285349460000001</v>
      </c>
      <c r="K344" s="279">
        <v>12.39458333</v>
      </c>
      <c r="L344" s="279">
        <v>12.08696237</v>
      </c>
      <c r="M344" s="279">
        <v>12.566532260000001</v>
      </c>
      <c r="N344" s="279">
        <v>14.75638889</v>
      </c>
      <c r="O344" s="279">
        <v>16.355779569999999</v>
      </c>
      <c r="P344" s="279">
        <v>19.70291667</v>
      </c>
      <c r="Q344" s="279">
        <v>23.616666670000001</v>
      </c>
      <c r="R344" s="279">
        <v>17.609556478333335</v>
      </c>
      <c r="S344" s="274">
        <f>SUMIFS(Aux_Lista!Y:Y,Aux_Lista!W:W,Aux_TBS!B344,Aux_Lista!X:X,Aux_TBS!A344)</f>
        <v>2</v>
      </c>
      <c r="T344" s="274" t="s">
        <v>6044</v>
      </c>
      <c r="U344" s="274">
        <v>40</v>
      </c>
    </row>
    <row r="345" spans="1:21" x14ac:dyDescent="0.25">
      <c r="A345" s="277" t="s">
        <v>1204</v>
      </c>
      <c r="B345" s="258" t="s">
        <v>232</v>
      </c>
      <c r="C345" s="274" t="str">
        <f t="shared" si="5"/>
        <v>Santiago, RS</v>
      </c>
      <c r="D345" s="278">
        <v>-29.19</v>
      </c>
      <c r="E345" s="258">
        <v>394</v>
      </c>
      <c r="F345" s="279">
        <v>23.462096769999999</v>
      </c>
      <c r="G345" s="279">
        <v>23.822767859999999</v>
      </c>
      <c r="H345" s="279">
        <v>22.244489250000001</v>
      </c>
      <c r="I345" s="279">
        <v>19.843888889999999</v>
      </c>
      <c r="J345" s="279">
        <v>16.764516130000001</v>
      </c>
      <c r="K345" s="279">
        <v>11.22458333</v>
      </c>
      <c r="L345" s="279">
        <v>11.964247309999999</v>
      </c>
      <c r="M345" s="279">
        <v>15.701612900000001</v>
      </c>
      <c r="N345" s="279">
        <v>15.00208333</v>
      </c>
      <c r="O345" s="279">
        <v>18.499865589999999</v>
      </c>
      <c r="P345" s="279">
        <v>22.34486111</v>
      </c>
      <c r="Q345" s="279">
        <v>22.934811830000001</v>
      </c>
      <c r="R345" s="279">
        <v>18.650818691666672</v>
      </c>
      <c r="S345" s="274">
        <f>SUMIFS(Aux_Lista!Y:Y,Aux_Lista!W:W,Aux_TBS!B345,Aux_Lista!X:X,Aux_TBS!A345)</f>
        <v>2</v>
      </c>
      <c r="T345" s="274" t="s">
        <v>6044</v>
      </c>
      <c r="U345" s="274">
        <v>40</v>
      </c>
    </row>
    <row r="346" spans="1:21" x14ac:dyDescent="0.25">
      <c r="A346" s="277" t="s">
        <v>1237</v>
      </c>
      <c r="B346" s="258" t="s">
        <v>232</v>
      </c>
      <c r="C346" s="274" t="str">
        <f t="shared" si="5"/>
        <v>Santo Augusto, RS</v>
      </c>
      <c r="D346" s="278">
        <v>-27.85</v>
      </c>
      <c r="E346" s="258">
        <v>550</v>
      </c>
      <c r="F346" s="279">
        <v>23.33763441</v>
      </c>
      <c r="G346" s="279">
        <v>24.504017860000001</v>
      </c>
      <c r="H346" s="279">
        <v>22.367741939999998</v>
      </c>
      <c r="I346" s="279">
        <v>19.05236111</v>
      </c>
      <c r="J346" s="279">
        <v>14.69448925</v>
      </c>
      <c r="K346" s="279">
        <v>15.20805556</v>
      </c>
      <c r="L346" s="279">
        <v>15.40228495</v>
      </c>
      <c r="M346" s="279">
        <v>16.101344090000001</v>
      </c>
      <c r="N346" s="279">
        <v>16.730277780000002</v>
      </c>
      <c r="O346" s="279">
        <v>18.059408600000001</v>
      </c>
      <c r="P346" s="279">
        <v>20.74583333</v>
      </c>
      <c r="Q346" s="279">
        <v>22.757795699999999</v>
      </c>
      <c r="R346" s="279">
        <v>19.080103715000003</v>
      </c>
      <c r="S346" s="274">
        <f>SUMIFS(Aux_Lista!Y:Y,Aux_Lista!W:W,Aux_TBS!B346,Aux_Lista!X:X,Aux_TBS!A346)</f>
        <v>2</v>
      </c>
      <c r="T346" s="274" t="s">
        <v>6044</v>
      </c>
      <c r="U346" s="274">
        <v>40</v>
      </c>
    </row>
    <row r="347" spans="1:21" x14ac:dyDescent="0.25">
      <c r="A347" s="277" t="s">
        <v>1567</v>
      </c>
      <c r="B347" s="258" t="s">
        <v>232</v>
      </c>
      <c r="C347" s="274" t="str">
        <f t="shared" si="5"/>
        <v>São Borja, RS</v>
      </c>
      <c r="D347" s="278">
        <v>-28.66</v>
      </c>
      <c r="E347" s="258">
        <v>83</v>
      </c>
      <c r="F347" s="279">
        <v>26.549193549999998</v>
      </c>
      <c r="G347" s="279">
        <v>25.923065480000002</v>
      </c>
      <c r="H347" s="279">
        <v>24.22903226</v>
      </c>
      <c r="I347" s="279">
        <v>19.849444439999999</v>
      </c>
      <c r="J347" s="279">
        <v>16.568817200000002</v>
      </c>
      <c r="K347" s="279">
        <v>13.80777778</v>
      </c>
      <c r="L347" s="279">
        <v>17.621505379999999</v>
      </c>
      <c r="M347" s="279">
        <v>16.078629029999998</v>
      </c>
      <c r="N347" s="279">
        <v>16.313472220000001</v>
      </c>
      <c r="O347" s="279">
        <v>20.674059140000001</v>
      </c>
      <c r="P347" s="279">
        <v>24.379027780000001</v>
      </c>
      <c r="Q347" s="279">
        <v>26.199059139999999</v>
      </c>
      <c r="R347" s="279">
        <v>20.682756949999998</v>
      </c>
      <c r="S347" s="274">
        <f>SUMIFS(Aux_Lista!Y:Y,Aux_Lista!W:W,Aux_TBS!B347,Aux_Lista!X:X,Aux_TBS!A347)</f>
        <v>2</v>
      </c>
      <c r="T347" s="274" t="s">
        <v>6044</v>
      </c>
      <c r="U347" s="274">
        <v>40</v>
      </c>
    </row>
    <row r="348" spans="1:21" x14ac:dyDescent="0.25">
      <c r="A348" s="277" t="s">
        <v>1581</v>
      </c>
      <c r="B348" s="258" t="s">
        <v>232</v>
      </c>
      <c r="C348" s="274" t="str">
        <f t="shared" si="5"/>
        <v>São Gabriel, RS</v>
      </c>
      <c r="D348" s="278">
        <v>-30.34</v>
      </c>
      <c r="E348" s="258">
        <v>126</v>
      </c>
      <c r="F348" s="279">
        <v>24.790725810000001</v>
      </c>
      <c r="G348" s="279">
        <v>24.344940480000002</v>
      </c>
      <c r="H348" s="279">
        <v>23.047043009999999</v>
      </c>
      <c r="I348" s="279">
        <v>18.07069444</v>
      </c>
      <c r="J348" s="279">
        <v>15.74395161</v>
      </c>
      <c r="K348" s="279">
        <v>12.01847222</v>
      </c>
      <c r="L348" s="279">
        <v>15.568682799999999</v>
      </c>
      <c r="M348" s="279">
        <v>14.112903230000001</v>
      </c>
      <c r="N348" s="279">
        <v>14.967083329999999</v>
      </c>
      <c r="O348" s="279">
        <v>19.065860220000001</v>
      </c>
      <c r="P348" s="279">
        <v>23.091249999999999</v>
      </c>
      <c r="Q348" s="279">
        <v>24.32607527</v>
      </c>
      <c r="R348" s="279">
        <v>19.095640201666665</v>
      </c>
      <c r="S348" s="274">
        <f>SUMIFS(Aux_Lista!Y:Y,Aux_Lista!W:W,Aux_TBS!B348,Aux_Lista!X:X,Aux_TBS!A348)</f>
        <v>2</v>
      </c>
      <c r="T348" s="274" t="s">
        <v>6044</v>
      </c>
      <c r="U348" s="274">
        <v>40</v>
      </c>
    </row>
    <row r="349" spans="1:21" x14ac:dyDescent="0.25">
      <c r="A349" s="277" t="s">
        <v>328</v>
      </c>
      <c r="B349" s="258" t="s">
        <v>232</v>
      </c>
      <c r="C349" s="274" t="str">
        <f t="shared" si="5"/>
        <v>São José dos Ausentes, RS</v>
      </c>
      <c r="D349" s="278">
        <v>-28.75</v>
      </c>
      <c r="E349" s="258">
        <v>1244</v>
      </c>
      <c r="F349" s="279">
        <v>15.79314516</v>
      </c>
      <c r="G349" s="279">
        <v>16.339732139999999</v>
      </c>
      <c r="H349" s="279">
        <v>15.89677419</v>
      </c>
      <c r="I349" s="279">
        <v>14.35791667</v>
      </c>
      <c r="J349" s="279">
        <v>11.80927419</v>
      </c>
      <c r="K349" s="279">
        <v>12.348333330000001</v>
      </c>
      <c r="L349" s="279">
        <v>10.85215054</v>
      </c>
      <c r="M349" s="279">
        <v>12.078897850000001</v>
      </c>
      <c r="N349" s="279">
        <v>14.68430556</v>
      </c>
      <c r="O349" s="279">
        <v>12.665456989999999</v>
      </c>
      <c r="P349" s="279">
        <v>13.818055559999999</v>
      </c>
      <c r="Q349" s="279">
        <v>15.20981183</v>
      </c>
      <c r="R349" s="279">
        <v>13.821154500833336</v>
      </c>
      <c r="S349" s="274">
        <f>SUMIFS(Aux_Lista!Y:Y,Aux_Lista!W:W,Aux_TBS!B349,Aux_Lista!X:X,Aux_TBS!A349)</f>
        <v>1</v>
      </c>
      <c r="T349" s="274" t="s">
        <v>6044</v>
      </c>
      <c r="U349" s="274">
        <v>40</v>
      </c>
    </row>
    <row r="350" spans="1:21" x14ac:dyDescent="0.25">
      <c r="A350" s="277" t="s">
        <v>1574</v>
      </c>
      <c r="B350" s="258" t="s">
        <v>232</v>
      </c>
      <c r="C350" s="274" t="str">
        <f t="shared" si="5"/>
        <v>São Luiz Gonzaga, RS</v>
      </c>
      <c r="D350" s="278">
        <v>-28.41</v>
      </c>
      <c r="E350" s="258">
        <v>245</v>
      </c>
      <c r="F350" s="279">
        <v>25.352419350000002</v>
      </c>
      <c r="G350" s="279">
        <v>24.88005952</v>
      </c>
      <c r="H350" s="279">
        <v>23.471236560000001</v>
      </c>
      <c r="I350" s="279">
        <v>19.979722219999999</v>
      </c>
      <c r="J350" s="279">
        <v>16.77567204</v>
      </c>
      <c r="K350" s="279">
        <v>13.66069444</v>
      </c>
      <c r="L350" s="279">
        <v>18.03413978</v>
      </c>
      <c r="M350" s="279">
        <v>16.231048390000002</v>
      </c>
      <c r="N350" s="279">
        <v>16.121805559999999</v>
      </c>
      <c r="O350" s="279">
        <v>20.047043009999999</v>
      </c>
      <c r="P350" s="279">
        <v>23.62125</v>
      </c>
      <c r="Q350" s="279">
        <v>25.191935480000001</v>
      </c>
      <c r="R350" s="279">
        <v>20.280585529166668</v>
      </c>
      <c r="S350" s="274">
        <f>SUMIFS(Aux_Lista!Y:Y,Aux_Lista!W:W,Aux_TBS!B350,Aux_Lista!X:X,Aux_TBS!A350)</f>
        <v>2</v>
      </c>
      <c r="T350" s="274" t="s">
        <v>6044</v>
      </c>
      <c r="U350" s="274">
        <v>40</v>
      </c>
    </row>
    <row r="351" spans="1:21" x14ac:dyDescent="0.25">
      <c r="A351" s="277" t="s">
        <v>1165</v>
      </c>
      <c r="B351" s="258" t="s">
        <v>232</v>
      </c>
      <c r="C351" s="274" t="str">
        <f t="shared" si="5"/>
        <v>Soledade, RS</v>
      </c>
      <c r="D351" s="278">
        <v>-28.85</v>
      </c>
      <c r="E351" s="258">
        <v>667</v>
      </c>
      <c r="F351" s="279">
        <v>20.353897849999999</v>
      </c>
      <c r="G351" s="279">
        <v>21.647321430000002</v>
      </c>
      <c r="H351" s="279">
        <v>20.813709679999999</v>
      </c>
      <c r="I351" s="279">
        <v>18.837916669999998</v>
      </c>
      <c r="J351" s="279">
        <v>15.76142473</v>
      </c>
      <c r="K351" s="279">
        <v>10.835000000000001</v>
      </c>
      <c r="L351" s="279">
        <v>11.564516129999999</v>
      </c>
      <c r="M351" s="279">
        <v>15.112903230000001</v>
      </c>
      <c r="N351" s="279">
        <v>14.25069444</v>
      </c>
      <c r="O351" s="279">
        <v>16.952688169999998</v>
      </c>
      <c r="P351" s="279">
        <v>21.586111110000001</v>
      </c>
      <c r="Q351" s="279">
        <v>21.37553763</v>
      </c>
      <c r="R351" s="279">
        <v>17.424310089166664</v>
      </c>
      <c r="S351" s="274">
        <f>SUMIFS(Aux_Lista!Y:Y,Aux_Lista!W:W,Aux_TBS!B351,Aux_Lista!X:X,Aux_TBS!A351)</f>
        <v>2</v>
      </c>
      <c r="T351" s="274" t="s">
        <v>6044</v>
      </c>
      <c r="U351" s="274">
        <v>40</v>
      </c>
    </row>
    <row r="352" spans="1:21" x14ac:dyDescent="0.25">
      <c r="A352" s="277" t="s">
        <v>1232</v>
      </c>
      <c r="B352" s="258" t="s">
        <v>232</v>
      </c>
      <c r="C352" s="274" t="str">
        <f t="shared" si="5"/>
        <v>Torres, RS</v>
      </c>
      <c r="D352" s="278">
        <v>-29.33</v>
      </c>
      <c r="E352" s="258">
        <v>5</v>
      </c>
      <c r="F352" s="279">
        <v>23.175672039999998</v>
      </c>
      <c r="G352" s="279">
        <v>22.7016369</v>
      </c>
      <c r="H352" s="279">
        <v>22.267338710000001</v>
      </c>
      <c r="I352" s="279">
        <v>20.0425</v>
      </c>
      <c r="J352" s="279">
        <v>17.390725809999999</v>
      </c>
      <c r="K352" s="279">
        <v>14.09319444</v>
      </c>
      <c r="L352" s="279">
        <v>16.10362903</v>
      </c>
      <c r="M352" s="279">
        <v>15.418951610000001</v>
      </c>
      <c r="N352" s="279">
        <v>15.81152778</v>
      </c>
      <c r="O352" s="279">
        <v>18.755510749999999</v>
      </c>
      <c r="P352" s="279">
        <v>19.7775</v>
      </c>
      <c r="Q352" s="279">
        <v>20.887768820000002</v>
      </c>
      <c r="R352" s="279">
        <v>18.868829657500001</v>
      </c>
      <c r="S352" s="274">
        <f>SUMIFS(Aux_Lista!Y:Y,Aux_Lista!W:W,Aux_TBS!B352,Aux_Lista!X:X,Aux_TBS!A352)</f>
        <v>3</v>
      </c>
      <c r="T352" s="274" t="s">
        <v>6044</v>
      </c>
      <c r="U352" s="274">
        <v>40</v>
      </c>
    </row>
    <row r="353" spans="1:21" x14ac:dyDescent="0.25">
      <c r="A353" s="277" t="s">
        <v>1151</v>
      </c>
      <c r="B353" s="258" t="s">
        <v>232</v>
      </c>
      <c r="C353" s="274" t="str">
        <f t="shared" si="5"/>
        <v>Tramandaí, RS</v>
      </c>
      <c r="D353" s="278">
        <v>-30.01</v>
      </c>
      <c r="E353" s="258">
        <v>1</v>
      </c>
      <c r="F353" s="279">
        <v>22.322043010000002</v>
      </c>
      <c r="G353" s="279">
        <v>23.178125000000001</v>
      </c>
      <c r="H353" s="279">
        <v>23.270295699999998</v>
      </c>
      <c r="I353" s="279">
        <v>20.246527780000001</v>
      </c>
      <c r="J353" s="279">
        <v>17.389381719999999</v>
      </c>
      <c r="K353" s="279">
        <v>13.965972219999999</v>
      </c>
      <c r="L353" s="279">
        <v>16.18884409</v>
      </c>
      <c r="M353" s="279">
        <v>15.44825269</v>
      </c>
      <c r="N353" s="279">
        <v>15.708888890000001</v>
      </c>
      <c r="O353" s="279">
        <v>18.956720430000001</v>
      </c>
      <c r="P353" s="279">
        <v>20.160138889999999</v>
      </c>
      <c r="Q353" s="279">
        <v>21.026344089999998</v>
      </c>
      <c r="R353" s="279">
        <v>18.988461209166669</v>
      </c>
      <c r="S353" s="274">
        <f>SUMIFS(Aux_Lista!Y:Y,Aux_Lista!W:W,Aux_TBS!B353,Aux_Lista!X:X,Aux_TBS!A353)</f>
        <v>2</v>
      </c>
      <c r="T353" s="274" t="s">
        <v>6044</v>
      </c>
      <c r="U353" s="274">
        <v>40</v>
      </c>
    </row>
    <row r="354" spans="1:21" x14ac:dyDescent="0.25">
      <c r="A354" s="277" t="s">
        <v>1579</v>
      </c>
      <c r="B354" s="258" t="s">
        <v>232</v>
      </c>
      <c r="C354" s="274" t="str">
        <f t="shared" si="5"/>
        <v>Uruguaiana, RS</v>
      </c>
      <c r="D354" s="278">
        <v>-29.75</v>
      </c>
      <c r="E354" s="258">
        <v>62</v>
      </c>
      <c r="F354" s="279">
        <v>25.637903229999999</v>
      </c>
      <c r="G354" s="279">
        <v>25.602827380000001</v>
      </c>
      <c r="H354" s="279">
        <v>24.121370970000001</v>
      </c>
      <c r="I354" s="279">
        <v>19.328611110000001</v>
      </c>
      <c r="J354" s="279">
        <v>15.59193548</v>
      </c>
      <c r="K354" s="279">
        <v>14.23027778</v>
      </c>
      <c r="L354" s="279">
        <v>13.45887097</v>
      </c>
      <c r="M354" s="279">
        <v>14.34704301</v>
      </c>
      <c r="N354" s="279">
        <v>16.778472220000001</v>
      </c>
      <c r="O354" s="279">
        <v>18.78077957</v>
      </c>
      <c r="P354" s="279">
        <v>22.153749999999999</v>
      </c>
      <c r="Q354" s="279">
        <v>24.970833330000001</v>
      </c>
      <c r="R354" s="279">
        <v>19.583556254166666</v>
      </c>
      <c r="S354" s="274">
        <f>SUMIFS(Aux_Lista!Y:Y,Aux_Lista!W:W,Aux_TBS!B354,Aux_Lista!X:X,Aux_TBS!A354)</f>
        <v>2</v>
      </c>
      <c r="T354" s="274" t="s">
        <v>6044</v>
      </c>
      <c r="U354" s="274">
        <v>40</v>
      </c>
    </row>
    <row r="355" spans="1:21" x14ac:dyDescent="0.25">
      <c r="A355" s="277" t="s">
        <v>1483</v>
      </c>
      <c r="B355" s="258" t="s">
        <v>232</v>
      </c>
      <c r="C355" s="274" t="str">
        <f t="shared" si="5"/>
        <v>Vacaria, RS</v>
      </c>
      <c r="D355" s="278">
        <v>-28.51</v>
      </c>
      <c r="E355" s="258">
        <v>986</v>
      </c>
      <c r="F355" s="279">
        <v>18.219489249999999</v>
      </c>
      <c r="G355" s="279">
        <v>19.70684524</v>
      </c>
      <c r="H355" s="279">
        <v>18.891935480000001</v>
      </c>
      <c r="I355" s="279">
        <v>16.541527779999999</v>
      </c>
      <c r="J355" s="279">
        <v>13.541801080000001</v>
      </c>
      <c r="K355" s="279">
        <v>9.721944444</v>
      </c>
      <c r="L355" s="279">
        <v>10.611827959999999</v>
      </c>
      <c r="M355" s="279">
        <v>12.83467742</v>
      </c>
      <c r="N355" s="279">
        <v>12.99472222</v>
      </c>
      <c r="O355" s="279">
        <v>15.40107527</v>
      </c>
      <c r="P355" s="279">
        <v>19.8825</v>
      </c>
      <c r="Q355" s="279">
        <v>19.657930109999999</v>
      </c>
      <c r="R355" s="279">
        <v>15.667189687833334</v>
      </c>
      <c r="S355" s="274">
        <f>SUMIFS(Aux_Lista!Y:Y,Aux_Lista!W:W,Aux_TBS!B355,Aux_Lista!X:X,Aux_TBS!A355)</f>
        <v>1</v>
      </c>
      <c r="T355" s="274" t="s">
        <v>6044</v>
      </c>
      <c r="U355" s="274">
        <v>40</v>
      </c>
    </row>
    <row r="356" spans="1:21" x14ac:dyDescent="0.25">
      <c r="A356" s="277" t="s">
        <v>1250</v>
      </c>
      <c r="B356" s="258" t="s">
        <v>27</v>
      </c>
      <c r="C356" s="274" t="str">
        <f t="shared" si="5"/>
        <v>Araranguá, SC</v>
      </c>
      <c r="D356" s="278">
        <v>-28.93</v>
      </c>
      <c r="E356" s="258">
        <v>12</v>
      </c>
      <c r="F356" s="279">
        <v>22.546505379999999</v>
      </c>
      <c r="G356" s="279">
        <v>23.52380952</v>
      </c>
      <c r="H356" s="279">
        <v>22.956720430000001</v>
      </c>
      <c r="I356" s="279">
        <v>20.167777780000002</v>
      </c>
      <c r="J356" s="279">
        <v>17.56572581</v>
      </c>
      <c r="K356" s="279">
        <v>13.964722220000001</v>
      </c>
      <c r="L356" s="279">
        <v>13.238844090000001</v>
      </c>
      <c r="M356" s="279">
        <v>15.96129032</v>
      </c>
      <c r="N356" s="279">
        <v>17.30236111</v>
      </c>
      <c r="O356" s="279">
        <v>18.714650540000001</v>
      </c>
      <c r="P356" s="279">
        <v>23.228333330000002</v>
      </c>
      <c r="Q356" s="279">
        <v>23.570161290000001</v>
      </c>
      <c r="R356" s="279">
        <v>19.395075151666671</v>
      </c>
      <c r="S356" s="274">
        <f>SUMIFS(Aux_Lista!Y:Y,Aux_Lista!W:W,Aux_TBS!B356,Aux_Lista!X:X,Aux_TBS!A356)</f>
        <v>2</v>
      </c>
      <c r="T356" s="274" t="s">
        <v>6044</v>
      </c>
      <c r="U356" s="274">
        <v>40</v>
      </c>
    </row>
    <row r="357" spans="1:21" x14ac:dyDescent="0.25">
      <c r="A357" s="277" t="s">
        <v>1479</v>
      </c>
      <c r="B357" s="258" t="s">
        <v>27</v>
      </c>
      <c r="C357" s="274" t="str">
        <f t="shared" si="5"/>
        <v>Caçador, SC</v>
      </c>
      <c r="D357" s="278">
        <v>-26.82</v>
      </c>
      <c r="E357" s="258">
        <v>952</v>
      </c>
      <c r="F357" s="279">
        <v>18.988172039999998</v>
      </c>
      <c r="G357" s="279">
        <v>20.492410710000001</v>
      </c>
      <c r="H357" s="279">
        <v>19.886021509999999</v>
      </c>
      <c r="I357" s="279">
        <v>15.67930556</v>
      </c>
      <c r="J357" s="279">
        <v>13.34045699</v>
      </c>
      <c r="K357" s="279">
        <v>12.565</v>
      </c>
      <c r="L357" s="279">
        <v>13.952553760000001</v>
      </c>
      <c r="M357" s="279">
        <v>14.79502688</v>
      </c>
      <c r="N357" s="279">
        <v>14.214166669999999</v>
      </c>
      <c r="O357" s="279">
        <v>16.65860215</v>
      </c>
      <c r="P357" s="279">
        <v>17.928055560000001</v>
      </c>
      <c r="Q357" s="279">
        <v>19.260618279999999</v>
      </c>
      <c r="R357" s="279">
        <v>16.480032509166666</v>
      </c>
      <c r="S357" s="274">
        <f>SUMIFS(Aux_Lista!Y:Y,Aux_Lista!W:W,Aux_TBS!B357,Aux_Lista!X:X,Aux_TBS!A357)</f>
        <v>2</v>
      </c>
      <c r="T357" s="274" t="s">
        <v>6044</v>
      </c>
      <c r="U357" s="274">
        <v>40</v>
      </c>
    </row>
    <row r="358" spans="1:21" x14ac:dyDescent="0.25">
      <c r="A358" s="277" t="s">
        <v>1200</v>
      </c>
      <c r="B358" s="258" t="s">
        <v>27</v>
      </c>
      <c r="C358" s="274" t="str">
        <f t="shared" si="5"/>
        <v>Curitibanos, SC</v>
      </c>
      <c r="D358" s="278">
        <v>-27.29</v>
      </c>
      <c r="E358" s="258">
        <v>982</v>
      </c>
      <c r="F358" s="279">
        <v>18.967069890000001</v>
      </c>
      <c r="G358" s="279">
        <v>20.334672619999999</v>
      </c>
      <c r="H358" s="279">
        <v>18.757123660000001</v>
      </c>
      <c r="I358" s="279">
        <v>15.88208333</v>
      </c>
      <c r="J358" s="279">
        <v>13.61169355</v>
      </c>
      <c r="K358" s="279">
        <v>12.51791667</v>
      </c>
      <c r="L358" s="279">
        <v>14.404704300000001</v>
      </c>
      <c r="M358" s="279">
        <v>14.078763439999999</v>
      </c>
      <c r="N358" s="279">
        <v>12.77486111</v>
      </c>
      <c r="O358" s="279">
        <v>15.876209680000001</v>
      </c>
      <c r="P358" s="279">
        <v>17.187222219999999</v>
      </c>
      <c r="Q358" s="279">
        <v>18.883602150000002</v>
      </c>
      <c r="R358" s="279">
        <v>16.106326884999998</v>
      </c>
      <c r="S358" s="274">
        <f>SUMIFS(Aux_Lista!Y:Y,Aux_Lista!W:W,Aux_TBS!B358,Aux_Lista!X:X,Aux_TBS!A358)</f>
        <v>2</v>
      </c>
      <c r="T358" s="274" t="s">
        <v>6044</v>
      </c>
      <c r="U358" s="274">
        <v>40</v>
      </c>
    </row>
    <row r="359" spans="1:21" x14ac:dyDescent="0.25">
      <c r="A359" s="277" t="s">
        <v>1163</v>
      </c>
      <c r="B359" s="258" t="s">
        <v>27</v>
      </c>
      <c r="C359" s="274" t="str">
        <f t="shared" si="5"/>
        <v>Dionísio Cerqueira, SC</v>
      </c>
      <c r="D359" s="278">
        <v>-26.29</v>
      </c>
      <c r="E359" s="258">
        <v>810</v>
      </c>
      <c r="F359" s="279">
        <v>21.321102150000002</v>
      </c>
      <c r="G359" s="279">
        <v>22.839732139999999</v>
      </c>
      <c r="H359" s="279">
        <v>22.998924729999999</v>
      </c>
      <c r="I359" s="279">
        <v>20.931944439999999</v>
      </c>
      <c r="J359" s="279">
        <v>17.096774190000001</v>
      </c>
      <c r="K359" s="279">
        <v>13.47236111</v>
      </c>
      <c r="L359" s="279">
        <v>14.084543010000001</v>
      </c>
      <c r="M359" s="279">
        <v>16.72150538</v>
      </c>
      <c r="N359" s="279">
        <v>16.212222220000001</v>
      </c>
      <c r="O359" s="279">
        <v>19.413575269999999</v>
      </c>
      <c r="P359" s="279">
        <v>23.007361110000002</v>
      </c>
      <c r="Q359" s="279">
        <v>22.551075269999998</v>
      </c>
      <c r="R359" s="279">
        <v>19.220926751666667</v>
      </c>
      <c r="S359" s="274">
        <f>SUMIFS(Aux_Lista!Y:Y,Aux_Lista!W:W,Aux_TBS!B359,Aux_Lista!X:X,Aux_TBS!A359)</f>
        <v>2</v>
      </c>
      <c r="T359" s="274" t="s">
        <v>6044</v>
      </c>
      <c r="U359" s="274">
        <v>40</v>
      </c>
    </row>
    <row r="360" spans="1:21" x14ac:dyDescent="0.25">
      <c r="A360" s="277" t="s">
        <v>26</v>
      </c>
      <c r="B360" s="258" t="s">
        <v>27</v>
      </c>
      <c r="C360" s="274" t="str">
        <f t="shared" si="5"/>
        <v>Florianópolis, SC</v>
      </c>
      <c r="D360" s="278">
        <v>-27.6</v>
      </c>
      <c r="E360" s="258">
        <v>2</v>
      </c>
      <c r="F360" s="279">
        <v>24.288172039999999</v>
      </c>
      <c r="G360" s="279">
        <v>24.19494048</v>
      </c>
      <c r="H360" s="279">
        <v>23.580376340000001</v>
      </c>
      <c r="I360" s="279">
        <v>22.28763889</v>
      </c>
      <c r="J360" s="279">
        <v>19.44072581</v>
      </c>
      <c r="K360" s="279">
        <v>18.650555560000001</v>
      </c>
      <c r="L360" s="279">
        <v>17.541935479999999</v>
      </c>
      <c r="M360" s="279">
        <v>16.44448925</v>
      </c>
      <c r="N360" s="279">
        <v>17.842916670000001</v>
      </c>
      <c r="O360" s="279">
        <v>21.250672040000001</v>
      </c>
      <c r="P360" s="279">
        <v>22.218611110000001</v>
      </c>
      <c r="Q360" s="279">
        <v>23.44166667</v>
      </c>
      <c r="R360" s="279">
        <v>20.931891695000001</v>
      </c>
      <c r="S360" s="274">
        <f>SUMIFS(Aux_Lista!Y:Y,Aux_Lista!W:W,Aux_TBS!B360,Aux_Lista!X:X,Aux_TBS!A360)</f>
        <v>3</v>
      </c>
      <c r="T360" s="274" t="s">
        <v>6044</v>
      </c>
      <c r="U360" s="274">
        <v>40</v>
      </c>
    </row>
    <row r="361" spans="1:21" x14ac:dyDescent="0.25">
      <c r="A361" s="277" t="s">
        <v>1203</v>
      </c>
      <c r="B361" s="258" t="s">
        <v>27</v>
      </c>
      <c r="C361" s="274" t="str">
        <f t="shared" si="5"/>
        <v>Indaial, SC</v>
      </c>
      <c r="D361" s="278">
        <v>-26.92</v>
      </c>
      <c r="E361" s="258">
        <v>86</v>
      </c>
      <c r="F361" s="279">
        <v>23.49112903</v>
      </c>
      <c r="G361" s="279">
        <v>24.25</v>
      </c>
      <c r="H361" s="279">
        <v>23.332123660000001</v>
      </c>
      <c r="I361" s="279">
        <v>20.677499999999998</v>
      </c>
      <c r="J361" s="279">
        <v>17.329032260000002</v>
      </c>
      <c r="K361" s="279">
        <v>14.70569444</v>
      </c>
      <c r="L361" s="279">
        <v>17.282930109999999</v>
      </c>
      <c r="M361" s="279">
        <v>17.722311829999999</v>
      </c>
      <c r="N361" s="279">
        <v>17.140277780000002</v>
      </c>
      <c r="O361" s="279">
        <v>20.008064520000001</v>
      </c>
      <c r="P361" s="279">
        <v>20.807916670000001</v>
      </c>
      <c r="Q361" s="279">
        <v>22.939516130000001</v>
      </c>
      <c r="R361" s="279">
        <v>19.973874702499998</v>
      </c>
      <c r="S361" s="274">
        <f>SUMIFS(Aux_Lista!Y:Y,Aux_Lista!W:W,Aux_TBS!B361,Aux_Lista!X:X,Aux_TBS!A361)</f>
        <v>3</v>
      </c>
      <c r="T361" s="274" t="s">
        <v>6044</v>
      </c>
      <c r="U361" s="274">
        <v>40</v>
      </c>
    </row>
    <row r="362" spans="1:21" x14ac:dyDescent="0.25">
      <c r="A362" s="277" t="s">
        <v>552</v>
      </c>
      <c r="B362" s="258" t="s">
        <v>27</v>
      </c>
      <c r="C362" s="274" t="str">
        <f t="shared" si="5"/>
        <v>Itapoá, SC</v>
      </c>
      <c r="D362" s="278">
        <v>-26.12</v>
      </c>
      <c r="E362" s="258">
        <v>2</v>
      </c>
      <c r="F362" s="279">
        <v>23.4594086</v>
      </c>
      <c r="G362" s="279">
        <v>24.027827380000002</v>
      </c>
      <c r="H362" s="279">
        <v>23.42768817</v>
      </c>
      <c r="I362" s="279">
        <v>20.584166669999998</v>
      </c>
      <c r="J362" s="279">
        <v>17.545564519999999</v>
      </c>
      <c r="K362" s="279">
        <v>15.654305559999999</v>
      </c>
      <c r="L362" s="279">
        <v>16.852016129999999</v>
      </c>
      <c r="M362" s="279">
        <v>17.522043010000001</v>
      </c>
      <c r="N362" s="279">
        <v>17.161666669999999</v>
      </c>
      <c r="O362" s="279">
        <v>19.990053759999999</v>
      </c>
      <c r="P362" s="279">
        <v>21.189444439999999</v>
      </c>
      <c r="Q362" s="279">
        <v>22.131317200000002</v>
      </c>
      <c r="R362" s="279">
        <v>19.962125175833332</v>
      </c>
      <c r="S362" s="274">
        <f>SUMIFS(Aux_Lista!Y:Y,Aux_Lista!W:W,Aux_TBS!B362,Aux_Lista!X:X,Aux_TBS!A362)</f>
        <v>5</v>
      </c>
      <c r="T362" s="274" t="s">
        <v>6044</v>
      </c>
      <c r="U362" s="274">
        <v>40</v>
      </c>
    </row>
    <row r="363" spans="1:21" x14ac:dyDescent="0.25">
      <c r="A363" s="277" t="s">
        <v>1169</v>
      </c>
      <c r="B363" s="258" t="s">
        <v>27</v>
      </c>
      <c r="C363" s="274" t="str">
        <f t="shared" si="5"/>
        <v>Ituporanga, SC</v>
      </c>
      <c r="D363" s="278">
        <v>-27.42</v>
      </c>
      <c r="E363" s="258">
        <v>484</v>
      </c>
      <c r="F363" s="279">
        <v>21.14502688</v>
      </c>
      <c r="G363" s="279">
        <v>22.544345239999998</v>
      </c>
      <c r="H363" s="279">
        <v>21.883333329999999</v>
      </c>
      <c r="I363" s="279">
        <v>19.048888890000001</v>
      </c>
      <c r="J363" s="279">
        <v>15.518548389999999</v>
      </c>
      <c r="K363" s="279">
        <v>12.12763889</v>
      </c>
      <c r="L363" s="279">
        <v>12.278629029999999</v>
      </c>
      <c r="M363" s="279">
        <v>14.6858871</v>
      </c>
      <c r="N363" s="279">
        <v>16.136388889999999</v>
      </c>
      <c r="O363" s="279">
        <v>17.56061828</v>
      </c>
      <c r="P363" s="279">
        <v>22.644444440000001</v>
      </c>
      <c r="Q363" s="279">
        <v>22.576209680000002</v>
      </c>
      <c r="R363" s="279">
        <v>18.179163253333336</v>
      </c>
      <c r="S363" s="274">
        <f>SUMIFS(Aux_Lista!Y:Y,Aux_Lista!W:W,Aux_TBS!B363,Aux_Lista!X:X,Aux_TBS!A363)</f>
        <v>2</v>
      </c>
      <c r="T363" s="274" t="s">
        <v>6044</v>
      </c>
      <c r="U363" s="274">
        <v>40</v>
      </c>
    </row>
    <row r="364" spans="1:21" x14ac:dyDescent="0.25">
      <c r="A364" s="277" t="s">
        <v>1525</v>
      </c>
      <c r="B364" s="258" t="s">
        <v>27</v>
      </c>
      <c r="C364" s="274" t="str">
        <f t="shared" si="5"/>
        <v>Joaçaba, SC</v>
      </c>
      <c r="D364" s="278">
        <v>-27.17</v>
      </c>
      <c r="E364" s="258">
        <v>776</v>
      </c>
      <c r="F364" s="279">
        <v>21.15013441</v>
      </c>
      <c r="G364" s="279">
        <v>20.931249999999999</v>
      </c>
      <c r="H364" s="279">
        <v>20.4108871</v>
      </c>
      <c r="I364" s="279">
        <v>16.524999999999999</v>
      </c>
      <c r="J364" s="279">
        <v>14.496908599999999</v>
      </c>
      <c r="K364" s="279">
        <v>13.48569444</v>
      </c>
      <c r="L364" s="279">
        <v>15.38534946</v>
      </c>
      <c r="M364" s="279">
        <v>16.182661289999999</v>
      </c>
      <c r="N364" s="279">
        <v>15.21097222</v>
      </c>
      <c r="O364" s="279">
        <v>17.669220429999999</v>
      </c>
      <c r="P364" s="279">
        <v>19.318055560000001</v>
      </c>
      <c r="Q364" s="279">
        <v>20.79435484</v>
      </c>
      <c r="R364" s="279">
        <v>17.630040695833333</v>
      </c>
      <c r="S364" s="274">
        <f>SUMIFS(Aux_Lista!Y:Y,Aux_Lista!W:W,Aux_TBS!B364,Aux_Lista!X:X,Aux_TBS!A364)</f>
        <v>2</v>
      </c>
      <c r="T364" s="274" t="s">
        <v>6044</v>
      </c>
      <c r="U364" s="274">
        <v>40</v>
      </c>
    </row>
    <row r="365" spans="1:21" x14ac:dyDescent="0.25">
      <c r="A365" s="277" t="s">
        <v>1235</v>
      </c>
      <c r="B365" s="258" t="s">
        <v>27</v>
      </c>
      <c r="C365" s="274" t="str">
        <f t="shared" si="5"/>
        <v>Major Vieira, SC</v>
      </c>
      <c r="D365" s="278">
        <v>-26.4</v>
      </c>
      <c r="E365" s="258">
        <v>808</v>
      </c>
      <c r="F365" s="279">
        <v>19.226344090000001</v>
      </c>
      <c r="G365" s="279">
        <v>20.62872024</v>
      </c>
      <c r="H365" s="279">
        <v>20.64314516</v>
      </c>
      <c r="I365" s="279">
        <v>17.824861110000001</v>
      </c>
      <c r="J365" s="279">
        <v>14.6780914</v>
      </c>
      <c r="K365" s="279">
        <v>11.440277780000001</v>
      </c>
      <c r="L365" s="279">
        <v>11.53333333</v>
      </c>
      <c r="M365" s="279">
        <v>13.601612899999999</v>
      </c>
      <c r="N365" s="279">
        <v>15.323472219999999</v>
      </c>
      <c r="O365" s="279">
        <v>16.788037630000002</v>
      </c>
      <c r="P365" s="279">
        <v>21.844999999999999</v>
      </c>
      <c r="Q365" s="279">
        <v>20.35215054</v>
      </c>
      <c r="R365" s="279">
        <v>16.990420533333332</v>
      </c>
      <c r="S365" s="274">
        <f>SUMIFS(Aux_Lista!Y:Y,Aux_Lista!W:W,Aux_TBS!B365,Aux_Lista!X:X,Aux_TBS!A365)</f>
        <v>2</v>
      </c>
      <c r="T365" s="274" t="s">
        <v>6044</v>
      </c>
      <c r="U365" s="274">
        <v>40</v>
      </c>
    </row>
    <row r="366" spans="1:21" x14ac:dyDescent="0.25">
      <c r="A366" s="277" t="s">
        <v>939</v>
      </c>
      <c r="B366" s="258" t="s">
        <v>27</v>
      </c>
      <c r="C366" s="274" t="str">
        <f t="shared" si="5"/>
        <v>Novo Horizonte, SC</v>
      </c>
      <c r="D366" s="278">
        <v>-26.41</v>
      </c>
      <c r="E366" s="258">
        <v>960</v>
      </c>
      <c r="F366" s="279">
        <v>19.90201613</v>
      </c>
      <c r="G366" s="279">
        <v>21.64806548</v>
      </c>
      <c r="H366" s="279">
        <v>21.46827957</v>
      </c>
      <c r="I366" s="279">
        <v>19.91444444</v>
      </c>
      <c r="J366" s="279">
        <v>16.472715050000001</v>
      </c>
      <c r="K366" s="279">
        <v>12.56833333</v>
      </c>
      <c r="L366" s="279">
        <v>12.837365589999999</v>
      </c>
      <c r="M366" s="279">
        <v>15.70362903</v>
      </c>
      <c r="N366" s="279">
        <v>15.43305556</v>
      </c>
      <c r="O366" s="279">
        <v>18.240860219999998</v>
      </c>
      <c r="P366" s="279">
        <v>21.925694440000001</v>
      </c>
      <c r="Q366" s="279">
        <v>21.36895161</v>
      </c>
      <c r="R366" s="279">
        <v>18.123617537500003</v>
      </c>
      <c r="S366" s="274">
        <f>SUMIFS(Aux_Lista!Y:Y,Aux_Lista!W:W,Aux_TBS!B366,Aux_Lista!X:X,Aux_TBS!A366)</f>
        <v>2</v>
      </c>
      <c r="T366" s="274" t="s">
        <v>6044</v>
      </c>
      <c r="U366" s="274">
        <v>40</v>
      </c>
    </row>
    <row r="367" spans="1:21" x14ac:dyDescent="0.25">
      <c r="A367" s="277" t="s">
        <v>1244</v>
      </c>
      <c r="B367" s="258" t="s">
        <v>27</v>
      </c>
      <c r="C367" s="274" t="str">
        <f t="shared" si="5"/>
        <v>Rio Negrinho, SC</v>
      </c>
      <c r="D367" s="278">
        <v>-26.25</v>
      </c>
      <c r="E367" s="258">
        <v>869</v>
      </c>
      <c r="F367" s="279">
        <v>19.226344090000001</v>
      </c>
      <c r="G367" s="279">
        <v>20.501339290000001</v>
      </c>
      <c r="H367" s="279">
        <v>20.308198919999999</v>
      </c>
      <c r="I367" s="279">
        <v>16.52305556</v>
      </c>
      <c r="J367" s="279">
        <v>14.05806452</v>
      </c>
      <c r="K367" s="279">
        <v>12.69569444</v>
      </c>
      <c r="L367" s="279">
        <v>13.327822579999999</v>
      </c>
      <c r="M367" s="279">
        <v>14.70107527</v>
      </c>
      <c r="N367" s="279">
        <v>13.178750000000001</v>
      </c>
      <c r="O367" s="279">
        <v>16.601612899999999</v>
      </c>
      <c r="P367" s="279">
        <v>17.055138889999998</v>
      </c>
      <c r="Q367" s="279">
        <v>18.837499999999999</v>
      </c>
      <c r="R367" s="279">
        <v>16.417883038333333</v>
      </c>
      <c r="S367" s="274">
        <f>SUMIFS(Aux_Lista!Y:Y,Aux_Lista!W:W,Aux_TBS!B367,Aux_Lista!X:X,Aux_TBS!A367)</f>
        <v>3</v>
      </c>
      <c r="T367" s="274" t="s">
        <v>6044</v>
      </c>
      <c r="U367" s="274">
        <v>40</v>
      </c>
    </row>
    <row r="368" spans="1:21" x14ac:dyDescent="0.25">
      <c r="A368" s="277" t="s">
        <v>917</v>
      </c>
      <c r="B368" s="258" t="s">
        <v>27</v>
      </c>
      <c r="C368" s="274" t="str">
        <f t="shared" si="5"/>
        <v>Laguna, SC</v>
      </c>
      <c r="D368" s="278">
        <v>-28.6</v>
      </c>
      <c r="E368" s="258">
        <v>52</v>
      </c>
      <c r="F368" s="279">
        <v>22.063709679999999</v>
      </c>
      <c r="G368" s="279">
        <v>22.535267860000001</v>
      </c>
      <c r="H368" s="279">
        <v>23.541935479999999</v>
      </c>
      <c r="I368" s="279">
        <v>21.539305559999999</v>
      </c>
      <c r="J368" s="279">
        <v>19.301075269999998</v>
      </c>
      <c r="K368" s="279">
        <v>15.216805559999999</v>
      </c>
      <c r="L368" s="279">
        <v>17.438172040000001</v>
      </c>
      <c r="M368" s="279">
        <v>16.415322580000002</v>
      </c>
      <c r="N368" s="279">
        <v>16.480555559999999</v>
      </c>
      <c r="O368" s="279">
        <v>18.668279569999999</v>
      </c>
      <c r="P368" s="279">
        <v>19.552638890000001</v>
      </c>
      <c r="Q368" s="279">
        <v>20.542607530000002</v>
      </c>
      <c r="R368" s="279">
        <v>19.441306298333334</v>
      </c>
      <c r="S368" s="274">
        <f>SUMIFS(Aux_Lista!Y:Y,Aux_Lista!W:W,Aux_TBS!B368,Aux_Lista!X:X,Aux_TBS!A368)</f>
        <v>2</v>
      </c>
      <c r="T368" s="274" t="s">
        <v>6044</v>
      </c>
      <c r="U368" s="274">
        <v>40</v>
      </c>
    </row>
    <row r="369" spans="1:21" x14ac:dyDescent="0.25">
      <c r="A369" s="277" t="s">
        <v>341</v>
      </c>
      <c r="B369" s="258" t="s">
        <v>27</v>
      </c>
      <c r="C369" s="274" t="str">
        <f t="shared" si="5"/>
        <v>São Joaquim, SC</v>
      </c>
      <c r="D369" s="278">
        <v>-28.28</v>
      </c>
      <c r="E369" s="258">
        <v>1410</v>
      </c>
      <c r="F369" s="279">
        <v>15.950537629999999</v>
      </c>
      <c r="G369" s="279">
        <v>17.46830357</v>
      </c>
      <c r="H369" s="279">
        <v>16.829032260000002</v>
      </c>
      <c r="I369" s="279">
        <v>14.06666667</v>
      </c>
      <c r="J369" s="279">
        <v>11.71155914</v>
      </c>
      <c r="K369" s="279">
        <v>10.35166667</v>
      </c>
      <c r="L369" s="279">
        <v>12.58185484</v>
      </c>
      <c r="M369" s="279">
        <v>11.903763440000001</v>
      </c>
      <c r="N369" s="279">
        <v>10.65319444</v>
      </c>
      <c r="O369" s="279">
        <v>13.00766129</v>
      </c>
      <c r="P369" s="279">
        <v>13.836111109999999</v>
      </c>
      <c r="Q369" s="279">
        <v>15.453897850000001</v>
      </c>
      <c r="R369" s="279">
        <v>13.651187409166667</v>
      </c>
      <c r="S369" s="274">
        <f>SUMIFS(Aux_Lista!Y:Y,Aux_Lista!W:W,Aux_TBS!B369,Aux_Lista!X:X,Aux_TBS!A369)</f>
        <v>1</v>
      </c>
      <c r="T369" s="274" t="s">
        <v>6044</v>
      </c>
      <c r="U369" s="274">
        <v>40</v>
      </c>
    </row>
    <row r="370" spans="1:21" x14ac:dyDescent="0.25">
      <c r="A370" s="277" t="s">
        <v>5882</v>
      </c>
      <c r="B370" s="258" t="s">
        <v>27</v>
      </c>
      <c r="C370" s="274" t="str">
        <f t="shared" si="5"/>
        <v>São Miguel d'Oeste, SC</v>
      </c>
      <c r="D370" s="278">
        <v>-26.78</v>
      </c>
      <c r="E370" s="258">
        <v>665</v>
      </c>
      <c r="F370" s="279">
        <v>22.570698920000002</v>
      </c>
      <c r="G370" s="279">
        <v>24.602232140000002</v>
      </c>
      <c r="H370" s="279">
        <v>23.217204299999999</v>
      </c>
      <c r="I370" s="279">
        <v>19.022916670000001</v>
      </c>
      <c r="J370" s="279">
        <v>16.202553760000001</v>
      </c>
      <c r="K370" s="279">
        <v>13.29972222</v>
      </c>
      <c r="L370" s="279">
        <v>18.586827960000001</v>
      </c>
      <c r="M370" s="279">
        <v>17.799731179999998</v>
      </c>
      <c r="N370" s="279">
        <v>15.601388890000001</v>
      </c>
      <c r="O370" s="279">
        <v>19.634543010000002</v>
      </c>
      <c r="P370" s="279">
        <v>21.832777780000001</v>
      </c>
      <c r="Q370" s="279">
        <v>23.65430108</v>
      </c>
      <c r="R370" s="279">
        <v>19.668741492500001</v>
      </c>
      <c r="S370" s="274">
        <f>SUMIFS(Aux_Lista!Y:Y,Aux_Lista!W:W,Aux_TBS!B370,Aux_Lista!X:X,Aux_TBS!A370)</f>
        <v>2</v>
      </c>
      <c r="T370" s="274" t="s">
        <v>6044</v>
      </c>
      <c r="U370" s="274">
        <v>40</v>
      </c>
    </row>
    <row r="371" spans="1:21" x14ac:dyDescent="0.25">
      <c r="A371" s="277" t="s">
        <v>254</v>
      </c>
      <c r="B371" s="258" t="s">
        <v>27</v>
      </c>
      <c r="C371" s="274" t="str">
        <f t="shared" si="5"/>
        <v>Urubici, SC</v>
      </c>
      <c r="D371" s="278">
        <v>-28.13</v>
      </c>
      <c r="E371" s="258">
        <v>1810</v>
      </c>
      <c r="F371" s="279">
        <v>12.443010749999999</v>
      </c>
      <c r="G371" s="279">
        <v>13.25758929</v>
      </c>
      <c r="H371" s="279">
        <v>13.19784946</v>
      </c>
      <c r="I371" s="279">
        <v>11.90666667</v>
      </c>
      <c r="J371" s="279">
        <v>10.27177419</v>
      </c>
      <c r="K371" s="279">
        <v>7.8927777780000001</v>
      </c>
      <c r="L371" s="279">
        <v>9.7053763439999994</v>
      </c>
      <c r="M371" s="279">
        <v>10.337365589999999</v>
      </c>
      <c r="N371" s="279">
        <v>8.4208333329999991</v>
      </c>
      <c r="O371" s="279">
        <v>10.12123656</v>
      </c>
      <c r="P371" s="279">
        <v>10.43958333</v>
      </c>
      <c r="Q371" s="279">
        <v>12.09744624</v>
      </c>
      <c r="R371" s="279">
        <v>10.840959127916669</v>
      </c>
      <c r="S371" s="274">
        <f>SUMIFS(Aux_Lista!Y:Y,Aux_Lista!W:W,Aux_TBS!B371,Aux_Lista!X:X,Aux_TBS!A371)</f>
        <v>1</v>
      </c>
      <c r="T371" s="274" t="s">
        <v>6044</v>
      </c>
      <c r="U371" s="274">
        <v>40</v>
      </c>
    </row>
    <row r="372" spans="1:21" x14ac:dyDescent="0.25">
      <c r="A372" s="277" t="s">
        <v>1570</v>
      </c>
      <c r="B372" s="258" t="s">
        <v>27</v>
      </c>
      <c r="C372" s="274" t="str">
        <f t="shared" si="5"/>
        <v>Urussanga, SC</v>
      </c>
      <c r="D372" s="278">
        <v>-28.53</v>
      </c>
      <c r="E372" s="258">
        <v>48</v>
      </c>
      <c r="F372" s="279">
        <v>22.638844089999999</v>
      </c>
      <c r="G372" s="279">
        <v>23.80833333</v>
      </c>
      <c r="H372" s="279">
        <v>23.33575269</v>
      </c>
      <c r="I372" s="279">
        <v>20.525138890000001</v>
      </c>
      <c r="J372" s="279">
        <v>17.785080650000001</v>
      </c>
      <c r="K372" s="279">
        <v>14.00111111</v>
      </c>
      <c r="L372" s="279">
        <v>13.449731180000001</v>
      </c>
      <c r="M372" s="279">
        <v>16.660618280000001</v>
      </c>
      <c r="N372" s="279">
        <v>17.35347222</v>
      </c>
      <c r="O372" s="279">
        <v>18.91276882</v>
      </c>
      <c r="P372" s="279">
        <v>23.87805556</v>
      </c>
      <c r="Q372" s="279">
        <v>23.704569889999998</v>
      </c>
      <c r="R372" s="279">
        <v>19.671123059166664</v>
      </c>
      <c r="S372" s="274">
        <f>SUMIFS(Aux_Lista!Y:Y,Aux_Lista!W:W,Aux_TBS!B372,Aux_Lista!X:X,Aux_TBS!A372)</f>
        <v>2</v>
      </c>
      <c r="T372" s="274" t="s">
        <v>6044</v>
      </c>
      <c r="U372" s="274">
        <v>40</v>
      </c>
    </row>
    <row r="373" spans="1:21" x14ac:dyDescent="0.25">
      <c r="A373" s="277" t="s">
        <v>1144</v>
      </c>
      <c r="B373" s="258" t="s">
        <v>27</v>
      </c>
      <c r="C373" s="274" t="str">
        <f t="shared" si="5"/>
        <v>Xanxerê, SC</v>
      </c>
      <c r="D373" s="278">
        <v>-26.94</v>
      </c>
      <c r="E373" s="258">
        <v>889</v>
      </c>
      <c r="F373" s="279">
        <v>20.251747309999999</v>
      </c>
      <c r="G373" s="279">
        <v>21.910565479999999</v>
      </c>
      <c r="H373" s="279">
        <v>21.115456989999998</v>
      </c>
      <c r="I373" s="279">
        <v>17.555972220000001</v>
      </c>
      <c r="J373" s="279">
        <v>15.32526882</v>
      </c>
      <c r="K373" s="279">
        <v>13.57680556</v>
      </c>
      <c r="L373" s="279">
        <v>17.378897850000001</v>
      </c>
      <c r="M373" s="279">
        <v>16.149999999999999</v>
      </c>
      <c r="N373" s="279">
        <v>14.58708333</v>
      </c>
      <c r="O373" s="279">
        <v>17.988978490000001</v>
      </c>
      <c r="P373" s="279">
        <v>19.56930556</v>
      </c>
      <c r="Q373" s="279">
        <v>21.222849459999999</v>
      </c>
      <c r="R373" s="279">
        <v>18.052744255833336</v>
      </c>
      <c r="S373" s="274">
        <f>SUMIFS(Aux_Lista!Y:Y,Aux_Lista!W:W,Aux_TBS!B373,Aux_Lista!X:X,Aux_TBS!A373)</f>
        <v>2</v>
      </c>
      <c r="T373" s="274" t="s">
        <v>6044</v>
      </c>
      <c r="U373" s="274">
        <v>40</v>
      </c>
    </row>
    <row r="374" spans="1:21" x14ac:dyDescent="0.25">
      <c r="A374" s="277" t="s">
        <v>4864</v>
      </c>
      <c r="B374" s="258" t="s">
        <v>69</v>
      </c>
      <c r="C374" s="274" t="str">
        <f t="shared" si="5"/>
        <v>Aracaju, SE</v>
      </c>
      <c r="D374" s="278">
        <v>-10.91</v>
      </c>
      <c r="E374" s="258">
        <v>5</v>
      </c>
      <c r="F374" s="279">
        <v>27.453494620000001</v>
      </c>
      <c r="G374" s="279">
        <v>27.999255949999998</v>
      </c>
      <c r="H374" s="279">
        <v>27.859543009999999</v>
      </c>
      <c r="I374" s="279">
        <v>27.878472219999999</v>
      </c>
      <c r="J374" s="279">
        <v>26.48091398</v>
      </c>
      <c r="K374" s="279">
        <v>25.58736111</v>
      </c>
      <c r="L374" s="279">
        <v>25.00241935</v>
      </c>
      <c r="M374" s="279">
        <v>24.90900538</v>
      </c>
      <c r="N374" s="279">
        <v>25.59791667</v>
      </c>
      <c r="O374" s="279">
        <v>26.041935479999999</v>
      </c>
      <c r="P374" s="279">
        <v>26.399583329999999</v>
      </c>
      <c r="Q374" s="279">
        <v>27.260080649999999</v>
      </c>
      <c r="R374" s="279">
        <v>26.539165145833334</v>
      </c>
      <c r="S374" s="274">
        <f>SUMIFS(Aux_Lista!Y:Y,Aux_Lista!W:W,Aux_TBS!B374,Aux_Lista!X:X,Aux_TBS!A374)</f>
        <v>8</v>
      </c>
      <c r="T374" s="274" t="s">
        <v>6041</v>
      </c>
      <c r="U374" s="274">
        <v>38</v>
      </c>
    </row>
    <row r="375" spans="1:21" x14ac:dyDescent="0.25">
      <c r="A375" s="277" t="s">
        <v>4875</v>
      </c>
      <c r="B375" s="258" t="s">
        <v>69</v>
      </c>
      <c r="C375" s="274" t="str">
        <f t="shared" si="5"/>
        <v>Brejo Grande, SE</v>
      </c>
      <c r="D375" s="278">
        <v>-10.47</v>
      </c>
      <c r="E375" s="258">
        <v>10</v>
      </c>
      <c r="F375" s="279">
        <v>27.379569889999999</v>
      </c>
      <c r="G375" s="279">
        <v>27.254017860000001</v>
      </c>
      <c r="H375" s="279">
        <v>27.47956989</v>
      </c>
      <c r="I375" s="279">
        <v>27.236944439999998</v>
      </c>
      <c r="J375" s="279">
        <v>25.716532260000001</v>
      </c>
      <c r="K375" s="279">
        <v>25.447916670000001</v>
      </c>
      <c r="L375" s="279">
        <v>24.707392469999998</v>
      </c>
      <c r="M375" s="279">
        <v>24.754032259999999</v>
      </c>
      <c r="N375" s="279">
        <v>25.303055560000001</v>
      </c>
      <c r="O375" s="279">
        <v>26.362231179999998</v>
      </c>
      <c r="P375" s="279">
        <v>26.877500000000001</v>
      </c>
      <c r="Q375" s="279">
        <v>27.268010749999998</v>
      </c>
      <c r="R375" s="279">
        <v>26.315564435833334</v>
      </c>
      <c r="S375" s="274">
        <f>SUMIFS(Aux_Lista!Y:Y,Aux_Lista!W:W,Aux_TBS!B375,Aux_Lista!X:X,Aux_TBS!A375)</f>
        <v>8</v>
      </c>
      <c r="T375" s="274" t="s">
        <v>6041</v>
      </c>
      <c r="U375" s="274">
        <v>38</v>
      </c>
    </row>
    <row r="376" spans="1:21" x14ac:dyDescent="0.25">
      <c r="A376" s="277" t="s">
        <v>3339</v>
      </c>
      <c r="B376" s="258" t="s">
        <v>69</v>
      </c>
      <c r="C376" s="274" t="str">
        <f t="shared" si="5"/>
        <v>Carira, SE</v>
      </c>
      <c r="D376" s="278">
        <v>-10.4</v>
      </c>
      <c r="E376" s="258">
        <v>308</v>
      </c>
      <c r="F376" s="279">
        <v>26.264112900000001</v>
      </c>
      <c r="G376" s="279">
        <v>26.028869050000001</v>
      </c>
      <c r="H376" s="279">
        <v>26.543010750000001</v>
      </c>
      <c r="I376" s="279">
        <v>24.981111110000001</v>
      </c>
      <c r="J376" s="279">
        <v>23.1202957</v>
      </c>
      <c r="K376" s="279">
        <v>21.734999999999999</v>
      </c>
      <c r="L376" s="279">
        <v>20.768413979999998</v>
      </c>
      <c r="M376" s="279">
        <v>21.382123660000001</v>
      </c>
      <c r="N376" s="279">
        <v>22.749166670000001</v>
      </c>
      <c r="O376" s="279">
        <v>24.27836022</v>
      </c>
      <c r="P376" s="279">
        <v>26.18041667</v>
      </c>
      <c r="Q376" s="279">
        <v>26.244758059999999</v>
      </c>
      <c r="R376" s="279">
        <v>24.189636564166662</v>
      </c>
      <c r="S376" s="274">
        <f>SUMIFS(Aux_Lista!Y:Y,Aux_Lista!W:W,Aux_TBS!B376,Aux_Lista!X:X,Aux_TBS!A376)</f>
        <v>8</v>
      </c>
      <c r="T376" s="274" t="s">
        <v>6041</v>
      </c>
      <c r="U376" s="274">
        <v>38</v>
      </c>
    </row>
    <row r="377" spans="1:21" x14ac:dyDescent="0.25">
      <c r="A377" s="277" t="s">
        <v>4973</v>
      </c>
      <c r="B377" s="258" t="s">
        <v>69</v>
      </c>
      <c r="C377" s="274" t="str">
        <f t="shared" si="5"/>
        <v>Itabaianinha, SE</v>
      </c>
      <c r="D377" s="278">
        <v>-11.27</v>
      </c>
      <c r="E377" s="258">
        <v>208</v>
      </c>
      <c r="F377" s="279">
        <v>26.658333330000001</v>
      </c>
      <c r="G377" s="279">
        <v>26.07633929</v>
      </c>
      <c r="H377" s="279">
        <v>26.622446239999999</v>
      </c>
      <c r="I377" s="279">
        <v>25.17958333</v>
      </c>
      <c r="J377" s="279">
        <v>24.837365590000001</v>
      </c>
      <c r="K377" s="279">
        <v>22.789305559999999</v>
      </c>
      <c r="L377" s="279">
        <v>22.217069890000001</v>
      </c>
      <c r="M377" s="279">
        <v>21.806586020000001</v>
      </c>
      <c r="N377" s="279">
        <v>22.530694440000001</v>
      </c>
      <c r="O377" s="279">
        <v>24.90524194</v>
      </c>
      <c r="P377" s="279">
        <v>25.45444444</v>
      </c>
      <c r="Q377" s="279">
        <v>26.222849459999999</v>
      </c>
      <c r="R377" s="279">
        <v>24.608354960833335</v>
      </c>
      <c r="S377" s="274">
        <f>SUMIFS(Aux_Lista!Y:Y,Aux_Lista!W:W,Aux_TBS!B377,Aux_Lista!X:X,Aux_TBS!A377)</f>
        <v>8</v>
      </c>
      <c r="T377" s="274" t="s">
        <v>6041</v>
      </c>
      <c r="U377" s="274">
        <v>38</v>
      </c>
    </row>
    <row r="378" spans="1:21" x14ac:dyDescent="0.25">
      <c r="A378" s="277" t="s">
        <v>3327</v>
      </c>
      <c r="B378" s="258" t="s">
        <v>69</v>
      </c>
      <c r="C378" s="274" t="str">
        <f t="shared" si="5"/>
        <v>Poço Verde, SE</v>
      </c>
      <c r="D378" s="278">
        <v>-10.74</v>
      </c>
      <c r="E378" s="258">
        <v>362</v>
      </c>
      <c r="F378" s="279">
        <v>26.189516130000001</v>
      </c>
      <c r="G378" s="279">
        <v>26.12827381</v>
      </c>
      <c r="H378" s="279">
        <v>26.458602150000001</v>
      </c>
      <c r="I378" s="279">
        <v>24.99472222</v>
      </c>
      <c r="J378" s="279">
        <v>22.827822579999999</v>
      </c>
      <c r="K378" s="279">
        <v>21.450416669999999</v>
      </c>
      <c r="L378" s="279">
        <v>20.44596774</v>
      </c>
      <c r="M378" s="279">
        <v>21.146639780000001</v>
      </c>
      <c r="N378" s="279">
        <v>22.768194439999998</v>
      </c>
      <c r="O378" s="279">
        <v>24.126612900000001</v>
      </c>
      <c r="P378" s="279">
        <v>25.79972222</v>
      </c>
      <c r="Q378" s="279">
        <v>25.92069892</v>
      </c>
      <c r="R378" s="279">
        <v>24.02143246333333</v>
      </c>
      <c r="S378" s="274">
        <f>SUMIFS(Aux_Lista!Y:Y,Aux_Lista!W:W,Aux_TBS!B378,Aux_Lista!X:X,Aux_TBS!A378)</f>
        <v>8</v>
      </c>
      <c r="T378" s="274" t="s">
        <v>6041</v>
      </c>
      <c r="U378" s="274">
        <v>38</v>
      </c>
    </row>
    <row r="379" spans="1:21" x14ac:dyDescent="0.25">
      <c r="A379" s="277" t="s">
        <v>3768</v>
      </c>
      <c r="B379" s="258" t="s">
        <v>258</v>
      </c>
      <c r="C379" s="274" t="str">
        <f t="shared" si="5"/>
        <v>Ariranha, SP</v>
      </c>
      <c r="D379" s="278">
        <v>-21.13</v>
      </c>
      <c r="E379" s="258">
        <v>525</v>
      </c>
      <c r="F379" s="279">
        <v>23.674596770000001</v>
      </c>
      <c r="G379" s="279">
        <v>23.997619050000001</v>
      </c>
      <c r="H379" s="279">
        <v>23.19314516</v>
      </c>
      <c r="I379" s="279">
        <v>22.33777778</v>
      </c>
      <c r="J379" s="279">
        <v>18.7188172</v>
      </c>
      <c r="K379" s="279">
        <v>19.06319444</v>
      </c>
      <c r="L379" s="279">
        <v>19.03172043</v>
      </c>
      <c r="M379" s="279">
        <v>21.546370970000002</v>
      </c>
      <c r="N379" s="279">
        <v>21.319166670000001</v>
      </c>
      <c r="O379" s="279">
        <v>24.641935480000001</v>
      </c>
      <c r="P379" s="279">
        <v>24.666666670000001</v>
      </c>
      <c r="Q379" s="279">
        <v>24.187634410000001</v>
      </c>
      <c r="R379" s="279">
        <v>22.19822041916667</v>
      </c>
      <c r="S379" s="274">
        <f>SUMIFS(Aux_Lista!Y:Y,Aux_Lista!W:W,Aux_TBS!B379,Aux_Lista!X:X,Aux_TBS!A379)</f>
        <v>6</v>
      </c>
      <c r="T379" s="274" t="s">
        <v>6043</v>
      </c>
      <c r="U379" s="274">
        <v>40</v>
      </c>
    </row>
    <row r="380" spans="1:21" x14ac:dyDescent="0.25">
      <c r="A380" s="277" t="s">
        <v>554</v>
      </c>
      <c r="B380" s="258" t="s">
        <v>258</v>
      </c>
      <c r="C380" s="274" t="str">
        <f t="shared" si="5"/>
        <v>Avaré, SP</v>
      </c>
      <c r="D380" s="278">
        <v>-23.1</v>
      </c>
      <c r="E380" s="258">
        <v>654</v>
      </c>
      <c r="F380" s="279">
        <v>21.412231179999999</v>
      </c>
      <c r="G380" s="279">
        <v>22.2046131</v>
      </c>
      <c r="H380" s="279">
        <v>21.693682800000001</v>
      </c>
      <c r="I380" s="279">
        <v>19.872083329999999</v>
      </c>
      <c r="J380" s="279">
        <v>16.51491935</v>
      </c>
      <c r="K380" s="279">
        <v>16.62277778</v>
      </c>
      <c r="L380" s="279">
        <v>17.295161289999999</v>
      </c>
      <c r="M380" s="279">
        <v>18.436827959999999</v>
      </c>
      <c r="N380" s="279">
        <v>17.686527779999999</v>
      </c>
      <c r="O380" s="279">
        <v>20.81155914</v>
      </c>
      <c r="P380" s="279">
        <v>20.770138889999998</v>
      </c>
      <c r="Q380" s="279">
        <v>21.94637097</v>
      </c>
      <c r="R380" s="279">
        <v>19.605574464166668</v>
      </c>
      <c r="S380" s="274">
        <f>SUMIFS(Aux_Lista!Y:Y,Aux_Lista!W:W,Aux_TBS!B380,Aux_Lista!X:X,Aux_TBS!A380)</f>
        <v>3</v>
      </c>
      <c r="T380" s="274" t="s">
        <v>6043</v>
      </c>
      <c r="U380" s="274">
        <v>40</v>
      </c>
    </row>
    <row r="381" spans="1:21" x14ac:dyDescent="0.25">
      <c r="A381" s="277" t="s">
        <v>2598</v>
      </c>
      <c r="B381" s="258" t="s">
        <v>258</v>
      </c>
      <c r="C381" s="274" t="str">
        <f t="shared" si="5"/>
        <v>Bauru, SP</v>
      </c>
      <c r="D381" s="278">
        <v>-22.32</v>
      </c>
      <c r="E381" s="258">
        <v>550</v>
      </c>
      <c r="F381" s="279">
        <v>22.0891129</v>
      </c>
      <c r="G381" s="279">
        <v>23.01979167</v>
      </c>
      <c r="H381" s="279">
        <v>22.5094086</v>
      </c>
      <c r="I381" s="279">
        <v>21.072083330000002</v>
      </c>
      <c r="J381" s="279">
        <v>17.828629029999998</v>
      </c>
      <c r="K381" s="279">
        <v>17.913611110000002</v>
      </c>
      <c r="L381" s="279">
        <v>18.398655909999999</v>
      </c>
      <c r="M381" s="279">
        <v>20</v>
      </c>
      <c r="N381" s="279">
        <v>19.574027780000002</v>
      </c>
      <c r="O381" s="279">
        <v>22.391263439999999</v>
      </c>
      <c r="P381" s="279">
        <v>22.353333330000002</v>
      </c>
      <c r="Q381" s="279">
        <v>23.075403229999999</v>
      </c>
      <c r="R381" s="279">
        <v>20.8521100275</v>
      </c>
      <c r="S381" s="274">
        <f>SUMIFS(Aux_Lista!Y:Y,Aux_Lista!W:W,Aux_TBS!B381,Aux_Lista!X:X,Aux_TBS!A381)</f>
        <v>4</v>
      </c>
      <c r="T381" s="274" t="s">
        <v>6043</v>
      </c>
      <c r="U381" s="274">
        <v>40</v>
      </c>
    </row>
    <row r="382" spans="1:21" x14ac:dyDescent="0.25">
      <c r="A382" s="277" t="s">
        <v>3501</v>
      </c>
      <c r="B382" s="258" t="s">
        <v>258</v>
      </c>
      <c r="C382" s="274" t="str">
        <f t="shared" si="5"/>
        <v>Campinas, SP</v>
      </c>
      <c r="D382" s="278">
        <v>-22.82</v>
      </c>
      <c r="E382" s="258">
        <v>640</v>
      </c>
      <c r="F382" s="279">
        <v>22.1563172</v>
      </c>
      <c r="G382" s="279">
        <v>21.356994050000001</v>
      </c>
      <c r="H382" s="279">
        <v>23.762096769999999</v>
      </c>
      <c r="I382" s="279">
        <v>23.853055560000001</v>
      </c>
      <c r="J382" s="279">
        <v>20.10026882</v>
      </c>
      <c r="K382" s="279">
        <v>20.135416670000001</v>
      </c>
      <c r="L382" s="279">
        <v>18.11465054</v>
      </c>
      <c r="M382" s="279">
        <v>21.817338710000001</v>
      </c>
      <c r="N382" s="279">
        <v>20.802499999999998</v>
      </c>
      <c r="O382" s="279">
        <v>25.406854840000001</v>
      </c>
      <c r="P382" s="279">
        <v>22.9025</v>
      </c>
      <c r="Q382" s="279">
        <v>23.995430110000001</v>
      </c>
      <c r="R382" s="279">
        <v>22.033618605833336</v>
      </c>
      <c r="S382" s="274">
        <f>SUMIFS(Aux_Lista!Y:Y,Aux_Lista!W:W,Aux_TBS!B382,Aux_Lista!X:X,Aux_TBS!A382)</f>
        <v>3</v>
      </c>
      <c r="T382" s="274" t="s">
        <v>6043</v>
      </c>
      <c r="U382" s="274">
        <v>40</v>
      </c>
    </row>
    <row r="383" spans="1:21" x14ac:dyDescent="0.25">
      <c r="A383" s="277" t="s">
        <v>557</v>
      </c>
      <c r="B383" s="258" t="s">
        <v>258</v>
      </c>
      <c r="C383" s="274" t="str">
        <f t="shared" si="5"/>
        <v>Campos do Jordão, SP</v>
      </c>
      <c r="D383" s="278">
        <v>-22.74</v>
      </c>
      <c r="E383" s="258">
        <v>1642</v>
      </c>
      <c r="F383" s="279">
        <v>18.097715050000001</v>
      </c>
      <c r="G383" s="279">
        <v>17.979017859999999</v>
      </c>
      <c r="H383" s="279">
        <v>17.057661289999999</v>
      </c>
      <c r="I383" s="279">
        <v>16.140694440000001</v>
      </c>
      <c r="J383" s="279">
        <v>13.21290323</v>
      </c>
      <c r="K383" s="279">
        <v>12.58680556</v>
      </c>
      <c r="L383" s="279">
        <v>11.732392470000001</v>
      </c>
      <c r="M383" s="279">
        <v>14.081048389999999</v>
      </c>
      <c r="N383" s="279">
        <v>13.483888889999999</v>
      </c>
      <c r="O383" s="279">
        <v>16.96075269</v>
      </c>
      <c r="P383" s="279">
        <v>15.86430556</v>
      </c>
      <c r="Q383" s="279">
        <v>16.71075269</v>
      </c>
      <c r="R383" s="279">
        <v>15.325661509999998</v>
      </c>
      <c r="S383" s="274">
        <f>SUMIFS(Aux_Lista!Y:Y,Aux_Lista!W:W,Aux_TBS!B383,Aux_Lista!X:X,Aux_TBS!A383)</f>
        <v>1</v>
      </c>
      <c r="T383" s="274" t="s">
        <v>6043</v>
      </c>
      <c r="U383" s="274">
        <v>40</v>
      </c>
    </row>
    <row r="384" spans="1:21" x14ac:dyDescent="0.25">
      <c r="A384" s="277" t="s">
        <v>2153</v>
      </c>
      <c r="B384" s="258" t="s">
        <v>258</v>
      </c>
      <c r="C384" s="274" t="str">
        <f t="shared" si="5"/>
        <v>Casa Branca, SP</v>
      </c>
      <c r="D384" s="278">
        <v>-21.77</v>
      </c>
      <c r="E384" s="258">
        <v>730</v>
      </c>
      <c r="F384" s="279">
        <v>22.878360220000001</v>
      </c>
      <c r="G384" s="279">
        <v>23.202976190000001</v>
      </c>
      <c r="H384" s="279">
        <v>22.515456990000001</v>
      </c>
      <c r="I384" s="279">
        <v>21.406111110000001</v>
      </c>
      <c r="J384" s="279">
        <v>18.640725809999999</v>
      </c>
      <c r="K384" s="279">
        <v>18.787500000000001</v>
      </c>
      <c r="L384" s="279">
        <v>19.004973119999999</v>
      </c>
      <c r="M384" s="279">
        <v>21.154569890000001</v>
      </c>
      <c r="N384" s="279">
        <v>20.672361110000001</v>
      </c>
      <c r="O384" s="279">
        <v>23.24153226</v>
      </c>
      <c r="P384" s="279">
        <v>22.616527779999998</v>
      </c>
      <c r="Q384" s="279">
        <v>22.586827960000001</v>
      </c>
      <c r="R384" s="279">
        <v>21.392326870000002</v>
      </c>
      <c r="S384" s="274">
        <f>SUMIFS(Aux_Lista!Y:Y,Aux_Lista!W:W,Aux_TBS!B384,Aux_Lista!X:X,Aux_TBS!A384)</f>
        <v>4</v>
      </c>
      <c r="T384" s="274" t="s">
        <v>6043</v>
      </c>
      <c r="U384" s="274">
        <v>40</v>
      </c>
    </row>
    <row r="385" spans="1:21" x14ac:dyDescent="0.25">
      <c r="A385" s="277" t="s">
        <v>2033</v>
      </c>
      <c r="B385" s="258" t="s">
        <v>258</v>
      </c>
      <c r="C385" s="274" t="str">
        <f t="shared" si="5"/>
        <v>Franca, SP</v>
      </c>
      <c r="D385" s="278">
        <v>-20.54</v>
      </c>
      <c r="E385" s="258">
        <v>1026</v>
      </c>
      <c r="F385" s="279">
        <v>21.558467740000001</v>
      </c>
      <c r="G385" s="279">
        <v>21.884970240000001</v>
      </c>
      <c r="H385" s="279">
        <v>21.610752690000002</v>
      </c>
      <c r="I385" s="279">
        <v>21.17472222</v>
      </c>
      <c r="J385" s="279">
        <v>18.583602150000001</v>
      </c>
      <c r="K385" s="279">
        <v>19.038611110000002</v>
      </c>
      <c r="L385" s="279">
        <v>18.97069892</v>
      </c>
      <c r="M385" s="279">
        <v>21.20241935</v>
      </c>
      <c r="N385" s="279">
        <v>21.14805556</v>
      </c>
      <c r="O385" s="279">
        <v>22.92163978</v>
      </c>
      <c r="P385" s="279">
        <v>21.910833329999999</v>
      </c>
      <c r="Q385" s="279">
        <v>21.614784950000001</v>
      </c>
      <c r="R385" s="279">
        <v>20.968296503333331</v>
      </c>
      <c r="S385" s="274">
        <f>SUMIFS(Aux_Lista!Y:Y,Aux_Lista!W:W,Aux_TBS!B385,Aux_Lista!X:X,Aux_TBS!A385)</f>
        <v>4</v>
      </c>
      <c r="T385" s="274" t="s">
        <v>6043</v>
      </c>
      <c r="U385" s="274">
        <v>40</v>
      </c>
    </row>
    <row r="386" spans="1:21" x14ac:dyDescent="0.25">
      <c r="A386" s="277" t="s">
        <v>3697</v>
      </c>
      <c r="B386" s="258" t="s">
        <v>258</v>
      </c>
      <c r="C386" s="274" t="str">
        <f t="shared" si="5"/>
        <v>Ibitinga, SP</v>
      </c>
      <c r="D386" s="278">
        <v>-21.86</v>
      </c>
      <c r="E386" s="258">
        <v>492</v>
      </c>
      <c r="F386" s="279">
        <v>23.360349459999998</v>
      </c>
      <c r="G386" s="279">
        <v>24.12827381</v>
      </c>
      <c r="H386" s="279">
        <v>23.388037629999999</v>
      </c>
      <c r="I386" s="279">
        <v>22.157222220000001</v>
      </c>
      <c r="J386" s="279">
        <v>18.668010750000001</v>
      </c>
      <c r="K386" s="279">
        <v>18.872083329999999</v>
      </c>
      <c r="L386" s="279">
        <v>18.97956989</v>
      </c>
      <c r="M386" s="279">
        <v>21.23602151</v>
      </c>
      <c r="N386" s="279">
        <v>20.83472222</v>
      </c>
      <c r="O386" s="279">
        <v>23.875134410000001</v>
      </c>
      <c r="P386" s="279">
        <v>23.671111109999998</v>
      </c>
      <c r="Q386" s="279">
        <v>23.933870970000001</v>
      </c>
      <c r="R386" s="279">
        <v>21.925367275833334</v>
      </c>
      <c r="S386" s="274">
        <f>SUMIFS(Aux_Lista!Y:Y,Aux_Lista!W:W,Aux_TBS!B386,Aux_Lista!X:X,Aux_TBS!A386)</f>
        <v>3</v>
      </c>
      <c r="T386" s="274" t="s">
        <v>6043</v>
      </c>
      <c r="U386" s="274">
        <v>40</v>
      </c>
    </row>
    <row r="387" spans="1:21" x14ac:dyDescent="0.25">
      <c r="A387" s="277" t="s">
        <v>3293</v>
      </c>
      <c r="B387" s="258" t="s">
        <v>258</v>
      </c>
      <c r="C387" s="274" t="str">
        <f t="shared" ref="C387:C413" si="6">CONCATENATE(A387,", ",B387)</f>
        <v>Iguape, SP</v>
      </c>
      <c r="D387" s="278">
        <v>-24.71</v>
      </c>
      <c r="E387" s="258">
        <v>3</v>
      </c>
      <c r="F387" s="279">
        <v>24.273924730000001</v>
      </c>
      <c r="G387" s="279">
        <v>25.117708329999999</v>
      </c>
      <c r="H387" s="279">
        <v>24.781451610000001</v>
      </c>
      <c r="I387" s="279">
        <v>22.21875</v>
      </c>
      <c r="J387" s="279">
        <v>20.335215049999999</v>
      </c>
      <c r="K387" s="279">
        <v>16.250138889999999</v>
      </c>
      <c r="L387" s="279">
        <v>17.49865591</v>
      </c>
      <c r="M387" s="279">
        <v>18.807661289999999</v>
      </c>
      <c r="N387" s="279">
        <v>18.68041667</v>
      </c>
      <c r="O387" s="279">
        <v>21.178360219999998</v>
      </c>
      <c r="P387" s="279">
        <v>21.931805560000001</v>
      </c>
      <c r="Q387" s="279">
        <v>22.38293011</v>
      </c>
      <c r="R387" s="279">
        <v>21.121418197499999</v>
      </c>
      <c r="S387" s="274">
        <f>SUMIFS(Aux_Lista!Y:Y,Aux_Lista!W:W,Aux_TBS!B387,Aux_Lista!X:X,Aux_TBS!A387)</f>
        <v>5</v>
      </c>
      <c r="T387" s="274" t="s">
        <v>6043</v>
      </c>
      <c r="U387" s="274">
        <v>40</v>
      </c>
    </row>
    <row r="388" spans="1:21" x14ac:dyDescent="0.25">
      <c r="A388" s="277" t="s">
        <v>561</v>
      </c>
      <c r="B388" s="258" t="s">
        <v>258</v>
      </c>
      <c r="C388" s="274" t="str">
        <f t="shared" si="6"/>
        <v>Itapeva, SP</v>
      </c>
      <c r="D388" s="278">
        <v>-23.98</v>
      </c>
      <c r="E388" s="258">
        <v>707</v>
      </c>
      <c r="F388" s="279">
        <v>21.005376340000002</v>
      </c>
      <c r="G388" s="279">
        <v>22.008928569999998</v>
      </c>
      <c r="H388" s="279">
        <v>21.46639785</v>
      </c>
      <c r="I388" s="279">
        <v>19.621527780000001</v>
      </c>
      <c r="J388" s="279">
        <v>16.53494624</v>
      </c>
      <c r="K388" s="279">
        <v>16.042361110000002</v>
      </c>
      <c r="L388" s="279">
        <v>17.01491935</v>
      </c>
      <c r="M388" s="279">
        <v>17.62553763</v>
      </c>
      <c r="N388" s="279">
        <v>17.11597222</v>
      </c>
      <c r="O388" s="279">
        <v>19.71451613</v>
      </c>
      <c r="P388" s="279">
        <v>20.077361109999998</v>
      </c>
      <c r="Q388" s="279">
        <v>21.238978490000001</v>
      </c>
      <c r="R388" s="279">
        <v>19.122235234999998</v>
      </c>
      <c r="S388" s="274">
        <f>SUMIFS(Aux_Lista!Y:Y,Aux_Lista!W:W,Aux_TBS!B388,Aux_Lista!X:X,Aux_TBS!A388)</f>
        <v>2</v>
      </c>
      <c r="T388" s="274" t="s">
        <v>6043</v>
      </c>
      <c r="U388" s="274">
        <v>40</v>
      </c>
    </row>
    <row r="389" spans="1:21" x14ac:dyDescent="0.25">
      <c r="A389" s="277" t="s">
        <v>3362</v>
      </c>
      <c r="B389" s="258" t="s">
        <v>258</v>
      </c>
      <c r="C389" s="274" t="str">
        <f t="shared" si="6"/>
        <v>Itapira, SP</v>
      </c>
      <c r="D389" s="278">
        <v>-22.42</v>
      </c>
      <c r="E389" s="258">
        <v>633</v>
      </c>
      <c r="F389" s="279">
        <v>23.036021510000001</v>
      </c>
      <c r="G389" s="279">
        <v>23.522916670000001</v>
      </c>
      <c r="H389" s="279">
        <v>22.574462369999999</v>
      </c>
      <c r="I389" s="279">
        <v>21.599305560000001</v>
      </c>
      <c r="J389" s="279">
        <v>18.138037629999999</v>
      </c>
      <c r="K389" s="279">
        <v>18.388750000000002</v>
      </c>
      <c r="L389" s="279">
        <v>17.554435479999999</v>
      </c>
      <c r="M389" s="279">
        <v>20.41518817</v>
      </c>
      <c r="N389" s="279">
        <v>20.099861109999999</v>
      </c>
      <c r="O389" s="279">
        <v>23.4688172</v>
      </c>
      <c r="P389" s="279">
        <v>22.857500000000002</v>
      </c>
      <c r="Q389" s="279">
        <v>23.190994620000001</v>
      </c>
      <c r="R389" s="279">
        <v>21.237190860000002</v>
      </c>
      <c r="S389" s="274">
        <f>SUMIFS(Aux_Lista!Y:Y,Aux_Lista!W:W,Aux_TBS!B389,Aux_Lista!X:X,Aux_TBS!A389)</f>
        <v>3</v>
      </c>
      <c r="T389" s="274" t="s">
        <v>6043</v>
      </c>
      <c r="U389" s="274">
        <v>40</v>
      </c>
    </row>
    <row r="390" spans="1:21" x14ac:dyDescent="0.25">
      <c r="A390" s="277" t="s">
        <v>3780</v>
      </c>
      <c r="B390" s="258" t="s">
        <v>258</v>
      </c>
      <c r="C390" s="274" t="str">
        <f t="shared" si="6"/>
        <v>Ituverava, SP</v>
      </c>
      <c r="D390" s="278">
        <v>-20.36</v>
      </c>
      <c r="E390" s="258">
        <v>600</v>
      </c>
      <c r="F390" s="279">
        <v>24.168145160000002</v>
      </c>
      <c r="G390" s="279">
        <v>24.544047620000001</v>
      </c>
      <c r="H390" s="279">
        <v>23.924327959999999</v>
      </c>
      <c r="I390" s="279">
        <v>21.713055560000001</v>
      </c>
      <c r="J390" s="279">
        <v>19.307258059999999</v>
      </c>
      <c r="K390" s="279">
        <v>17.91444444</v>
      </c>
      <c r="L390" s="279">
        <v>20.172849459999998</v>
      </c>
      <c r="M390" s="279">
        <v>20.482526880000002</v>
      </c>
      <c r="N390" s="279">
        <v>23.96833333</v>
      </c>
      <c r="O390" s="279">
        <v>23.479166670000001</v>
      </c>
      <c r="P390" s="279">
        <v>23.307777779999999</v>
      </c>
      <c r="Q390" s="279">
        <v>24.464381719999999</v>
      </c>
      <c r="R390" s="279">
        <v>22.28719288666667</v>
      </c>
      <c r="S390" s="274">
        <f>SUMIFS(Aux_Lista!Y:Y,Aux_Lista!W:W,Aux_TBS!B390,Aux_Lista!X:X,Aux_TBS!A390)</f>
        <v>4</v>
      </c>
      <c r="T390" s="274" t="s">
        <v>6043</v>
      </c>
      <c r="U390" s="274">
        <v>40</v>
      </c>
    </row>
    <row r="391" spans="1:21" x14ac:dyDescent="0.25">
      <c r="A391" s="277" t="s">
        <v>2196</v>
      </c>
      <c r="B391" s="258" t="s">
        <v>258</v>
      </c>
      <c r="C391" s="274" t="str">
        <f t="shared" si="6"/>
        <v>Jales, SP</v>
      </c>
      <c r="D391" s="278">
        <v>-20.27</v>
      </c>
      <c r="E391" s="258">
        <v>457</v>
      </c>
      <c r="F391" s="279">
        <v>24.62405914</v>
      </c>
      <c r="G391" s="279">
        <v>24.66592262</v>
      </c>
      <c r="H391" s="279">
        <v>24.370967740000001</v>
      </c>
      <c r="I391" s="279">
        <v>23.911249999999999</v>
      </c>
      <c r="J391" s="279">
        <v>20.632123660000001</v>
      </c>
      <c r="K391" s="279">
        <v>21.208333329999999</v>
      </c>
      <c r="L391" s="279">
        <v>22.378360220000001</v>
      </c>
      <c r="M391" s="279">
        <v>24.174059140000001</v>
      </c>
      <c r="N391" s="279">
        <v>23.69013889</v>
      </c>
      <c r="O391" s="279">
        <v>26.15819892</v>
      </c>
      <c r="P391" s="279">
        <v>25.575972220000001</v>
      </c>
      <c r="Q391" s="279">
        <v>25.55174731</v>
      </c>
      <c r="R391" s="279">
        <v>23.911761099166664</v>
      </c>
      <c r="S391" s="274">
        <f>SUMIFS(Aux_Lista!Y:Y,Aux_Lista!W:W,Aux_TBS!B391,Aux_Lista!X:X,Aux_TBS!A391)</f>
        <v>6</v>
      </c>
      <c r="T391" s="274" t="s">
        <v>6043</v>
      </c>
      <c r="U391" s="274">
        <v>40</v>
      </c>
    </row>
    <row r="392" spans="1:21" x14ac:dyDescent="0.25">
      <c r="A392" s="277" t="s">
        <v>3700</v>
      </c>
      <c r="B392" s="258" t="s">
        <v>258</v>
      </c>
      <c r="C392" s="274" t="str">
        <f t="shared" si="6"/>
        <v>José Bonifácio, SP</v>
      </c>
      <c r="D392" s="278">
        <v>-21.1</v>
      </c>
      <c r="E392" s="258">
        <v>405</v>
      </c>
      <c r="F392" s="279">
        <v>24.290994619999999</v>
      </c>
      <c r="G392" s="279">
        <v>24.74255952</v>
      </c>
      <c r="H392" s="279">
        <v>24.03037634</v>
      </c>
      <c r="I392" s="279">
        <v>23.237361109999998</v>
      </c>
      <c r="J392" s="279">
        <v>19.21223118</v>
      </c>
      <c r="K392" s="279">
        <v>19.669861109999999</v>
      </c>
      <c r="L392" s="279">
        <v>19.96975806</v>
      </c>
      <c r="M392" s="279">
        <v>22.210887100000001</v>
      </c>
      <c r="N392" s="279">
        <v>21.96722222</v>
      </c>
      <c r="O392" s="279">
        <v>25.012365590000002</v>
      </c>
      <c r="P392" s="279">
        <v>25.398611110000001</v>
      </c>
      <c r="Q392" s="279">
        <v>25.40994624</v>
      </c>
      <c r="R392" s="279">
        <v>22.929347849999999</v>
      </c>
      <c r="S392" s="274">
        <f>SUMIFS(Aux_Lista!Y:Y,Aux_Lista!W:W,Aux_TBS!B392,Aux_Lista!X:X,Aux_TBS!A392)</f>
        <v>6</v>
      </c>
      <c r="T392" s="274" t="s">
        <v>6043</v>
      </c>
      <c r="U392" s="274">
        <v>40</v>
      </c>
    </row>
    <row r="393" spans="1:21" x14ac:dyDescent="0.25">
      <c r="A393" s="277" t="s">
        <v>2716</v>
      </c>
      <c r="B393" s="258" t="s">
        <v>258</v>
      </c>
      <c r="C393" s="274" t="str">
        <f t="shared" si="6"/>
        <v>Lins, SP</v>
      </c>
      <c r="D393" s="278">
        <v>-21.68</v>
      </c>
      <c r="E393" s="258">
        <v>459</v>
      </c>
      <c r="F393" s="279">
        <v>24.073655909999999</v>
      </c>
      <c r="G393" s="279">
        <v>24.7453869</v>
      </c>
      <c r="H393" s="279">
        <v>24.330107529999999</v>
      </c>
      <c r="I393" s="279">
        <v>22.929166670000001</v>
      </c>
      <c r="J393" s="279">
        <v>19.38064516</v>
      </c>
      <c r="K393" s="279">
        <v>19.738472219999998</v>
      </c>
      <c r="L393" s="279">
        <v>20.51357527</v>
      </c>
      <c r="M393" s="279">
        <v>22.109543009999999</v>
      </c>
      <c r="N393" s="279">
        <v>21.56</v>
      </c>
      <c r="O393" s="279">
        <v>24.663978490000002</v>
      </c>
      <c r="P393" s="279">
        <v>24.777638889999999</v>
      </c>
      <c r="Q393" s="279">
        <v>25.247043009999999</v>
      </c>
      <c r="R393" s="279">
        <v>22.839101088333337</v>
      </c>
      <c r="S393" s="274">
        <f>SUMIFS(Aux_Lista!Y:Y,Aux_Lista!W:W,Aux_TBS!B393,Aux_Lista!X:X,Aux_TBS!A393)</f>
        <v>3</v>
      </c>
      <c r="T393" s="274" t="s">
        <v>6043</v>
      </c>
      <c r="U393" s="274">
        <v>40</v>
      </c>
    </row>
    <row r="394" spans="1:21" x14ac:dyDescent="0.25">
      <c r="A394" s="277" t="s">
        <v>3361</v>
      </c>
      <c r="B394" s="258" t="s">
        <v>258</v>
      </c>
      <c r="C394" s="274" t="str">
        <f t="shared" si="6"/>
        <v>Ourinhos, SP</v>
      </c>
      <c r="D394" s="278">
        <v>-22.98</v>
      </c>
      <c r="E394" s="258">
        <v>448</v>
      </c>
      <c r="F394" s="279">
        <v>23.134139780000002</v>
      </c>
      <c r="G394" s="279">
        <v>23.67098214</v>
      </c>
      <c r="H394" s="279">
        <v>22.960483870000001</v>
      </c>
      <c r="I394" s="279">
        <v>21.213333330000001</v>
      </c>
      <c r="J394" s="279">
        <v>17.38897849</v>
      </c>
      <c r="K394" s="279">
        <v>17.05986111</v>
      </c>
      <c r="L394" s="279">
        <v>17.35819892</v>
      </c>
      <c r="M394" s="279">
        <v>19.169892470000001</v>
      </c>
      <c r="N394" s="279">
        <v>19.356111110000001</v>
      </c>
      <c r="O394" s="279">
        <v>22.589784949999999</v>
      </c>
      <c r="P394" s="279">
        <v>22.995416670000001</v>
      </c>
      <c r="Q394" s="279">
        <v>24.305645160000001</v>
      </c>
      <c r="R394" s="279">
        <v>20.933569000000002</v>
      </c>
      <c r="S394" s="274">
        <f>SUMIFS(Aux_Lista!Y:Y,Aux_Lista!W:W,Aux_TBS!B394,Aux_Lista!X:X,Aux_TBS!A394)</f>
        <v>3</v>
      </c>
      <c r="T394" s="274" t="s">
        <v>6043</v>
      </c>
      <c r="U394" s="274">
        <v>40</v>
      </c>
    </row>
    <row r="395" spans="1:21" x14ac:dyDescent="0.25">
      <c r="A395" s="277" t="s">
        <v>3372</v>
      </c>
      <c r="B395" s="258" t="s">
        <v>258</v>
      </c>
      <c r="C395" s="274" t="str">
        <f t="shared" si="6"/>
        <v>Piracicaba, SP</v>
      </c>
      <c r="D395" s="278">
        <v>-22.73</v>
      </c>
      <c r="E395" s="258">
        <v>573</v>
      </c>
      <c r="F395" s="279">
        <v>22.56478495</v>
      </c>
      <c r="G395" s="279">
        <v>23.431845240000001</v>
      </c>
      <c r="H395" s="279">
        <v>22.791801079999999</v>
      </c>
      <c r="I395" s="279">
        <v>21.314861109999999</v>
      </c>
      <c r="J395" s="279">
        <v>17.798790319999998</v>
      </c>
      <c r="K395" s="279">
        <v>17.966666669999999</v>
      </c>
      <c r="L395" s="279">
        <v>17.580913979999998</v>
      </c>
      <c r="M395" s="279">
        <v>19.858064519999999</v>
      </c>
      <c r="N395" s="279">
        <v>19.531388889999999</v>
      </c>
      <c r="O395" s="279">
        <v>22.693682800000001</v>
      </c>
      <c r="P395" s="279">
        <v>22.72666667</v>
      </c>
      <c r="Q395" s="279">
        <v>22.953763439999999</v>
      </c>
      <c r="R395" s="279">
        <v>20.934435805833331</v>
      </c>
      <c r="S395" s="274">
        <f>SUMIFS(Aux_Lista!Y:Y,Aux_Lista!W:W,Aux_TBS!B395,Aux_Lista!X:X,Aux_TBS!A395)</f>
        <v>2</v>
      </c>
      <c r="T395" s="274" t="s">
        <v>6043</v>
      </c>
      <c r="U395" s="274">
        <v>40</v>
      </c>
    </row>
    <row r="396" spans="1:21" x14ac:dyDescent="0.25">
      <c r="A396" s="277" t="s">
        <v>3274</v>
      </c>
      <c r="B396" s="258" t="s">
        <v>258</v>
      </c>
      <c r="C396" s="274" t="str">
        <f t="shared" si="6"/>
        <v>Presidente Prudente, SP</v>
      </c>
      <c r="D396" s="278">
        <v>-22.13</v>
      </c>
      <c r="E396" s="258">
        <v>436</v>
      </c>
      <c r="F396" s="279">
        <v>26.117741939999998</v>
      </c>
      <c r="G396" s="279">
        <v>25.14806548</v>
      </c>
      <c r="H396" s="279">
        <v>25.596236560000001</v>
      </c>
      <c r="I396" s="279">
        <v>23.606805560000002</v>
      </c>
      <c r="J396" s="279">
        <v>19.62688172</v>
      </c>
      <c r="K396" s="279">
        <v>20.668888890000002</v>
      </c>
      <c r="L396" s="279">
        <v>21.789784950000001</v>
      </c>
      <c r="M396" s="279">
        <v>23.694623660000001</v>
      </c>
      <c r="N396" s="279">
        <v>22.6525</v>
      </c>
      <c r="O396" s="279">
        <v>25.1469086</v>
      </c>
      <c r="P396" s="279">
        <v>25.619305560000001</v>
      </c>
      <c r="Q396" s="279">
        <v>25.731451610000001</v>
      </c>
      <c r="R396" s="279">
        <v>23.783266210833336</v>
      </c>
      <c r="S396" s="274">
        <f>SUMIFS(Aux_Lista!Y:Y,Aux_Lista!W:W,Aux_TBS!B396,Aux_Lista!X:X,Aux_TBS!A396)</f>
        <v>6</v>
      </c>
      <c r="T396" s="274" t="s">
        <v>6043</v>
      </c>
      <c r="U396" s="274">
        <v>40</v>
      </c>
    </row>
    <row r="397" spans="1:21" x14ac:dyDescent="0.25">
      <c r="A397" s="277" t="s">
        <v>3793</v>
      </c>
      <c r="B397" s="258" t="s">
        <v>258</v>
      </c>
      <c r="C397" s="274" t="str">
        <f t="shared" si="6"/>
        <v>Rancharia, SP</v>
      </c>
      <c r="D397" s="278">
        <v>-22.37</v>
      </c>
      <c r="E397" s="258">
        <v>350</v>
      </c>
      <c r="F397" s="279">
        <v>23.843548389999999</v>
      </c>
      <c r="G397" s="279">
        <v>24.333482140000001</v>
      </c>
      <c r="H397" s="279">
        <v>23.356182799999999</v>
      </c>
      <c r="I397" s="279">
        <v>21.953611110000001</v>
      </c>
      <c r="J397" s="279">
        <v>17.514784949999999</v>
      </c>
      <c r="K397" s="279">
        <v>17.217916670000001</v>
      </c>
      <c r="L397" s="279">
        <v>17.126075270000001</v>
      </c>
      <c r="M397" s="279">
        <v>19.537634409999999</v>
      </c>
      <c r="N397" s="279">
        <v>19.669444439999999</v>
      </c>
      <c r="O397" s="279">
        <v>23.747311830000001</v>
      </c>
      <c r="P397" s="279">
        <v>23.753194440000001</v>
      </c>
      <c r="Q397" s="279">
        <v>24.66935484</v>
      </c>
      <c r="R397" s="279">
        <v>21.3935451075</v>
      </c>
      <c r="S397" s="274">
        <f>SUMIFS(Aux_Lista!Y:Y,Aux_Lista!W:W,Aux_TBS!B397,Aux_Lista!X:X,Aux_TBS!A397)</f>
        <v>6</v>
      </c>
      <c r="T397" s="274" t="s">
        <v>6043</v>
      </c>
      <c r="U397" s="274">
        <v>40</v>
      </c>
    </row>
    <row r="398" spans="1:21" x14ac:dyDescent="0.25">
      <c r="A398" s="277" t="s">
        <v>565</v>
      </c>
      <c r="B398" s="258" t="s">
        <v>258</v>
      </c>
      <c r="C398" s="274" t="str">
        <f t="shared" si="6"/>
        <v>São Carlos, SP</v>
      </c>
      <c r="D398" s="278">
        <v>-22.02</v>
      </c>
      <c r="E398" s="258">
        <v>863</v>
      </c>
      <c r="F398" s="279">
        <v>21.67580645</v>
      </c>
      <c r="G398" s="279">
        <v>22.474107140000001</v>
      </c>
      <c r="H398" s="279">
        <v>21.558198919999999</v>
      </c>
      <c r="I398" s="279">
        <v>20.532916669999999</v>
      </c>
      <c r="J398" s="279">
        <v>17.22620968</v>
      </c>
      <c r="K398" s="279">
        <v>17.403888890000001</v>
      </c>
      <c r="L398" s="279">
        <v>17.588709680000001</v>
      </c>
      <c r="M398" s="279">
        <v>19.821505380000001</v>
      </c>
      <c r="N398" s="279">
        <v>19.444861110000002</v>
      </c>
      <c r="O398" s="279">
        <v>22.325672040000001</v>
      </c>
      <c r="P398" s="279">
        <v>21.838611109999999</v>
      </c>
      <c r="Q398" s="279">
        <v>21.702956990000001</v>
      </c>
      <c r="R398" s="279">
        <v>20.299453671666665</v>
      </c>
      <c r="S398" s="274">
        <f>SUMIFS(Aux_Lista!Y:Y,Aux_Lista!W:W,Aux_TBS!B398,Aux_Lista!X:X,Aux_TBS!A398)</f>
        <v>4</v>
      </c>
      <c r="T398" s="274" t="s">
        <v>6043</v>
      </c>
      <c r="U398" s="274">
        <v>40</v>
      </c>
    </row>
    <row r="399" spans="1:21" x14ac:dyDescent="0.25">
      <c r="A399" s="277" t="s">
        <v>566</v>
      </c>
      <c r="B399" s="258" t="s">
        <v>258</v>
      </c>
      <c r="C399" s="274" t="str">
        <f t="shared" si="6"/>
        <v>São Luís do Paraitinga, SP</v>
      </c>
      <c r="D399" s="278">
        <v>-23.23</v>
      </c>
      <c r="E399" s="258">
        <v>874</v>
      </c>
      <c r="F399" s="279">
        <v>22.531854840000001</v>
      </c>
      <c r="G399" s="279">
        <v>23.05877976</v>
      </c>
      <c r="H399" s="279">
        <v>21.487096770000001</v>
      </c>
      <c r="I399" s="279">
        <v>18.91375</v>
      </c>
      <c r="J399" s="279">
        <v>15.82486559</v>
      </c>
      <c r="K399" s="279">
        <v>15.74625</v>
      </c>
      <c r="L399" s="279">
        <v>15.056586019999999</v>
      </c>
      <c r="M399" s="279">
        <v>17.762768820000002</v>
      </c>
      <c r="N399" s="279">
        <v>18.756944440000002</v>
      </c>
      <c r="O399" s="279">
        <v>21.950403229999999</v>
      </c>
      <c r="P399" s="279">
        <v>22.27791667</v>
      </c>
      <c r="Q399" s="279">
        <v>23.386827960000002</v>
      </c>
      <c r="R399" s="279">
        <v>19.729503675</v>
      </c>
      <c r="S399" s="274">
        <f>SUMIFS(Aux_Lista!Y:Y,Aux_Lista!W:W,Aux_TBS!B399,Aux_Lista!X:X,Aux_TBS!A399)</f>
        <v>3</v>
      </c>
      <c r="T399" s="274" t="s">
        <v>6043</v>
      </c>
      <c r="U399" s="274">
        <v>40</v>
      </c>
    </row>
    <row r="400" spans="1:21" x14ac:dyDescent="0.25">
      <c r="A400" s="277" t="s">
        <v>259</v>
      </c>
      <c r="B400" s="258" t="s">
        <v>258</v>
      </c>
      <c r="C400" s="274" t="str">
        <f t="shared" si="6"/>
        <v>São Paulo, SP</v>
      </c>
      <c r="D400" s="278">
        <v>-23.85</v>
      </c>
      <c r="E400" s="258">
        <v>792</v>
      </c>
      <c r="F400" s="279">
        <v>21.158736560000001</v>
      </c>
      <c r="G400" s="279">
        <v>22.34791667</v>
      </c>
      <c r="H400" s="279">
        <v>21.669623659999999</v>
      </c>
      <c r="I400" s="279">
        <v>20.758055559999999</v>
      </c>
      <c r="J400" s="279">
        <v>17.454569889999998</v>
      </c>
      <c r="K400" s="279">
        <v>16.769166670000001</v>
      </c>
      <c r="L400" s="279">
        <v>17.336424730000001</v>
      </c>
      <c r="M400" s="279">
        <v>18.281451610000001</v>
      </c>
      <c r="N400" s="279">
        <v>17.677083329999999</v>
      </c>
      <c r="O400" s="279">
        <v>20.50981183</v>
      </c>
      <c r="P400" s="279">
        <v>20.150555560000001</v>
      </c>
      <c r="Q400" s="279">
        <v>20.87311828</v>
      </c>
      <c r="R400" s="279">
        <v>19.582209529166665</v>
      </c>
      <c r="S400" s="274">
        <f>SUMIFS(Aux_Lista!Y:Y,Aux_Lista!W:W,Aux_TBS!B400,Aux_Lista!X:X,Aux_TBS!A400)</f>
        <v>3</v>
      </c>
      <c r="T400" s="274" t="s">
        <v>6043</v>
      </c>
      <c r="U400" s="274">
        <v>40</v>
      </c>
    </row>
    <row r="401" spans="1:21" x14ac:dyDescent="0.25">
      <c r="A401" s="277" t="s">
        <v>3354</v>
      </c>
      <c r="B401" s="258" t="s">
        <v>258</v>
      </c>
      <c r="C401" s="274" t="str">
        <f t="shared" si="6"/>
        <v>Sorocaba, SP</v>
      </c>
      <c r="D401" s="278">
        <v>-23.5</v>
      </c>
      <c r="E401" s="258">
        <v>609</v>
      </c>
      <c r="F401" s="279">
        <v>22.762365590000002</v>
      </c>
      <c r="G401" s="279">
        <v>23.360416669999999</v>
      </c>
      <c r="H401" s="279">
        <v>23.79663978</v>
      </c>
      <c r="I401" s="279">
        <v>22.085277779999998</v>
      </c>
      <c r="J401" s="279">
        <v>16.770698920000001</v>
      </c>
      <c r="K401" s="279">
        <v>16.924027779999999</v>
      </c>
      <c r="L401" s="279">
        <v>17</v>
      </c>
      <c r="M401" s="279">
        <v>18.55967742</v>
      </c>
      <c r="N401" s="279">
        <v>18.657222220000001</v>
      </c>
      <c r="O401" s="279">
        <v>21.00887097</v>
      </c>
      <c r="P401" s="279">
        <v>21.446249999999999</v>
      </c>
      <c r="Q401" s="279">
        <v>23.080241940000001</v>
      </c>
      <c r="R401" s="279">
        <v>20.454307422499998</v>
      </c>
      <c r="S401" s="274">
        <f>SUMIFS(Aux_Lista!Y:Y,Aux_Lista!W:W,Aux_TBS!B401,Aux_Lista!X:X,Aux_TBS!A401)</f>
        <v>3</v>
      </c>
      <c r="T401" s="274" t="s">
        <v>6043</v>
      </c>
      <c r="U401" s="274">
        <v>40</v>
      </c>
    </row>
    <row r="402" spans="1:21" x14ac:dyDescent="0.25">
      <c r="A402" s="277" t="s">
        <v>3347</v>
      </c>
      <c r="B402" s="258" t="s">
        <v>258</v>
      </c>
      <c r="C402" s="274" t="str">
        <f t="shared" si="6"/>
        <v>Taubaté, SP</v>
      </c>
      <c r="D402" s="278">
        <v>-23.03</v>
      </c>
      <c r="E402" s="258">
        <v>571</v>
      </c>
      <c r="F402" s="279">
        <v>23.3436828</v>
      </c>
      <c r="G402" s="279">
        <v>24.145089290000001</v>
      </c>
      <c r="H402" s="279">
        <v>24.148521509999998</v>
      </c>
      <c r="I402" s="279">
        <v>22.186527779999999</v>
      </c>
      <c r="J402" s="279">
        <v>17.512499999999999</v>
      </c>
      <c r="K402" s="279">
        <v>16.779166669999999</v>
      </c>
      <c r="L402" s="279">
        <v>16.051209679999999</v>
      </c>
      <c r="M402" s="279">
        <v>18.005241940000001</v>
      </c>
      <c r="N402" s="279">
        <v>20.82041667</v>
      </c>
      <c r="O402" s="279">
        <v>22.346236560000001</v>
      </c>
      <c r="P402" s="279">
        <v>21.43972222</v>
      </c>
      <c r="Q402" s="279">
        <v>21.954838710000001</v>
      </c>
      <c r="R402" s="279">
        <v>20.727762819166667</v>
      </c>
      <c r="S402" s="274">
        <f>SUMIFS(Aux_Lista!Y:Y,Aux_Lista!W:W,Aux_TBS!B402,Aux_Lista!X:X,Aux_TBS!A402)</f>
        <v>3</v>
      </c>
      <c r="T402" s="274" t="s">
        <v>6043</v>
      </c>
      <c r="U402" s="274">
        <v>40</v>
      </c>
    </row>
    <row r="403" spans="1:21" x14ac:dyDescent="0.25">
      <c r="A403" s="277" t="s">
        <v>3635</v>
      </c>
      <c r="B403" s="258" t="s">
        <v>258</v>
      </c>
      <c r="C403" s="274" t="str">
        <f t="shared" si="6"/>
        <v>Valparaíso, SP</v>
      </c>
      <c r="D403" s="278">
        <v>-21.32</v>
      </c>
      <c r="E403" s="258">
        <v>374</v>
      </c>
      <c r="F403" s="279">
        <v>24.700537629999999</v>
      </c>
      <c r="G403" s="279">
        <v>24.878422619999998</v>
      </c>
      <c r="H403" s="279">
        <v>24.1561828</v>
      </c>
      <c r="I403" s="279">
        <v>23.354444440000002</v>
      </c>
      <c r="J403" s="279">
        <v>19.484543009999999</v>
      </c>
      <c r="K403" s="279">
        <v>19.96</v>
      </c>
      <c r="L403" s="279">
        <v>21.330241940000001</v>
      </c>
      <c r="M403" s="279">
        <v>22.784274190000001</v>
      </c>
      <c r="N403" s="279">
        <v>22.313472220000001</v>
      </c>
      <c r="O403" s="279">
        <v>25.513306450000002</v>
      </c>
      <c r="P403" s="279">
        <v>25.51013889</v>
      </c>
      <c r="Q403" s="279">
        <v>25.802419350000001</v>
      </c>
      <c r="R403" s="279">
        <v>23.315665294999999</v>
      </c>
      <c r="S403" s="274">
        <f>SUMIFS(Aux_Lista!Y:Y,Aux_Lista!W:W,Aux_TBS!B403,Aux_Lista!X:X,Aux_TBS!A403)</f>
        <v>6</v>
      </c>
      <c r="T403" s="274" t="s">
        <v>6043</v>
      </c>
      <c r="U403" s="274">
        <v>40</v>
      </c>
    </row>
    <row r="404" spans="1:21" x14ac:dyDescent="0.25">
      <c r="A404" s="277" t="s">
        <v>2802</v>
      </c>
      <c r="B404" s="258" t="s">
        <v>258</v>
      </c>
      <c r="C404" s="274" t="str">
        <f t="shared" si="6"/>
        <v>Votuporanga, SP</v>
      </c>
      <c r="D404" s="278">
        <v>-20.420000000000002</v>
      </c>
      <c r="E404" s="258">
        <v>486</v>
      </c>
      <c r="F404" s="279">
        <v>24.606720429999999</v>
      </c>
      <c r="G404" s="279">
        <v>24.506994049999999</v>
      </c>
      <c r="H404" s="279">
        <v>24.40349462</v>
      </c>
      <c r="I404" s="279">
        <v>23.736388890000001</v>
      </c>
      <c r="J404" s="279">
        <v>20.453763439999999</v>
      </c>
      <c r="K404" s="279">
        <v>21.029583330000001</v>
      </c>
      <c r="L404" s="279">
        <v>21.93844086</v>
      </c>
      <c r="M404" s="279">
        <v>23.877150539999999</v>
      </c>
      <c r="N404" s="279">
        <v>23.536805560000001</v>
      </c>
      <c r="O404" s="279">
        <v>25.950403229999999</v>
      </c>
      <c r="P404" s="279">
        <v>25.625972220000001</v>
      </c>
      <c r="Q404" s="279">
        <v>25.177956989999998</v>
      </c>
      <c r="R404" s="279">
        <v>23.736972846666664</v>
      </c>
      <c r="S404" s="274">
        <f>SUMIFS(Aux_Lista!Y:Y,Aux_Lista!W:W,Aux_TBS!B404,Aux_Lista!X:X,Aux_TBS!A404)</f>
        <v>6</v>
      </c>
      <c r="T404" s="274" t="s">
        <v>6043</v>
      </c>
      <c r="U404" s="274">
        <v>40</v>
      </c>
    </row>
    <row r="405" spans="1:21" x14ac:dyDescent="0.25">
      <c r="A405" s="277" t="s">
        <v>4798</v>
      </c>
      <c r="B405" s="258" t="s">
        <v>1976</v>
      </c>
      <c r="C405" s="274" t="str">
        <f t="shared" si="6"/>
        <v>Araguaína, TO</v>
      </c>
      <c r="D405" s="278">
        <v>-7.18</v>
      </c>
      <c r="E405" s="258">
        <v>226</v>
      </c>
      <c r="F405" s="279">
        <v>25.165456989999999</v>
      </c>
      <c r="G405" s="279">
        <v>24.80327381</v>
      </c>
      <c r="H405" s="279">
        <v>25.052956989999998</v>
      </c>
      <c r="I405" s="279">
        <v>24.64722222</v>
      </c>
      <c r="J405" s="279">
        <v>24.688172040000001</v>
      </c>
      <c r="K405" s="279">
        <v>24.93972222</v>
      </c>
      <c r="L405" s="279">
        <v>24.815188169999999</v>
      </c>
      <c r="M405" s="279">
        <v>25.343413980000001</v>
      </c>
      <c r="N405" s="279">
        <v>26.006944440000002</v>
      </c>
      <c r="O405" s="279">
        <v>25.732526880000002</v>
      </c>
      <c r="P405" s="279">
        <v>25.834305560000001</v>
      </c>
      <c r="Q405" s="279">
        <v>24.51075269</v>
      </c>
      <c r="R405" s="279">
        <v>25.128327999166668</v>
      </c>
      <c r="S405" s="274">
        <f>SUMIFS(Aux_Lista!Y:Y,Aux_Lista!W:W,Aux_TBS!B405,Aux_Lista!X:X,Aux_TBS!A405)</f>
        <v>7</v>
      </c>
      <c r="T405" s="274" t="s">
        <v>6040</v>
      </c>
      <c r="U405" s="274">
        <v>38</v>
      </c>
    </row>
    <row r="406" spans="1:21" x14ac:dyDescent="0.25">
      <c r="A406" s="277" t="s">
        <v>4612</v>
      </c>
      <c r="B406" s="258" t="s">
        <v>1976</v>
      </c>
      <c r="C406" s="274" t="str">
        <f t="shared" si="6"/>
        <v>Araguatins, TO</v>
      </c>
      <c r="D406" s="278">
        <v>-5.64</v>
      </c>
      <c r="E406" s="258">
        <v>117</v>
      </c>
      <c r="F406" s="279">
        <v>26.680107530000001</v>
      </c>
      <c r="G406" s="279">
        <v>26.10431548</v>
      </c>
      <c r="H406" s="279">
        <v>26.369220429999999</v>
      </c>
      <c r="I406" s="279">
        <v>25.90777778</v>
      </c>
      <c r="J406" s="279">
        <v>25.86935484</v>
      </c>
      <c r="K406" s="279">
        <v>26.650138890000001</v>
      </c>
      <c r="L406" s="279">
        <v>27.364919350000001</v>
      </c>
      <c r="M406" s="279">
        <v>28.050268819999999</v>
      </c>
      <c r="N406" s="279">
        <v>28.603333330000002</v>
      </c>
      <c r="O406" s="279">
        <v>28.470026879999999</v>
      </c>
      <c r="P406" s="279">
        <v>28.29513889</v>
      </c>
      <c r="Q406" s="279">
        <v>26.632258060000002</v>
      </c>
      <c r="R406" s="279">
        <v>27.083071689999997</v>
      </c>
      <c r="S406" s="274">
        <f>SUMIFS(Aux_Lista!Y:Y,Aux_Lista!W:W,Aux_TBS!B406,Aux_Lista!X:X,Aux_TBS!A406)</f>
        <v>8</v>
      </c>
      <c r="T406" s="274" t="s">
        <v>6040</v>
      </c>
      <c r="U406" s="274">
        <v>38</v>
      </c>
    </row>
    <row r="407" spans="1:21" x14ac:dyDescent="0.25">
      <c r="A407" s="277" t="s">
        <v>1977</v>
      </c>
      <c r="B407" s="258" t="s">
        <v>1976</v>
      </c>
      <c r="C407" s="274" t="str">
        <f t="shared" si="6"/>
        <v>Dianópolis, TO</v>
      </c>
      <c r="D407" s="278">
        <v>-11.59</v>
      </c>
      <c r="E407" s="258">
        <v>732</v>
      </c>
      <c r="F407" s="279">
        <v>23.671908599999998</v>
      </c>
      <c r="G407" s="279">
        <v>23.35669643</v>
      </c>
      <c r="H407" s="279">
        <v>23.650940859999999</v>
      </c>
      <c r="I407" s="279">
        <v>23.28277778</v>
      </c>
      <c r="J407" s="279">
        <v>23.02137097</v>
      </c>
      <c r="K407" s="279">
        <v>23.625277780000001</v>
      </c>
      <c r="L407" s="279">
        <v>24.503091399999999</v>
      </c>
      <c r="M407" s="279">
        <v>25.697446240000001</v>
      </c>
      <c r="N407" s="279">
        <v>27.154444439999999</v>
      </c>
      <c r="O407" s="279">
        <v>24.229704300000002</v>
      </c>
      <c r="P407" s="279">
        <v>24.795694439999998</v>
      </c>
      <c r="Q407" s="279">
        <v>23.516397850000001</v>
      </c>
      <c r="R407" s="279">
        <v>24.208812590833329</v>
      </c>
      <c r="S407" s="274">
        <f>SUMIFS(Aux_Lista!Y:Y,Aux_Lista!W:W,Aux_TBS!B407,Aux_Lista!X:X,Aux_TBS!A407)</f>
        <v>7</v>
      </c>
      <c r="T407" s="274" t="s">
        <v>6040</v>
      </c>
      <c r="U407" s="274">
        <v>38</v>
      </c>
    </row>
    <row r="408" spans="1:21" x14ac:dyDescent="0.25">
      <c r="A408" s="277" t="s">
        <v>5503</v>
      </c>
      <c r="B408" s="258" t="s">
        <v>1976</v>
      </c>
      <c r="C408" s="274" t="str">
        <f t="shared" si="6"/>
        <v>Formoso do Araguaia, TO</v>
      </c>
      <c r="D408" s="278">
        <v>-11.78</v>
      </c>
      <c r="E408" s="258">
        <v>220</v>
      </c>
      <c r="F408" s="279">
        <v>26.42674731</v>
      </c>
      <c r="G408" s="279">
        <v>25.15848214</v>
      </c>
      <c r="H408" s="279">
        <v>26.301344090000001</v>
      </c>
      <c r="I408" s="279">
        <v>25.724444439999999</v>
      </c>
      <c r="J408" s="279">
        <v>25.956854839999998</v>
      </c>
      <c r="K408" s="279">
        <v>25.57638889</v>
      </c>
      <c r="L408" s="279">
        <v>25.663575269999999</v>
      </c>
      <c r="M408" s="279">
        <v>28.329166669999999</v>
      </c>
      <c r="N408" s="279">
        <v>29.364583329999999</v>
      </c>
      <c r="O408" s="279">
        <v>29.075403229999999</v>
      </c>
      <c r="P408" s="279">
        <v>26.30430556</v>
      </c>
      <c r="Q408" s="279">
        <v>25.5719086</v>
      </c>
      <c r="R408" s="279">
        <v>26.621100364166665</v>
      </c>
      <c r="S408" s="274">
        <f>SUMIFS(Aux_Lista!Y:Y,Aux_Lista!W:W,Aux_TBS!B408,Aux_Lista!X:X,Aux_TBS!A408)</f>
        <v>7</v>
      </c>
      <c r="T408" s="274" t="s">
        <v>6040</v>
      </c>
      <c r="U408" s="274">
        <v>38</v>
      </c>
    </row>
    <row r="409" spans="1:21" x14ac:dyDescent="0.25">
      <c r="A409" s="277" t="s">
        <v>5512</v>
      </c>
      <c r="B409" s="258" t="s">
        <v>1976</v>
      </c>
      <c r="C409" s="274" t="str">
        <f t="shared" si="6"/>
        <v>Gurupi, TO</v>
      </c>
      <c r="D409" s="278">
        <v>-11.72</v>
      </c>
      <c r="E409" s="258">
        <v>287</v>
      </c>
      <c r="F409" s="279">
        <v>25.93602151</v>
      </c>
      <c r="G409" s="279">
        <v>26.358333330000001</v>
      </c>
      <c r="H409" s="279">
        <v>26.293548390000002</v>
      </c>
      <c r="I409" s="279">
        <v>25.26694444</v>
      </c>
      <c r="J409" s="279">
        <v>26.653763439999999</v>
      </c>
      <c r="K409" s="279">
        <v>24.235972220000001</v>
      </c>
      <c r="L409" s="279">
        <v>24.18145161</v>
      </c>
      <c r="M409" s="279">
        <v>24.808870970000001</v>
      </c>
      <c r="N409" s="279">
        <v>27.138055560000002</v>
      </c>
      <c r="O409" s="279">
        <v>27.75282258</v>
      </c>
      <c r="P409" s="279">
        <v>25.90555556</v>
      </c>
      <c r="Q409" s="279">
        <v>25.685887099999999</v>
      </c>
      <c r="R409" s="279">
        <v>25.851435559166664</v>
      </c>
      <c r="S409" s="274">
        <f>SUMIFS(Aux_Lista!Y:Y,Aux_Lista!W:W,Aux_TBS!B409,Aux_Lista!X:X,Aux_TBS!A409)</f>
        <v>7</v>
      </c>
      <c r="T409" s="274" t="s">
        <v>6040</v>
      </c>
      <c r="U409" s="274">
        <v>38</v>
      </c>
    </row>
    <row r="410" spans="1:21" x14ac:dyDescent="0.25">
      <c r="A410" s="277" t="s">
        <v>1463</v>
      </c>
      <c r="B410" s="258" t="s">
        <v>1976</v>
      </c>
      <c r="C410" s="274" t="str">
        <f t="shared" si="6"/>
        <v>Palmas, TO</v>
      </c>
      <c r="D410" s="278">
        <v>-10.17</v>
      </c>
      <c r="E410" s="258">
        <v>280</v>
      </c>
      <c r="F410" s="279">
        <v>26.488844090000001</v>
      </c>
      <c r="G410" s="279">
        <v>25.41592262</v>
      </c>
      <c r="H410" s="279">
        <v>26.043682799999999</v>
      </c>
      <c r="I410" s="279">
        <v>25.716944439999999</v>
      </c>
      <c r="J410" s="279">
        <v>26.698790320000001</v>
      </c>
      <c r="K410" s="279">
        <v>27.173749999999998</v>
      </c>
      <c r="L410" s="279">
        <v>27.111827959999999</v>
      </c>
      <c r="M410" s="279">
        <v>28.99341398</v>
      </c>
      <c r="N410" s="279">
        <v>28.90958333</v>
      </c>
      <c r="O410" s="279">
        <v>26.4780914</v>
      </c>
      <c r="P410" s="279">
        <v>26.72180556</v>
      </c>
      <c r="Q410" s="279">
        <v>25.99865591</v>
      </c>
      <c r="R410" s="279">
        <v>26.812609367500002</v>
      </c>
      <c r="S410" s="274">
        <f>SUMIFS(Aux_Lista!Y:Y,Aux_Lista!W:W,Aux_TBS!B410,Aux_Lista!X:X,Aux_TBS!A410)</f>
        <v>7</v>
      </c>
      <c r="T410" s="274" t="s">
        <v>6040</v>
      </c>
      <c r="U410" s="274">
        <v>38</v>
      </c>
    </row>
    <row r="411" spans="1:21" x14ac:dyDescent="0.25">
      <c r="A411" s="277" t="s">
        <v>4826</v>
      </c>
      <c r="B411" s="258" t="s">
        <v>1976</v>
      </c>
      <c r="C411" s="274" t="str">
        <f t="shared" si="6"/>
        <v>Paranã, TO</v>
      </c>
      <c r="D411" s="278">
        <v>-12.6</v>
      </c>
      <c r="E411" s="258">
        <v>280</v>
      </c>
      <c r="F411" s="279">
        <v>26.39596774</v>
      </c>
      <c r="G411" s="279">
        <v>25.108779760000001</v>
      </c>
      <c r="H411" s="279">
        <v>26.43978495</v>
      </c>
      <c r="I411" s="279">
        <v>26.815972219999999</v>
      </c>
      <c r="J411" s="279">
        <v>25.955241940000001</v>
      </c>
      <c r="K411" s="279">
        <v>24.006527779999999</v>
      </c>
      <c r="L411" s="279">
        <v>24.550268819999999</v>
      </c>
      <c r="M411" s="279">
        <v>25.504569889999999</v>
      </c>
      <c r="N411" s="279">
        <v>27.693055560000001</v>
      </c>
      <c r="O411" s="279">
        <v>26.539919350000002</v>
      </c>
      <c r="P411" s="279">
        <v>26.552222220000001</v>
      </c>
      <c r="Q411" s="279">
        <v>25.59193548</v>
      </c>
      <c r="R411" s="279">
        <v>25.929520475833332</v>
      </c>
      <c r="S411" s="274">
        <f>SUMIFS(Aux_Lista!Y:Y,Aux_Lista!W:W,Aux_TBS!B411,Aux_Lista!X:X,Aux_TBS!A411)</f>
        <v>6</v>
      </c>
      <c r="T411" s="274" t="s">
        <v>6040</v>
      </c>
      <c r="U411" s="274">
        <v>38</v>
      </c>
    </row>
    <row r="412" spans="1:21" x14ac:dyDescent="0.25">
      <c r="A412" s="277" t="s">
        <v>4785</v>
      </c>
      <c r="B412" s="258" t="s">
        <v>1976</v>
      </c>
      <c r="C412" s="274" t="str">
        <f t="shared" si="6"/>
        <v>Pedro Afonso, TO</v>
      </c>
      <c r="D412" s="278">
        <v>-8.9700000000000006</v>
      </c>
      <c r="E412" s="258">
        <v>189</v>
      </c>
      <c r="F412" s="279">
        <v>26.293682799999999</v>
      </c>
      <c r="G412" s="279">
        <v>25.730357139999999</v>
      </c>
      <c r="H412" s="279">
        <v>26.202150540000002</v>
      </c>
      <c r="I412" s="279">
        <v>25.637499999999999</v>
      </c>
      <c r="J412" s="279">
        <v>25.56303763</v>
      </c>
      <c r="K412" s="279">
        <v>26.022916670000001</v>
      </c>
      <c r="L412" s="279">
        <v>26.224059140000001</v>
      </c>
      <c r="M412" s="279">
        <v>27.464650540000001</v>
      </c>
      <c r="N412" s="279">
        <v>28.47625</v>
      </c>
      <c r="O412" s="279">
        <v>26.776747310000001</v>
      </c>
      <c r="P412" s="279">
        <v>26.723749999999999</v>
      </c>
      <c r="Q412" s="279">
        <v>25.50147849</v>
      </c>
      <c r="R412" s="279">
        <v>26.384715021666668</v>
      </c>
      <c r="S412" s="274">
        <f>SUMIFS(Aux_Lista!Y:Y,Aux_Lista!W:W,Aux_TBS!B412,Aux_Lista!X:X,Aux_TBS!A412)</f>
        <v>7</v>
      </c>
      <c r="T412" s="274" t="s">
        <v>6040</v>
      </c>
      <c r="U412" s="274">
        <v>38</v>
      </c>
    </row>
    <row r="413" spans="1:21" x14ac:dyDescent="0.25">
      <c r="A413" s="277" t="s">
        <v>4769</v>
      </c>
      <c r="B413" s="258" t="s">
        <v>1976</v>
      </c>
      <c r="C413" s="274" t="str">
        <f t="shared" si="6"/>
        <v>Peixe, TO</v>
      </c>
      <c r="D413" s="278">
        <v>-12.02</v>
      </c>
      <c r="E413" s="258">
        <v>242</v>
      </c>
      <c r="F413" s="279">
        <v>26.292204300000002</v>
      </c>
      <c r="G413" s="279">
        <v>25.481249999999999</v>
      </c>
      <c r="H413" s="279">
        <v>26.067338710000001</v>
      </c>
      <c r="I413" s="279">
        <v>25.588194439999999</v>
      </c>
      <c r="J413" s="279">
        <v>24.93508065</v>
      </c>
      <c r="K413" s="279">
        <v>24.882222219999999</v>
      </c>
      <c r="L413" s="279">
        <v>24.722311829999999</v>
      </c>
      <c r="M413" s="279">
        <v>26.708333329999999</v>
      </c>
      <c r="N413" s="279">
        <v>28.087499999999999</v>
      </c>
      <c r="O413" s="279">
        <v>26.302284950000001</v>
      </c>
      <c r="P413" s="279">
        <v>26.55916667</v>
      </c>
      <c r="Q413" s="279">
        <v>25.40524194</v>
      </c>
      <c r="R413" s="279">
        <v>25.919260753333333</v>
      </c>
      <c r="S413" s="274">
        <f>SUMIFS(Aux_Lista!Y:Y,Aux_Lista!W:W,Aux_TBS!B413,Aux_Lista!X:X,Aux_TBS!A413)</f>
        <v>7</v>
      </c>
      <c r="T413" s="274" t="s">
        <v>6040</v>
      </c>
      <c r="U413" s="274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475" t="s">
        <v>170</v>
      </c>
      <c r="D2" s="475"/>
      <c r="E2" s="475"/>
      <c r="F2" s="475"/>
      <c r="G2" s="475"/>
      <c r="H2" s="475"/>
      <c r="J2" s="473" t="s">
        <v>169</v>
      </c>
      <c r="K2" s="473"/>
    </row>
    <row r="3" spans="1:38" ht="15.75" x14ac:dyDescent="0.25">
      <c r="C3" s="475" t="s">
        <v>168</v>
      </c>
      <c r="D3" s="475"/>
      <c r="E3" s="475"/>
      <c r="F3" s="475"/>
      <c r="G3" s="475"/>
      <c r="H3" s="475"/>
    </row>
    <row r="4" spans="1:38" ht="15.75" x14ac:dyDescent="0.25">
      <c r="C4" s="475" t="s">
        <v>167</v>
      </c>
      <c r="D4" s="475"/>
      <c r="E4" s="475"/>
      <c r="F4" s="475"/>
      <c r="G4" s="475"/>
      <c r="H4" s="475"/>
    </row>
    <row r="5" spans="1:38" ht="15.75" x14ac:dyDescent="0.25">
      <c r="C5" s="22"/>
      <c r="D5" s="22"/>
      <c r="E5" s="22"/>
    </row>
    <row r="6" spans="1:38" ht="23.25" x14ac:dyDescent="0.35">
      <c r="C6" s="476" t="s">
        <v>166</v>
      </c>
      <c r="D6" s="476"/>
      <c r="E6" s="476"/>
      <c r="F6" s="476"/>
      <c r="G6" s="476"/>
      <c r="H6" s="476"/>
    </row>
    <row r="7" spans="1:38" ht="18.75" x14ac:dyDescent="0.3">
      <c r="C7" s="474" t="s">
        <v>165</v>
      </c>
      <c r="D7" s="474"/>
      <c r="E7" s="474"/>
      <c r="F7" s="443" t="s">
        <v>171</v>
      </c>
      <c r="G7" s="443"/>
      <c r="H7" s="443"/>
    </row>
    <row r="9" spans="1:38" s="26" customFormat="1" ht="12.75" x14ac:dyDescent="0.2">
      <c r="A9" s="23" t="s">
        <v>164</v>
      </c>
      <c r="B9" s="24"/>
      <c r="C9" s="24"/>
      <c r="D9" s="24"/>
      <c r="E9" s="24"/>
      <c r="F9" s="24"/>
      <c r="G9" s="25"/>
    </row>
    <row r="11" spans="1:38" ht="15.75" x14ac:dyDescent="0.25">
      <c r="A11" s="486" t="s">
        <v>21</v>
      </c>
      <c r="B11" s="486" t="s">
        <v>5</v>
      </c>
      <c r="C11" s="486" t="s">
        <v>6</v>
      </c>
      <c r="D11" s="486" t="s">
        <v>7</v>
      </c>
      <c r="E11" s="486" t="s">
        <v>20</v>
      </c>
      <c r="F11" s="486" t="s">
        <v>8</v>
      </c>
      <c r="G11" s="477" t="s">
        <v>0</v>
      </c>
      <c r="H11" s="477"/>
      <c r="I11" s="477"/>
      <c r="J11" s="477"/>
      <c r="K11" s="477"/>
      <c r="L11" s="477"/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8" t="s">
        <v>72</v>
      </c>
      <c r="X11" s="479"/>
      <c r="Y11" s="479"/>
      <c r="Z11" s="479"/>
      <c r="AA11" s="479"/>
      <c r="AB11" s="479"/>
      <c r="AC11" s="479"/>
      <c r="AD11" s="479"/>
      <c r="AE11" s="479"/>
      <c r="AF11" s="479"/>
      <c r="AG11" s="479"/>
      <c r="AH11" s="479"/>
      <c r="AI11" s="479"/>
      <c r="AJ11" s="479"/>
      <c r="AK11" s="479"/>
      <c r="AL11" s="479"/>
    </row>
    <row r="12" spans="1:38" ht="15" customHeight="1" x14ac:dyDescent="0.25">
      <c r="A12" s="486"/>
      <c r="B12" s="486"/>
      <c r="C12" s="486"/>
      <c r="D12" s="486"/>
      <c r="E12" s="486"/>
      <c r="F12" s="486"/>
      <c r="G12" s="480" t="s">
        <v>1</v>
      </c>
      <c r="H12" s="480" t="s">
        <v>2</v>
      </c>
      <c r="I12" s="481" t="s">
        <v>3</v>
      </c>
      <c r="J12" s="481"/>
      <c r="K12" s="480" t="s">
        <v>4</v>
      </c>
      <c r="L12" s="480"/>
      <c r="M12" s="481" t="s">
        <v>16</v>
      </c>
      <c r="N12" s="481"/>
      <c r="O12" s="480" t="s">
        <v>17</v>
      </c>
      <c r="P12" s="480"/>
      <c r="Q12" s="487" t="s">
        <v>22</v>
      </c>
      <c r="R12" s="487" t="s">
        <v>18</v>
      </c>
      <c r="S12" s="487" t="s">
        <v>19</v>
      </c>
      <c r="T12" s="480" t="s">
        <v>10</v>
      </c>
      <c r="U12" s="480"/>
      <c r="V12" s="480" t="s">
        <v>11</v>
      </c>
      <c r="W12" s="482" t="s">
        <v>1</v>
      </c>
      <c r="X12" s="482" t="s">
        <v>2</v>
      </c>
      <c r="Y12" s="484" t="s">
        <v>3</v>
      </c>
      <c r="Z12" s="485"/>
      <c r="AA12" s="471" t="s">
        <v>4</v>
      </c>
      <c r="AB12" s="472"/>
      <c r="AC12" s="484" t="s">
        <v>16</v>
      </c>
      <c r="AD12" s="485"/>
      <c r="AE12" s="471" t="s">
        <v>17</v>
      </c>
      <c r="AF12" s="472"/>
      <c r="AG12" s="482" t="s">
        <v>22</v>
      </c>
      <c r="AH12" s="482" t="s">
        <v>18</v>
      </c>
      <c r="AI12" s="482" t="s">
        <v>19</v>
      </c>
      <c r="AJ12" s="471" t="s">
        <v>10</v>
      </c>
      <c r="AK12" s="472"/>
      <c r="AL12" s="482" t="s">
        <v>11</v>
      </c>
    </row>
    <row r="13" spans="1:38" ht="38.25" x14ac:dyDescent="0.25">
      <c r="A13" s="486"/>
      <c r="B13" s="486"/>
      <c r="C13" s="486"/>
      <c r="D13" s="486"/>
      <c r="E13" s="486"/>
      <c r="F13" s="486"/>
      <c r="G13" s="480"/>
      <c r="H13" s="480"/>
      <c r="I13" s="5" t="s">
        <v>9</v>
      </c>
      <c r="J13" s="6" t="s">
        <v>30</v>
      </c>
      <c r="K13" s="5" t="s">
        <v>9</v>
      </c>
      <c r="L13" s="6" t="s">
        <v>31</v>
      </c>
      <c r="M13" s="5" t="s">
        <v>9</v>
      </c>
      <c r="N13" s="6" t="s">
        <v>31</v>
      </c>
      <c r="O13" s="5" t="s">
        <v>9</v>
      </c>
      <c r="P13" s="6" t="s">
        <v>32</v>
      </c>
      <c r="Q13" s="488"/>
      <c r="R13" s="488"/>
      <c r="S13" s="488"/>
      <c r="T13" s="5" t="s">
        <v>9</v>
      </c>
      <c r="U13" s="6" t="s">
        <v>33</v>
      </c>
      <c r="V13" s="480"/>
      <c r="W13" s="483"/>
      <c r="X13" s="483"/>
      <c r="Y13" s="15" t="s">
        <v>9</v>
      </c>
      <c r="Z13" s="14" t="s">
        <v>30</v>
      </c>
      <c r="AA13" s="15" t="s">
        <v>9</v>
      </c>
      <c r="AB13" s="14" t="s">
        <v>31</v>
      </c>
      <c r="AC13" s="15" t="s">
        <v>9</v>
      </c>
      <c r="AD13" s="14" t="s">
        <v>31</v>
      </c>
      <c r="AE13" s="15" t="s">
        <v>9</v>
      </c>
      <c r="AF13" s="14" t="s">
        <v>32</v>
      </c>
      <c r="AG13" s="483"/>
      <c r="AH13" s="483"/>
      <c r="AI13" s="483"/>
      <c r="AJ13" s="15" t="s">
        <v>9</v>
      </c>
      <c r="AK13" s="14" t="s">
        <v>33</v>
      </c>
      <c r="AL13" s="483"/>
    </row>
    <row r="14" spans="1:38" s="2" customFormat="1" ht="32.25" customHeight="1" x14ac:dyDescent="0.25">
      <c r="A14" s="52" t="str">
        <f>Geral!$C$9</f>
        <v>Exemplo Ltda</v>
      </c>
      <c r="B14" s="52" t="str">
        <f>Geral!$C$7</f>
        <v>Exemplo Ltda</v>
      </c>
      <c r="C14" s="52" t="str">
        <f>Geral!$C$8</f>
        <v>xxxxxxxxxx</v>
      </c>
      <c r="D14" s="52" t="str">
        <f>Geral!$C$12</f>
        <v>Florianópolis</v>
      </c>
      <c r="E14" s="52" t="str">
        <f>Geral!$C$11</f>
        <v>SC</v>
      </c>
      <c r="F14" s="58" t="str">
        <f>Geral!$C$16</f>
        <v>Escritórios</v>
      </c>
      <c r="G14" s="7" t="s">
        <v>172</v>
      </c>
      <c r="H14" s="7" t="s">
        <v>15</v>
      </c>
      <c r="I14" s="9" t="s">
        <v>25</v>
      </c>
      <c r="J14" s="10">
        <v>179.19</v>
      </c>
      <c r="K14" s="9" t="s">
        <v>25</v>
      </c>
      <c r="L14" s="10">
        <v>128.15</v>
      </c>
      <c r="M14" s="9" t="s">
        <v>25</v>
      </c>
      <c r="N14" s="10">
        <v>128.99</v>
      </c>
      <c r="O14" s="9" t="s">
        <v>25</v>
      </c>
      <c r="P14" s="10">
        <v>21.02</v>
      </c>
      <c r="Q14" s="8">
        <v>0.37619999999999998</v>
      </c>
      <c r="R14" s="7" t="s">
        <v>35</v>
      </c>
      <c r="S14" s="8">
        <v>0.29799999999999999</v>
      </c>
      <c r="T14" s="9" t="s">
        <v>34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52" t="str">
        <f>Geral!$C$9</f>
        <v>Exemplo Ltda</v>
      </c>
      <c r="B15" s="52" t="str">
        <f>Geral!$C$7</f>
        <v>Exemplo Ltda</v>
      </c>
      <c r="C15" s="52" t="str">
        <f>Geral!$C$8</f>
        <v>xxxxxxxxxx</v>
      </c>
      <c r="D15" s="52" t="str">
        <f>Geral!$C$12</f>
        <v>Florianópolis</v>
      </c>
      <c r="E15" s="52" t="str">
        <f>Geral!$C$11</f>
        <v>SC</v>
      </c>
      <c r="F15" s="58" t="str">
        <f>Geral!$C$16</f>
        <v>Escritórios</v>
      </c>
      <c r="G15" s="7" t="s">
        <v>172</v>
      </c>
      <c r="H15" s="7" t="s">
        <v>15</v>
      </c>
      <c r="I15" s="9" t="s">
        <v>25</v>
      </c>
      <c r="J15" s="10">
        <v>185.2</v>
      </c>
      <c r="K15" s="9" t="s">
        <v>34</v>
      </c>
      <c r="L15" s="10">
        <v>97.49</v>
      </c>
      <c r="M15" s="9" t="s">
        <v>25</v>
      </c>
      <c r="N15" s="10">
        <v>128.99</v>
      </c>
      <c r="O15" s="9" t="s">
        <v>25</v>
      </c>
      <c r="P15" s="10">
        <v>21.02</v>
      </c>
      <c r="Q15" s="8">
        <v>0.31530000000000002</v>
      </c>
      <c r="R15" s="7" t="s">
        <v>35</v>
      </c>
      <c r="S15" s="8">
        <v>0.254</v>
      </c>
      <c r="T15" s="9" t="s">
        <v>34</v>
      </c>
      <c r="U15" s="11">
        <v>719472.18</v>
      </c>
      <c r="V15" s="7">
        <v>1</v>
      </c>
      <c r="W15" s="7" t="s">
        <v>172</v>
      </c>
      <c r="X15" s="7" t="s">
        <v>15</v>
      </c>
      <c r="Y15" s="9" t="s">
        <v>34</v>
      </c>
      <c r="Z15" s="10">
        <v>130.13999999999999</v>
      </c>
      <c r="AA15" s="9" t="s">
        <v>34</v>
      </c>
      <c r="AB15" s="10">
        <v>97.49</v>
      </c>
      <c r="AC15" s="9" t="s">
        <v>14</v>
      </c>
      <c r="AD15" s="10" t="s">
        <v>14</v>
      </c>
      <c r="AE15" s="9" t="s">
        <v>14</v>
      </c>
      <c r="AF15" s="10" t="s">
        <v>14</v>
      </c>
      <c r="AG15" s="8" t="s">
        <v>14</v>
      </c>
      <c r="AH15" s="7" t="s">
        <v>14</v>
      </c>
      <c r="AI15" s="8" t="s">
        <v>14</v>
      </c>
      <c r="AJ15" s="9" t="s">
        <v>14</v>
      </c>
      <c r="AK15" s="11" t="s">
        <v>14</v>
      </c>
      <c r="AL15" s="7">
        <v>1</v>
      </c>
    </row>
    <row r="16" spans="1:38" s="2" customFormat="1" ht="32.25" customHeight="1" x14ac:dyDescent="0.25">
      <c r="A16" s="52" t="str">
        <f>Geral!$C$9</f>
        <v>Exemplo Ltda</v>
      </c>
      <c r="B16" s="52" t="str">
        <f>Geral!$C$7</f>
        <v>Exemplo Ltda</v>
      </c>
      <c r="C16" s="52" t="str">
        <f>Geral!$C$8</f>
        <v>xxxxxxxxxx</v>
      </c>
      <c r="D16" s="52" t="str">
        <f>Geral!$C$12</f>
        <v>Florianópolis</v>
      </c>
      <c r="E16" s="52" t="str">
        <f>Geral!$C$11</f>
        <v>SC</v>
      </c>
      <c r="F16" s="58" t="str">
        <f>Geral!$C$16</f>
        <v>Escritórios</v>
      </c>
      <c r="G16" s="7" t="s">
        <v>14</v>
      </c>
      <c r="H16" s="7" t="s">
        <v>14</v>
      </c>
      <c r="I16" s="9" t="s">
        <v>14</v>
      </c>
      <c r="J16" s="10" t="s">
        <v>14</v>
      </c>
      <c r="K16" s="9" t="s">
        <v>14</v>
      </c>
      <c r="L16" s="10" t="s">
        <v>14</v>
      </c>
      <c r="M16" s="9" t="s">
        <v>14</v>
      </c>
      <c r="N16" s="10" t="s">
        <v>14</v>
      </c>
      <c r="O16" s="9" t="s">
        <v>14</v>
      </c>
      <c r="P16" s="10" t="s">
        <v>14</v>
      </c>
      <c r="Q16" s="8" t="s">
        <v>14</v>
      </c>
      <c r="R16" s="7" t="s">
        <v>14</v>
      </c>
      <c r="S16" s="8" t="s">
        <v>14</v>
      </c>
      <c r="T16" s="9" t="s">
        <v>14</v>
      </c>
      <c r="U16" s="11" t="s">
        <v>14</v>
      </c>
      <c r="V16" s="7">
        <v>0</v>
      </c>
      <c r="W16" s="7" t="s">
        <v>172</v>
      </c>
      <c r="X16" s="7" t="s">
        <v>15</v>
      </c>
      <c r="Y16" s="9" t="s">
        <v>25</v>
      </c>
      <c r="Z16" s="10">
        <v>430.71</v>
      </c>
      <c r="AA16" s="9" t="s">
        <v>34</v>
      </c>
      <c r="AB16" s="10">
        <v>199.2</v>
      </c>
      <c r="AC16" s="9" t="s">
        <v>25</v>
      </c>
      <c r="AD16" s="10">
        <v>128.99</v>
      </c>
      <c r="AE16" s="9" t="s">
        <v>118</v>
      </c>
      <c r="AF16" s="10">
        <v>21.02</v>
      </c>
      <c r="AG16" s="8">
        <v>0.39700000000000002</v>
      </c>
      <c r="AH16" s="7" t="s">
        <v>35</v>
      </c>
      <c r="AI16" s="8">
        <v>0.246</v>
      </c>
      <c r="AJ16" s="9" t="s">
        <v>25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  <mergeCell ref="AL12:AL13"/>
    <mergeCell ref="AC12:AD12"/>
    <mergeCell ref="AE12:AF12"/>
    <mergeCell ref="AG12:AG13"/>
    <mergeCell ref="AH12:AH13"/>
    <mergeCell ref="AI12:AI13"/>
    <mergeCell ref="AJ12:AK12"/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111"/>
  <sheetViews>
    <sheetView showGridLines="0" zoomScale="85" zoomScaleNormal="85" workbookViewId="0">
      <selection activeCell="F24" sqref="F24"/>
    </sheetView>
  </sheetViews>
  <sheetFormatPr defaultRowHeight="15" x14ac:dyDescent="0.25"/>
  <cols>
    <col min="1" max="1" width="5.7109375" customWidth="1"/>
    <col min="2" max="2" width="18.5703125" bestFit="1" customWidth="1"/>
    <col min="3" max="3" width="13.42578125" bestFit="1" customWidth="1"/>
    <col min="4" max="4" width="8.42578125" customWidth="1"/>
    <col min="5" max="7" width="9.7109375" customWidth="1"/>
    <col min="21" max="21" width="11.7109375" style="1" bestFit="1" customWidth="1"/>
    <col min="22" max="22" width="14.85546875" style="1" customWidth="1"/>
    <col min="23" max="23" width="14" style="1" bestFit="1" customWidth="1"/>
    <col min="29" max="29" width="12.28515625" bestFit="1" customWidth="1"/>
    <col min="30" max="30" width="12.28515625" customWidth="1"/>
    <col min="31" max="31" width="13.85546875" bestFit="1" customWidth="1"/>
    <col min="32" max="32" width="11" style="28" customWidth="1"/>
    <col min="33" max="16384" width="9.140625" style="28"/>
  </cols>
  <sheetData>
    <row r="2" spans="1:33" ht="28.5" customHeight="1" x14ac:dyDescent="0.25"/>
    <row r="3" spans="1:33" s="29" customForma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16"/>
      <c r="V3" s="16"/>
      <c r="W3" s="16"/>
      <c r="X3" s="27"/>
      <c r="Y3" s="27"/>
      <c r="Z3" s="27"/>
      <c r="AA3" s="27"/>
      <c r="AB3" s="27"/>
      <c r="AC3" s="27"/>
      <c r="AD3" s="27"/>
      <c r="AE3" s="27"/>
    </row>
    <row r="5" spans="1:33" ht="18.75" x14ac:dyDescent="0.3">
      <c r="A5" s="40"/>
      <c r="B5" s="41" t="s">
        <v>192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7" spans="1:33" ht="30" x14ac:dyDescent="0.25">
      <c r="B7" s="75" t="s">
        <v>184</v>
      </c>
      <c r="C7" s="76" t="str">
        <f>Geral!C7</f>
        <v>Exemplo Ltda</v>
      </c>
    </row>
    <row r="8" spans="1:33" x14ac:dyDescent="0.25">
      <c r="B8" s="75" t="s">
        <v>135</v>
      </c>
      <c r="C8" s="76" t="str">
        <f>Geral!C10</f>
        <v>Projeto</v>
      </c>
    </row>
    <row r="10" spans="1:33" x14ac:dyDescent="0.25">
      <c r="B10" s="33" t="s">
        <v>8</v>
      </c>
      <c r="C10" s="33" t="s">
        <v>60</v>
      </c>
      <c r="D10" s="33" t="s">
        <v>59</v>
      </c>
      <c r="E10" s="33" t="s">
        <v>61</v>
      </c>
      <c r="F10" s="33" t="s">
        <v>6162</v>
      </c>
      <c r="G10" s="33" t="s">
        <v>6163</v>
      </c>
      <c r="H10" s="33" t="s">
        <v>36</v>
      </c>
      <c r="I10" s="33" t="s">
        <v>37</v>
      </c>
      <c r="J10" s="33" t="s">
        <v>6164</v>
      </c>
      <c r="K10" s="33" t="s">
        <v>6165</v>
      </c>
      <c r="L10" s="33" t="s">
        <v>38</v>
      </c>
      <c r="M10" s="33" t="s">
        <v>39</v>
      </c>
      <c r="N10" s="33" t="s">
        <v>40</v>
      </c>
      <c r="O10" s="33" t="s">
        <v>41</v>
      </c>
      <c r="P10" s="33" t="s">
        <v>6166</v>
      </c>
      <c r="Q10" s="33" t="s">
        <v>42</v>
      </c>
      <c r="R10" s="33" t="s">
        <v>43</v>
      </c>
      <c r="S10" s="33" t="s">
        <v>44</v>
      </c>
      <c r="T10" s="33" t="s">
        <v>6167</v>
      </c>
      <c r="U10" s="33" t="s">
        <v>6168</v>
      </c>
      <c r="V10" s="33" t="s">
        <v>6169</v>
      </c>
      <c r="W10" s="33" t="s">
        <v>6170</v>
      </c>
      <c r="X10" s="33" t="s">
        <v>45</v>
      </c>
      <c r="Y10" s="33" t="s">
        <v>46</v>
      </c>
      <c r="Z10" s="33" t="s">
        <v>47</v>
      </c>
      <c r="AA10" s="33" t="s">
        <v>48</v>
      </c>
      <c r="AB10" s="33" t="s">
        <v>6171</v>
      </c>
      <c r="AC10" s="33" t="s">
        <v>6172</v>
      </c>
      <c r="AD10" s="370"/>
    </row>
    <row r="11" spans="1:33" s="32" customFormat="1" x14ac:dyDescent="0.25">
      <c r="A11" s="1">
        <v>1</v>
      </c>
      <c r="B11" s="50" t="str">
        <f>Envoltória!H16</f>
        <v>Escritórios</v>
      </c>
      <c r="C11" s="51">
        <f>Envoltória!B16</f>
        <v>1</v>
      </c>
      <c r="D11" s="52" t="str">
        <f>Envoltória!C16</f>
        <v>Sala 01 ZT1</v>
      </c>
      <c r="E11" s="53">
        <f>Envoltória!D16</f>
        <v>92.25</v>
      </c>
      <c r="F11" s="374">
        <f>IFERROR(VLOOKUP(Envoltória!F16,CB3E_Envoltória!$AF$11:$AG$15,2,FALSE),"")</f>
        <v>0</v>
      </c>
      <c r="G11" s="374">
        <f>Envoltória!T16</f>
        <v>15</v>
      </c>
      <c r="H11" s="375">
        <f>Envoltória!S16</f>
        <v>14.1</v>
      </c>
      <c r="I11" s="375">
        <f>IF(ISERROR(VLOOKUP(Envoltória!M16,Componentes!L:N,3,FALSE)),0,VLOOKUP(Envoltória!M16,Componentes!L:N,3,FALSE))</f>
        <v>0.82</v>
      </c>
      <c r="J11" s="375">
        <v>0.5</v>
      </c>
      <c r="K11" s="375">
        <f>Envoltória!U16</f>
        <v>0.1</v>
      </c>
      <c r="L11" s="375">
        <f>IF(ISERROR(VLOOKUP(Envoltória!M16,Componentes!L:N,2,FALSE)),0,VLOOKUP(Envoltória!M16,Componentes!L:N,2,FALSE))</f>
        <v>5.7</v>
      </c>
      <c r="M11" s="376">
        <f>IF(ISERROR(VLOOKUP(Envoltória!L16,Componentes!G:J,4,FALSE)),0,VLOOKUP(Envoltória!L16,Componentes!G:J,4,FALSE))</f>
        <v>0.8</v>
      </c>
      <c r="N11" s="375">
        <f>IF(ISERROR(VLOOKUP(Envoltória!K16,Componentes!B:E,4,FALSE)),0,VLOOKUP(Envoltória!K16,Componentes!B:E,4,FALSE))</f>
        <v>0.5</v>
      </c>
      <c r="O11" s="377">
        <f>Envoltória!E16</f>
        <v>3</v>
      </c>
      <c r="P11" s="375">
        <f>Envoltória!N16/100</f>
        <v>0.5</v>
      </c>
      <c r="Q11" s="375">
        <f>Envoltória!Q16</f>
        <v>0</v>
      </c>
      <c r="R11" s="375">
        <f>Envoltória!P16</f>
        <v>0</v>
      </c>
      <c r="S11" s="375">
        <f>Envoltória!R16</f>
        <v>0</v>
      </c>
      <c r="T11" s="375">
        <f>Envoltória!V16</f>
        <v>10</v>
      </c>
      <c r="U11" s="375">
        <f>IFERROR(VLOOKUP(Envoltória!I16,Aux_Lista!M:P,3,FALSE),"")</f>
        <v>1</v>
      </c>
      <c r="V11" s="375">
        <f>IFERROR(VLOOKUP(Envoltória!I16,Aux_Lista!M:P,4,FALSE),"")</f>
        <v>0</v>
      </c>
      <c r="W11" s="375">
        <f>IFERROR(VLOOKUP(Envoltória!J16,Aux_Lista!R:S,2,FALSE),"")</f>
        <v>1</v>
      </c>
      <c r="X11" s="375">
        <f>IF(ISERROR(VLOOKUP(Envoltória!L16,Componentes!G:J,2,FALSE)),0,VLOOKUP(Envoltória!L16,Componentes!G:J,2,FALSE))</f>
        <v>2.06</v>
      </c>
      <c r="Y11" s="375">
        <f>IF(ISERROR(VLOOKUP(Envoltória!K16,Componentes!B:E,2,FALSE)),0,VLOOKUP(Envoltória!K16,Componentes!B:E,2,FALSE))</f>
        <v>2.39</v>
      </c>
      <c r="Z11" s="375">
        <f>IF(ISERROR(VLOOKUP(Envoltória!L16,Componentes!G:J,3,FALSE)),0,VLOOKUP(Envoltória!L16,Componentes!G:J,3,FALSE))</f>
        <v>233</v>
      </c>
      <c r="AA11" s="375">
        <f>IF(ISERROR(VLOOKUP(Envoltória!K16,Componentes!B:E,3,FALSE)),0,VLOOKUP(Envoltória!K16,Componentes!B:E,3,FALSE))</f>
        <v>150</v>
      </c>
      <c r="AB11" s="375">
        <f>IFERROR(VLOOKUP(Envoltória!I16,Aux_Lista!M:P,2,FALSE),"")</f>
        <v>0</v>
      </c>
      <c r="AC11" s="378">
        <f>IFERROR(VLOOKUP(Envoltória!G16,CB3E_Envoltória!$AF$18:$AG$19,2,FALSE),"")</f>
        <v>2</v>
      </c>
      <c r="AD11" s="372">
        <v>121.14153289794901</v>
      </c>
      <c r="AE11" s="373">
        <f>AD11*E11</f>
        <v>11175.306409835795</v>
      </c>
      <c r="AF11" s="7" t="s">
        <v>64</v>
      </c>
      <c r="AG11" s="7">
        <v>0</v>
      </c>
    </row>
    <row r="12" spans="1:33" s="32" customFormat="1" x14ac:dyDescent="0.25">
      <c r="A12" s="379">
        <v>2</v>
      </c>
      <c r="B12" s="50" t="str">
        <f>Envoltória!H17</f>
        <v>Escritórios</v>
      </c>
      <c r="C12" s="51">
        <f>Envoltória!B17</f>
        <v>1</v>
      </c>
      <c r="D12" s="52" t="str">
        <f>Envoltória!C17</f>
        <v>Sala 01 ZT2</v>
      </c>
      <c r="E12" s="53">
        <f>Envoltória!D17</f>
        <v>92.25</v>
      </c>
      <c r="F12" s="374">
        <f>IFERROR(VLOOKUP(Envoltória!F17,CB3E_Envoltória!$AF$11:$AG$15,2,FALSE),"")</f>
        <v>180</v>
      </c>
      <c r="G12" s="374">
        <f>Envoltória!T17</f>
        <v>15</v>
      </c>
      <c r="H12" s="375">
        <f>Envoltória!S17</f>
        <v>14.1</v>
      </c>
      <c r="I12" s="375">
        <f>IF(ISERROR(VLOOKUP(Envoltória!M17,Componentes!L:N,3,FALSE)),0,VLOOKUP(Envoltória!M17,Componentes!L:N,3,FALSE))</f>
        <v>0.82</v>
      </c>
      <c r="J12" s="375">
        <v>0.5</v>
      </c>
      <c r="K12" s="375">
        <f>Envoltória!U17</f>
        <v>0.1</v>
      </c>
      <c r="L12" s="375">
        <f>IF(ISERROR(VLOOKUP(Envoltória!M17,Componentes!L:N,2,FALSE)),0,VLOOKUP(Envoltória!M17,Componentes!L:N,2,FALSE))</f>
        <v>5.7</v>
      </c>
      <c r="M12" s="376">
        <f>IF(ISERROR(VLOOKUP(Envoltória!L17,Componentes!G:J,4,FALSE)),0,VLOOKUP(Envoltória!L17,Componentes!G:J,4,FALSE))</f>
        <v>0.8</v>
      </c>
      <c r="N12" s="375">
        <f>IF(ISERROR(VLOOKUP(Envoltória!K17,Componentes!B:E,4,FALSE)),0,VLOOKUP(Envoltória!K17,Componentes!B:E,4,FALSE))</f>
        <v>0.5</v>
      </c>
      <c r="O12" s="377">
        <f>Envoltória!E17</f>
        <v>3</v>
      </c>
      <c r="P12" s="375">
        <f>Envoltória!N17/100</f>
        <v>0</v>
      </c>
      <c r="Q12" s="375">
        <f>Envoltória!Q17</f>
        <v>0</v>
      </c>
      <c r="R12" s="375">
        <f>Envoltória!P17</f>
        <v>0</v>
      </c>
      <c r="S12" s="375">
        <f>Envoltória!R17</f>
        <v>0</v>
      </c>
      <c r="T12" s="375">
        <f>Envoltória!V17</f>
        <v>10</v>
      </c>
      <c r="U12" s="375">
        <f>IFERROR(VLOOKUP(Envoltória!I17,Aux_Lista!M:P,3,FALSE),"")</f>
        <v>1</v>
      </c>
      <c r="V12" s="375">
        <f>IFERROR(VLOOKUP(Envoltória!I17,Aux_Lista!M:P,4,FALSE),"")</f>
        <v>0</v>
      </c>
      <c r="W12" s="375">
        <f>IFERROR(VLOOKUP(Envoltória!J17,Aux_Lista!R:S,2,FALSE),"")</f>
        <v>0</v>
      </c>
      <c r="X12" s="375">
        <f>IF(ISERROR(VLOOKUP(Envoltória!L17,Componentes!G:J,2,FALSE)),0,VLOOKUP(Envoltória!L17,Componentes!G:J,2,FALSE))</f>
        <v>2.06</v>
      </c>
      <c r="Y12" s="375">
        <f>IF(ISERROR(VLOOKUP(Envoltória!K17,Componentes!B:E,2,FALSE)),0,VLOOKUP(Envoltória!K17,Componentes!B:E,2,FALSE))</f>
        <v>2.39</v>
      </c>
      <c r="Z12" s="375">
        <f>IF(ISERROR(VLOOKUP(Envoltória!L17,Componentes!G:J,3,FALSE)),0,VLOOKUP(Envoltória!L17,Componentes!G:J,3,FALSE))</f>
        <v>233</v>
      </c>
      <c r="AA12" s="375">
        <f>IF(ISERROR(VLOOKUP(Envoltória!K17,Componentes!B:E,3,FALSE)),0,VLOOKUP(Envoltória!K17,Componentes!B:E,3,FALSE))</f>
        <v>150</v>
      </c>
      <c r="AB12" s="375">
        <f>IFERROR(VLOOKUP(Envoltória!I17,Aux_Lista!M:P,2,FALSE),"")</f>
        <v>0</v>
      </c>
      <c r="AC12" s="378">
        <f>IFERROR(VLOOKUP(Envoltória!G17,CB3E_Envoltória!$AF$18:$AG$19,2,FALSE),"")</f>
        <v>2</v>
      </c>
      <c r="AD12" s="372">
        <v>55.879283905029197</v>
      </c>
      <c r="AE12" s="373">
        <f>AD12*E12</f>
        <v>5154.8639402389435</v>
      </c>
      <c r="AF12" s="7" t="s">
        <v>68</v>
      </c>
      <c r="AG12" s="7">
        <v>180</v>
      </c>
    </row>
    <row r="13" spans="1:33" s="32" customFormat="1" x14ac:dyDescent="0.25">
      <c r="A13" s="1">
        <v>3</v>
      </c>
      <c r="B13" s="50" t="str">
        <f>Envoltória!H18</f>
        <v>Escritórios</v>
      </c>
      <c r="C13" s="51">
        <f>Envoltória!B18</f>
        <v>1</v>
      </c>
      <c r="D13" s="52" t="str">
        <f>Envoltória!C18</f>
        <v>Sala 01 ZT3</v>
      </c>
      <c r="E13" s="53">
        <f>Envoltória!D18</f>
        <v>92.25</v>
      </c>
      <c r="F13" s="374">
        <f>IFERROR(VLOOKUP(Envoltória!F18,CB3E_Envoltória!$AF$11:$AG$15,2,FALSE),"")</f>
        <v>90</v>
      </c>
      <c r="G13" s="374">
        <f>Envoltória!T18</f>
        <v>15</v>
      </c>
      <c r="H13" s="375">
        <f>Envoltória!S18</f>
        <v>14.1</v>
      </c>
      <c r="I13" s="375">
        <f>IF(ISERROR(VLOOKUP(Envoltória!M18,Componentes!L:N,3,FALSE)),0,VLOOKUP(Envoltória!M18,Componentes!L:N,3,FALSE))</f>
        <v>0.82</v>
      </c>
      <c r="J13" s="375">
        <v>0.5</v>
      </c>
      <c r="K13" s="375">
        <f>Envoltória!U18</f>
        <v>0.1</v>
      </c>
      <c r="L13" s="375">
        <f>IF(ISERROR(VLOOKUP(Envoltória!M18,Componentes!L:N,2,FALSE)),0,VLOOKUP(Envoltória!M18,Componentes!L:N,2,FALSE))</f>
        <v>5.7</v>
      </c>
      <c r="M13" s="376">
        <f>IF(ISERROR(VLOOKUP(Envoltória!L18,Componentes!G:J,4,FALSE)),0,VLOOKUP(Envoltória!L18,Componentes!G:J,4,FALSE))</f>
        <v>0.8</v>
      </c>
      <c r="N13" s="375">
        <f>IF(ISERROR(VLOOKUP(Envoltória!K18,Componentes!B:E,4,FALSE)),0,VLOOKUP(Envoltória!K18,Componentes!B:E,4,FALSE))</f>
        <v>0.5</v>
      </c>
      <c r="O13" s="377">
        <f>Envoltória!E18</f>
        <v>3</v>
      </c>
      <c r="P13" s="375">
        <f>Envoltória!N18/100</f>
        <v>0</v>
      </c>
      <c r="Q13" s="375">
        <f>Envoltória!Q18</f>
        <v>0</v>
      </c>
      <c r="R13" s="375">
        <f>Envoltória!P18</f>
        <v>0</v>
      </c>
      <c r="S13" s="375">
        <f>Envoltória!R18</f>
        <v>0</v>
      </c>
      <c r="T13" s="375">
        <f>Envoltória!V18</f>
        <v>10</v>
      </c>
      <c r="U13" s="375">
        <f>IFERROR(VLOOKUP(Envoltória!I18,Aux_Lista!M:P,3,FALSE),"")</f>
        <v>1</v>
      </c>
      <c r="V13" s="375">
        <f>IFERROR(VLOOKUP(Envoltória!I18,Aux_Lista!M:P,4,FALSE),"")</f>
        <v>0</v>
      </c>
      <c r="W13" s="375">
        <f>IFERROR(VLOOKUP(Envoltória!J18,Aux_Lista!R:S,2,FALSE),"")</f>
        <v>1</v>
      </c>
      <c r="X13" s="375">
        <f>IF(ISERROR(VLOOKUP(Envoltória!L18,Componentes!G:J,2,FALSE)),0,VLOOKUP(Envoltória!L18,Componentes!G:J,2,FALSE))</f>
        <v>2.06</v>
      </c>
      <c r="Y13" s="375">
        <f>IF(ISERROR(VLOOKUP(Envoltória!K18,Componentes!B:E,2,FALSE)),0,VLOOKUP(Envoltória!K18,Componentes!B:E,2,FALSE))</f>
        <v>2.39</v>
      </c>
      <c r="Z13" s="375">
        <f>IF(ISERROR(VLOOKUP(Envoltória!L18,Componentes!G:J,3,FALSE)),0,VLOOKUP(Envoltória!L18,Componentes!G:J,3,FALSE))</f>
        <v>233</v>
      </c>
      <c r="AA13" s="375">
        <f>IF(ISERROR(VLOOKUP(Envoltória!K18,Componentes!B:E,3,FALSE)),0,VLOOKUP(Envoltória!K18,Componentes!B:E,3,FALSE))</f>
        <v>150</v>
      </c>
      <c r="AB13" s="375">
        <f>IFERROR(VLOOKUP(Envoltória!I18,Aux_Lista!M:P,2,FALSE),"")</f>
        <v>0</v>
      </c>
      <c r="AC13" s="378">
        <f>IFERROR(VLOOKUP(Envoltória!G18,CB3E_Envoltória!$AF$18:$AG$19,2,FALSE),"")</f>
        <v>2</v>
      </c>
      <c r="AD13" s="372">
        <v>86.690208435058494</v>
      </c>
      <c r="AE13" s="373">
        <f t="shared" ref="AE13:AE14" si="0">AD13*E13</f>
        <v>7997.1717281341462</v>
      </c>
      <c r="AF13" s="7" t="s">
        <v>67</v>
      </c>
      <c r="AG13" s="7">
        <v>90</v>
      </c>
    </row>
    <row r="14" spans="1:33" s="32" customFormat="1" x14ac:dyDescent="0.25">
      <c r="A14" s="1">
        <v>4</v>
      </c>
      <c r="B14" s="50" t="str">
        <f>Envoltória!H19</f>
        <v>Escritórios</v>
      </c>
      <c r="C14" s="51">
        <f>Envoltória!B19</f>
        <v>1</v>
      </c>
      <c r="D14" s="52" t="str">
        <f>Envoltória!C19</f>
        <v>Sala 01 ZT4</v>
      </c>
      <c r="E14" s="53">
        <f>Envoltória!D19</f>
        <v>92.25</v>
      </c>
      <c r="F14" s="374">
        <f>IFERROR(VLOOKUP(Envoltória!F19,CB3E_Envoltória!$AF$11:$AG$15,2,FALSE),"")</f>
        <v>270</v>
      </c>
      <c r="G14" s="374">
        <f>Envoltória!T19</f>
        <v>15</v>
      </c>
      <c r="H14" s="375">
        <f>Envoltória!S19</f>
        <v>14.1</v>
      </c>
      <c r="I14" s="375">
        <f>IF(ISERROR(VLOOKUP(Envoltória!M19,Componentes!L:N,3,FALSE)),0,VLOOKUP(Envoltória!M19,Componentes!L:N,3,FALSE))</f>
        <v>0.82</v>
      </c>
      <c r="J14" s="375">
        <v>0.5</v>
      </c>
      <c r="K14" s="375">
        <f>Envoltória!U19</f>
        <v>0.1</v>
      </c>
      <c r="L14" s="375">
        <f>IF(ISERROR(VLOOKUP(Envoltória!M19,Componentes!L:N,2,FALSE)),0,VLOOKUP(Envoltória!M19,Componentes!L:N,2,FALSE))</f>
        <v>5.7</v>
      </c>
      <c r="M14" s="376">
        <f>IF(ISERROR(VLOOKUP(Envoltória!L19,Componentes!G:J,4,FALSE)),0,VLOOKUP(Envoltória!L19,Componentes!G:J,4,FALSE))</f>
        <v>0.8</v>
      </c>
      <c r="N14" s="375">
        <f>IF(ISERROR(VLOOKUP(Envoltória!K19,Componentes!B:E,4,FALSE)),0,VLOOKUP(Envoltória!K19,Componentes!B:E,4,FALSE))</f>
        <v>0.5</v>
      </c>
      <c r="O14" s="377">
        <f>Envoltória!E19</f>
        <v>3</v>
      </c>
      <c r="P14" s="375">
        <f>Envoltória!N19/100</f>
        <v>0.5</v>
      </c>
      <c r="Q14" s="375">
        <f>Envoltória!Q19</f>
        <v>0</v>
      </c>
      <c r="R14" s="375">
        <f>Envoltória!P19</f>
        <v>0</v>
      </c>
      <c r="S14" s="375">
        <f>Envoltória!R19</f>
        <v>0</v>
      </c>
      <c r="T14" s="375">
        <f>Envoltória!V19</f>
        <v>10</v>
      </c>
      <c r="U14" s="375">
        <f>IFERROR(VLOOKUP(Envoltória!I19,Aux_Lista!M:P,3,FALSE),"")</f>
        <v>1</v>
      </c>
      <c r="V14" s="375">
        <f>IFERROR(VLOOKUP(Envoltória!I19,Aux_Lista!M:P,4,FALSE),"")</f>
        <v>0</v>
      </c>
      <c r="W14" s="375">
        <f>IFERROR(VLOOKUP(Envoltória!J19,Aux_Lista!R:S,2,FALSE),"")</f>
        <v>1</v>
      </c>
      <c r="X14" s="375">
        <f>IF(ISERROR(VLOOKUP(Envoltória!L19,Componentes!G:J,2,FALSE)),0,VLOOKUP(Envoltória!L19,Componentes!G:J,2,FALSE))</f>
        <v>2.06</v>
      </c>
      <c r="Y14" s="375">
        <f>IF(ISERROR(VLOOKUP(Envoltória!K19,Componentes!B:E,2,FALSE)),0,VLOOKUP(Envoltória!K19,Componentes!B:E,2,FALSE))</f>
        <v>2.39</v>
      </c>
      <c r="Z14" s="375">
        <f>IF(ISERROR(VLOOKUP(Envoltória!L19,Componentes!G:J,3,FALSE)),0,VLOOKUP(Envoltória!L19,Componentes!G:J,3,FALSE))</f>
        <v>233</v>
      </c>
      <c r="AA14" s="375">
        <f>IF(ISERROR(VLOOKUP(Envoltória!K19,Componentes!B:E,3,FALSE)),0,VLOOKUP(Envoltória!K19,Componentes!B:E,3,FALSE))</f>
        <v>150</v>
      </c>
      <c r="AB14" s="375">
        <f>IFERROR(VLOOKUP(Envoltória!I19,Aux_Lista!M:P,2,FALSE),"")</f>
        <v>0</v>
      </c>
      <c r="AC14" s="378">
        <f>IFERROR(VLOOKUP(Envoltória!G19,CB3E_Envoltória!$AF$18:$AG$19,2,FALSE),"")</f>
        <v>2</v>
      </c>
      <c r="AD14" s="372">
        <v>111.55354309082</v>
      </c>
      <c r="AE14" s="373">
        <f t="shared" si="0"/>
        <v>10290.814350128145</v>
      </c>
      <c r="AF14" s="7" t="s">
        <v>71</v>
      </c>
      <c r="AG14" s="7">
        <v>270</v>
      </c>
    </row>
    <row r="15" spans="1:33" s="32" customFormat="1" x14ac:dyDescent="0.25">
      <c r="A15" s="379">
        <v>5</v>
      </c>
      <c r="B15" s="50" t="str">
        <f>Envoltória!H20</f>
        <v>Escritórios</v>
      </c>
      <c r="C15" s="51">
        <f>Envoltória!B20</f>
        <v>1</v>
      </c>
      <c r="D15" s="52" t="str">
        <f>Envoltória!C20</f>
        <v>Sala 01 ZT5</v>
      </c>
      <c r="E15" s="53">
        <f>Envoltória!D20</f>
        <v>256</v>
      </c>
      <c r="F15" s="374">
        <f>IFERROR(VLOOKUP(Envoltória!F20,CB3E_Envoltória!$AF$11:$AG$15,2,FALSE),"")</f>
        <v>0</v>
      </c>
      <c r="G15" s="374">
        <f>Envoltória!T20</f>
        <v>15</v>
      </c>
      <c r="H15" s="375">
        <f>Envoltória!S20</f>
        <v>14.1</v>
      </c>
      <c r="I15" s="375">
        <f>IF(ISERROR(VLOOKUP(Envoltória!M20,Componentes!L:N,3,FALSE)),0,VLOOKUP(Envoltória!M20,Componentes!L:N,3,FALSE))</f>
        <v>0.82</v>
      </c>
      <c r="J15" s="375">
        <v>0.5</v>
      </c>
      <c r="K15" s="375">
        <f>Envoltória!U20</f>
        <v>0.1</v>
      </c>
      <c r="L15" s="375">
        <f>IF(ISERROR(VLOOKUP(Envoltória!M20,Componentes!L:N,2,FALSE)),0,VLOOKUP(Envoltória!M20,Componentes!L:N,2,FALSE))</f>
        <v>5.7</v>
      </c>
      <c r="M15" s="376">
        <f>IF(ISERROR(VLOOKUP(Envoltória!L20,Componentes!G:J,4,FALSE)),0,VLOOKUP(Envoltória!L20,Componentes!G:J,4,FALSE))</f>
        <v>0.8</v>
      </c>
      <c r="N15" s="375">
        <f>IF(ISERROR(VLOOKUP(Envoltória!K20,Componentes!B:E,4,FALSE)),0,VLOOKUP(Envoltória!K20,Componentes!B:E,4,FALSE))</f>
        <v>0.5</v>
      </c>
      <c r="O15" s="377">
        <f>Envoltória!E20</f>
        <v>3</v>
      </c>
      <c r="P15" s="375">
        <f>Envoltória!N20/100</f>
        <v>0</v>
      </c>
      <c r="Q15" s="375">
        <f>Envoltória!Q20</f>
        <v>0</v>
      </c>
      <c r="R15" s="375">
        <f>Envoltória!P20</f>
        <v>0</v>
      </c>
      <c r="S15" s="375">
        <f>Envoltória!R20</f>
        <v>0</v>
      </c>
      <c r="T15" s="375">
        <f>Envoltória!V20</f>
        <v>10</v>
      </c>
      <c r="U15" s="375">
        <f>IFERROR(VLOOKUP(Envoltória!I20,Aux_Lista!M:P,3,FALSE),"")</f>
        <v>1</v>
      </c>
      <c r="V15" s="375">
        <f>IFERROR(VLOOKUP(Envoltória!I20,Aux_Lista!M:P,4,FALSE),"")</f>
        <v>0</v>
      </c>
      <c r="W15" s="375">
        <f>IFERROR(VLOOKUP(Envoltória!J20,Aux_Lista!R:S,2,FALSE),"")</f>
        <v>1</v>
      </c>
      <c r="X15" s="375">
        <f>IF(ISERROR(VLOOKUP(Envoltória!L20,Componentes!G:J,2,FALSE)),0,VLOOKUP(Envoltória!L20,Componentes!G:J,2,FALSE))</f>
        <v>2.06</v>
      </c>
      <c r="Y15" s="375">
        <f>IF(ISERROR(VLOOKUP(Envoltória!K20,Componentes!B:E,2,FALSE)),0,VLOOKUP(Envoltória!K20,Componentes!B:E,2,FALSE))</f>
        <v>2.39</v>
      </c>
      <c r="Z15" s="375">
        <f>IF(ISERROR(VLOOKUP(Envoltória!L20,Componentes!G:J,3,FALSE)),0,VLOOKUP(Envoltória!L20,Componentes!G:J,3,FALSE))</f>
        <v>233</v>
      </c>
      <c r="AA15" s="375">
        <f>IF(ISERROR(VLOOKUP(Envoltória!K20,Componentes!B:E,3,FALSE)),0,VLOOKUP(Envoltória!K20,Componentes!B:E,3,FALSE))</f>
        <v>150</v>
      </c>
      <c r="AB15" s="375">
        <f>IFERROR(VLOOKUP(Envoltória!I20,Aux_Lista!M:P,2,FALSE),"")</f>
        <v>0</v>
      </c>
      <c r="AC15" s="378">
        <f>IFERROR(VLOOKUP(Envoltória!G20,CB3E_Envoltória!$AF$18:$AG$19,2,FALSE),"")</f>
        <v>1</v>
      </c>
      <c r="AD15" s="372">
        <v>149.63998413085901</v>
      </c>
      <c r="AE15" s="373">
        <f>AD15*E15</f>
        <v>38307.835937499905</v>
      </c>
      <c r="AF15" s="7" t="s">
        <v>63</v>
      </c>
      <c r="AG15" s="7">
        <v>0</v>
      </c>
    </row>
    <row r="16" spans="1:33" s="32" customFormat="1" x14ac:dyDescent="0.25">
      <c r="A16" s="1">
        <v>6</v>
      </c>
      <c r="B16" s="50">
        <f>Envoltória!H21</f>
        <v>0</v>
      </c>
      <c r="C16" s="51">
        <f>Envoltória!B21</f>
        <v>0</v>
      </c>
      <c r="D16" s="52">
        <f>Envoltória!C21</f>
        <v>0</v>
      </c>
      <c r="E16" s="53">
        <f>Envoltória!D21</f>
        <v>0</v>
      </c>
      <c r="F16" s="374" t="str">
        <f>IFERROR(VLOOKUP(Envoltória!F21,CB3E_Envoltória!$AF$11:$AG$15,2,FALSE),"")</f>
        <v/>
      </c>
      <c r="G16" s="374" t="str">
        <f>Envoltória!T21</f>
        <v/>
      </c>
      <c r="H16" s="375">
        <f>Envoltória!S21</f>
        <v>0</v>
      </c>
      <c r="I16" s="375">
        <f>IF(ISERROR(VLOOKUP(Envoltória!M21,Componentes!L:N,3,FALSE)),0,VLOOKUP(Envoltória!M21,Componentes!L:N,3,FALSE))</f>
        <v>0</v>
      </c>
      <c r="J16" s="375">
        <v>0.5</v>
      </c>
      <c r="K16" s="375" t="str">
        <f>Envoltória!U21</f>
        <v/>
      </c>
      <c r="L16" s="375">
        <f>IF(ISERROR(VLOOKUP(Envoltória!M21,Componentes!L:N,2,FALSE)),0,VLOOKUP(Envoltória!M21,Componentes!L:N,2,FALSE))</f>
        <v>0</v>
      </c>
      <c r="M16" s="375">
        <f>IF(ISERROR(VLOOKUP(Envoltória!L21,Componentes!G:J,4,FALSE)),0,VLOOKUP(Envoltória!L21,Componentes!G:J,4,FALSE))</f>
        <v>0</v>
      </c>
      <c r="N16" s="375">
        <f>IF(ISERROR(VLOOKUP(Envoltória!K21,Componentes!B:E,4,FALSE)),0,VLOOKUP(Envoltória!K21,Componentes!B:E,4,FALSE))</f>
        <v>0</v>
      </c>
      <c r="O16" s="377">
        <f>Envoltória!E21</f>
        <v>0</v>
      </c>
      <c r="P16" s="375">
        <f>Envoltória!N21/100</f>
        <v>0</v>
      </c>
      <c r="Q16" s="375">
        <f>Envoltória!Q21</f>
        <v>0</v>
      </c>
      <c r="R16" s="375">
        <f>Envoltória!P21</f>
        <v>0</v>
      </c>
      <c r="S16" s="375">
        <f>Envoltória!R21</f>
        <v>0</v>
      </c>
      <c r="T16" s="375" t="str">
        <f>Envoltória!V21</f>
        <v/>
      </c>
      <c r="U16" s="375" t="str">
        <f>IFERROR(VLOOKUP(Envoltória!I21,Aux_Lista!M:P,3,FALSE),"")</f>
        <v/>
      </c>
      <c r="V16" s="375" t="str">
        <f>IFERROR(VLOOKUP(Envoltória!I21,Aux_Lista!M:P,4,FALSE),"")</f>
        <v/>
      </c>
      <c r="W16" s="375" t="str">
        <f>IFERROR(VLOOKUP(Envoltória!J21,Aux_Lista!R:S,2,FALSE),"")</f>
        <v/>
      </c>
      <c r="X16" s="375">
        <f>IF(ISERROR(VLOOKUP(Envoltória!L21,Componentes!G:J,2,FALSE)),0,VLOOKUP(Envoltória!L21,Componentes!G:J,2,FALSE))</f>
        <v>0</v>
      </c>
      <c r="Y16" s="375">
        <f>IF(ISERROR(VLOOKUP(Envoltória!K21,Componentes!B:E,2,FALSE)),0,VLOOKUP(Envoltória!K21,Componentes!B:E,2,FALSE))</f>
        <v>0</v>
      </c>
      <c r="Z16" s="375">
        <f>IF(ISERROR(VLOOKUP(Envoltória!L21,Componentes!G:J,3,FALSE)),0,VLOOKUP(Envoltória!L21,Componentes!G:J,3,FALSE))</f>
        <v>0</v>
      </c>
      <c r="AA16" s="375">
        <f>IF(ISERROR(VLOOKUP(Envoltória!K21,Componentes!B:E,3,FALSE)),0,VLOOKUP(Envoltória!K21,Componentes!B:E,3,FALSE))</f>
        <v>0</v>
      </c>
      <c r="AB16" s="375" t="str">
        <f>IFERROR(VLOOKUP(Envoltória!I21,Aux_Lista!M:P,2,FALSE),"")</f>
        <v/>
      </c>
      <c r="AC16" s="378" t="str">
        <f>IFERROR(VLOOKUP(Envoltória!G21,CB3E_Envoltória!$AF$18:$AG$19,2,FALSE),"")</f>
        <v/>
      </c>
      <c r="AD16" s="371"/>
      <c r="AE16" s="1"/>
    </row>
    <row r="17" spans="1:33" s="32" customFormat="1" x14ac:dyDescent="0.25">
      <c r="A17" s="1">
        <v>7</v>
      </c>
      <c r="B17" s="50">
        <f>Envoltória!H22</f>
        <v>0</v>
      </c>
      <c r="C17" s="51">
        <f>Envoltória!B22</f>
        <v>0</v>
      </c>
      <c r="D17" s="52">
        <f>Envoltória!C22</f>
        <v>0</v>
      </c>
      <c r="E17" s="53">
        <f>Envoltória!D22</f>
        <v>0</v>
      </c>
      <c r="F17" s="374" t="str">
        <f>IFERROR(VLOOKUP(Envoltória!F22,CB3E_Envoltória!$AF$11:$AG$15,2,FALSE),"")</f>
        <v/>
      </c>
      <c r="G17" s="374" t="str">
        <f>Envoltória!T22</f>
        <v/>
      </c>
      <c r="H17" s="375">
        <f>Envoltória!S22</f>
        <v>0</v>
      </c>
      <c r="I17" s="375">
        <f>IF(ISERROR(VLOOKUP(Envoltória!M22,Componentes!L:N,3,FALSE)),0,VLOOKUP(Envoltória!M22,Componentes!L:N,3,FALSE))</f>
        <v>0</v>
      </c>
      <c r="J17" s="375">
        <v>0.5</v>
      </c>
      <c r="K17" s="375" t="str">
        <f>Envoltória!U22</f>
        <v/>
      </c>
      <c r="L17" s="375">
        <f>IF(ISERROR(VLOOKUP(Envoltória!M22,Componentes!L:N,2,FALSE)),0,VLOOKUP(Envoltória!M22,Componentes!L:N,2,FALSE))</f>
        <v>0</v>
      </c>
      <c r="M17" s="375">
        <f>IF(ISERROR(VLOOKUP(Envoltória!L22,Componentes!G:J,4,FALSE)),0,VLOOKUP(Envoltória!L22,Componentes!G:J,4,FALSE))</f>
        <v>0</v>
      </c>
      <c r="N17" s="375">
        <f>IF(ISERROR(VLOOKUP(Envoltória!K22,Componentes!B:E,4,FALSE)),0,VLOOKUP(Envoltória!K22,Componentes!B:E,4,FALSE))</f>
        <v>0</v>
      </c>
      <c r="O17" s="377">
        <f>Envoltória!E22</f>
        <v>0</v>
      </c>
      <c r="P17" s="375">
        <f>Envoltória!N22/100</f>
        <v>0</v>
      </c>
      <c r="Q17" s="375">
        <f>Envoltória!Q22</f>
        <v>0</v>
      </c>
      <c r="R17" s="375">
        <f>Envoltória!P22</f>
        <v>0</v>
      </c>
      <c r="S17" s="375">
        <f>Envoltória!R22</f>
        <v>0</v>
      </c>
      <c r="T17" s="375" t="str">
        <f>Envoltória!V22</f>
        <v/>
      </c>
      <c r="U17" s="375" t="str">
        <f>IFERROR(VLOOKUP(Envoltória!I22,Aux_Lista!M:P,3,FALSE),"")</f>
        <v/>
      </c>
      <c r="V17" s="375" t="str">
        <f>IFERROR(VLOOKUP(Envoltória!I22,Aux_Lista!M:P,4,FALSE),"")</f>
        <v/>
      </c>
      <c r="W17" s="375" t="str">
        <f>IFERROR(VLOOKUP(Envoltória!J22,Aux_Lista!R:S,2,FALSE),"")</f>
        <v/>
      </c>
      <c r="X17" s="375">
        <f>IF(ISERROR(VLOOKUP(Envoltória!L22,Componentes!G:J,2,FALSE)),0,VLOOKUP(Envoltória!L22,Componentes!G:J,2,FALSE))</f>
        <v>0</v>
      </c>
      <c r="Y17" s="375">
        <f>IF(ISERROR(VLOOKUP(Envoltória!K22,Componentes!B:E,2,FALSE)),0,VLOOKUP(Envoltória!K22,Componentes!B:E,2,FALSE))</f>
        <v>0</v>
      </c>
      <c r="Z17" s="375">
        <f>IF(ISERROR(VLOOKUP(Envoltória!L22,Componentes!G:J,3,FALSE)),0,VLOOKUP(Envoltória!L22,Componentes!G:J,3,FALSE))</f>
        <v>0</v>
      </c>
      <c r="AA17" s="375">
        <f>IF(ISERROR(VLOOKUP(Envoltória!K22,Componentes!B:E,3,FALSE)),0,VLOOKUP(Envoltória!K22,Componentes!B:E,3,FALSE))</f>
        <v>0</v>
      </c>
      <c r="AB17" s="375" t="str">
        <f>IFERROR(VLOOKUP(Envoltória!I22,Aux_Lista!M:P,2,FALSE),"")</f>
        <v/>
      </c>
      <c r="AC17" s="378" t="str">
        <f>IFERROR(VLOOKUP(Envoltória!G22,CB3E_Envoltória!$AF$18:$AG$19,2,FALSE),"")</f>
        <v/>
      </c>
      <c r="AD17" s="371"/>
      <c r="AE17" s="1"/>
    </row>
    <row r="18" spans="1:33" s="32" customFormat="1" x14ac:dyDescent="0.25">
      <c r="A18" s="1">
        <v>8</v>
      </c>
      <c r="B18" s="50">
        <f>Envoltória!H23</f>
        <v>0</v>
      </c>
      <c r="C18" s="51">
        <f>Envoltória!B23</f>
        <v>0</v>
      </c>
      <c r="D18" s="52">
        <f>Envoltória!C23</f>
        <v>0</v>
      </c>
      <c r="E18" s="53">
        <f>Envoltória!D23</f>
        <v>0</v>
      </c>
      <c r="F18" s="374" t="str">
        <f>IFERROR(VLOOKUP(Envoltória!F23,CB3E_Envoltória!$AF$11:$AG$15,2,FALSE),"")</f>
        <v/>
      </c>
      <c r="G18" s="374" t="str">
        <f>Envoltória!T23</f>
        <v/>
      </c>
      <c r="H18" s="375">
        <f>Envoltória!S23</f>
        <v>0</v>
      </c>
      <c r="I18" s="375">
        <f>IF(ISERROR(VLOOKUP(Envoltória!M23,Componentes!L:N,3,FALSE)),0,VLOOKUP(Envoltória!M23,Componentes!L:N,3,FALSE))</f>
        <v>0</v>
      </c>
      <c r="J18" s="375">
        <v>0.5</v>
      </c>
      <c r="K18" s="375" t="str">
        <f>Envoltória!U23</f>
        <v/>
      </c>
      <c r="L18" s="375">
        <f>IF(ISERROR(VLOOKUP(Envoltória!M23,Componentes!L:N,2,FALSE)),0,VLOOKUP(Envoltória!M23,Componentes!L:N,2,FALSE))</f>
        <v>0</v>
      </c>
      <c r="M18" s="375">
        <f>IF(ISERROR(VLOOKUP(Envoltória!L23,Componentes!G:J,4,FALSE)),0,VLOOKUP(Envoltória!L23,Componentes!G:J,4,FALSE))</f>
        <v>0</v>
      </c>
      <c r="N18" s="375">
        <f>IF(ISERROR(VLOOKUP(Envoltória!K23,Componentes!B:E,4,FALSE)),0,VLOOKUP(Envoltória!K23,Componentes!B:E,4,FALSE))</f>
        <v>0</v>
      </c>
      <c r="O18" s="377">
        <f>Envoltória!E23</f>
        <v>0</v>
      </c>
      <c r="P18" s="375">
        <f>Envoltória!N23/100</f>
        <v>0</v>
      </c>
      <c r="Q18" s="375">
        <f>Envoltória!Q23</f>
        <v>0</v>
      </c>
      <c r="R18" s="375">
        <f>Envoltória!P23</f>
        <v>0</v>
      </c>
      <c r="S18" s="375">
        <f>Envoltória!R23</f>
        <v>0</v>
      </c>
      <c r="T18" s="375" t="str">
        <f>Envoltória!V23</f>
        <v/>
      </c>
      <c r="U18" s="375" t="str">
        <f>IFERROR(VLOOKUP(Envoltória!I23,Aux_Lista!M:P,3,FALSE),"")</f>
        <v/>
      </c>
      <c r="V18" s="375" t="str">
        <f>IFERROR(VLOOKUP(Envoltória!I23,Aux_Lista!M:P,4,FALSE),"")</f>
        <v/>
      </c>
      <c r="W18" s="375" t="str">
        <f>IFERROR(VLOOKUP(Envoltória!J23,Aux_Lista!R:S,2,FALSE),"")</f>
        <v/>
      </c>
      <c r="X18" s="375">
        <f>IF(ISERROR(VLOOKUP(Envoltória!L23,Componentes!G:J,2,FALSE)),0,VLOOKUP(Envoltória!L23,Componentes!G:J,2,FALSE))</f>
        <v>0</v>
      </c>
      <c r="Y18" s="375">
        <f>IF(ISERROR(VLOOKUP(Envoltória!K23,Componentes!B:E,2,FALSE)),0,VLOOKUP(Envoltória!K23,Componentes!B:E,2,FALSE))</f>
        <v>0</v>
      </c>
      <c r="Z18" s="375">
        <f>IF(ISERROR(VLOOKUP(Envoltória!L23,Componentes!G:J,3,FALSE)),0,VLOOKUP(Envoltória!L23,Componentes!G:J,3,FALSE))</f>
        <v>0</v>
      </c>
      <c r="AA18" s="375">
        <f>IF(ISERROR(VLOOKUP(Envoltória!K23,Componentes!B:E,3,FALSE)),0,VLOOKUP(Envoltória!K23,Componentes!B:E,3,FALSE))</f>
        <v>0</v>
      </c>
      <c r="AB18" s="375" t="str">
        <f>IFERROR(VLOOKUP(Envoltória!I23,Aux_Lista!M:P,2,FALSE),"")</f>
        <v/>
      </c>
      <c r="AC18" s="378" t="str">
        <f>IFERROR(VLOOKUP(Envoltória!G23,CB3E_Envoltória!$AF$18:$AG$19,2,FALSE),"")</f>
        <v/>
      </c>
      <c r="AD18" s="371"/>
      <c r="AE18" s="1"/>
      <c r="AF18" s="7" t="s">
        <v>62</v>
      </c>
      <c r="AG18" s="7">
        <v>2</v>
      </c>
    </row>
    <row r="19" spans="1:33" s="32" customFormat="1" x14ac:dyDescent="0.25">
      <c r="A19" s="1">
        <v>9</v>
      </c>
      <c r="B19" s="50">
        <f>Envoltória!H24</f>
        <v>0</v>
      </c>
      <c r="C19" s="51">
        <f>Envoltória!B24</f>
        <v>0</v>
      </c>
      <c r="D19" s="52">
        <f>Envoltória!C24</f>
        <v>0</v>
      </c>
      <c r="E19" s="53">
        <f>Envoltória!D24</f>
        <v>0</v>
      </c>
      <c r="F19" s="374" t="str">
        <f>IFERROR(VLOOKUP(Envoltória!F24,CB3E_Envoltória!$AF$11:$AG$15,2,FALSE),"")</f>
        <v/>
      </c>
      <c r="G19" s="374" t="str">
        <f>Envoltória!T24</f>
        <v/>
      </c>
      <c r="H19" s="375">
        <f>Envoltória!S24</f>
        <v>0</v>
      </c>
      <c r="I19" s="375">
        <f>IF(ISERROR(VLOOKUP(Envoltória!M24,Componentes!L:N,3,FALSE)),0,VLOOKUP(Envoltória!M24,Componentes!L:N,3,FALSE))</f>
        <v>0</v>
      </c>
      <c r="J19" s="375">
        <v>0.5</v>
      </c>
      <c r="K19" s="375" t="str">
        <f>Envoltória!U24</f>
        <v/>
      </c>
      <c r="L19" s="375">
        <f>IF(ISERROR(VLOOKUP(Envoltória!M24,Componentes!L:N,2,FALSE)),0,VLOOKUP(Envoltória!M24,Componentes!L:N,2,FALSE))</f>
        <v>0</v>
      </c>
      <c r="M19" s="375">
        <f>IF(ISERROR(VLOOKUP(Envoltória!L24,Componentes!G:J,4,FALSE)),0,VLOOKUP(Envoltória!L24,Componentes!G:J,4,FALSE))</f>
        <v>0</v>
      </c>
      <c r="N19" s="375">
        <f>IF(ISERROR(VLOOKUP(Envoltória!K24,Componentes!B:E,4,FALSE)),0,VLOOKUP(Envoltória!K24,Componentes!B:E,4,FALSE))</f>
        <v>0</v>
      </c>
      <c r="O19" s="377">
        <f>Envoltória!E24</f>
        <v>0</v>
      </c>
      <c r="P19" s="375">
        <f>Envoltória!N24/100</f>
        <v>0</v>
      </c>
      <c r="Q19" s="375">
        <f>Envoltória!Q24</f>
        <v>0</v>
      </c>
      <c r="R19" s="375">
        <f>Envoltória!P24</f>
        <v>0</v>
      </c>
      <c r="S19" s="375">
        <f>Envoltória!R24</f>
        <v>0</v>
      </c>
      <c r="T19" s="375" t="str">
        <f>Envoltória!V24</f>
        <v/>
      </c>
      <c r="U19" s="375" t="str">
        <f>IFERROR(VLOOKUP(Envoltória!I24,Aux_Lista!M:P,3,FALSE),"")</f>
        <v/>
      </c>
      <c r="V19" s="375" t="str">
        <f>IFERROR(VLOOKUP(Envoltória!I24,Aux_Lista!M:P,4,FALSE),"")</f>
        <v/>
      </c>
      <c r="W19" s="375" t="str">
        <f>IFERROR(VLOOKUP(Envoltória!J24,Aux_Lista!R:S,2,FALSE),"")</f>
        <v/>
      </c>
      <c r="X19" s="375">
        <f>IF(ISERROR(VLOOKUP(Envoltória!L24,Componentes!G:J,2,FALSE)),0,VLOOKUP(Envoltória!L24,Componentes!G:J,2,FALSE))</f>
        <v>0</v>
      </c>
      <c r="Y19" s="375">
        <f>IF(ISERROR(VLOOKUP(Envoltória!K24,Componentes!B:E,2,FALSE)),0,VLOOKUP(Envoltória!K24,Componentes!B:E,2,FALSE))</f>
        <v>0</v>
      </c>
      <c r="Z19" s="375">
        <f>IF(ISERROR(VLOOKUP(Envoltória!L24,Componentes!G:J,3,FALSE)),0,VLOOKUP(Envoltória!L24,Componentes!G:J,3,FALSE))</f>
        <v>0</v>
      </c>
      <c r="AA19" s="375">
        <f>IF(ISERROR(VLOOKUP(Envoltória!K24,Componentes!B:E,3,FALSE)),0,VLOOKUP(Envoltória!K24,Componentes!B:E,3,FALSE))</f>
        <v>0</v>
      </c>
      <c r="AB19" s="375" t="str">
        <f>IFERROR(VLOOKUP(Envoltória!I24,Aux_Lista!M:P,2,FALSE),"")</f>
        <v/>
      </c>
      <c r="AC19" s="378" t="str">
        <f>IFERROR(VLOOKUP(Envoltória!G24,CB3E_Envoltória!$AF$18:$AG$19,2,FALSE),"")</f>
        <v/>
      </c>
      <c r="AD19" s="371"/>
      <c r="AE19" s="1"/>
      <c r="AF19" s="7" t="s">
        <v>63</v>
      </c>
      <c r="AG19" s="7">
        <v>1</v>
      </c>
    </row>
    <row r="20" spans="1:33" s="32" customFormat="1" x14ac:dyDescent="0.25">
      <c r="A20" s="1">
        <v>10</v>
      </c>
      <c r="B20" s="50">
        <f>Envoltória!H25</f>
        <v>0</v>
      </c>
      <c r="C20" s="51">
        <f>Envoltória!B25</f>
        <v>0</v>
      </c>
      <c r="D20" s="52">
        <f>Envoltória!C25</f>
        <v>0</v>
      </c>
      <c r="E20" s="53">
        <f>Envoltória!D25</f>
        <v>0</v>
      </c>
      <c r="F20" s="374" t="str">
        <f>IFERROR(VLOOKUP(Envoltória!F25,CB3E_Envoltória!$AF$11:$AG$15,2,FALSE),"")</f>
        <v/>
      </c>
      <c r="G20" s="374" t="str">
        <f>Envoltória!T25</f>
        <v/>
      </c>
      <c r="H20" s="375">
        <f>Envoltória!S25</f>
        <v>0</v>
      </c>
      <c r="I20" s="375">
        <f>IF(ISERROR(VLOOKUP(Envoltória!M25,Componentes!L:N,3,FALSE)),0,VLOOKUP(Envoltória!M25,Componentes!L:N,3,FALSE))</f>
        <v>0</v>
      </c>
      <c r="J20" s="375">
        <v>0.5</v>
      </c>
      <c r="K20" s="375" t="str">
        <f>Envoltória!U25</f>
        <v/>
      </c>
      <c r="L20" s="375">
        <f>IF(ISERROR(VLOOKUP(Envoltória!M25,Componentes!L:N,2,FALSE)),0,VLOOKUP(Envoltória!M25,Componentes!L:N,2,FALSE))</f>
        <v>0</v>
      </c>
      <c r="M20" s="375">
        <f>IF(ISERROR(VLOOKUP(Envoltória!L25,Componentes!G:J,4,FALSE)),0,VLOOKUP(Envoltória!L25,Componentes!G:J,4,FALSE))</f>
        <v>0</v>
      </c>
      <c r="N20" s="375">
        <f>IF(ISERROR(VLOOKUP(Envoltória!K25,Componentes!B:E,4,FALSE)),0,VLOOKUP(Envoltória!K25,Componentes!B:E,4,FALSE))</f>
        <v>0</v>
      </c>
      <c r="O20" s="377">
        <f>Envoltória!E25</f>
        <v>0</v>
      </c>
      <c r="P20" s="375">
        <f>Envoltória!N25/100</f>
        <v>0</v>
      </c>
      <c r="Q20" s="375">
        <f>Envoltória!Q25</f>
        <v>0</v>
      </c>
      <c r="R20" s="375">
        <f>Envoltória!P25</f>
        <v>0</v>
      </c>
      <c r="S20" s="375">
        <f>Envoltória!R25</f>
        <v>0</v>
      </c>
      <c r="T20" s="375" t="str">
        <f>Envoltória!V25</f>
        <v/>
      </c>
      <c r="U20" s="375" t="str">
        <f>IFERROR(VLOOKUP(Envoltória!I25,Aux_Lista!M:P,3,FALSE),"")</f>
        <v/>
      </c>
      <c r="V20" s="375" t="str">
        <f>IFERROR(VLOOKUP(Envoltória!I25,Aux_Lista!M:P,4,FALSE),"")</f>
        <v/>
      </c>
      <c r="W20" s="375" t="str">
        <f>IFERROR(VLOOKUP(Envoltória!J25,Aux_Lista!R:S,2,FALSE),"")</f>
        <v/>
      </c>
      <c r="X20" s="375">
        <f>IF(ISERROR(VLOOKUP(Envoltória!L25,Componentes!G:J,2,FALSE)),0,VLOOKUP(Envoltória!L25,Componentes!G:J,2,FALSE))</f>
        <v>0</v>
      </c>
      <c r="Y20" s="375">
        <f>IF(ISERROR(VLOOKUP(Envoltória!K25,Componentes!B:E,2,FALSE)),0,VLOOKUP(Envoltória!K25,Componentes!B:E,2,FALSE))</f>
        <v>0</v>
      </c>
      <c r="Z20" s="375">
        <f>IF(ISERROR(VLOOKUP(Envoltória!L25,Componentes!G:J,3,FALSE)),0,VLOOKUP(Envoltória!L25,Componentes!G:J,3,FALSE))</f>
        <v>0</v>
      </c>
      <c r="AA20" s="375">
        <f>IF(ISERROR(VLOOKUP(Envoltória!K25,Componentes!B:E,3,FALSE)),0,VLOOKUP(Envoltória!K25,Componentes!B:E,3,FALSE))</f>
        <v>0</v>
      </c>
      <c r="AB20" s="375" t="str">
        <f>IFERROR(VLOOKUP(Envoltória!I25,Aux_Lista!M:P,2,FALSE),"")</f>
        <v/>
      </c>
      <c r="AC20" s="378" t="str">
        <f>IFERROR(VLOOKUP(Envoltória!G25,CB3E_Envoltória!$AF$18:$AG$19,2,FALSE),"")</f>
        <v/>
      </c>
      <c r="AD20" s="371"/>
      <c r="AE20" s="1"/>
    </row>
    <row r="21" spans="1:33" s="32" customFormat="1" x14ac:dyDescent="0.25">
      <c r="A21" s="1">
        <v>11</v>
      </c>
      <c r="B21" s="50">
        <f>Envoltória!H26</f>
        <v>0</v>
      </c>
      <c r="C21" s="51">
        <f>Envoltória!B26</f>
        <v>0</v>
      </c>
      <c r="D21" s="52">
        <f>Envoltória!C26</f>
        <v>0</v>
      </c>
      <c r="E21" s="53">
        <f>Envoltória!D26</f>
        <v>0</v>
      </c>
      <c r="F21" s="374" t="str">
        <f>IFERROR(VLOOKUP(Envoltória!F26,CB3E_Envoltória!$AF$11:$AG$15,2,FALSE),"")</f>
        <v/>
      </c>
      <c r="G21" s="374" t="str">
        <f>Envoltória!T26</f>
        <v/>
      </c>
      <c r="H21" s="375">
        <f>Envoltória!S26</f>
        <v>0</v>
      </c>
      <c r="I21" s="375">
        <f>IF(ISERROR(VLOOKUP(Envoltória!M26,Componentes!L:N,3,FALSE)),0,VLOOKUP(Envoltória!M26,Componentes!L:N,3,FALSE))</f>
        <v>0</v>
      </c>
      <c r="J21" s="375">
        <v>0.5</v>
      </c>
      <c r="K21" s="375" t="str">
        <f>Envoltória!U26</f>
        <v/>
      </c>
      <c r="L21" s="375">
        <f>IF(ISERROR(VLOOKUP(Envoltória!M26,Componentes!L:N,2,FALSE)),0,VLOOKUP(Envoltória!M26,Componentes!L:N,2,FALSE))</f>
        <v>0</v>
      </c>
      <c r="M21" s="375">
        <f>IF(ISERROR(VLOOKUP(Envoltória!L26,Componentes!G:J,4,FALSE)),0,VLOOKUP(Envoltória!L26,Componentes!G:J,4,FALSE))</f>
        <v>0</v>
      </c>
      <c r="N21" s="375">
        <f>IF(ISERROR(VLOOKUP(Envoltória!K26,Componentes!B:E,4,FALSE)),0,VLOOKUP(Envoltória!K26,Componentes!B:E,4,FALSE))</f>
        <v>0</v>
      </c>
      <c r="O21" s="377">
        <f>Envoltória!E26</f>
        <v>0</v>
      </c>
      <c r="P21" s="375">
        <f>Envoltória!N26/100</f>
        <v>0</v>
      </c>
      <c r="Q21" s="375">
        <f>Envoltória!Q26</f>
        <v>0</v>
      </c>
      <c r="R21" s="375">
        <f>Envoltória!P26</f>
        <v>0</v>
      </c>
      <c r="S21" s="375">
        <f>Envoltória!R26</f>
        <v>0</v>
      </c>
      <c r="T21" s="375" t="str">
        <f>Envoltória!V26</f>
        <v/>
      </c>
      <c r="U21" s="375" t="str">
        <f>IFERROR(VLOOKUP(Envoltória!I26,Aux_Lista!M:P,3,FALSE),"")</f>
        <v/>
      </c>
      <c r="V21" s="375" t="str">
        <f>IFERROR(VLOOKUP(Envoltória!I26,Aux_Lista!M:P,4,FALSE),"")</f>
        <v/>
      </c>
      <c r="W21" s="375" t="str">
        <f>IFERROR(VLOOKUP(Envoltória!J26,Aux_Lista!R:S,2,FALSE),"")</f>
        <v/>
      </c>
      <c r="X21" s="375">
        <f>IF(ISERROR(VLOOKUP(Envoltória!L26,Componentes!G:J,2,FALSE)),0,VLOOKUP(Envoltória!L26,Componentes!G:J,2,FALSE))</f>
        <v>0</v>
      </c>
      <c r="Y21" s="375">
        <f>IF(ISERROR(VLOOKUP(Envoltória!K26,Componentes!B:E,2,FALSE)),0,VLOOKUP(Envoltória!K26,Componentes!B:E,2,FALSE))</f>
        <v>0</v>
      </c>
      <c r="Z21" s="375">
        <f>IF(ISERROR(VLOOKUP(Envoltória!L26,Componentes!G:J,3,FALSE)),0,VLOOKUP(Envoltória!L26,Componentes!G:J,3,FALSE))</f>
        <v>0</v>
      </c>
      <c r="AA21" s="375">
        <f>IF(ISERROR(VLOOKUP(Envoltória!K26,Componentes!B:E,3,FALSE)),0,VLOOKUP(Envoltória!K26,Componentes!B:E,3,FALSE))</f>
        <v>0</v>
      </c>
      <c r="AB21" s="375" t="str">
        <f>IFERROR(VLOOKUP(Envoltória!I26,Aux_Lista!M:P,2,FALSE),"")</f>
        <v/>
      </c>
      <c r="AC21" s="378" t="str">
        <f>IFERROR(VLOOKUP(Envoltória!G26,CB3E_Envoltória!$AF$18:$AG$19,2,FALSE),"")</f>
        <v/>
      </c>
      <c r="AD21" s="371"/>
      <c r="AE21" s="1"/>
    </row>
    <row r="22" spans="1:33" s="32" customFormat="1" x14ac:dyDescent="0.25">
      <c r="A22" s="1">
        <v>12</v>
      </c>
      <c r="B22" s="50">
        <f>Envoltória!H27</f>
        <v>0</v>
      </c>
      <c r="C22" s="51">
        <f>Envoltória!B27</f>
        <v>0</v>
      </c>
      <c r="D22" s="52">
        <f>Envoltória!C27</f>
        <v>0</v>
      </c>
      <c r="E22" s="53">
        <f>Envoltória!D27</f>
        <v>0</v>
      </c>
      <c r="F22" s="374" t="str">
        <f>IFERROR(VLOOKUP(Envoltória!F27,CB3E_Envoltória!$AF$11:$AG$15,2,FALSE),"")</f>
        <v/>
      </c>
      <c r="G22" s="374" t="str">
        <f>Envoltória!T27</f>
        <v/>
      </c>
      <c r="H22" s="375">
        <f>Envoltória!S27</f>
        <v>0</v>
      </c>
      <c r="I22" s="375">
        <f>IF(ISERROR(VLOOKUP(Envoltória!M27,Componentes!L:N,3,FALSE)),0,VLOOKUP(Envoltória!M27,Componentes!L:N,3,FALSE))</f>
        <v>0</v>
      </c>
      <c r="J22" s="375">
        <v>0.5</v>
      </c>
      <c r="K22" s="375" t="str">
        <f>Envoltória!U27</f>
        <v/>
      </c>
      <c r="L22" s="375">
        <f>IF(ISERROR(VLOOKUP(Envoltória!M27,Componentes!L:N,2,FALSE)),0,VLOOKUP(Envoltória!M27,Componentes!L:N,2,FALSE))</f>
        <v>0</v>
      </c>
      <c r="M22" s="375">
        <f>IF(ISERROR(VLOOKUP(Envoltória!L27,Componentes!G:J,4,FALSE)),0,VLOOKUP(Envoltória!L27,Componentes!G:J,4,FALSE))</f>
        <v>0</v>
      </c>
      <c r="N22" s="375">
        <f>IF(ISERROR(VLOOKUP(Envoltória!K27,Componentes!B:E,4,FALSE)),0,VLOOKUP(Envoltória!K27,Componentes!B:E,4,FALSE))</f>
        <v>0</v>
      </c>
      <c r="O22" s="377">
        <f>Envoltória!E27</f>
        <v>0</v>
      </c>
      <c r="P22" s="375">
        <f>Envoltória!N27/100</f>
        <v>0</v>
      </c>
      <c r="Q22" s="375">
        <f>Envoltória!Q27</f>
        <v>0</v>
      </c>
      <c r="R22" s="375">
        <f>Envoltória!P27</f>
        <v>0</v>
      </c>
      <c r="S22" s="375">
        <f>Envoltória!R27</f>
        <v>0</v>
      </c>
      <c r="T22" s="375" t="str">
        <f>Envoltória!V27</f>
        <v/>
      </c>
      <c r="U22" s="375" t="str">
        <f>IFERROR(VLOOKUP(Envoltória!I27,Aux_Lista!M:P,3,FALSE),"")</f>
        <v/>
      </c>
      <c r="V22" s="375" t="str">
        <f>IFERROR(VLOOKUP(Envoltória!I27,Aux_Lista!M:P,4,FALSE),"")</f>
        <v/>
      </c>
      <c r="W22" s="375" t="str">
        <f>IFERROR(VLOOKUP(Envoltória!J27,Aux_Lista!R:S,2,FALSE),"")</f>
        <v/>
      </c>
      <c r="X22" s="375">
        <f>IF(ISERROR(VLOOKUP(Envoltória!L27,Componentes!G:J,2,FALSE)),0,VLOOKUP(Envoltória!L27,Componentes!G:J,2,FALSE))</f>
        <v>0</v>
      </c>
      <c r="Y22" s="375">
        <f>IF(ISERROR(VLOOKUP(Envoltória!K27,Componentes!B:E,2,FALSE)),0,VLOOKUP(Envoltória!K27,Componentes!B:E,2,FALSE))</f>
        <v>0</v>
      </c>
      <c r="Z22" s="375">
        <f>IF(ISERROR(VLOOKUP(Envoltória!L27,Componentes!G:J,3,FALSE)),0,VLOOKUP(Envoltória!L27,Componentes!G:J,3,FALSE))</f>
        <v>0</v>
      </c>
      <c r="AA22" s="375">
        <f>IF(ISERROR(VLOOKUP(Envoltória!K27,Componentes!B:E,3,FALSE)),0,VLOOKUP(Envoltória!K27,Componentes!B:E,3,FALSE))</f>
        <v>0</v>
      </c>
      <c r="AB22" s="375" t="str">
        <f>IFERROR(VLOOKUP(Envoltória!I27,Aux_Lista!M:P,2,FALSE),"")</f>
        <v/>
      </c>
      <c r="AC22" s="378" t="str">
        <f>IFERROR(VLOOKUP(Envoltória!G27,CB3E_Envoltória!$AF$18:$AG$19,2,FALSE),"")</f>
        <v/>
      </c>
      <c r="AD22" s="371"/>
      <c r="AE22" s="1"/>
    </row>
    <row r="23" spans="1:33" s="32" customFormat="1" x14ac:dyDescent="0.25">
      <c r="A23" s="1">
        <v>13</v>
      </c>
      <c r="B23" s="50">
        <f>Envoltória!H28</f>
        <v>0</v>
      </c>
      <c r="C23" s="51">
        <f>Envoltória!B28</f>
        <v>0</v>
      </c>
      <c r="D23" s="52">
        <f>Envoltória!C28</f>
        <v>0</v>
      </c>
      <c r="E23" s="53">
        <f>Envoltória!D28</f>
        <v>0</v>
      </c>
      <c r="F23" s="374" t="str">
        <f>IFERROR(VLOOKUP(Envoltória!F28,CB3E_Envoltória!$AF$11:$AG$15,2,FALSE),"")</f>
        <v/>
      </c>
      <c r="G23" s="374" t="str">
        <f>Envoltória!T28</f>
        <v/>
      </c>
      <c r="H23" s="375">
        <f>Envoltória!S28</f>
        <v>0</v>
      </c>
      <c r="I23" s="375">
        <f>IF(ISERROR(VLOOKUP(Envoltória!M28,Componentes!L:N,3,FALSE)),0,VLOOKUP(Envoltória!M28,Componentes!L:N,3,FALSE))</f>
        <v>0</v>
      </c>
      <c r="J23" s="375">
        <v>0.5</v>
      </c>
      <c r="K23" s="375" t="str">
        <f>Envoltória!U28</f>
        <v/>
      </c>
      <c r="L23" s="375">
        <f>IF(ISERROR(VLOOKUP(Envoltória!M28,Componentes!L:N,2,FALSE)),0,VLOOKUP(Envoltória!M28,Componentes!L:N,2,FALSE))</f>
        <v>0</v>
      </c>
      <c r="M23" s="375">
        <f>IF(ISERROR(VLOOKUP(Envoltória!L28,Componentes!G:J,4,FALSE)),0,VLOOKUP(Envoltória!L28,Componentes!G:J,4,FALSE))</f>
        <v>0</v>
      </c>
      <c r="N23" s="375">
        <f>IF(ISERROR(VLOOKUP(Envoltória!K28,Componentes!B:E,4,FALSE)),0,VLOOKUP(Envoltória!K28,Componentes!B:E,4,FALSE))</f>
        <v>0</v>
      </c>
      <c r="O23" s="377">
        <f>Envoltória!E28</f>
        <v>0</v>
      </c>
      <c r="P23" s="375">
        <f>Envoltória!N28/100</f>
        <v>0</v>
      </c>
      <c r="Q23" s="375">
        <f>Envoltória!Q28</f>
        <v>0</v>
      </c>
      <c r="R23" s="375">
        <f>Envoltória!P28</f>
        <v>0</v>
      </c>
      <c r="S23" s="375">
        <f>Envoltória!R28</f>
        <v>0</v>
      </c>
      <c r="T23" s="375" t="str">
        <f>Envoltória!V28</f>
        <v/>
      </c>
      <c r="U23" s="375" t="str">
        <f>IFERROR(VLOOKUP(Envoltória!I28,Aux_Lista!M:P,3,FALSE),"")</f>
        <v/>
      </c>
      <c r="V23" s="375" t="str">
        <f>IFERROR(VLOOKUP(Envoltória!I28,Aux_Lista!M:P,4,FALSE),"")</f>
        <v/>
      </c>
      <c r="W23" s="375" t="str">
        <f>IFERROR(VLOOKUP(Envoltória!J28,Aux_Lista!R:S,2,FALSE),"")</f>
        <v/>
      </c>
      <c r="X23" s="375">
        <f>IF(ISERROR(VLOOKUP(Envoltória!L28,Componentes!G:J,2,FALSE)),0,VLOOKUP(Envoltória!L28,Componentes!G:J,2,FALSE))</f>
        <v>0</v>
      </c>
      <c r="Y23" s="375">
        <f>IF(ISERROR(VLOOKUP(Envoltória!K28,Componentes!B:E,2,FALSE)),0,VLOOKUP(Envoltória!K28,Componentes!B:E,2,FALSE))</f>
        <v>0</v>
      </c>
      <c r="Z23" s="375">
        <f>IF(ISERROR(VLOOKUP(Envoltória!L28,Componentes!G:J,3,FALSE)),0,VLOOKUP(Envoltória!L28,Componentes!G:J,3,FALSE))</f>
        <v>0</v>
      </c>
      <c r="AA23" s="375">
        <f>IF(ISERROR(VLOOKUP(Envoltória!K28,Componentes!B:E,3,FALSE)),0,VLOOKUP(Envoltória!K28,Componentes!B:E,3,FALSE))</f>
        <v>0</v>
      </c>
      <c r="AB23" s="375" t="str">
        <f>IFERROR(VLOOKUP(Envoltória!I28,Aux_Lista!M:P,2,FALSE),"")</f>
        <v/>
      </c>
      <c r="AC23" s="378" t="str">
        <f>IFERROR(VLOOKUP(Envoltória!G28,CB3E_Envoltória!$AF$18:$AG$19,2,FALSE),"")</f>
        <v/>
      </c>
      <c r="AD23" s="371"/>
      <c r="AE23" s="1"/>
    </row>
    <row r="24" spans="1:33" s="32" customFormat="1" x14ac:dyDescent="0.25">
      <c r="A24" s="1">
        <v>14</v>
      </c>
      <c r="B24" s="50">
        <f>Envoltória!H29</f>
        <v>0</v>
      </c>
      <c r="C24" s="51">
        <f>Envoltória!B29</f>
        <v>0</v>
      </c>
      <c r="D24" s="52">
        <f>Envoltória!C29</f>
        <v>0</v>
      </c>
      <c r="E24" s="53">
        <f>Envoltória!D29</f>
        <v>0</v>
      </c>
      <c r="F24" s="374" t="str">
        <f>IFERROR(VLOOKUP(Envoltória!F29,CB3E_Envoltória!$AF$11:$AG$15,2,FALSE),"")</f>
        <v/>
      </c>
      <c r="G24" s="374" t="str">
        <f>Envoltória!T29</f>
        <v/>
      </c>
      <c r="H24" s="375">
        <f>Envoltória!S29</f>
        <v>0</v>
      </c>
      <c r="I24" s="375">
        <f>IF(ISERROR(VLOOKUP(Envoltória!M29,Componentes!L:N,3,FALSE)),0,VLOOKUP(Envoltória!M29,Componentes!L:N,3,FALSE))</f>
        <v>0</v>
      </c>
      <c r="J24" s="375">
        <v>0.5</v>
      </c>
      <c r="K24" s="375" t="str">
        <f>Envoltória!U29</f>
        <v/>
      </c>
      <c r="L24" s="375">
        <f>IF(ISERROR(VLOOKUP(Envoltória!M29,Componentes!L:N,2,FALSE)),0,VLOOKUP(Envoltória!M29,Componentes!L:N,2,FALSE))</f>
        <v>0</v>
      </c>
      <c r="M24" s="375">
        <f>IF(ISERROR(VLOOKUP(Envoltória!L29,Componentes!G:J,4,FALSE)),0,VLOOKUP(Envoltória!L29,Componentes!G:J,4,FALSE))</f>
        <v>0</v>
      </c>
      <c r="N24" s="375">
        <f>IF(ISERROR(VLOOKUP(Envoltória!K29,Componentes!B:E,4,FALSE)),0,VLOOKUP(Envoltória!K29,Componentes!B:E,4,FALSE))</f>
        <v>0</v>
      </c>
      <c r="O24" s="377">
        <f>Envoltória!E29</f>
        <v>0</v>
      </c>
      <c r="P24" s="375">
        <f>Envoltória!N29/100</f>
        <v>0</v>
      </c>
      <c r="Q24" s="375">
        <f>Envoltória!Q29</f>
        <v>0</v>
      </c>
      <c r="R24" s="375">
        <f>Envoltória!P29</f>
        <v>0</v>
      </c>
      <c r="S24" s="375">
        <f>Envoltória!R29</f>
        <v>0</v>
      </c>
      <c r="T24" s="375" t="str">
        <f>Envoltória!V29</f>
        <v/>
      </c>
      <c r="U24" s="375" t="str">
        <f>IFERROR(VLOOKUP(Envoltória!I29,Aux_Lista!M:P,3,FALSE),"")</f>
        <v/>
      </c>
      <c r="V24" s="375" t="str">
        <f>IFERROR(VLOOKUP(Envoltória!I29,Aux_Lista!M:P,4,FALSE),"")</f>
        <v/>
      </c>
      <c r="W24" s="375" t="str">
        <f>IFERROR(VLOOKUP(Envoltória!J29,Aux_Lista!R:S,2,FALSE),"")</f>
        <v/>
      </c>
      <c r="X24" s="375">
        <f>IF(ISERROR(VLOOKUP(Envoltória!L29,Componentes!G:J,2,FALSE)),0,VLOOKUP(Envoltória!L29,Componentes!G:J,2,FALSE))</f>
        <v>0</v>
      </c>
      <c r="Y24" s="375">
        <f>IF(ISERROR(VLOOKUP(Envoltória!K29,Componentes!B:E,2,FALSE)),0,VLOOKUP(Envoltória!K29,Componentes!B:E,2,FALSE))</f>
        <v>0</v>
      </c>
      <c r="Z24" s="375">
        <f>IF(ISERROR(VLOOKUP(Envoltória!L29,Componentes!G:J,3,FALSE)),0,VLOOKUP(Envoltória!L29,Componentes!G:J,3,FALSE))</f>
        <v>0</v>
      </c>
      <c r="AA24" s="375">
        <f>IF(ISERROR(VLOOKUP(Envoltória!K29,Componentes!B:E,3,FALSE)),0,VLOOKUP(Envoltória!K29,Componentes!B:E,3,FALSE))</f>
        <v>0</v>
      </c>
      <c r="AB24" s="375" t="str">
        <f>IFERROR(VLOOKUP(Envoltória!I29,Aux_Lista!M:P,2,FALSE),"")</f>
        <v/>
      </c>
      <c r="AC24" s="378" t="str">
        <f>IFERROR(VLOOKUP(Envoltória!G29,CB3E_Envoltória!$AF$18:$AG$19,2,FALSE),"")</f>
        <v/>
      </c>
      <c r="AD24" s="371"/>
      <c r="AE24" s="1"/>
    </row>
    <row r="25" spans="1:33" s="32" customFormat="1" x14ac:dyDescent="0.25">
      <c r="A25" s="1">
        <v>15</v>
      </c>
      <c r="B25" s="50">
        <f>Envoltória!H30</f>
        <v>0</v>
      </c>
      <c r="C25" s="51">
        <f>Envoltória!B30</f>
        <v>0</v>
      </c>
      <c r="D25" s="52">
        <f>Envoltória!C30</f>
        <v>0</v>
      </c>
      <c r="E25" s="53">
        <f>Envoltória!D30</f>
        <v>0</v>
      </c>
      <c r="F25" s="374" t="str">
        <f>IFERROR(VLOOKUP(Envoltória!F30,CB3E_Envoltória!$AF$11:$AG$15,2,FALSE),"")</f>
        <v/>
      </c>
      <c r="G25" s="374" t="str">
        <f>Envoltória!T30</f>
        <v/>
      </c>
      <c r="H25" s="375">
        <f>Envoltória!S30</f>
        <v>0</v>
      </c>
      <c r="I25" s="375">
        <f>IF(ISERROR(VLOOKUP(Envoltória!M30,Componentes!L:N,3,FALSE)),0,VLOOKUP(Envoltória!M30,Componentes!L:N,3,FALSE))</f>
        <v>0</v>
      </c>
      <c r="J25" s="375">
        <v>0.5</v>
      </c>
      <c r="K25" s="375" t="str">
        <f>Envoltória!U30</f>
        <v/>
      </c>
      <c r="L25" s="375">
        <f>IF(ISERROR(VLOOKUP(Envoltória!M30,Componentes!L:N,2,FALSE)),0,VLOOKUP(Envoltória!M30,Componentes!L:N,2,FALSE))</f>
        <v>0</v>
      </c>
      <c r="M25" s="375">
        <f>IF(ISERROR(VLOOKUP(Envoltória!L30,Componentes!G:J,4,FALSE)),0,VLOOKUP(Envoltória!L30,Componentes!G:J,4,FALSE))</f>
        <v>0</v>
      </c>
      <c r="N25" s="375">
        <f>IF(ISERROR(VLOOKUP(Envoltória!K30,Componentes!B:E,4,FALSE)),0,VLOOKUP(Envoltória!K30,Componentes!B:E,4,FALSE))</f>
        <v>0</v>
      </c>
      <c r="O25" s="377">
        <f>Envoltória!E30</f>
        <v>0</v>
      </c>
      <c r="P25" s="375">
        <f>Envoltória!N30/100</f>
        <v>0</v>
      </c>
      <c r="Q25" s="375">
        <f>Envoltória!Q30</f>
        <v>0</v>
      </c>
      <c r="R25" s="375">
        <f>Envoltória!P30</f>
        <v>0</v>
      </c>
      <c r="S25" s="375">
        <f>Envoltória!R30</f>
        <v>0</v>
      </c>
      <c r="T25" s="375" t="str">
        <f>Envoltória!V30</f>
        <v/>
      </c>
      <c r="U25" s="375" t="str">
        <f>IFERROR(VLOOKUP(Envoltória!I30,Aux_Lista!M:P,3,FALSE),"")</f>
        <v/>
      </c>
      <c r="V25" s="375" t="str">
        <f>IFERROR(VLOOKUP(Envoltória!I30,Aux_Lista!M:P,4,FALSE),"")</f>
        <v/>
      </c>
      <c r="W25" s="375" t="str">
        <f>IFERROR(VLOOKUP(Envoltória!J30,Aux_Lista!R:S,2,FALSE),"")</f>
        <v/>
      </c>
      <c r="X25" s="375">
        <f>IF(ISERROR(VLOOKUP(Envoltória!L30,Componentes!G:J,2,FALSE)),0,VLOOKUP(Envoltória!L30,Componentes!G:J,2,FALSE))</f>
        <v>0</v>
      </c>
      <c r="Y25" s="375">
        <f>IF(ISERROR(VLOOKUP(Envoltória!K30,Componentes!B:E,2,FALSE)),0,VLOOKUP(Envoltória!K30,Componentes!B:E,2,FALSE))</f>
        <v>0</v>
      </c>
      <c r="Z25" s="375">
        <f>IF(ISERROR(VLOOKUP(Envoltória!L30,Componentes!G:J,3,FALSE)),0,VLOOKUP(Envoltória!L30,Componentes!G:J,3,FALSE))</f>
        <v>0</v>
      </c>
      <c r="AA25" s="375">
        <f>IF(ISERROR(VLOOKUP(Envoltória!K30,Componentes!B:E,3,FALSE)),0,VLOOKUP(Envoltória!K30,Componentes!B:E,3,FALSE))</f>
        <v>0</v>
      </c>
      <c r="AB25" s="375" t="str">
        <f>IFERROR(VLOOKUP(Envoltória!I30,Aux_Lista!M:P,2,FALSE),"")</f>
        <v/>
      </c>
      <c r="AC25" s="378" t="str">
        <f>IFERROR(VLOOKUP(Envoltória!G30,CB3E_Envoltória!$AF$18:$AG$19,2,FALSE),"")</f>
        <v/>
      </c>
      <c r="AD25" s="371"/>
      <c r="AE25" s="1"/>
    </row>
    <row r="26" spans="1:33" s="32" customFormat="1" x14ac:dyDescent="0.25">
      <c r="A26" s="1">
        <v>16</v>
      </c>
      <c r="B26" s="50">
        <f>Envoltória!H31</f>
        <v>0</v>
      </c>
      <c r="C26" s="51">
        <f>Envoltória!B31</f>
        <v>0</v>
      </c>
      <c r="D26" s="52">
        <f>Envoltória!C31</f>
        <v>0</v>
      </c>
      <c r="E26" s="53">
        <f>Envoltória!D31</f>
        <v>0</v>
      </c>
      <c r="F26" s="374" t="str">
        <f>IFERROR(VLOOKUP(Envoltória!F31,CB3E_Envoltória!$AF$11:$AG$15,2,FALSE),"")</f>
        <v/>
      </c>
      <c r="G26" s="374" t="str">
        <f>Envoltória!T31</f>
        <v/>
      </c>
      <c r="H26" s="375">
        <f>Envoltória!S31</f>
        <v>0</v>
      </c>
      <c r="I26" s="375">
        <f>IF(ISERROR(VLOOKUP(Envoltória!M31,Componentes!L:N,3,FALSE)),0,VLOOKUP(Envoltória!M31,Componentes!L:N,3,FALSE))</f>
        <v>0</v>
      </c>
      <c r="J26" s="375">
        <v>0.5</v>
      </c>
      <c r="K26" s="375" t="str">
        <f>Envoltória!U31</f>
        <v/>
      </c>
      <c r="L26" s="375">
        <f>IF(ISERROR(VLOOKUP(Envoltória!M31,Componentes!L:N,2,FALSE)),0,VLOOKUP(Envoltória!M31,Componentes!L:N,2,FALSE))</f>
        <v>0</v>
      </c>
      <c r="M26" s="375">
        <f>IF(ISERROR(VLOOKUP(Envoltória!L31,Componentes!G:J,4,FALSE)),0,VLOOKUP(Envoltória!L31,Componentes!G:J,4,FALSE))</f>
        <v>0</v>
      </c>
      <c r="N26" s="375">
        <f>IF(ISERROR(VLOOKUP(Envoltória!K31,Componentes!B:E,4,FALSE)),0,VLOOKUP(Envoltória!K31,Componentes!B:E,4,FALSE))</f>
        <v>0</v>
      </c>
      <c r="O26" s="377">
        <f>Envoltória!E31</f>
        <v>0</v>
      </c>
      <c r="P26" s="375">
        <f>Envoltória!N31/100</f>
        <v>0</v>
      </c>
      <c r="Q26" s="375">
        <f>Envoltória!Q31</f>
        <v>0</v>
      </c>
      <c r="R26" s="375">
        <f>Envoltória!P31</f>
        <v>0</v>
      </c>
      <c r="S26" s="375">
        <f>Envoltória!R31</f>
        <v>0</v>
      </c>
      <c r="T26" s="375" t="str">
        <f>Envoltória!V31</f>
        <v/>
      </c>
      <c r="U26" s="375" t="str">
        <f>IFERROR(VLOOKUP(Envoltória!I31,Aux_Lista!M:P,3,FALSE),"")</f>
        <v/>
      </c>
      <c r="V26" s="375" t="str">
        <f>IFERROR(VLOOKUP(Envoltória!I31,Aux_Lista!M:P,4,FALSE),"")</f>
        <v/>
      </c>
      <c r="W26" s="375" t="str">
        <f>IFERROR(VLOOKUP(Envoltória!J31,Aux_Lista!R:S,2,FALSE),"")</f>
        <v/>
      </c>
      <c r="X26" s="375">
        <f>IF(ISERROR(VLOOKUP(Envoltória!L31,Componentes!G:J,2,FALSE)),0,VLOOKUP(Envoltória!L31,Componentes!G:J,2,FALSE))</f>
        <v>0</v>
      </c>
      <c r="Y26" s="375">
        <f>IF(ISERROR(VLOOKUP(Envoltória!K31,Componentes!B:E,2,FALSE)),0,VLOOKUP(Envoltória!K31,Componentes!B:E,2,FALSE))</f>
        <v>0</v>
      </c>
      <c r="Z26" s="375">
        <f>IF(ISERROR(VLOOKUP(Envoltória!L31,Componentes!G:J,3,FALSE)),0,VLOOKUP(Envoltória!L31,Componentes!G:J,3,FALSE))</f>
        <v>0</v>
      </c>
      <c r="AA26" s="375">
        <f>IF(ISERROR(VLOOKUP(Envoltória!K31,Componentes!B:E,3,FALSE)),0,VLOOKUP(Envoltória!K31,Componentes!B:E,3,FALSE))</f>
        <v>0</v>
      </c>
      <c r="AB26" s="375" t="str">
        <f>IFERROR(VLOOKUP(Envoltória!I31,Aux_Lista!M:P,2,FALSE),"")</f>
        <v/>
      </c>
      <c r="AC26" s="378" t="str">
        <f>IFERROR(VLOOKUP(Envoltória!G31,CB3E_Envoltória!$AF$18:$AG$19,2,FALSE),"")</f>
        <v/>
      </c>
      <c r="AD26" s="371"/>
      <c r="AE26" s="1"/>
    </row>
    <row r="27" spans="1:33" s="32" customFormat="1" x14ac:dyDescent="0.25">
      <c r="A27" s="1">
        <v>17</v>
      </c>
      <c r="B27" s="50">
        <f>Envoltória!H32</f>
        <v>0</v>
      </c>
      <c r="C27" s="51">
        <f>Envoltória!B32</f>
        <v>0</v>
      </c>
      <c r="D27" s="52">
        <f>Envoltória!C32</f>
        <v>0</v>
      </c>
      <c r="E27" s="53">
        <f>Envoltória!D32</f>
        <v>0</v>
      </c>
      <c r="F27" s="374" t="str">
        <f>IFERROR(VLOOKUP(Envoltória!F32,CB3E_Envoltória!$AF$11:$AG$15,2,FALSE),"")</f>
        <v/>
      </c>
      <c r="G27" s="374" t="str">
        <f>Envoltória!T32</f>
        <v/>
      </c>
      <c r="H27" s="375">
        <f>Envoltória!S32</f>
        <v>0</v>
      </c>
      <c r="I27" s="375">
        <f>IF(ISERROR(VLOOKUP(Envoltória!M32,Componentes!L:N,3,FALSE)),0,VLOOKUP(Envoltória!M32,Componentes!L:N,3,FALSE))</f>
        <v>0</v>
      </c>
      <c r="J27" s="375">
        <v>0.5</v>
      </c>
      <c r="K27" s="375" t="str">
        <f>Envoltória!U32</f>
        <v/>
      </c>
      <c r="L27" s="375">
        <f>IF(ISERROR(VLOOKUP(Envoltória!M32,Componentes!L:N,2,FALSE)),0,VLOOKUP(Envoltória!M32,Componentes!L:N,2,FALSE))</f>
        <v>0</v>
      </c>
      <c r="M27" s="375">
        <f>IF(ISERROR(VLOOKUP(Envoltória!L32,Componentes!G:J,4,FALSE)),0,VLOOKUP(Envoltória!L32,Componentes!G:J,4,FALSE))</f>
        <v>0</v>
      </c>
      <c r="N27" s="375">
        <f>IF(ISERROR(VLOOKUP(Envoltória!K32,Componentes!B:E,4,FALSE)),0,VLOOKUP(Envoltória!K32,Componentes!B:E,4,FALSE))</f>
        <v>0</v>
      </c>
      <c r="O27" s="377">
        <f>Envoltória!E32</f>
        <v>0</v>
      </c>
      <c r="P27" s="375">
        <f>Envoltória!N32/100</f>
        <v>0</v>
      </c>
      <c r="Q27" s="375">
        <f>Envoltória!Q32</f>
        <v>0</v>
      </c>
      <c r="R27" s="375">
        <f>Envoltória!P32</f>
        <v>0</v>
      </c>
      <c r="S27" s="375">
        <f>Envoltória!R32</f>
        <v>0</v>
      </c>
      <c r="T27" s="375" t="str">
        <f>Envoltória!V32</f>
        <v/>
      </c>
      <c r="U27" s="375" t="str">
        <f>IFERROR(VLOOKUP(Envoltória!I32,Aux_Lista!M:P,3,FALSE),"")</f>
        <v/>
      </c>
      <c r="V27" s="375" t="str">
        <f>IFERROR(VLOOKUP(Envoltória!I32,Aux_Lista!M:P,4,FALSE),"")</f>
        <v/>
      </c>
      <c r="W27" s="375" t="str">
        <f>IFERROR(VLOOKUP(Envoltória!J32,Aux_Lista!R:S,2,FALSE),"")</f>
        <v/>
      </c>
      <c r="X27" s="375">
        <f>IF(ISERROR(VLOOKUP(Envoltória!L32,Componentes!G:J,2,FALSE)),0,VLOOKUP(Envoltória!L32,Componentes!G:J,2,FALSE))</f>
        <v>0</v>
      </c>
      <c r="Y27" s="375">
        <f>IF(ISERROR(VLOOKUP(Envoltória!K32,Componentes!B:E,2,FALSE)),0,VLOOKUP(Envoltória!K32,Componentes!B:E,2,FALSE))</f>
        <v>0</v>
      </c>
      <c r="Z27" s="375">
        <f>IF(ISERROR(VLOOKUP(Envoltória!L32,Componentes!G:J,3,FALSE)),0,VLOOKUP(Envoltória!L32,Componentes!G:J,3,FALSE))</f>
        <v>0</v>
      </c>
      <c r="AA27" s="375">
        <f>IF(ISERROR(VLOOKUP(Envoltória!K32,Componentes!B:E,3,FALSE)),0,VLOOKUP(Envoltória!K32,Componentes!B:E,3,FALSE))</f>
        <v>0</v>
      </c>
      <c r="AB27" s="375" t="str">
        <f>IFERROR(VLOOKUP(Envoltória!I32,Aux_Lista!M:P,2,FALSE),"")</f>
        <v/>
      </c>
      <c r="AC27" s="378" t="str">
        <f>IFERROR(VLOOKUP(Envoltória!G32,CB3E_Envoltória!$AF$18:$AG$19,2,FALSE),"")</f>
        <v/>
      </c>
      <c r="AD27" s="371"/>
      <c r="AE27" s="1"/>
    </row>
    <row r="28" spans="1:33" s="32" customFormat="1" x14ac:dyDescent="0.25">
      <c r="A28" s="1">
        <v>18</v>
      </c>
      <c r="B28" s="50">
        <f>Envoltória!H33</f>
        <v>0</v>
      </c>
      <c r="C28" s="51">
        <f>Envoltória!B33</f>
        <v>0</v>
      </c>
      <c r="D28" s="52">
        <f>Envoltória!C33</f>
        <v>0</v>
      </c>
      <c r="E28" s="53">
        <f>Envoltória!D33</f>
        <v>0</v>
      </c>
      <c r="F28" s="374" t="str">
        <f>IFERROR(VLOOKUP(Envoltória!F33,CB3E_Envoltória!$AF$11:$AG$15,2,FALSE),"")</f>
        <v/>
      </c>
      <c r="G28" s="374" t="str">
        <f>Envoltória!T33</f>
        <v/>
      </c>
      <c r="H28" s="375">
        <f>Envoltória!S33</f>
        <v>0</v>
      </c>
      <c r="I28" s="375">
        <f>IF(ISERROR(VLOOKUP(Envoltória!M33,Componentes!L:N,3,FALSE)),0,VLOOKUP(Envoltória!M33,Componentes!L:N,3,FALSE))</f>
        <v>0</v>
      </c>
      <c r="J28" s="375">
        <v>0.5</v>
      </c>
      <c r="K28" s="375" t="str">
        <f>Envoltória!U33</f>
        <v/>
      </c>
      <c r="L28" s="375">
        <f>IF(ISERROR(VLOOKUP(Envoltória!M33,Componentes!L:N,2,FALSE)),0,VLOOKUP(Envoltória!M33,Componentes!L:N,2,FALSE))</f>
        <v>0</v>
      </c>
      <c r="M28" s="375">
        <f>IF(ISERROR(VLOOKUP(Envoltória!L33,Componentes!G:J,4,FALSE)),0,VLOOKUP(Envoltória!L33,Componentes!G:J,4,FALSE))</f>
        <v>0</v>
      </c>
      <c r="N28" s="375">
        <f>IF(ISERROR(VLOOKUP(Envoltória!K33,Componentes!B:E,4,FALSE)),0,VLOOKUP(Envoltória!K33,Componentes!B:E,4,FALSE))</f>
        <v>0</v>
      </c>
      <c r="O28" s="377">
        <f>Envoltória!E33</f>
        <v>0</v>
      </c>
      <c r="P28" s="375">
        <f>Envoltória!N33/100</f>
        <v>0</v>
      </c>
      <c r="Q28" s="375">
        <f>Envoltória!Q33</f>
        <v>0</v>
      </c>
      <c r="R28" s="375">
        <f>Envoltória!P33</f>
        <v>0</v>
      </c>
      <c r="S28" s="375">
        <f>Envoltória!R33</f>
        <v>0</v>
      </c>
      <c r="T28" s="375" t="str">
        <f>Envoltória!V33</f>
        <v/>
      </c>
      <c r="U28" s="375" t="str">
        <f>IFERROR(VLOOKUP(Envoltória!I33,Aux_Lista!M:P,3,FALSE),"")</f>
        <v/>
      </c>
      <c r="V28" s="375" t="str">
        <f>IFERROR(VLOOKUP(Envoltória!I33,Aux_Lista!M:P,4,FALSE),"")</f>
        <v/>
      </c>
      <c r="W28" s="375" t="str">
        <f>IFERROR(VLOOKUP(Envoltória!J33,Aux_Lista!R:S,2,FALSE),"")</f>
        <v/>
      </c>
      <c r="X28" s="375">
        <f>IF(ISERROR(VLOOKUP(Envoltória!L33,Componentes!G:J,2,FALSE)),0,VLOOKUP(Envoltória!L33,Componentes!G:J,2,FALSE))</f>
        <v>0</v>
      </c>
      <c r="Y28" s="375">
        <f>IF(ISERROR(VLOOKUP(Envoltória!K33,Componentes!B:E,2,FALSE)),0,VLOOKUP(Envoltória!K33,Componentes!B:E,2,FALSE))</f>
        <v>0</v>
      </c>
      <c r="Z28" s="375">
        <f>IF(ISERROR(VLOOKUP(Envoltória!L33,Componentes!G:J,3,FALSE)),0,VLOOKUP(Envoltória!L33,Componentes!G:J,3,FALSE))</f>
        <v>0</v>
      </c>
      <c r="AA28" s="375">
        <f>IF(ISERROR(VLOOKUP(Envoltória!K33,Componentes!B:E,3,FALSE)),0,VLOOKUP(Envoltória!K33,Componentes!B:E,3,FALSE))</f>
        <v>0</v>
      </c>
      <c r="AB28" s="375" t="str">
        <f>IFERROR(VLOOKUP(Envoltória!I33,Aux_Lista!M:P,2,FALSE),"")</f>
        <v/>
      </c>
      <c r="AC28" s="378" t="str">
        <f>IFERROR(VLOOKUP(Envoltória!G33,CB3E_Envoltória!$AF$18:$AG$19,2,FALSE),"")</f>
        <v/>
      </c>
      <c r="AD28" s="371"/>
      <c r="AE28" s="1"/>
    </row>
    <row r="29" spans="1:33" s="32" customFormat="1" x14ac:dyDescent="0.25">
      <c r="A29" s="1">
        <v>19</v>
      </c>
      <c r="B29" s="50">
        <f>Envoltória!H34</f>
        <v>0</v>
      </c>
      <c r="C29" s="51">
        <f>Envoltória!B34</f>
        <v>0</v>
      </c>
      <c r="D29" s="52">
        <f>Envoltória!C34</f>
        <v>0</v>
      </c>
      <c r="E29" s="53">
        <f>Envoltória!D34</f>
        <v>0</v>
      </c>
      <c r="F29" s="374" t="str">
        <f>IFERROR(VLOOKUP(Envoltória!F34,CB3E_Envoltória!$AF$11:$AG$15,2,FALSE),"")</f>
        <v/>
      </c>
      <c r="G29" s="374" t="str">
        <f>Envoltória!T34</f>
        <v/>
      </c>
      <c r="H29" s="375">
        <f>Envoltória!S34</f>
        <v>0</v>
      </c>
      <c r="I29" s="375">
        <f>IF(ISERROR(VLOOKUP(Envoltória!M34,Componentes!L:N,3,FALSE)),0,VLOOKUP(Envoltória!M34,Componentes!L:N,3,FALSE))</f>
        <v>0</v>
      </c>
      <c r="J29" s="375">
        <v>0.5</v>
      </c>
      <c r="K29" s="375" t="str">
        <f>Envoltória!U34</f>
        <v/>
      </c>
      <c r="L29" s="375">
        <f>IF(ISERROR(VLOOKUP(Envoltória!M34,Componentes!L:N,2,FALSE)),0,VLOOKUP(Envoltória!M34,Componentes!L:N,2,FALSE))</f>
        <v>0</v>
      </c>
      <c r="M29" s="375">
        <f>IF(ISERROR(VLOOKUP(Envoltória!L34,Componentes!G:J,4,FALSE)),0,VLOOKUP(Envoltória!L34,Componentes!G:J,4,FALSE))</f>
        <v>0</v>
      </c>
      <c r="N29" s="375">
        <f>IF(ISERROR(VLOOKUP(Envoltória!K34,Componentes!B:E,4,FALSE)),0,VLOOKUP(Envoltória!K34,Componentes!B:E,4,FALSE))</f>
        <v>0</v>
      </c>
      <c r="O29" s="377">
        <f>Envoltória!E34</f>
        <v>0</v>
      </c>
      <c r="P29" s="375">
        <f>Envoltória!N34/100</f>
        <v>0</v>
      </c>
      <c r="Q29" s="375">
        <f>Envoltória!Q34</f>
        <v>0</v>
      </c>
      <c r="R29" s="375">
        <f>Envoltória!P34</f>
        <v>0</v>
      </c>
      <c r="S29" s="375">
        <f>Envoltória!R34</f>
        <v>0</v>
      </c>
      <c r="T29" s="375" t="str">
        <f>Envoltória!V34</f>
        <v/>
      </c>
      <c r="U29" s="375" t="str">
        <f>IFERROR(VLOOKUP(Envoltória!I34,Aux_Lista!M:P,3,FALSE),"")</f>
        <v/>
      </c>
      <c r="V29" s="375" t="str">
        <f>IFERROR(VLOOKUP(Envoltória!I34,Aux_Lista!M:P,4,FALSE),"")</f>
        <v/>
      </c>
      <c r="W29" s="375" t="str">
        <f>IFERROR(VLOOKUP(Envoltória!J34,Aux_Lista!R:S,2,FALSE),"")</f>
        <v/>
      </c>
      <c r="X29" s="375">
        <f>IF(ISERROR(VLOOKUP(Envoltória!L34,Componentes!G:J,2,FALSE)),0,VLOOKUP(Envoltória!L34,Componentes!G:J,2,FALSE))</f>
        <v>0</v>
      </c>
      <c r="Y29" s="375">
        <f>IF(ISERROR(VLOOKUP(Envoltória!K34,Componentes!B:E,2,FALSE)),0,VLOOKUP(Envoltória!K34,Componentes!B:E,2,FALSE))</f>
        <v>0</v>
      </c>
      <c r="Z29" s="375">
        <f>IF(ISERROR(VLOOKUP(Envoltória!L34,Componentes!G:J,3,FALSE)),0,VLOOKUP(Envoltória!L34,Componentes!G:J,3,FALSE))</f>
        <v>0</v>
      </c>
      <c r="AA29" s="375">
        <f>IF(ISERROR(VLOOKUP(Envoltória!K34,Componentes!B:E,3,FALSE)),0,VLOOKUP(Envoltória!K34,Componentes!B:E,3,FALSE))</f>
        <v>0</v>
      </c>
      <c r="AB29" s="375" t="str">
        <f>IFERROR(VLOOKUP(Envoltória!I34,Aux_Lista!M:P,2,FALSE),"")</f>
        <v/>
      </c>
      <c r="AC29" s="378" t="str">
        <f>IFERROR(VLOOKUP(Envoltória!G34,CB3E_Envoltória!$AF$18:$AG$19,2,FALSE),"")</f>
        <v/>
      </c>
      <c r="AD29" s="371"/>
      <c r="AE29" s="1"/>
    </row>
    <row r="30" spans="1:33" s="32" customFormat="1" x14ac:dyDescent="0.25">
      <c r="A30" s="1">
        <v>20</v>
      </c>
      <c r="B30" s="50">
        <f>Envoltória!H35</f>
        <v>0</v>
      </c>
      <c r="C30" s="51">
        <f>Envoltória!B35</f>
        <v>0</v>
      </c>
      <c r="D30" s="52">
        <f>Envoltória!C35</f>
        <v>0</v>
      </c>
      <c r="E30" s="53">
        <f>Envoltória!D35</f>
        <v>0</v>
      </c>
      <c r="F30" s="374" t="str">
        <f>IFERROR(VLOOKUP(Envoltória!F35,CB3E_Envoltória!$AF$11:$AG$15,2,FALSE),"")</f>
        <v/>
      </c>
      <c r="G30" s="374" t="str">
        <f>Envoltória!T35</f>
        <v/>
      </c>
      <c r="H30" s="375">
        <f>Envoltória!S35</f>
        <v>0</v>
      </c>
      <c r="I30" s="375">
        <f>IF(ISERROR(VLOOKUP(Envoltória!M35,Componentes!L:N,3,FALSE)),0,VLOOKUP(Envoltória!M35,Componentes!L:N,3,FALSE))</f>
        <v>0</v>
      </c>
      <c r="J30" s="375">
        <v>0.5</v>
      </c>
      <c r="K30" s="375" t="str">
        <f>Envoltória!U35</f>
        <v/>
      </c>
      <c r="L30" s="375">
        <f>IF(ISERROR(VLOOKUP(Envoltória!M35,Componentes!L:N,2,FALSE)),0,VLOOKUP(Envoltória!M35,Componentes!L:N,2,FALSE))</f>
        <v>0</v>
      </c>
      <c r="M30" s="375">
        <f>IF(ISERROR(VLOOKUP(Envoltória!L35,Componentes!G:J,4,FALSE)),0,VLOOKUP(Envoltória!L35,Componentes!G:J,4,FALSE))</f>
        <v>0</v>
      </c>
      <c r="N30" s="375">
        <f>IF(ISERROR(VLOOKUP(Envoltória!K35,Componentes!B:E,4,FALSE)),0,VLOOKUP(Envoltória!K35,Componentes!B:E,4,FALSE))</f>
        <v>0</v>
      </c>
      <c r="O30" s="377">
        <f>Envoltória!E35</f>
        <v>0</v>
      </c>
      <c r="P30" s="375">
        <f>Envoltória!N35/100</f>
        <v>0</v>
      </c>
      <c r="Q30" s="375">
        <f>Envoltória!Q35</f>
        <v>0</v>
      </c>
      <c r="R30" s="375">
        <f>Envoltória!P35</f>
        <v>0</v>
      </c>
      <c r="S30" s="375">
        <f>Envoltória!R35</f>
        <v>0</v>
      </c>
      <c r="T30" s="375" t="str">
        <f>Envoltória!V35</f>
        <v/>
      </c>
      <c r="U30" s="375" t="str">
        <f>IFERROR(VLOOKUP(Envoltória!I35,Aux_Lista!M:P,3,FALSE),"")</f>
        <v/>
      </c>
      <c r="V30" s="375" t="str">
        <f>IFERROR(VLOOKUP(Envoltória!I35,Aux_Lista!M:P,4,FALSE),"")</f>
        <v/>
      </c>
      <c r="W30" s="375" t="str">
        <f>IFERROR(VLOOKUP(Envoltória!J35,Aux_Lista!R:S,2,FALSE),"")</f>
        <v/>
      </c>
      <c r="X30" s="375">
        <f>IF(ISERROR(VLOOKUP(Envoltória!L35,Componentes!G:J,2,FALSE)),0,VLOOKUP(Envoltória!L35,Componentes!G:J,2,FALSE))</f>
        <v>0</v>
      </c>
      <c r="Y30" s="375">
        <f>IF(ISERROR(VLOOKUP(Envoltória!K35,Componentes!B:E,2,FALSE)),0,VLOOKUP(Envoltória!K35,Componentes!B:E,2,FALSE))</f>
        <v>0</v>
      </c>
      <c r="Z30" s="375">
        <f>IF(ISERROR(VLOOKUP(Envoltória!L35,Componentes!G:J,3,FALSE)),0,VLOOKUP(Envoltória!L35,Componentes!G:J,3,FALSE))</f>
        <v>0</v>
      </c>
      <c r="AA30" s="375">
        <f>IF(ISERROR(VLOOKUP(Envoltória!K35,Componentes!B:E,3,FALSE)),0,VLOOKUP(Envoltória!K35,Componentes!B:E,3,FALSE))</f>
        <v>0</v>
      </c>
      <c r="AB30" s="375" t="str">
        <f>IFERROR(VLOOKUP(Envoltória!I35,Aux_Lista!M:P,2,FALSE),"")</f>
        <v/>
      </c>
      <c r="AC30" s="378" t="str">
        <f>IFERROR(VLOOKUP(Envoltória!G35,CB3E_Envoltória!$AF$18:$AG$19,2,FALSE),"")</f>
        <v/>
      </c>
      <c r="AD30" s="371"/>
      <c r="AE30" s="1"/>
    </row>
    <row r="31" spans="1:33" s="32" customFormat="1" x14ac:dyDescent="0.25">
      <c r="A31" s="1">
        <v>21</v>
      </c>
      <c r="B31" s="50">
        <f>Envoltória!H36</f>
        <v>0</v>
      </c>
      <c r="C31" s="51">
        <f>Envoltória!B36</f>
        <v>0</v>
      </c>
      <c r="D31" s="52">
        <f>Envoltória!C36</f>
        <v>0</v>
      </c>
      <c r="E31" s="53">
        <f>Envoltória!D36</f>
        <v>0</v>
      </c>
      <c r="F31" s="374" t="str">
        <f>IFERROR(VLOOKUP(Envoltória!F36,CB3E_Envoltória!$AF$11:$AG$15,2,FALSE),"")</f>
        <v/>
      </c>
      <c r="G31" s="374" t="str">
        <f>Envoltória!T36</f>
        <v/>
      </c>
      <c r="H31" s="375">
        <f>Envoltória!S36</f>
        <v>0</v>
      </c>
      <c r="I31" s="375">
        <f>IF(ISERROR(VLOOKUP(Envoltória!M36,Componentes!L:N,3,FALSE)),0,VLOOKUP(Envoltória!M36,Componentes!L:N,3,FALSE))</f>
        <v>0</v>
      </c>
      <c r="J31" s="375">
        <v>0.5</v>
      </c>
      <c r="K31" s="375" t="str">
        <f>Envoltória!U36</f>
        <v/>
      </c>
      <c r="L31" s="375">
        <f>IF(ISERROR(VLOOKUP(Envoltória!M36,Componentes!L:N,2,FALSE)),0,VLOOKUP(Envoltória!M36,Componentes!L:N,2,FALSE))</f>
        <v>0</v>
      </c>
      <c r="M31" s="375">
        <f>IF(ISERROR(VLOOKUP(Envoltória!L36,Componentes!G:J,4,FALSE)),0,VLOOKUP(Envoltória!L36,Componentes!G:J,4,FALSE))</f>
        <v>0</v>
      </c>
      <c r="N31" s="375">
        <f>IF(ISERROR(VLOOKUP(Envoltória!K36,Componentes!B:E,4,FALSE)),0,VLOOKUP(Envoltória!K36,Componentes!B:E,4,FALSE))</f>
        <v>0</v>
      </c>
      <c r="O31" s="377">
        <f>Envoltória!E36</f>
        <v>0</v>
      </c>
      <c r="P31" s="375">
        <f>Envoltória!N36/100</f>
        <v>0</v>
      </c>
      <c r="Q31" s="375">
        <f>Envoltória!Q36</f>
        <v>0</v>
      </c>
      <c r="R31" s="375">
        <f>Envoltória!P36</f>
        <v>0</v>
      </c>
      <c r="S31" s="375">
        <f>Envoltória!R36</f>
        <v>0</v>
      </c>
      <c r="T31" s="375" t="str">
        <f>Envoltória!V36</f>
        <v/>
      </c>
      <c r="U31" s="375" t="str">
        <f>IFERROR(VLOOKUP(Envoltória!I36,Aux_Lista!M:P,3,FALSE),"")</f>
        <v/>
      </c>
      <c r="V31" s="375" t="str">
        <f>IFERROR(VLOOKUP(Envoltória!I36,Aux_Lista!M:P,4,FALSE),"")</f>
        <v/>
      </c>
      <c r="W31" s="375" t="str">
        <f>IFERROR(VLOOKUP(Envoltória!J36,Aux_Lista!R:S,2,FALSE),"")</f>
        <v/>
      </c>
      <c r="X31" s="375">
        <f>IF(ISERROR(VLOOKUP(Envoltória!L36,Componentes!G:J,2,FALSE)),0,VLOOKUP(Envoltória!L36,Componentes!G:J,2,FALSE))</f>
        <v>0</v>
      </c>
      <c r="Y31" s="375">
        <f>IF(ISERROR(VLOOKUP(Envoltória!K36,Componentes!B:E,2,FALSE)),0,VLOOKUP(Envoltória!K36,Componentes!B:E,2,FALSE))</f>
        <v>0</v>
      </c>
      <c r="Z31" s="375">
        <f>IF(ISERROR(VLOOKUP(Envoltória!L36,Componentes!G:J,3,FALSE)),0,VLOOKUP(Envoltória!L36,Componentes!G:J,3,FALSE))</f>
        <v>0</v>
      </c>
      <c r="AA31" s="375">
        <f>IF(ISERROR(VLOOKUP(Envoltória!K36,Componentes!B:E,3,FALSE)),0,VLOOKUP(Envoltória!K36,Componentes!B:E,3,FALSE))</f>
        <v>0</v>
      </c>
      <c r="AB31" s="375" t="str">
        <f>IFERROR(VLOOKUP(Envoltória!I36,Aux_Lista!M:P,2,FALSE),"")</f>
        <v/>
      </c>
      <c r="AC31" s="378" t="str">
        <f>IFERROR(VLOOKUP(Envoltória!G36,CB3E_Envoltória!$AF$18:$AG$19,2,FALSE),"")</f>
        <v/>
      </c>
      <c r="AD31" s="371"/>
      <c r="AE31" s="1"/>
    </row>
    <row r="32" spans="1:33" s="32" customFormat="1" x14ac:dyDescent="0.25">
      <c r="A32" s="1">
        <v>22</v>
      </c>
      <c r="B32" s="50">
        <f>Envoltória!H37</f>
        <v>0</v>
      </c>
      <c r="C32" s="51">
        <f>Envoltória!B37</f>
        <v>0</v>
      </c>
      <c r="D32" s="52">
        <f>Envoltória!C37</f>
        <v>0</v>
      </c>
      <c r="E32" s="53">
        <f>Envoltória!D37</f>
        <v>0</v>
      </c>
      <c r="F32" s="374" t="str">
        <f>IFERROR(VLOOKUP(Envoltória!F37,CB3E_Envoltória!$AF$11:$AG$15,2,FALSE),"")</f>
        <v/>
      </c>
      <c r="G32" s="374" t="str">
        <f>Envoltória!T37</f>
        <v/>
      </c>
      <c r="H32" s="375">
        <f>Envoltória!S37</f>
        <v>0</v>
      </c>
      <c r="I32" s="375">
        <f>IF(ISERROR(VLOOKUP(Envoltória!M37,Componentes!L:N,3,FALSE)),0,VLOOKUP(Envoltória!M37,Componentes!L:N,3,FALSE))</f>
        <v>0</v>
      </c>
      <c r="J32" s="375">
        <v>0.5</v>
      </c>
      <c r="K32" s="375" t="str">
        <f>Envoltória!U37</f>
        <v/>
      </c>
      <c r="L32" s="375">
        <f>IF(ISERROR(VLOOKUP(Envoltória!M37,Componentes!L:N,2,FALSE)),0,VLOOKUP(Envoltória!M37,Componentes!L:N,2,FALSE))</f>
        <v>0</v>
      </c>
      <c r="M32" s="375">
        <f>IF(ISERROR(VLOOKUP(Envoltória!L37,Componentes!G:J,4,FALSE)),0,VLOOKUP(Envoltória!L37,Componentes!G:J,4,FALSE))</f>
        <v>0</v>
      </c>
      <c r="N32" s="375">
        <f>IF(ISERROR(VLOOKUP(Envoltória!K37,Componentes!B:E,4,FALSE)),0,VLOOKUP(Envoltória!K37,Componentes!B:E,4,FALSE))</f>
        <v>0</v>
      </c>
      <c r="O32" s="377">
        <f>Envoltória!E37</f>
        <v>0</v>
      </c>
      <c r="P32" s="375">
        <f>Envoltória!N37/100</f>
        <v>0</v>
      </c>
      <c r="Q32" s="375">
        <f>Envoltória!Q37</f>
        <v>0</v>
      </c>
      <c r="R32" s="375">
        <f>Envoltória!P37</f>
        <v>0</v>
      </c>
      <c r="S32" s="375">
        <f>Envoltória!R37</f>
        <v>0</v>
      </c>
      <c r="T32" s="375" t="str">
        <f>Envoltória!V37</f>
        <v/>
      </c>
      <c r="U32" s="375" t="str">
        <f>IFERROR(VLOOKUP(Envoltória!I37,Aux_Lista!M:P,3,FALSE),"")</f>
        <v/>
      </c>
      <c r="V32" s="375" t="str">
        <f>IFERROR(VLOOKUP(Envoltória!I37,Aux_Lista!M:P,4,FALSE),"")</f>
        <v/>
      </c>
      <c r="W32" s="375" t="str">
        <f>IFERROR(VLOOKUP(Envoltória!J37,Aux_Lista!R:S,2,FALSE),"")</f>
        <v/>
      </c>
      <c r="X32" s="375">
        <f>IF(ISERROR(VLOOKUP(Envoltória!L37,Componentes!G:J,2,FALSE)),0,VLOOKUP(Envoltória!L37,Componentes!G:J,2,FALSE))</f>
        <v>0</v>
      </c>
      <c r="Y32" s="375">
        <f>IF(ISERROR(VLOOKUP(Envoltória!K37,Componentes!B:E,2,FALSE)),0,VLOOKUP(Envoltória!K37,Componentes!B:E,2,FALSE))</f>
        <v>0</v>
      </c>
      <c r="Z32" s="375">
        <f>IF(ISERROR(VLOOKUP(Envoltória!L37,Componentes!G:J,3,FALSE)),0,VLOOKUP(Envoltória!L37,Componentes!G:J,3,FALSE))</f>
        <v>0</v>
      </c>
      <c r="AA32" s="375">
        <f>IF(ISERROR(VLOOKUP(Envoltória!K37,Componentes!B:E,3,FALSE)),0,VLOOKUP(Envoltória!K37,Componentes!B:E,3,FALSE))</f>
        <v>0</v>
      </c>
      <c r="AB32" s="375" t="str">
        <f>IFERROR(VLOOKUP(Envoltória!I37,Aux_Lista!M:P,2,FALSE),"")</f>
        <v/>
      </c>
      <c r="AC32" s="378" t="str">
        <f>IFERROR(VLOOKUP(Envoltória!G37,CB3E_Envoltória!$AF$18:$AG$19,2,FALSE),"")</f>
        <v/>
      </c>
      <c r="AD32" s="371"/>
      <c r="AE32" s="1"/>
    </row>
    <row r="33" spans="1:31" s="32" customFormat="1" x14ac:dyDescent="0.25">
      <c r="A33" s="1">
        <v>23</v>
      </c>
      <c r="B33" s="50">
        <f>Envoltória!H38</f>
        <v>0</v>
      </c>
      <c r="C33" s="51">
        <f>Envoltória!B38</f>
        <v>0</v>
      </c>
      <c r="D33" s="52">
        <f>Envoltória!C38</f>
        <v>0</v>
      </c>
      <c r="E33" s="53">
        <f>Envoltória!D38</f>
        <v>0</v>
      </c>
      <c r="F33" s="374" t="str">
        <f>IFERROR(VLOOKUP(Envoltória!F38,CB3E_Envoltória!$AF$11:$AG$15,2,FALSE),"")</f>
        <v/>
      </c>
      <c r="G33" s="374" t="str">
        <f>Envoltória!T38</f>
        <v/>
      </c>
      <c r="H33" s="375">
        <f>Envoltória!S38</f>
        <v>0</v>
      </c>
      <c r="I33" s="375">
        <f>IF(ISERROR(VLOOKUP(Envoltória!M38,Componentes!L:N,3,FALSE)),0,VLOOKUP(Envoltória!M38,Componentes!L:N,3,FALSE))</f>
        <v>0</v>
      </c>
      <c r="J33" s="375">
        <v>0.5</v>
      </c>
      <c r="K33" s="375" t="str">
        <f>Envoltória!U38</f>
        <v/>
      </c>
      <c r="L33" s="375">
        <f>IF(ISERROR(VLOOKUP(Envoltória!M38,Componentes!L:N,2,FALSE)),0,VLOOKUP(Envoltória!M38,Componentes!L:N,2,FALSE))</f>
        <v>0</v>
      </c>
      <c r="M33" s="375">
        <f>IF(ISERROR(VLOOKUP(Envoltória!L38,Componentes!G:J,4,FALSE)),0,VLOOKUP(Envoltória!L38,Componentes!G:J,4,FALSE))</f>
        <v>0</v>
      </c>
      <c r="N33" s="375">
        <f>IF(ISERROR(VLOOKUP(Envoltória!K38,Componentes!B:E,4,FALSE)),0,VLOOKUP(Envoltória!K38,Componentes!B:E,4,FALSE))</f>
        <v>0</v>
      </c>
      <c r="O33" s="377">
        <f>Envoltória!E38</f>
        <v>0</v>
      </c>
      <c r="P33" s="375">
        <f>Envoltória!N38/100</f>
        <v>0</v>
      </c>
      <c r="Q33" s="375">
        <f>Envoltória!Q38</f>
        <v>0</v>
      </c>
      <c r="R33" s="375">
        <f>Envoltória!P38</f>
        <v>0</v>
      </c>
      <c r="S33" s="375">
        <f>Envoltória!R38</f>
        <v>0</v>
      </c>
      <c r="T33" s="375" t="str">
        <f>Envoltória!V38</f>
        <v/>
      </c>
      <c r="U33" s="375" t="str">
        <f>IFERROR(VLOOKUP(Envoltória!I38,Aux_Lista!M:P,3,FALSE),"")</f>
        <v/>
      </c>
      <c r="V33" s="375" t="str">
        <f>IFERROR(VLOOKUP(Envoltória!I38,Aux_Lista!M:P,4,FALSE),"")</f>
        <v/>
      </c>
      <c r="W33" s="375" t="str">
        <f>IFERROR(VLOOKUP(Envoltória!J38,Aux_Lista!R:S,2,FALSE),"")</f>
        <v/>
      </c>
      <c r="X33" s="375">
        <f>IF(ISERROR(VLOOKUP(Envoltória!L38,Componentes!G:J,2,FALSE)),0,VLOOKUP(Envoltória!L38,Componentes!G:J,2,FALSE))</f>
        <v>0</v>
      </c>
      <c r="Y33" s="375">
        <f>IF(ISERROR(VLOOKUP(Envoltória!K38,Componentes!B:E,2,FALSE)),0,VLOOKUP(Envoltória!K38,Componentes!B:E,2,FALSE))</f>
        <v>0</v>
      </c>
      <c r="Z33" s="375">
        <f>IF(ISERROR(VLOOKUP(Envoltória!L38,Componentes!G:J,3,FALSE)),0,VLOOKUP(Envoltória!L38,Componentes!G:J,3,FALSE))</f>
        <v>0</v>
      </c>
      <c r="AA33" s="375">
        <f>IF(ISERROR(VLOOKUP(Envoltória!K38,Componentes!B:E,3,FALSE)),0,VLOOKUP(Envoltória!K38,Componentes!B:E,3,FALSE))</f>
        <v>0</v>
      </c>
      <c r="AB33" s="375" t="str">
        <f>IFERROR(VLOOKUP(Envoltória!I38,Aux_Lista!M:P,2,FALSE),"")</f>
        <v/>
      </c>
      <c r="AC33" s="378" t="str">
        <f>IFERROR(VLOOKUP(Envoltória!G38,CB3E_Envoltória!$AF$18:$AG$19,2,FALSE),"")</f>
        <v/>
      </c>
      <c r="AD33" s="371"/>
      <c r="AE33" s="1"/>
    </row>
    <row r="34" spans="1:31" s="32" customFormat="1" x14ac:dyDescent="0.25">
      <c r="A34" s="1">
        <v>24</v>
      </c>
      <c r="B34" s="50">
        <f>Envoltória!H39</f>
        <v>0</v>
      </c>
      <c r="C34" s="51">
        <f>Envoltória!B39</f>
        <v>0</v>
      </c>
      <c r="D34" s="52">
        <f>Envoltória!C39</f>
        <v>0</v>
      </c>
      <c r="E34" s="53">
        <f>Envoltória!D39</f>
        <v>0</v>
      </c>
      <c r="F34" s="374" t="str">
        <f>IFERROR(VLOOKUP(Envoltória!F39,CB3E_Envoltória!$AF$11:$AG$15,2,FALSE),"")</f>
        <v/>
      </c>
      <c r="G34" s="374" t="str">
        <f>Envoltória!T39</f>
        <v/>
      </c>
      <c r="H34" s="375">
        <f>Envoltória!S39</f>
        <v>0</v>
      </c>
      <c r="I34" s="375">
        <f>IF(ISERROR(VLOOKUP(Envoltória!M39,Componentes!L:N,3,FALSE)),0,VLOOKUP(Envoltória!M39,Componentes!L:N,3,FALSE))</f>
        <v>0</v>
      </c>
      <c r="J34" s="375">
        <v>0.5</v>
      </c>
      <c r="K34" s="375" t="str">
        <f>Envoltória!U39</f>
        <v/>
      </c>
      <c r="L34" s="375">
        <f>IF(ISERROR(VLOOKUP(Envoltória!M39,Componentes!L:N,2,FALSE)),0,VLOOKUP(Envoltória!M39,Componentes!L:N,2,FALSE))</f>
        <v>0</v>
      </c>
      <c r="M34" s="375">
        <f>IF(ISERROR(VLOOKUP(Envoltória!L39,Componentes!G:J,4,FALSE)),0,VLOOKUP(Envoltória!L39,Componentes!G:J,4,FALSE))</f>
        <v>0</v>
      </c>
      <c r="N34" s="375">
        <f>IF(ISERROR(VLOOKUP(Envoltória!K39,Componentes!B:E,4,FALSE)),0,VLOOKUP(Envoltória!K39,Componentes!B:E,4,FALSE))</f>
        <v>0</v>
      </c>
      <c r="O34" s="377">
        <f>Envoltória!E39</f>
        <v>0</v>
      </c>
      <c r="P34" s="375">
        <f>Envoltória!N39/100</f>
        <v>0</v>
      </c>
      <c r="Q34" s="375">
        <f>Envoltória!Q39</f>
        <v>0</v>
      </c>
      <c r="R34" s="375">
        <f>Envoltória!P39</f>
        <v>0</v>
      </c>
      <c r="S34" s="375">
        <f>Envoltória!R39</f>
        <v>0</v>
      </c>
      <c r="T34" s="375" t="str">
        <f>Envoltória!V39</f>
        <v/>
      </c>
      <c r="U34" s="375" t="str">
        <f>IFERROR(VLOOKUP(Envoltória!I39,Aux_Lista!M:P,3,FALSE),"")</f>
        <v/>
      </c>
      <c r="V34" s="375" t="str">
        <f>IFERROR(VLOOKUP(Envoltória!I39,Aux_Lista!M:P,4,FALSE),"")</f>
        <v/>
      </c>
      <c r="W34" s="375" t="str">
        <f>IFERROR(VLOOKUP(Envoltória!J39,Aux_Lista!R:S,2,FALSE),"")</f>
        <v/>
      </c>
      <c r="X34" s="375">
        <f>IF(ISERROR(VLOOKUP(Envoltória!L39,Componentes!G:J,2,FALSE)),0,VLOOKUP(Envoltória!L39,Componentes!G:J,2,FALSE))</f>
        <v>0</v>
      </c>
      <c r="Y34" s="375">
        <f>IF(ISERROR(VLOOKUP(Envoltória!K39,Componentes!B:E,2,FALSE)),0,VLOOKUP(Envoltória!K39,Componentes!B:E,2,FALSE))</f>
        <v>0</v>
      </c>
      <c r="Z34" s="375">
        <f>IF(ISERROR(VLOOKUP(Envoltória!L39,Componentes!G:J,3,FALSE)),0,VLOOKUP(Envoltória!L39,Componentes!G:J,3,FALSE))</f>
        <v>0</v>
      </c>
      <c r="AA34" s="375">
        <f>IF(ISERROR(VLOOKUP(Envoltória!K39,Componentes!B:E,3,FALSE)),0,VLOOKUP(Envoltória!K39,Componentes!B:E,3,FALSE))</f>
        <v>0</v>
      </c>
      <c r="AB34" s="375" t="str">
        <f>IFERROR(VLOOKUP(Envoltória!I39,Aux_Lista!M:P,2,FALSE),"")</f>
        <v/>
      </c>
      <c r="AC34" s="378" t="str">
        <f>IFERROR(VLOOKUP(Envoltória!G39,CB3E_Envoltória!$AF$18:$AG$19,2,FALSE),"")</f>
        <v/>
      </c>
      <c r="AD34" s="371"/>
      <c r="AE34" s="1"/>
    </row>
    <row r="35" spans="1:31" s="32" customFormat="1" x14ac:dyDescent="0.25">
      <c r="A35" s="1">
        <v>25</v>
      </c>
      <c r="B35" s="50">
        <f>Envoltória!H40</f>
        <v>0</v>
      </c>
      <c r="C35" s="51">
        <f>Envoltória!B40</f>
        <v>0</v>
      </c>
      <c r="D35" s="52">
        <f>Envoltória!C40</f>
        <v>0</v>
      </c>
      <c r="E35" s="53">
        <f>Envoltória!D40</f>
        <v>0</v>
      </c>
      <c r="F35" s="53" t="str">
        <f>IFERROR(VLOOKUP(Envoltória!F40,CB3E_Envoltória!$AF$11:$AG$15,2,FALSE),"")</f>
        <v/>
      </c>
      <c r="G35" s="53" t="str">
        <f>Envoltória!T40</f>
        <v/>
      </c>
      <c r="H35" s="56">
        <f>Envoltória!S40</f>
        <v>0</v>
      </c>
      <c r="I35" s="56">
        <f>IF(ISERROR(VLOOKUP(Envoltória!M40,Componentes!L:N,3,FALSE)),0,VLOOKUP(Envoltória!M40,Componentes!L:N,3,FALSE))</f>
        <v>0</v>
      </c>
      <c r="J35" s="56">
        <v>0.5</v>
      </c>
      <c r="K35" s="56" t="str">
        <f>Envoltória!U40</f>
        <v/>
      </c>
      <c r="L35" s="56">
        <f>IF(ISERROR(VLOOKUP(Envoltória!M40,Componentes!L:N,2,FALSE)),0,VLOOKUP(Envoltória!M40,Componentes!L:N,2,FALSE))</f>
        <v>0</v>
      </c>
      <c r="M35" s="56">
        <f>IF(ISERROR(VLOOKUP(Envoltória!L40,Componentes!G:J,4,FALSE)),0,VLOOKUP(Envoltória!L40,Componentes!G:J,4,FALSE))</f>
        <v>0</v>
      </c>
      <c r="N35" s="56">
        <f>IF(ISERROR(VLOOKUP(Envoltória!K40,Componentes!B:E,4,FALSE)),0,VLOOKUP(Envoltória!K40,Componentes!B:E,4,FALSE))</f>
        <v>0</v>
      </c>
      <c r="O35" s="54">
        <f>Envoltória!E40</f>
        <v>0</v>
      </c>
      <c r="P35" s="56">
        <f>Envoltória!N40/100</f>
        <v>0</v>
      </c>
      <c r="Q35" s="56">
        <f>Envoltória!Q40</f>
        <v>0</v>
      </c>
      <c r="R35" s="56">
        <f>Envoltória!P40</f>
        <v>0</v>
      </c>
      <c r="S35" s="56">
        <f>Envoltória!R40</f>
        <v>0</v>
      </c>
      <c r="T35" s="56" t="str">
        <f>Envoltória!V40</f>
        <v/>
      </c>
      <c r="U35" s="56" t="str">
        <f>IFERROR(VLOOKUP(Envoltória!I40,Aux_Lista!M:P,3,FALSE),"")</f>
        <v/>
      </c>
      <c r="V35" s="56" t="str">
        <f>IFERROR(VLOOKUP(Envoltória!I40,Aux_Lista!M:P,4,FALSE),"")</f>
        <v/>
      </c>
      <c r="W35" s="56" t="str">
        <f>IFERROR(VLOOKUP(Envoltória!J40,Aux_Lista!R:S,2,FALSE),"")</f>
        <v/>
      </c>
      <c r="X35" s="56">
        <f>IF(ISERROR(VLOOKUP(Envoltória!L40,Componentes!G:J,2,FALSE)),0,VLOOKUP(Envoltória!L40,Componentes!G:J,2,FALSE))</f>
        <v>0</v>
      </c>
      <c r="Y35" s="56">
        <f>IF(ISERROR(VLOOKUP(Envoltória!K40,Componentes!B:E,2,FALSE)),0,VLOOKUP(Envoltória!K40,Componentes!B:E,2,FALSE))</f>
        <v>0</v>
      </c>
      <c r="Z35" s="56">
        <f>IF(ISERROR(VLOOKUP(Envoltória!L40,Componentes!G:J,3,FALSE)),0,VLOOKUP(Envoltória!L40,Componentes!G:J,3,FALSE))</f>
        <v>0</v>
      </c>
      <c r="AA35" s="56">
        <f>IF(ISERROR(VLOOKUP(Envoltória!K40,Componentes!B:E,3,FALSE)),0,VLOOKUP(Envoltória!K40,Componentes!B:E,3,FALSE))</f>
        <v>0</v>
      </c>
      <c r="AB35" s="56" t="str">
        <f>IFERROR(VLOOKUP(Envoltória!I40,Aux_Lista!M:P,2,FALSE),"")</f>
        <v/>
      </c>
      <c r="AC35" s="55" t="str">
        <f>IFERROR(VLOOKUP(Envoltória!G40,CB3E_Envoltória!$AF$18:$AG$19,2,FALSE),"")</f>
        <v/>
      </c>
      <c r="AD35" s="371"/>
      <c r="AE35" s="1"/>
    </row>
    <row r="36" spans="1:31" s="32" customFormat="1" x14ac:dyDescent="0.25">
      <c r="A36" s="1">
        <v>26</v>
      </c>
      <c r="B36" s="50">
        <f>Envoltória!H41</f>
        <v>0</v>
      </c>
      <c r="C36" s="51">
        <f>Envoltória!B41</f>
        <v>0</v>
      </c>
      <c r="D36" s="52">
        <f>Envoltória!C41</f>
        <v>0</v>
      </c>
      <c r="E36" s="53">
        <f>Envoltória!D41</f>
        <v>0</v>
      </c>
      <c r="F36" s="53" t="str">
        <f>IFERROR(VLOOKUP(Envoltória!F41,CB3E_Envoltória!$AF$11:$AG$15,2,FALSE),"")</f>
        <v/>
      </c>
      <c r="G36" s="53" t="str">
        <f>Envoltória!T41</f>
        <v/>
      </c>
      <c r="H36" s="56">
        <f>Envoltória!S41</f>
        <v>0</v>
      </c>
      <c r="I36" s="56">
        <f>IF(ISERROR(VLOOKUP(Envoltória!M41,Componentes!L:N,3,FALSE)),0,VLOOKUP(Envoltória!M41,Componentes!L:N,3,FALSE))</f>
        <v>0</v>
      </c>
      <c r="J36" s="56">
        <v>0.5</v>
      </c>
      <c r="K36" s="56" t="str">
        <f>Envoltória!U41</f>
        <v/>
      </c>
      <c r="L36" s="56">
        <f>IF(ISERROR(VLOOKUP(Envoltória!M41,Componentes!L:N,2,FALSE)),0,VLOOKUP(Envoltória!M41,Componentes!L:N,2,FALSE))</f>
        <v>0</v>
      </c>
      <c r="M36" s="56">
        <f>IF(ISERROR(VLOOKUP(Envoltória!L41,Componentes!G:J,4,FALSE)),0,VLOOKUP(Envoltória!L41,Componentes!G:J,4,FALSE))</f>
        <v>0</v>
      </c>
      <c r="N36" s="56">
        <f>IF(ISERROR(VLOOKUP(Envoltória!K41,Componentes!B:E,4,FALSE)),0,VLOOKUP(Envoltória!K41,Componentes!B:E,4,FALSE))</f>
        <v>0</v>
      </c>
      <c r="O36" s="54">
        <f>Envoltória!E41</f>
        <v>0</v>
      </c>
      <c r="P36" s="56">
        <f>Envoltória!N41/100</f>
        <v>0</v>
      </c>
      <c r="Q36" s="56">
        <f>Envoltória!Q41</f>
        <v>0</v>
      </c>
      <c r="R36" s="56">
        <f>Envoltória!P41</f>
        <v>0</v>
      </c>
      <c r="S36" s="56">
        <f>Envoltória!R41</f>
        <v>0</v>
      </c>
      <c r="T36" s="56" t="str">
        <f>Envoltória!V41</f>
        <v/>
      </c>
      <c r="U36" s="56" t="str">
        <f>IFERROR(VLOOKUP(Envoltória!I41,Aux_Lista!M:P,3,FALSE),"")</f>
        <v/>
      </c>
      <c r="V36" s="56" t="str">
        <f>IFERROR(VLOOKUP(Envoltória!I41,Aux_Lista!M:P,4,FALSE),"")</f>
        <v/>
      </c>
      <c r="W36" s="56" t="str">
        <f>IFERROR(VLOOKUP(Envoltória!J41,Aux_Lista!R:S,2,FALSE),"")</f>
        <v/>
      </c>
      <c r="X36" s="56">
        <f>IF(ISERROR(VLOOKUP(Envoltória!L41,Componentes!G:J,2,FALSE)),0,VLOOKUP(Envoltória!L41,Componentes!G:J,2,FALSE))</f>
        <v>0</v>
      </c>
      <c r="Y36" s="56">
        <f>IF(ISERROR(VLOOKUP(Envoltória!K41,Componentes!B:E,2,FALSE)),0,VLOOKUP(Envoltória!K41,Componentes!B:E,2,FALSE))</f>
        <v>0</v>
      </c>
      <c r="Z36" s="56">
        <f>IF(ISERROR(VLOOKUP(Envoltória!L41,Componentes!G:J,3,FALSE)),0,VLOOKUP(Envoltória!L41,Componentes!G:J,3,FALSE))</f>
        <v>0</v>
      </c>
      <c r="AA36" s="56">
        <f>IF(ISERROR(VLOOKUP(Envoltória!K41,Componentes!B:E,3,FALSE)),0,VLOOKUP(Envoltória!K41,Componentes!B:E,3,FALSE))</f>
        <v>0</v>
      </c>
      <c r="AB36" s="56" t="str">
        <f>IFERROR(VLOOKUP(Envoltória!I41,Aux_Lista!M:P,2,FALSE),"")</f>
        <v/>
      </c>
      <c r="AC36" s="55" t="str">
        <f>IFERROR(VLOOKUP(Envoltória!G41,CB3E_Envoltória!$AF$18:$AG$19,2,FALSE),"")</f>
        <v/>
      </c>
      <c r="AD36" s="371"/>
      <c r="AE36" s="1"/>
    </row>
    <row r="37" spans="1:31" s="32" customFormat="1" x14ac:dyDescent="0.25">
      <c r="A37" s="1">
        <v>27</v>
      </c>
      <c r="B37" s="50">
        <f>Envoltória!H42</f>
        <v>0</v>
      </c>
      <c r="C37" s="51">
        <f>Envoltória!B42</f>
        <v>0</v>
      </c>
      <c r="D37" s="52">
        <f>Envoltória!C42</f>
        <v>0</v>
      </c>
      <c r="E37" s="53">
        <f>Envoltória!D42</f>
        <v>0</v>
      </c>
      <c r="F37" s="53" t="str">
        <f>IFERROR(VLOOKUP(Envoltória!F42,CB3E_Envoltória!$AF$11:$AG$15,2,FALSE),"")</f>
        <v/>
      </c>
      <c r="G37" s="53" t="str">
        <f>Envoltória!T42</f>
        <v/>
      </c>
      <c r="H37" s="56">
        <f>Envoltória!S42</f>
        <v>0</v>
      </c>
      <c r="I37" s="56">
        <f>IF(ISERROR(VLOOKUP(Envoltória!M42,Componentes!L:N,3,FALSE)),0,VLOOKUP(Envoltória!M42,Componentes!L:N,3,FALSE))</f>
        <v>0</v>
      </c>
      <c r="J37" s="56">
        <v>0.5</v>
      </c>
      <c r="K37" s="56" t="str">
        <f>Envoltória!U42</f>
        <v/>
      </c>
      <c r="L37" s="56">
        <f>IF(ISERROR(VLOOKUP(Envoltória!M42,Componentes!L:N,2,FALSE)),0,VLOOKUP(Envoltória!M42,Componentes!L:N,2,FALSE))</f>
        <v>0</v>
      </c>
      <c r="M37" s="56">
        <f>IF(ISERROR(VLOOKUP(Envoltória!L42,Componentes!G:J,4,FALSE)),0,VLOOKUP(Envoltória!L42,Componentes!G:J,4,FALSE))</f>
        <v>0</v>
      </c>
      <c r="N37" s="56">
        <f>IF(ISERROR(VLOOKUP(Envoltória!K42,Componentes!B:E,4,FALSE)),0,VLOOKUP(Envoltória!K42,Componentes!B:E,4,FALSE))</f>
        <v>0</v>
      </c>
      <c r="O37" s="54">
        <f>Envoltória!E42</f>
        <v>0</v>
      </c>
      <c r="P37" s="56">
        <f>Envoltória!N42/100</f>
        <v>0</v>
      </c>
      <c r="Q37" s="56">
        <f>Envoltória!Q42</f>
        <v>0</v>
      </c>
      <c r="R37" s="56">
        <f>Envoltória!P42</f>
        <v>0</v>
      </c>
      <c r="S37" s="56">
        <f>Envoltória!R42</f>
        <v>0</v>
      </c>
      <c r="T37" s="56" t="str">
        <f>Envoltória!V42</f>
        <v/>
      </c>
      <c r="U37" s="56" t="str">
        <f>IFERROR(VLOOKUP(Envoltória!I42,Aux_Lista!M:P,3,FALSE),"")</f>
        <v/>
      </c>
      <c r="V37" s="56" t="str">
        <f>IFERROR(VLOOKUP(Envoltória!I42,Aux_Lista!M:P,4,FALSE),"")</f>
        <v/>
      </c>
      <c r="W37" s="56" t="str">
        <f>IFERROR(VLOOKUP(Envoltória!J42,Aux_Lista!R:S,2,FALSE),"")</f>
        <v/>
      </c>
      <c r="X37" s="56">
        <f>IF(ISERROR(VLOOKUP(Envoltória!L42,Componentes!G:J,2,FALSE)),0,VLOOKUP(Envoltória!L42,Componentes!G:J,2,FALSE))</f>
        <v>0</v>
      </c>
      <c r="Y37" s="56">
        <f>IF(ISERROR(VLOOKUP(Envoltória!K42,Componentes!B:E,2,FALSE)),0,VLOOKUP(Envoltória!K42,Componentes!B:E,2,FALSE))</f>
        <v>0</v>
      </c>
      <c r="Z37" s="56">
        <f>IF(ISERROR(VLOOKUP(Envoltória!L42,Componentes!G:J,3,FALSE)),0,VLOOKUP(Envoltória!L42,Componentes!G:J,3,FALSE))</f>
        <v>0</v>
      </c>
      <c r="AA37" s="56">
        <f>IF(ISERROR(VLOOKUP(Envoltória!K42,Componentes!B:E,3,FALSE)),0,VLOOKUP(Envoltória!K42,Componentes!B:E,3,FALSE))</f>
        <v>0</v>
      </c>
      <c r="AB37" s="56" t="str">
        <f>IFERROR(VLOOKUP(Envoltória!I42,Aux_Lista!M:P,2,FALSE),"")</f>
        <v/>
      </c>
      <c r="AC37" s="55" t="str">
        <f>IFERROR(VLOOKUP(Envoltória!G42,CB3E_Envoltória!$AF$18:$AG$19,2,FALSE),"")</f>
        <v/>
      </c>
      <c r="AD37" s="371"/>
      <c r="AE37" s="1"/>
    </row>
    <row r="38" spans="1:31" s="32" customFormat="1" x14ac:dyDescent="0.25">
      <c r="A38" s="1">
        <v>28</v>
      </c>
      <c r="B38" s="50">
        <f>Envoltória!H43</f>
        <v>0</v>
      </c>
      <c r="C38" s="51">
        <f>Envoltória!B43</f>
        <v>0</v>
      </c>
      <c r="D38" s="52">
        <f>Envoltória!C43</f>
        <v>0</v>
      </c>
      <c r="E38" s="53">
        <f>Envoltória!D43</f>
        <v>0</v>
      </c>
      <c r="F38" s="53" t="str">
        <f>IFERROR(VLOOKUP(Envoltória!F43,CB3E_Envoltória!$AF$11:$AG$15,2,FALSE),"")</f>
        <v/>
      </c>
      <c r="G38" s="53" t="str">
        <f>Envoltória!T43</f>
        <v/>
      </c>
      <c r="H38" s="56">
        <f>Envoltória!S43</f>
        <v>0</v>
      </c>
      <c r="I38" s="56">
        <f>IF(ISERROR(VLOOKUP(Envoltória!M43,Componentes!L:N,3,FALSE)),0,VLOOKUP(Envoltória!M43,Componentes!L:N,3,FALSE))</f>
        <v>0</v>
      </c>
      <c r="J38" s="56">
        <v>0.5</v>
      </c>
      <c r="K38" s="56" t="str">
        <f>Envoltória!U43</f>
        <v/>
      </c>
      <c r="L38" s="56">
        <f>IF(ISERROR(VLOOKUP(Envoltória!M43,Componentes!L:N,2,FALSE)),0,VLOOKUP(Envoltória!M43,Componentes!L:N,2,FALSE))</f>
        <v>0</v>
      </c>
      <c r="M38" s="56">
        <f>IF(ISERROR(VLOOKUP(Envoltória!L43,Componentes!G:J,4,FALSE)),0,VLOOKUP(Envoltória!L43,Componentes!G:J,4,FALSE))</f>
        <v>0</v>
      </c>
      <c r="N38" s="56">
        <f>IF(ISERROR(VLOOKUP(Envoltória!K43,Componentes!B:E,4,FALSE)),0,VLOOKUP(Envoltória!K43,Componentes!B:E,4,FALSE))</f>
        <v>0</v>
      </c>
      <c r="O38" s="54">
        <f>Envoltória!E43</f>
        <v>0</v>
      </c>
      <c r="P38" s="56">
        <f>Envoltória!N43/100</f>
        <v>0</v>
      </c>
      <c r="Q38" s="56">
        <f>Envoltória!Q43</f>
        <v>0</v>
      </c>
      <c r="R38" s="56">
        <f>Envoltória!P43</f>
        <v>0</v>
      </c>
      <c r="S38" s="56">
        <f>Envoltória!R43</f>
        <v>0</v>
      </c>
      <c r="T38" s="56" t="str">
        <f>Envoltória!V43</f>
        <v/>
      </c>
      <c r="U38" s="56" t="str">
        <f>IFERROR(VLOOKUP(Envoltória!I43,Aux_Lista!M:P,3,FALSE),"")</f>
        <v/>
      </c>
      <c r="V38" s="56" t="str">
        <f>IFERROR(VLOOKUP(Envoltória!I43,Aux_Lista!M:P,4,FALSE),"")</f>
        <v/>
      </c>
      <c r="W38" s="56" t="str">
        <f>IFERROR(VLOOKUP(Envoltória!J43,Aux_Lista!R:S,2,FALSE),"")</f>
        <v/>
      </c>
      <c r="X38" s="56">
        <f>IF(ISERROR(VLOOKUP(Envoltória!L43,Componentes!G:J,2,FALSE)),0,VLOOKUP(Envoltória!L43,Componentes!G:J,2,FALSE))</f>
        <v>0</v>
      </c>
      <c r="Y38" s="56">
        <f>IF(ISERROR(VLOOKUP(Envoltória!K43,Componentes!B:E,2,FALSE)),0,VLOOKUP(Envoltória!K43,Componentes!B:E,2,FALSE))</f>
        <v>0</v>
      </c>
      <c r="Z38" s="56">
        <f>IF(ISERROR(VLOOKUP(Envoltória!L43,Componentes!G:J,3,FALSE)),0,VLOOKUP(Envoltória!L43,Componentes!G:J,3,FALSE))</f>
        <v>0</v>
      </c>
      <c r="AA38" s="56">
        <f>IF(ISERROR(VLOOKUP(Envoltória!K43,Componentes!B:E,3,FALSE)),0,VLOOKUP(Envoltória!K43,Componentes!B:E,3,FALSE))</f>
        <v>0</v>
      </c>
      <c r="AB38" s="56" t="str">
        <f>IFERROR(VLOOKUP(Envoltória!I43,Aux_Lista!M:P,2,FALSE),"")</f>
        <v/>
      </c>
      <c r="AC38" s="55" t="str">
        <f>IFERROR(VLOOKUP(Envoltória!G43,CB3E_Envoltória!$AF$18:$AG$19,2,FALSE),"")</f>
        <v/>
      </c>
      <c r="AD38" s="371"/>
      <c r="AE38" s="1"/>
    </row>
    <row r="39" spans="1:31" s="32" customFormat="1" x14ac:dyDescent="0.25">
      <c r="A39" s="1">
        <v>29</v>
      </c>
      <c r="B39" s="50">
        <f>Envoltória!H44</f>
        <v>0</v>
      </c>
      <c r="C39" s="51">
        <f>Envoltória!B44</f>
        <v>0</v>
      </c>
      <c r="D39" s="52">
        <f>Envoltória!C44</f>
        <v>0</v>
      </c>
      <c r="E39" s="53">
        <f>Envoltória!D44</f>
        <v>0</v>
      </c>
      <c r="F39" s="53" t="str">
        <f>IFERROR(VLOOKUP(Envoltória!F44,CB3E_Envoltória!$AF$11:$AG$15,2,FALSE),"")</f>
        <v/>
      </c>
      <c r="G39" s="53" t="str">
        <f>Envoltória!T44</f>
        <v/>
      </c>
      <c r="H39" s="56">
        <f>Envoltória!S44</f>
        <v>0</v>
      </c>
      <c r="I39" s="56">
        <f>IF(ISERROR(VLOOKUP(Envoltória!M44,Componentes!L:N,3,FALSE)),0,VLOOKUP(Envoltória!M44,Componentes!L:N,3,FALSE))</f>
        <v>0</v>
      </c>
      <c r="J39" s="56">
        <v>0.5</v>
      </c>
      <c r="K39" s="56" t="str">
        <f>Envoltória!U44</f>
        <v/>
      </c>
      <c r="L39" s="56">
        <f>IF(ISERROR(VLOOKUP(Envoltória!M44,Componentes!L:N,2,FALSE)),0,VLOOKUP(Envoltória!M44,Componentes!L:N,2,FALSE))</f>
        <v>0</v>
      </c>
      <c r="M39" s="56">
        <f>IF(ISERROR(VLOOKUP(Envoltória!L44,Componentes!G:J,4,FALSE)),0,VLOOKUP(Envoltória!L44,Componentes!G:J,4,FALSE))</f>
        <v>0</v>
      </c>
      <c r="N39" s="56">
        <f>IF(ISERROR(VLOOKUP(Envoltória!K44,Componentes!B:E,4,FALSE)),0,VLOOKUP(Envoltória!K44,Componentes!B:E,4,FALSE))</f>
        <v>0</v>
      </c>
      <c r="O39" s="54">
        <f>Envoltória!E44</f>
        <v>0</v>
      </c>
      <c r="P39" s="56">
        <f>Envoltória!N44/100</f>
        <v>0</v>
      </c>
      <c r="Q39" s="56">
        <f>Envoltória!Q44</f>
        <v>0</v>
      </c>
      <c r="R39" s="56">
        <f>Envoltória!P44</f>
        <v>0</v>
      </c>
      <c r="S39" s="56">
        <f>Envoltória!R44</f>
        <v>0</v>
      </c>
      <c r="T39" s="56" t="str">
        <f>Envoltória!V44</f>
        <v/>
      </c>
      <c r="U39" s="56" t="str">
        <f>IFERROR(VLOOKUP(Envoltória!I44,Aux_Lista!M:P,3,FALSE),"")</f>
        <v/>
      </c>
      <c r="V39" s="56" t="str">
        <f>IFERROR(VLOOKUP(Envoltória!I44,Aux_Lista!M:P,4,FALSE),"")</f>
        <v/>
      </c>
      <c r="W39" s="56" t="str">
        <f>IFERROR(VLOOKUP(Envoltória!J44,Aux_Lista!R:S,2,FALSE),"")</f>
        <v/>
      </c>
      <c r="X39" s="56">
        <f>IF(ISERROR(VLOOKUP(Envoltória!L44,Componentes!G:J,2,FALSE)),0,VLOOKUP(Envoltória!L44,Componentes!G:J,2,FALSE))</f>
        <v>0</v>
      </c>
      <c r="Y39" s="56">
        <f>IF(ISERROR(VLOOKUP(Envoltória!K44,Componentes!B:E,2,FALSE)),0,VLOOKUP(Envoltória!K44,Componentes!B:E,2,FALSE))</f>
        <v>0</v>
      </c>
      <c r="Z39" s="56">
        <f>IF(ISERROR(VLOOKUP(Envoltória!L44,Componentes!G:J,3,FALSE)),0,VLOOKUP(Envoltória!L44,Componentes!G:J,3,FALSE))</f>
        <v>0</v>
      </c>
      <c r="AA39" s="56">
        <f>IF(ISERROR(VLOOKUP(Envoltória!K44,Componentes!B:E,3,FALSE)),0,VLOOKUP(Envoltória!K44,Componentes!B:E,3,FALSE))</f>
        <v>0</v>
      </c>
      <c r="AB39" s="56" t="str">
        <f>IFERROR(VLOOKUP(Envoltória!I44,Aux_Lista!M:P,2,FALSE),"")</f>
        <v/>
      </c>
      <c r="AC39" s="55" t="str">
        <f>IFERROR(VLOOKUP(Envoltória!G44,CB3E_Envoltória!$AF$18:$AG$19,2,FALSE),"")</f>
        <v/>
      </c>
      <c r="AD39" s="371"/>
      <c r="AE39" s="1"/>
    </row>
    <row r="40" spans="1:31" s="32" customFormat="1" x14ac:dyDescent="0.25">
      <c r="A40" s="1">
        <v>30</v>
      </c>
      <c r="B40" s="50">
        <f>Envoltória!H45</f>
        <v>0</v>
      </c>
      <c r="C40" s="51">
        <f>Envoltória!B45</f>
        <v>0</v>
      </c>
      <c r="D40" s="52">
        <f>Envoltória!C45</f>
        <v>0</v>
      </c>
      <c r="E40" s="53">
        <f>Envoltória!D45</f>
        <v>0</v>
      </c>
      <c r="F40" s="53" t="str">
        <f>IFERROR(VLOOKUP(Envoltória!F45,CB3E_Envoltória!$AF$11:$AG$15,2,FALSE),"")</f>
        <v/>
      </c>
      <c r="G40" s="53" t="str">
        <f>Envoltória!T45</f>
        <v/>
      </c>
      <c r="H40" s="56">
        <f>Envoltória!S45</f>
        <v>0</v>
      </c>
      <c r="I40" s="56">
        <f>IF(ISERROR(VLOOKUP(Envoltória!M45,Componentes!L:N,3,FALSE)),0,VLOOKUP(Envoltória!M45,Componentes!L:N,3,FALSE))</f>
        <v>0</v>
      </c>
      <c r="J40" s="56">
        <v>0.5</v>
      </c>
      <c r="K40" s="56" t="str">
        <f>Envoltória!U45</f>
        <v/>
      </c>
      <c r="L40" s="56">
        <f>IF(ISERROR(VLOOKUP(Envoltória!M45,Componentes!L:N,2,FALSE)),0,VLOOKUP(Envoltória!M45,Componentes!L:N,2,FALSE))</f>
        <v>0</v>
      </c>
      <c r="M40" s="56">
        <f>IF(ISERROR(VLOOKUP(Envoltória!L45,Componentes!G:J,4,FALSE)),0,VLOOKUP(Envoltória!L45,Componentes!G:J,4,FALSE))</f>
        <v>0</v>
      </c>
      <c r="N40" s="56">
        <f>IF(ISERROR(VLOOKUP(Envoltória!K45,Componentes!B:E,4,FALSE)),0,VLOOKUP(Envoltória!K45,Componentes!B:E,4,FALSE))</f>
        <v>0</v>
      </c>
      <c r="O40" s="54">
        <f>Envoltória!E45</f>
        <v>0</v>
      </c>
      <c r="P40" s="56">
        <f>Envoltória!N45/100</f>
        <v>0</v>
      </c>
      <c r="Q40" s="56">
        <f>Envoltória!Q45</f>
        <v>0</v>
      </c>
      <c r="R40" s="56">
        <f>Envoltória!P45</f>
        <v>0</v>
      </c>
      <c r="S40" s="56">
        <f>Envoltória!R45</f>
        <v>0</v>
      </c>
      <c r="T40" s="56" t="str">
        <f>Envoltória!V45</f>
        <v/>
      </c>
      <c r="U40" s="56" t="str">
        <f>IFERROR(VLOOKUP(Envoltória!I45,Aux_Lista!M:P,3,FALSE),"")</f>
        <v/>
      </c>
      <c r="V40" s="56" t="str">
        <f>IFERROR(VLOOKUP(Envoltória!I45,Aux_Lista!M:P,4,FALSE),"")</f>
        <v/>
      </c>
      <c r="W40" s="56" t="str">
        <f>IFERROR(VLOOKUP(Envoltória!J45,Aux_Lista!R:S,2,FALSE),"")</f>
        <v/>
      </c>
      <c r="X40" s="56">
        <f>IF(ISERROR(VLOOKUP(Envoltória!L45,Componentes!G:J,2,FALSE)),0,VLOOKUP(Envoltória!L45,Componentes!G:J,2,FALSE))</f>
        <v>0</v>
      </c>
      <c r="Y40" s="56">
        <f>IF(ISERROR(VLOOKUP(Envoltória!K45,Componentes!B:E,2,FALSE)),0,VLOOKUP(Envoltória!K45,Componentes!B:E,2,FALSE))</f>
        <v>0</v>
      </c>
      <c r="Z40" s="56">
        <f>IF(ISERROR(VLOOKUP(Envoltória!L45,Componentes!G:J,3,FALSE)),0,VLOOKUP(Envoltória!L45,Componentes!G:J,3,FALSE))</f>
        <v>0</v>
      </c>
      <c r="AA40" s="56">
        <f>IF(ISERROR(VLOOKUP(Envoltória!K45,Componentes!B:E,3,FALSE)),0,VLOOKUP(Envoltória!K45,Componentes!B:E,3,FALSE))</f>
        <v>0</v>
      </c>
      <c r="AB40" s="56" t="str">
        <f>IFERROR(VLOOKUP(Envoltória!I45,Aux_Lista!M:P,2,FALSE),"")</f>
        <v/>
      </c>
      <c r="AC40" s="55" t="str">
        <f>IFERROR(VLOOKUP(Envoltória!G45,CB3E_Envoltória!$AF$18:$AG$19,2,FALSE),"")</f>
        <v/>
      </c>
      <c r="AD40" s="371"/>
      <c r="AE40" s="1"/>
    </row>
    <row r="41" spans="1:31" s="32" customFormat="1" x14ac:dyDescent="0.25">
      <c r="A41" s="1">
        <v>31</v>
      </c>
      <c r="B41" s="50">
        <f>Envoltória!H46</f>
        <v>0</v>
      </c>
      <c r="C41" s="51">
        <f>Envoltória!B46</f>
        <v>0</v>
      </c>
      <c r="D41" s="52">
        <f>Envoltória!C46</f>
        <v>0</v>
      </c>
      <c r="E41" s="53">
        <f>Envoltória!D46</f>
        <v>0</v>
      </c>
      <c r="F41" s="53" t="str">
        <f>IFERROR(VLOOKUP(Envoltória!F46,CB3E_Envoltória!$AF$11:$AG$15,2,FALSE),"")</f>
        <v/>
      </c>
      <c r="G41" s="53" t="str">
        <f>Envoltória!T46</f>
        <v/>
      </c>
      <c r="H41" s="56">
        <f>Envoltória!S46</f>
        <v>0</v>
      </c>
      <c r="I41" s="56">
        <f>IF(ISERROR(VLOOKUP(Envoltória!M46,Componentes!L:N,3,FALSE)),0,VLOOKUP(Envoltória!M46,Componentes!L:N,3,FALSE))</f>
        <v>0</v>
      </c>
      <c r="J41" s="56">
        <v>0.5</v>
      </c>
      <c r="K41" s="56" t="str">
        <f>Envoltória!U46</f>
        <v/>
      </c>
      <c r="L41" s="56">
        <f>IF(ISERROR(VLOOKUP(Envoltória!M46,Componentes!L:N,2,FALSE)),0,VLOOKUP(Envoltória!M46,Componentes!L:N,2,FALSE))</f>
        <v>0</v>
      </c>
      <c r="M41" s="56">
        <f>IF(ISERROR(VLOOKUP(Envoltória!L46,Componentes!G:J,4,FALSE)),0,VLOOKUP(Envoltória!L46,Componentes!G:J,4,FALSE))</f>
        <v>0</v>
      </c>
      <c r="N41" s="56">
        <f>IF(ISERROR(VLOOKUP(Envoltória!K46,Componentes!B:E,4,FALSE)),0,VLOOKUP(Envoltória!K46,Componentes!B:E,4,FALSE))</f>
        <v>0</v>
      </c>
      <c r="O41" s="54">
        <f>Envoltória!E46</f>
        <v>0</v>
      </c>
      <c r="P41" s="56">
        <f>Envoltória!N46/100</f>
        <v>0</v>
      </c>
      <c r="Q41" s="56">
        <f>Envoltória!Q46</f>
        <v>0</v>
      </c>
      <c r="R41" s="56">
        <f>Envoltória!P46</f>
        <v>0</v>
      </c>
      <c r="S41" s="56">
        <f>Envoltória!R46</f>
        <v>0</v>
      </c>
      <c r="T41" s="56" t="str">
        <f>Envoltória!V46</f>
        <v/>
      </c>
      <c r="U41" s="56" t="str">
        <f>IFERROR(VLOOKUP(Envoltória!I46,Aux_Lista!M:P,3,FALSE),"")</f>
        <v/>
      </c>
      <c r="V41" s="56" t="str">
        <f>IFERROR(VLOOKUP(Envoltória!I46,Aux_Lista!M:P,4,FALSE),"")</f>
        <v/>
      </c>
      <c r="W41" s="56" t="str">
        <f>IFERROR(VLOOKUP(Envoltória!J46,Aux_Lista!R:S,2,FALSE),"")</f>
        <v/>
      </c>
      <c r="X41" s="56">
        <f>IF(ISERROR(VLOOKUP(Envoltória!L46,Componentes!G:J,2,FALSE)),0,VLOOKUP(Envoltória!L46,Componentes!G:J,2,FALSE))</f>
        <v>0</v>
      </c>
      <c r="Y41" s="56">
        <f>IF(ISERROR(VLOOKUP(Envoltória!K46,Componentes!B:E,2,FALSE)),0,VLOOKUP(Envoltória!K46,Componentes!B:E,2,FALSE))</f>
        <v>0</v>
      </c>
      <c r="Z41" s="56">
        <f>IF(ISERROR(VLOOKUP(Envoltória!L46,Componentes!G:J,3,FALSE)),0,VLOOKUP(Envoltória!L46,Componentes!G:J,3,FALSE))</f>
        <v>0</v>
      </c>
      <c r="AA41" s="56">
        <f>IF(ISERROR(VLOOKUP(Envoltória!K46,Componentes!B:E,3,FALSE)),0,VLOOKUP(Envoltória!K46,Componentes!B:E,3,FALSE))</f>
        <v>0</v>
      </c>
      <c r="AB41" s="56" t="str">
        <f>IFERROR(VLOOKUP(Envoltória!I46,Aux_Lista!M:P,2,FALSE),"")</f>
        <v/>
      </c>
      <c r="AC41" s="55" t="str">
        <f>IFERROR(VLOOKUP(Envoltória!G46,CB3E_Envoltória!$AF$18:$AG$19,2,FALSE),"")</f>
        <v/>
      </c>
      <c r="AD41" s="371"/>
      <c r="AE41" s="1"/>
    </row>
    <row r="42" spans="1:31" s="32" customFormat="1" x14ac:dyDescent="0.25">
      <c r="A42" s="1">
        <v>32</v>
      </c>
      <c r="B42" s="50">
        <f>Envoltória!H47</f>
        <v>0</v>
      </c>
      <c r="C42" s="51">
        <f>Envoltória!B47</f>
        <v>0</v>
      </c>
      <c r="D42" s="52">
        <f>Envoltória!C47</f>
        <v>0</v>
      </c>
      <c r="E42" s="53">
        <f>Envoltória!D47</f>
        <v>0</v>
      </c>
      <c r="F42" s="53" t="str">
        <f>IFERROR(VLOOKUP(Envoltória!F47,CB3E_Envoltória!$AF$11:$AG$15,2,FALSE),"")</f>
        <v/>
      </c>
      <c r="G42" s="53" t="str">
        <f>Envoltória!T47</f>
        <v/>
      </c>
      <c r="H42" s="56">
        <f>Envoltória!S47</f>
        <v>0</v>
      </c>
      <c r="I42" s="56">
        <f>IF(ISERROR(VLOOKUP(Envoltória!M47,Componentes!L:N,3,FALSE)),0,VLOOKUP(Envoltória!M47,Componentes!L:N,3,FALSE))</f>
        <v>0</v>
      </c>
      <c r="J42" s="56">
        <v>0.5</v>
      </c>
      <c r="K42" s="56" t="str">
        <f>Envoltória!U47</f>
        <v/>
      </c>
      <c r="L42" s="56">
        <f>IF(ISERROR(VLOOKUP(Envoltória!M47,Componentes!L:N,2,FALSE)),0,VLOOKUP(Envoltória!M47,Componentes!L:N,2,FALSE))</f>
        <v>0</v>
      </c>
      <c r="M42" s="56">
        <f>IF(ISERROR(VLOOKUP(Envoltória!L47,Componentes!G:J,4,FALSE)),0,VLOOKUP(Envoltória!L47,Componentes!G:J,4,FALSE))</f>
        <v>0</v>
      </c>
      <c r="N42" s="56">
        <f>IF(ISERROR(VLOOKUP(Envoltória!K47,Componentes!B:E,4,FALSE)),0,VLOOKUP(Envoltória!K47,Componentes!B:E,4,FALSE))</f>
        <v>0</v>
      </c>
      <c r="O42" s="54">
        <f>Envoltória!E47</f>
        <v>0</v>
      </c>
      <c r="P42" s="56">
        <f>Envoltória!N47/100</f>
        <v>0</v>
      </c>
      <c r="Q42" s="56">
        <f>Envoltória!Q47</f>
        <v>0</v>
      </c>
      <c r="R42" s="56">
        <f>Envoltória!P47</f>
        <v>0</v>
      </c>
      <c r="S42" s="56">
        <f>Envoltória!R47</f>
        <v>0</v>
      </c>
      <c r="T42" s="56" t="str">
        <f>Envoltória!V47</f>
        <v/>
      </c>
      <c r="U42" s="56" t="str">
        <f>IFERROR(VLOOKUP(Envoltória!I47,Aux_Lista!M:P,3,FALSE),"")</f>
        <v/>
      </c>
      <c r="V42" s="56" t="str">
        <f>IFERROR(VLOOKUP(Envoltória!I47,Aux_Lista!M:P,4,FALSE),"")</f>
        <v/>
      </c>
      <c r="W42" s="56" t="str">
        <f>IFERROR(VLOOKUP(Envoltória!J47,Aux_Lista!R:S,2,FALSE),"")</f>
        <v/>
      </c>
      <c r="X42" s="56">
        <f>IF(ISERROR(VLOOKUP(Envoltória!L47,Componentes!G:J,2,FALSE)),0,VLOOKUP(Envoltória!L47,Componentes!G:J,2,FALSE))</f>
        <v>0</v>
      </c>
      <c r="Y42" s="56">
        <f>IF(ISERROR(VLOOKUP(Envoltória!K47,Componentes!B:E,2,FALSE)),0,VLOOKUP(Envoltória!K47,Componentes!B:E,2,FALSE))</f>
        <v>0</v>
      </c>
      <c r="Z42" s="56">
        <f>IF(ISERROR(VLOOKUP(Envoltória!L47,Componentes!G:J,3,FALSE)),0,VLOOKUP(Envoltória!L47,Componentes!G:J,3,FALSE))</f>
        <v>0</v>
      </c>
      <c r="AA42" s="56">
        <f>IF(ISERROR(VLOOKUP(Envoltória!K47,Componentes!B:E,3,FALSE)),0,VLOOKUP(Envoltória!K47,Componentes!B:E,3,FALSE))</f>
        <v>0</v>
      </c>
      <c r="AB42" s="56" t="str">
        <f>IFERROR(VLOOKUP(Envoltória!I47,Aux_Lista!M:P,2,FALSE),"")</f>
        <v/>
      </c>
      <c r="AC42" s="55" t="str">
        <f>IFERROR(VLOOKUP(Envoltória!G47,CB3E_Envoltória!$AF$18:$AG$19,2,FALSE),"")</f>
        <v/>
      </c>
      <c r="AD42" s="371"/>
      <c r="AE42" s="1"/>
    </row>
    <row r="43" spans="1:31" s="32" customFormat="1" x14ac:dyDescent="0.25">
      <c r="A43" s="1">
        <v>33</v>
      </c>
      <c r="B43" s="50">
        <f>Envoltória!H48</f>
        <v>0</v>
      </c>
      <c r="C43" s="51">
        <f>Envoltória!B48</f>
        <v>0</v>
      </c>
      <c r="D43" s="52">
        <f>Envoltória!C48</f>
        <v>0</v>
      </c>
      <c r="E43" s="53">
        <f>Envoltória!D48</f>
        <v>0</v>
      </c>
      <c r="F43" s="53" t="str">
        <f>IFERROR(VLOOKUP(Envoltória!F48,CB3E_Envoltória!$AF$11:$AG$15,2,FALSE),"")</f>
        <v/>
      </c>
      <c r="G43" s="53" t="str">
        <f>Envoltória!T48</f>
        <v/>
      </c>
      <c r="H43" s="56">
        <f>Envoltória!S48</f>
        <v>0</v>
      </c>
      <c r="I43" s="56">
        <f>IF(ISERROR(VLOOKUP(Envoltória!M48,Componentes!L:N,3,FALSE)),0,VLOOKUP(Envoltória!M48,Componentes!L:N,3,FALSE))</f>
        <v>0</v>
      </c>
      <c r="J43" s="56">
        <v>0.5</v>
      </c>
      <c r="K43" s="56" t="str">
        <f>Envoltória!U48</f>
        <v/>
      </c>
      <c r="L43" s="56">
        <f>IF(ISERROR(VLOOKUP(Envoltória!M48,Componentes!L:N,2,FALSE)),0,VLOOKUP(Envoltória!M48,Componentes!L:N,2,FALSE))</f>
        <v>0</v>
      </c>
      <c r="M43" s="56">
        <f>IF(ISERROR(VLOOKUP(Envoltória!L48,Componentes!G:J,4,FALSE)),0,VLOOKUP(Envoltória!L48,Componentes!G:J,4,FALSE))</f>
        <v>0</v>
      </c>
      <c r="N43" s="56">
        <f>IF(ISERROR(VLOOKUP(Envoltória!K48,Componentes!B:E,4,FALSE)),0,VLOOKUP(Envoltória!K48,Componentes!B:E,4,FALSE))</f>
        <v>0</v>
      </c>
      <c r="O43" s="54">
        <f>Envoltória!E48</f>
        <v>0</v>
      </c>
      <c r="P43" s="56">
        <f>Envoltória!N48/100</f>
        <v>0</v>
      </c>
      <c r="Q43" s="56">
        <f>Envoltória!Q48</f>
        <v>0</v>
      </c>
      <c r="R43" s="56">
        <f>Envoltória!P48</f>
        <v>0</v>
      </c>
      <c r="S43" s="56">
        <f>Envoltória!R48</f>
        <v>0</v>
      </c>
      <c r="T43" s="56" t="str">
        <f>Envoltória!V48</f>
        <v/>
      </c>
      <c r="U43" s="56" t="str">
        <f>IFERROR(VLOOKUP(Envoltória!I48,Aux_Lista!M:P,3,FALSE),"")</f>
        <v/>
      </c>
      <c r="V43" s="56" t="str">
        <f>IFERROR(VLOOKUP(Envoltória!I48,Aux_Lista!M:P,4,FALSE),"")</f>
        <v/>
      </c>
      <c r="W43" s="56" t="str">
        <f>IFERROR(VLOOKUP(Envoltória!J48,Aux_Lista!R:S,2,FALSE),"")</f>
        <v/>
      </c>
      <c r="X43" s="56">
        <f>IF(ISERROR(VLOOKUP(Envoltória!L48,Componentes!G:J,2,FALSE)),0,VLOOKUP(Envoltória!L48,Componentes!G:J,2,FALSE))</f>
        <v>0</v>
      </c>
      <c r="Y43" s="56">
        <f>IF(ISERROR(VLOOKUP(Envoltória!K48,Componentes!B:E,2,FALSE)),0,VLOOKUP(Envoltória!K48,Componentes!B:E,2,FALSE))</f>
        <v>0</v>
      </c>
      <c r="Z43" s="56">
        <f>IF(ISERROR(VLOOKUP(Envoltória!L48,Componentes!G:J,3,FALSE)),0,VLOOKUP(Envoltória!L48,Componentes!G:J,3,FALSE))</f>
        <v>0</v>
      </c>
      <c r="AA43" s="56">
        <f>IF(ISERROR(VLOOKUP(Envoltória!K48,Componentes!B:E,3,FALSE)),0,VLOOKUP(Envoltória!K48,Componentes!B:E,3,FALSE))</f>
        <v>0</v>
      </c>
      <c r="AB43" s="56" t="str">
        <f>IFERROR(VLOOKUP(Envoltória!I48,Aux_Lista!M:P,2,FALSE),"")</f>
        <v/>
      </c>
      <c r="AC43" s="55" t="str">
        <f>IFERROR(VLOOKUP(Envoltória!G48,CB3E_Envoltória!$AF$18:$AG$19,2,FALSE),"")</f>
        <v/>
      </c>
      <c r="AD43" s="371"/>
      <c r="AE43" s="1"/>
    </row>
    <row r="44" spans="1:31" s="32" customFormat="1" x14ac:dyDescent="0.25">
      <c r="A44" s="1">
        <v>34</v>
      </c>
      <c r="B44" s="50">
        <f>Envoltória!H49</f>
        <v>0</v>
      </c>
      <c r="C44" s="51">
        <f>Envoltória!B49</f>
        <v>0</v>
      </c>
      <c r="D44" s="52">
        <f>Envoltória!C49</f>
        <v>0</v>
      </c>
      <c r="E44" s="53">
        <f>Envoltória!D49</f>
        <v>0</v>
      </c>
      <c r="F44" s="53" t="str">
        <f>IFERROR(VLOOKUP(Envoltória!F49,CB3E_Envoltória!$AF$11:$AG$15,2,FALSE),"")</f>
        <v/>
      </c>
      <c r="G44" s="53" t="str">
        <f>Envoltória!T49</f>
        <v/>
      </c>
      <c r="H44" s="56">
        <f>Envoltória!S49</f>
        <v>0</v>
      </c>
      <c r="I44" s="56">
        <f>IF(ISERROR(VLOOKUP(Envoltória!M49,Componentes!L:N,3,FALSE)),0,VLOOKUP(Envoltória!M49,Componentes!L:N,3,FALSE))</f>
        <v>0</v>
      </c>
      <c r="J44" s="56">
        <v>0.5</v>
      </c>
      <c r="K44" s="56" t="str">
        <f>Envoltória!U49</f>
        <v/>
      </c>
      <c r="L44" s="56">
        <f>IF(ISERROR(VLOOKUP(Envoltória!M49,Componentes!L:N,2,FALSE)),0,VLOOKUP(Envoltória!M49,Componentes!L:N,2,FALSE))</f>
        <v>0</v>
      </c>
      <c r="M44" s="56">
        <f>IF(ISERROR(VLOOKUP(Envoltória!L49,Componentes!G:J,4,FALSE)),0,VLOOKUP(Envoltória!L49,Componentes!G:J,4,FALSE))</f>
        <v>0</v>
      </c>
      <c r="N44" s="56">
        <f>IF(ISERROR(VLOOKUP(Envoltória!K49,Componentes!B:E,4,FALSE)),0,VLOOKUP(Envoltória!K49,Componentes!B:E,4,FALSE))</f>
        <v>0</v>
      </c>
      <c r="O44" s="54">
        <f>Envoltória!E49</f>
        <v>0</v>
      </c>
      <c r="P44" s="56">
        <f>Envoltória!N49/100</f>
        <v>0</v>
      </c>
      <c r="Q44" s="56">
        <f>Envoltória!Q49</f>
        <v>0</v>
      </c>
      <c r="R44" s="56">
        <f>Envoltória!P49</f>
        <v>0</v>
      </c>
      <c r="S44" s="56">
        <f>Envoltória!R49</f>
        <v>0</v>
      </c>
      <c r="T44" s="56" t="str">
        <f>Envoltória!V49</f>
        <v/>
      </c>
      <c r="U44" s="56" t="str">
        <f>IFERROR(VLOOKUP(Envoltória!I49,Aux_Lista!M:P,3,FALSE),"")</f>
        <v/>
      </c>
      <c r="V44" s="56" t="str">
        <f>IFERROR(VLOOKUP(Envoltória!I49,Aux_Lista!M:P,4,FALSE),"")</f>
        <v/>
      </c>
      <c r="W44" s="56" t="str">
        <f>IFERROR(VLOOKUP(Envoltória!J49,Aux_Lista!R:S,2,FALSE),"")</f>
        <v/>
      </c>
      <c r="X44" s="56">
        <f>IF(ISERROR(VLOOKUP(Envoltória!L49,Componentes!G:J,2,FALSE)),0,VLOOKUP(Envoltória!L49,Componentes!G:J,2,FALSE))</f>
        <v>0</v>
      </c>
      <c r="Y44" s="56">
        <f>IF(ISERROR(VLOOKUP(Envoltória!K49,Componentes!B:E,2,FALSE)),0,VLOOKUP(Envoltória!K49,Componentes!B:E,2,FALSE))</f>
        <v>0</v>
      </c>
      <c r="Z44" s="56">
        <f>IF(ISERROR(VLOOKUP(Envoltória!L49,Componentes!G:J,3,FALSE)),0,VLOOKUP(Envoltória!L49,Componentes!G:J,3,FALSE))</f>
        <v>0</v>
      </c>
      <c r="AA44" s="56">
        <f>IF(ISERROR(VLOOKUP(Envoltória!K49,Componentes!B:E,3,FALSE)),0,VLOOKUP(Envoltória!K49,Componentes!B:E,3,FALSE))</f>
        <v>0</v>
      </c>
      <c r="AB44" s="56" t="str">
        <f>IFERROR(VLOOKUP(Envoltória!I49,Aux_Lista!M:P,2,FALSE),"")</f>
        <v/>
      </c>
      <c r="AC44" s="55" t="str">
        <f>IFERROR(VLOOKUP(Envoltória!G49,CB3E_Envoltória!$AF$18:$AG$19,2,FALSE),"")</f>
        <v/>
      </c>
      <c r="AD44" s="371"/>
      <c r="AE44" s="1"/>
    </row>
    <row r="45" spans="1:31" s="32" customFormat="1" x14ac:dyDescent="0.25">
      <c r="A45" s="1">
        <v>35</v>
      </c>
      <c r="B45" s="50">
        <f>Envoltória!H50</f>
        <v>0</v>
      </c>
      <c r="C45" s="51">
        <f>Envoltória!B50</f>
        <v>0</v>
      </c>
      <c r="D45" s="52">
        <f>Envoltória!C50</f>
        <v>0</v>
      </c>
      <c r="E45" s="53">
        <f>Envoltória!D50</f>
        <v>0</v>
      </c>
      <c r="F45" s="53" t="str">
        <f>IFERROR(VLOOKUP(Envoltória!F50,CB3E_Envoltória!$AF$11:$AG$15,2,FALSE),"")</f>
        <v/>
      </c>
      <c r="G45" s="53" t="str">
        <f>Envoltória!T50</f>
        <v/>
      </c>
      <c r="H45" s="56">
        <f>Envoltória!S50</f>
        <v>0</v>
      </c>
      <c r="I45" s="56">
        <f>IF(ISERROR(VLOOKUP(Envoltória!M50,Componentes!L:N,3,FALSE)),0,VLOOKUP(Envoltória!M50,Componentes!L:N,3,FALSE))</f>
        <v>0</v>
      </c>
      <c r="J45" s="56">
        <v>0.5</v>
      </c>
      <c r="K45" s="56" t="str">
        <f>Envoltória!U50</f>
        <v/>
      </c>
      <c r="L45" s="56">
        <f>IF(ISERROR(VLOOKUP(Envoltória!M50,Componentes!L:N,2,FALSE)),0,VLOOKUP(Envoltória!M50,Componentes!L:N,2,FALSE))</f>
        <v>0</v>
      </c>
      <c r="M45" s="56">
        <f>IF(ISERROR(VLOOKUP(Envoltória!L50,Componentes!G:J,4,FALSE)),0,VLOOKUP(Envoltória!L50,Componentes!G:J,4,FALSE))</f>
        <v>0</v>
      </c>
      <c r="N45" s="56">
        <f>IF(ISERROR(VLOOKUP(Envoltória!K50,Componentes!B:E,4,FALSE)),0,VLOOKUP(Envoltória!K50,Componentes!B:E,4,FALSE))</f>
        <v>0</v>
      </c>
      <c r="O45" s="54">
        <f>Envoltória!E50</f>
        <v>0</v>
      </c>
      <c r="P45" s="56">
        <f>Envoltória!N50/100</f>
        <v>0</v>
      </c>
      <c r="Q45" s="56">
        <f>Envoltória!Q50</f>
        <v>0</v>
      </c>
      <c r="R45" s="56">
        <f>Envoltória!P50</f>
        <v>0</v>
      </c>
      <c r="S45" s="56">
        <f>Envoltória!R50</f>
        <v>0</v>
      </c>
      <c r="T45" s="56" t="str">
        <f>Envoltória!V50</f>
        <v/>
      </c>
      <c r="U45" s="56" t="str">
        <f>IFERROR(VLOOKUP(Envoltória!I50,Aux_Lista!M:P,3,FALSE),"")</f>
        <v/>
      </c>
      <c r="V45" s="56" t="str">
        <f>IFERROR(VLOOKUP(Envoltória!I50,Aux_Lista!M:P,4,FALSE),"")</f>
        <v/>
      </c>
      <c r="W45" s="56" t="str">
        <f>IFERROR(VLOOKUP(Envoltória!J50,Aux_Lista!R:S,2,FALSE),"")</f>
        <v/>
      </c>
      <c r="X45" s="56">
        <f>IF(ISERROR(VLOOKUP(Envoltória!L50,Componentes!G:J,2,FALSE)),0,VLOOKUP(Envoltória!L50,Componentes!G:J,2,FALSE))</f>
        <v>0</v>
      </c>
      <c r="Y45" s="56">
        <f>IF(ISERROR(VLOOKUP(Envoltória!K50,Componentes!B:E,2,FALSE)),0,VLOOKUP(Envoltória!K50,Componentes!B:E,2,FALSE))</f>
        <v>0</v>
      </c>
      <c r="Z45" s="56">
        <f>IF(ISERROR(VLOOKUP(Envoltória!L50,Componentes!G:J,3,FALSE)),0,VLOOKUP(Envoltória!L50,Componentes!G:J,3,FALSE))</f>
        <v>0</v>
      </c>
      <c r="AA45" s="56">
        <f>IF(ISERROR(VLOOKUP(Envoltória!K50,Componentes!B:E,3,FALSE)),0,VLOOKUP(Envoltória!K50,Componentes!B:E,3,FALSE))</f>
        <v>0</v>
      </c>
      <c r="AB45" s="56" t="str">
        <f>IFERROR(VLOOKUP(Envoltória!I50,Aux_Lista!M:P,2,FALSE),"")</f>
        <v/>
      </c>
      <c r="AC45" s="55" t="str">
        <f>IFERROR(VLOOKUP(Envoltória!G50,CB3E_Envoltória!$AF$18:$AG$19,2,FALSE),"")</f>
        <v/>
      </c>
      <c r="AD45" s="371"/>
      <c r="AE45" s="1"/>
    </row>
    <row r="46" spans="1:31" s="32" customFormat="1" x14ac:dyDescent="0.25">
      <c r="A46" s="1">
        <v>36</v>
      </c>
      <c r="B46" s="50">
        <f>Envoltória!H51</f>
        <v>0</v>
      </c>
      <c r="C46" s="51">
        <f>Envoltória!B51</f>
        <v>0</v>
      </c>
      <c r="D46" s="52">
        <f>Envoltória!C51</f>
        <v>0</v>
      </c>
      <c r="E46" s="53">
        <f>Envoltória!D51</f>
        <v>0</v>
      </c>
      <c r="F46" s="53" t="str">
        <f>IFERROR(VLOOKUP(Envoltória!F51,CB3E_Envoltória!$AF$11:$AG$15,2,FALSE),"")</f>
        <v/>
      </c>
      <c r="G46" s="53" t="str">
        <f>Envoltória!T51</f>
        <v/>
      </c>
      <c r="H46" s="56">
        <f>Envoltória!S51</f>
        <v>0</v>
      </c>
      <c r="I46" s="56">
        <f>IF(ISERROR(VLOOKUP(Envoltória!M51,Componentes!L:N,3,FALSE)),0,VLOOKUP(Envoltória!M51,Componentes!L:N,3,FALSE))</f>
        <v>0</v>
      </c>
      <c r="J46" s="56">
        <v>0.5</v>
      </c>
      <c r="K46" s="56" t="str">
        <f>Envoltória!U51</f>
        <v/>
      </c>
      <c r="L46" s="56">
        <f>IF(ISERROR(VLOOKUP(Envoltória!M51,Componentes!L:N,2,FALSE)),0,VLOOKUP(Envoltória!M51,Componentes!L:N,2,FALSE))</f>
        <v>0</v>
      </c>
      <c r="M46" s="56">
        <f>IF(ISERROR(VLOOKUP(Envoltória!L51,Componentes!G:J,4,FALSE)),0,VLOOKUP(Envoltória!L51,Componentes!G:J,4,FALSE))</f>
        <v>0</v>
      </c>
      <c r="N46" s="56">
        <f>IF(ISERROR(VLOOKUP(Envoltória!K51,Componentes!B:E,4,FALSE)),0,VLOOKUP(Envoltória!K51,Componentes!B:E,4,FALSE))</f>
        <v>0</v>
      </c>
      <c r="O46" s="54">
        <f>Envoltória!E51</f>
        <v>0</v>
      </c>
      <c r="P46" s="56">
        <f>Envoltória!N51/100</f>
        <v>0</v>
      </c>
      <c r="Q46" s="56">
        <f>Envoltória!Q51</f>
        <v>0</v>
      </c>
      <c r="R46" s="56">
        <f>Envoltória!P51</f>
        <v>0</v>
      </c>
      <c r="S46" s="56">
        <f>Envoltória!R51</f>
        <v>0</v>
      </c>
      <c r="T46" s="56" t="str">
        <f>Envoltória!V51</f>
        <v/>
      </c>
      <c r="U46" s="56" t="str">
        <f>IFERROR(VLOOKUP(Envoltória!I51,Aux_Lista!M:P,3,FALSE),"")</f>
        <v/>
      </c>
      <c r="V46" s="56" t="str">
        <f>IFERROR(VLOOKUP(Envoltória!I51,Aux_Lista!M:P,4,FALSE),"")</f>
        <v/>
      </c>
      <c r="W46" s="56" t="str">
        <f>IFERROR(VLOOKUP(Envoltória!J51,Aux_Lista!R:S,2,FALSE),"")</f>
        <v/>
      </c>
      <c r="X46" s="56">
        <f>IF(ISERROR(VLOOKUP(Envoltória!L51,Componentes!G:J,2,FALSE)),0,VLOOKUP(Envoltória!L51,Componentes!G:J,2,FALSE))</f>
        <v>0</v>
      </c>
      <c r="Y46" s="56">
        <f>IF(ISERROR(VLOOKUP(Envoltória!K51,Componentes!B:E,2,FALSE)),0,VLOOKUP(Envoltória!K51,Componentes!B:E,2,FALSE))</f>
        <v>0</v>
      </c>
      <c r="Z46" s="56">
        <f>IF(ISERROR(VLOOKUP(Envoltória!L51,Componentes!G:J,3,FALSE)),0,VLOOKUP(Envoltória!L51,Componentes!G:J,3,FALSE))</f>
        <v>0</v>
      </c>
      <c r="AA46" s="56">
        <f>IF(ISERROR(VLOOKUP(Envoltória!K51,Componentes!B:E,3,FALSE)),0,VLOOKUP(Envoltória!K51,Componentes!B:E,3,FALSE))</f>
        <v>0</v>
      </c>
      <c r="AB46" s="56" t="str">
        <f>IFERROR(VLOOKUP(Envoltória!I51,Aux_Lista!M:P,2,FALSE),"")</f>
        <v/>
      </c>
      <c r="AC46" s="55" t="str">
        <f>IFERROR(VLOOKUP(Envoltória!G51,CB3E_Envoltória!$AF$18:$AG$19,2,FALSE),"")</f>
        <v/>
      </c>
      <c r="AD46" s="371"/>
      <c r="AE46" s="1"/>
    </row>
    <row r="47" spans="1:31" s="32" customFormat="1" x14ac:dyDescent="0.25">
      <c r="A47" s="1">
        <v>37</v>
      </c>
      <c r="B47" s="50">
        <f>Envoltória!H52</f>
        <v>0</v>
      </c>
      <c r="C47" s="51">
        <f>Envoltória!B52</f>
        <v>0</v>
      </c>
      <c r="D47" s="52">
        <f>Envoltória!C52</f>
        <v>0</v>
      </c>
      <c r="E47" s="53">
        <f>Envoltória!D52</f>
        <v>0</v>
      </c>
      <c r="F47" s="53" t="str">
        <f>IFERROR(VLOOKUP(Envoltória!F52,CB3E_Envoltória!$AF$11:$AG$15,2,FALSE),"")</f>
        <v/>
      </c>
      <c r="G47" s="53" t="str">
        <f>Envoltória!T52</f>
        <v/>
      </c>
      <c r="H47" s="56">
        <f>Envoltória!S52</f>
        <v>0</v>
      </c>
      <c r="I47" s="56">
        <f>IF(ISERROR(VLOOKUP(Envoltória!M52,Componentes!L:N,3,FALSE)),0,VLOOKUP(Envoltória!M52,Componentes!L:N,3,FALSE))</f>
        <v>0</v>
      </c>
      <c r="J47" s="56">
        <v>0.5</v>
      </c>
      <c r="K47" s="56" t="str">
        <f>Envoltória!U52</f>
        <v/>
      </c>
      <c r="L47" s="56">
        <f>IF(ISERROR(VLOOKUP(Envoltória!M52,Componentes!L:N,2,FALSE)),0,VLOOKUP(Envoltória!M52,Componentes!L:N,2,FALSE))</f>
        <v>0</v>
      </c>
      <c r="M47" s="56">
        <f>IF(ISERROR(VLOOKUP(Envoltória!L52,Componentes!G:J,4,FALSE)),0,VLOOKUP(Envoltória!L52,Componentes!G:J,4,FALSE))</f>
        <v>0</v>
      </c>
      <c r="N47" s="56">
        <f>IF(ISERROR(VLOOKUP(Envoltória!K52,Componentes!B:E,4,FALSE)),0,VLOOKUP(Envoltória!K52,Componentes!B:E,4,FALSE))</f>
        <v>0</v>
      </c>
      <c r="O47" s="54">
        <f>Envoltória!E52</f>
        <v>0</v>
      </c>
      <c r="P47" s="56">
        <f>Envoltória!N52/100</f>
        <v>0</v>
      </c>
      <c r="Q47" s="56">
        <f>Envoltória!Q52</f>
        <v>0</v>
      </c>
      <c r="R47" s="56">
        <f>Envoltória!P52</f>
        <v>0</v>
      </c>
      <c r="S47" s="56">
        <f>Envoltória!R52</f>
        <v>0</v>
      </c>
      <c r="T47" s="56" t="str">
        <f>Envoltória!V52</f>
        <v/>
      </c>
      <c r="U47" s="56" t="str">
        <f>IFERROR(VLOOKUP(Envoltória!I52,Aux_Lista!M:P,3,FALSE),"")</f>
        <v/>
      </c>
      <c r="V47" s="56" t="str">
        <f>IFERROR(VLOOKUP(Envoltória!I52,Aux_Lista!M:P,4,FALSE),"")</f>
        <v/>
      </c>
      <c r="W47" s="56" t="str">
        <f>IFERROR(VLOOKUP(Envoltória!J52,Aux_Lista!R:S,2,FALSE),"")</f>
        <v/>
      </c>
      <c r="X47" s="56">
        <f>IF(ISERROR(VLOOKUP(Envoltória!L52,Componentes!G:J,2,FALSE)),0,VLOOKUP(Envoltória!L52,Componentes!G:J,2,FALSE))</f>
        <v>0</v>
      </c>
      <c r="Y47" s="56">
        <f>IF(ISERROR(VLOOKUP(Envoltória!K52,Componentes!B:E,2,FALSE)),0,VLOOKUP(Envoltória!K52,Componentes!B:E,2,FALSE))</f>
        <v>0</v>
      </c>
      <c r="Z47" s="56">
        <f>IF(ISERROR(VLOOKUP(Envoltória!L52,Componentes!G:J,3,FALSE)),0,VLOOKUP(Envoltória!L52,Componentes!G:J,3,FALSE))</f>
        <v>0</v>
      </c>
      <c r="AA47" s="56">
        <f>IF(ISERROR(VLOOKUP(Envoltória!K52,Componentes!B:E,3,FALSE)),0,VLOOKUP(Envoltória!K52,Componentes!B:E,3,FALSE))</f>
        <v>0</v>
      </c>
      <c r="AB47" s="56" t="str">
        <f>IFERROR(VLOOKUP(Envoltória!I52,Aux_Lista!M:P,2,FALSE),"")</f>
        <v/>
      </c>
      <c r="AC47" s="55" t="str">
        <f>IFERROR(VLOOKUP(Envoltória!G52,CB3E_Envoltória!$AF$18:$AG$19,2,FALSE),"")</f>
        <v/>
      </c>
      <c r="AD47" s="371"/>
      <c r="AE47" s="1"/>
    </row>
    <row r="48" spans="1:31" s="32" customFormat="1" x14ac:dyDescent="0.25">
      <c r="A48" s="1">
        <v>38</v>
      </c>
      <c r="B48" s="50">
        <f>Envoltória!H53</f>
        <v>0</v>
      </c>
      <c r="C48" s="51">
        <f>Envoltória!B53</f>
        <v>0</v>
      </c>
      <c r="D48" s="52">
        <f>Envoltória!C53</f>
        <v>0</v>
      </c>
      <c r="E48" s="53">
        <f>Envoltória!D53</f>
        <v>0</v>
      </c>
      <c r="F48" s="53" t="str">
        <f>IFERROR(VLOOKUP(Envoltória!F53,CB3E_Envoltória!$AF$11:$AG$15,2,FALSE),"")</f>
        <v/>
      </c>
      <c r="G48" s="53" t="str">
        <f>Envoltória!T53</f>
        <v/>
      </c>
      <c r="H48" s="56">
        <f>Envoltória!S53</f>
        <v>0</v>
      </c>
      <c r="I48" s="56">
        <f>IF(ISERROR(VLOOKUP(Envoltória!M53,Componentes!L:N,3,FALSE)),0,VLOOKUP(Envoltória!M53,Componentes!L:N,3,FALSE))</f>
        <v>0</v>
      </c>
      <c r="J48" s="56">
        <v>0.5</v>
      </c>
      <c r="K48" s="56" t="str">
        <f>Envoltória!U53</f>
        <v/>
      </c>
      <c r="L48" s="56">
        <f>IF(ISERROR(VLOOKUP(Envoltória!M53,Componentes!L:N,2,FALSE)),0,VLOOKUP(Envoltória!M53,Componentes!L:N,2,FALSE))</f>
        <v>0</v>
      </c>
      <c r="M48" s="56">
        <f>IF(ISERROR(VLOOKUP(Envoltória!L53,Componentes!G:J,4,FALSE)),0,VLOOKUP(Envoltória!L53,Componentes!G:J,4,FALSE))</f>
        <v>0</v>
      </c>
      <c r="N48" s="56">
        <f>IF(ISERROR(VLOOKUP(Envoltória!K53,Componentes!B:E,4,FALSE)),0,VLOOKUP(Envoltória!K53,Componentes!B:E,4,FALSE))</f>
        <v>0</v>
      </c>
      <c r="O48" s="54">
        <f>Envoltória!E53</f>
        <v>0</v>
      </c>
      <c r="P48" s="56">
        <f>Envoltória!N53/100</f>
        <v>0</v>
      </c>
      <c r="Q48" s="56">
        <f>Envoltória!Q53</f>
        <v>0</v>
      </c>
      <c r="R48" s="56">
        <f>Envoltória!P53</f>
        <v>0</v>
      </c>
      <c r="S48" s="56">
        <f>Envoltória!R53</f>
        <v>0</v>
      </c>
      <c r="T48" s="56" t="str">
        <f>Envoltória!V53</f>
        <v/>
      </c>
      <c r="U48" s="56" t="str">
        <f>IFERROR(VLOOKUP(Envoltória!I53,Aux_Lista!M:P,3,FALSE),"")</f>
        <v/>
      </c>
      <c r="V48" s="56" t="str">
        <f>IFERROR(VLOOKUP(Envoltória!I53,Aux_Lista!M:P,4,FALSE),"")</f>
        <v/>
      </c>
      <c r="W48" s="56" t="str">
        <f>IFERROR(VLOOKUP(Envoltória!J53,Aux_Lista!R:S,2,FALSE),"")</f>
        <v/>
      </c>
      <c r="X48" s="56">
        <f>IF(ISERROR(VLOOKUP(Envoltória!L53,Componentes!G:J,2,FALSE)),0,VLOOKUP(Envoltória!L53,Componentes!G:J,2,FALSE))</f>
        <v>0</v>
      </c>
      <c r="Y48" s="56">
        <f>IF(ISERROR(VLOOKUP(Envoltória!K53,Componentes!B:E,2,FALSE)),0,VLOOKUP(Envoltória!K53,Componentes!B:E,2,FALSE))</f>
        <v>0</v>
      </c>
      <c r="Z48" s="56">
        <f>IF(ISERROR(VLOOKUP(Envoltória!L53,Componentes!G:J,3,FALSE)),0,VLOOKUP(Envoltória!L53,Componentes!G:J,3,FALSE))</f>
        <v>0</v>
      </c>
      <c r="AA48" s="56">
        <f>IF(ISERROR(VLOOKUP(Envoltória!K53,Componentes!B:E,3,FALSE)),0,VLOOKUP(Envoltória!K53,Componentes!B:E,3,FALSE))</f>
        <v>0</v>
      </c>
      <c r="AB48" s="56" t="str">
        <f>IFERROR(VLOOKUP(Envoltória!I53,Aux_Lista!M:P,2,FALSE),"")</f>
        <v/>
      </c>
      <c r="AC48" s="55" t="str">
        <f>IFERROR(VLOOKUP(Envoltória!G53,CB3E_Envoltória!$AF$18:$AG$19,2,FALSE),"")</f>
        <v/>
      </c>
      <c r="AD48" s="371"/>
      <c r="AE48" s="1"/>
    </row>
    <row r="49" spans="1:31" s="32" customFormat="1" x14ac:dyDescent="0.25">
      <c r="A49" s="1">
        <v>39</v>
      </c>
      <c r="B49" s="50">
        <f>Envoltória!H54</f>
        <v>0</v>
      </c>
      <c r="C49" s="51">
        <f>Envoltória!B54</f>
        <v>0</v>
      </c>
      <c r="D49" s="52">
        <f>Envoltória!C54</f>
        <v>0</v>
      </c>
      <c r="E49" s="53">
        <f>Envoltória!D54</f>
        <v>0</v>
      </c>
      <c r="F49" s="53" t="str">
        <f>IFERROR(VLOOKUP(Envoltória!F54,CB3E_Envoltória!$AF$11:$AG$15,2,FALSE),"")</f>
        <v/>
      </c>
      <c r="G49" s="53" t="str">
        <f>Envoltória!T54</f>
        <v/>
      </c>
      <c r="H49" s="56">
        <f>Envoltória!S54</f>
        <v>0</v>
      </c>
      <c r="I49" s="56">
        <f>IF(ISERROR(VLOOKUP(Envoltória!M54,Componentes!L:N,3,FALSE)),0,VLOOKUP(Envoltória!M54,Componentes!L:N,3,FALSE))</f>
        <v>0</v>
      </c>
      <c r="J49" s="56">
        <v>0.5</v>
      </c>
      <c r="K49" s="56" t="str">
        <f>Envoltória!U54</f>
        <v/>
      </c>
      <c r="L49" s="56">
        <f>IF(ISERROR(VLOOKUP(Envoltória!M54,Componentes!L:N,2,FALSE)),0,VLOOKUP(Envoltória!M54,Componentes!L:N,2,FALSE))</f>
        <v>0</v>
      </c>
      <c r="M49" s="56">
        <f>IF(ISERROR(VLOOKUP(Envoltória!L54,Componentes!G:J,4,FALSE)),0,VLOOKUP(Envoltória!L54,Componentes!G:J,4,FALSE))</f>
        <v>0</v>
      </c>
      <c r="N49" s="56">
        <f>IF(ISERROR(VLOOKUP(Envoltória!K54,Componentes!B:E,4,FALSE)),0,VLOOKUP(Envoltória!K54,Componentes!B:E,4,FALSE))</f>
        <v>0</v>
      </c>
      <c r="O49" s="54">
        <f>Envoltória!E54</f>
        <v>0</v>
      </c>
      <c r="P49" s="56">
        <f>Envoltória!N54/100</f>
        <v>0</v>
      </c>
      <c r="Q49" s="56">
        <f>Envoltória!Q54</f>
        <v>0</v>
      </c>
      <c r="R49" s="56">
        <f>Envoltória!P54</f>
        <v>0</v>
      </c>
      <c r="S49" s="56">
        <f>Envoltória!R54</f>
        <v>0</v>
      </c>
      <c r="T49" s="56" t="str">
        <f>Envoltória!V54</f>
        <v/>
      </c>
      <c r="U49" s="56" t="str">
        <f>IFERROR(VLOOKUP(Envoltória!I54,Aux_Lista!M:P,3,FALSE),"")</f>
        <v/>
      </c>
      <c r="V49" s="56" t="str">
        <f>IFERROR(VLOOKUP(Envoltória!I54,Aux_Lista!M:P,4,FALSE),"")</f>
        <v/>
      </c>
      <c r="W49" s="56" t="str">
        <f>IFERROR(VLOOKUP(Envoltória!J54,Aux_Lista!R:S,2,FALSE),"")</f>
        <v/>
      </c>
      <c r="X49" s="56">
        <f>IF(ISERROR(VLOOKUP(Envoltória!L54,Componentes!G:J,2,FALSE)),0,VLOOKUP(Envoltória!L54,Componentes!G:J,2,FALSE))</f>
        <v>0</v>
      </c>
      <c r="Y49" s="56">
        <f>IF(ISERROR(VLOOKUP(Envoltória!K54,Componentes!B:E,2,FALSE)),0,VLOOKUP(Envoltória!K54,Componentes!B:E,2,FALSE))</f>
        <v>0</v>
      </c>
      <c r="Z49" s="56">
        <f>IF(ISERROR(VLOOKUP(Envoltória!L54,Componentes!G:J,3,FALSE)),0,VLOOKUP(Envoltória!L54,Componentes!G:J,3,FALSE))</f>
        <v>0</v>
      </c>
      <c r="AA49" s="56">
        <f>IF(ISERROR(VLOOKUP(Envoltória!K54,Componentes!B:E,3,FALSE)),0,VLOOKUP(Envoltória!K54,Componentes!B:E,3,FALSE))</f>
        <v>0</v>
      </c>
      <c r="AB49" s="56" t="str">
        <f>IFERROR(VLOOKUP(Envoltória!I54,Aux_Lista!M:P,2,FALSE),"")</f>
        <v/>
      </c>
      <c r="AC49" s="55" t="str">
        <f>IFERROR(VLOOKUP(Envoltória!G54,CB3E_Envoltória!$AF$18:$AG$19,2,FALSE),"")</f>
        <v/>
      </c>
      <c r="AD49" s="371"/>
      <c r="AE49" s="1"/>
    </row>
    <row r="50" spans="1:31" x14ac:dyDescent="0.25">
      <c r="A50" s="1">
        <v>40</v>
      </c>
      <c r="B50" s="50">
        <f>Envoltória!H55</f>
        <v>0</v>
      </c>
      <c r="C50" s="51">
        <f>Envoltória!B55</f>
        <v>0</v>
      </c>
      <c r="D50" s="52">
        <f>Envoltória!C55</f>
        <v>0</v>
      </c>
      <c r="E50" s="53">
        <f>Envoltória!D55</f>
        <v>0</v>
      </c>
      <c r="F50" s="53" t="str">
        <f>IFERROR(VLOOKUP(Envoltória!F55,CB3E_Envoltória!$AF$11:$AG$15,2,FALSE),"")</f>
        <v/>
      </c>
      <c r="G50" s="53" t="str">
        <f>Envoltória!T55</f>
        <v/>
      </c>
      <c r="H50" s="56">
        <f>Envoltória!S55</f>
        <v>0</v>
      </c>
      <c r="I50" s="56">
        <f>IF(ISERROR(VLOOKUP(Envoltória!M55,Componentes!L:N,3,FALSE)),0,VLOOKUP(Envoltória!M55,Componentes!L:N,3,FALSE))</f>
        <v>0</v>
      </c>
      <c r="J50" s="56">
        <v>0.5</v>
      </c>
      <c r="K50" s="56" t="str">
        <f>Envoltória!U55</f>
        <v/>
      </c>
      <c r="L50" s="56">
        <f>IF(ISERROR(VLOOKUP(Envoltória!M55,Componentes!L:N,2,FALSE)),0,VLOOKUP(Envoltória!M55,Componentes!L:N,2,FALSE))</f>
        <v>0</v>
      </c>
      <c r="M50" s="56">
        <f>IF(ISERROR(VLOOKUP(Envoltória!L55,Componentes!G:J,4,FALSE)),0,VLOOKUP(Envoltória!L55,Componentes!G:J,4,FALSE))</f>
        <v>0</v>
      </c>
      <c r="N50" s="56">
        <f>IF(ISERROR(VLOOKUP(Envoltória!K55,Componentes!B:E,4,FALSE)),0,VLOOKUP(Envoltória!K55,Componentes!B:E,4,FALSE))</f>
        <v>0</v>
      </c>
      <c r="O50" s="54">
        <f>Envoltória!E55</f>
        <v>0</v>
      </c>
      <c r="P50" s="56">
        <f>Envoltória!N55/100</f>
        <v>0</v>
      </c>
      <c r="Q50" s="56">
        <f>Envoltória!Q55</f>
        <v>0</v>
      </c>
      <c r="R50" s="56">
        <f>Envoltória!P55</f>
        <v>0</v>
      </c>
      <c r="S50" s="56">
        <f>Envoltória!R55</f>
        <v>0</v>
      </c>
      <c r="T50" s="56" t="str">
        <f>Envoltória!V55</f>
        <v/>
      </c>
      <c r="U50" s="56" t="str">
        <f>IFERROR(VLOOKUP(Envoltória!I55,Aux_Lista!M:P,3,FALSE),"")</f>
        <v/>
      </c>
      <c r="V50" s="56" t="str">
        <f>IFERROR(VLOOKUP(Envoltória!I55,Aux_Lista!M:P,4,FALSE),"")</f>
        <v/>
      </c>
      <c r="W50" s="56" t="str">
        <f>IFERROR(VLOOKUP(Envoltória!J55,Aux_Lista!R:S,2,FALSE),"")</f>
        <v/>
      </c>
      <c r="X50" s="56">
        <f>IF(ISERROR(VLOOKUP(Envoltória!L55,Componentes!G:J,2,FALSE)),0,VLOOKUP(Envoltória!L55,Componentes!G:J,2,FALSE))</f>
        <v>0</v>
      </c>
      <c r="Y50" s="56">
        <f>IF(ISERROR(VLOOKUP(Envoltória!K55,Componentes!B:E,2,FALSE)),0,VLOOKUP(Envoltória!K55,Componentes!B:E,2,FALSE))</f>
        <v>0</v>
      </c>
      <c r="Z50" s="56">
        <f>IF(ISERROR(VLOOKUP(Envoltória!L55,Componentes!G:J,3,FALSE)),0,VLOOKUP(Envoltória!L55,Componentes!G:J,3,FALSE))</f>
        <v>0</v>
      </c>
      <c r="AA50" s="56">
        <f>IF(ISERROR(VLOOKUP(Envoltória!K55,Componentes!B:E,3,FALSE)),0,VLOOKUP(Envoltória!K55,Componentes!B:E,3,FALSE))</f>
        <v>0</v>
      </c>
      <c r="AB50" s="56" t="str">
        <f>IFERROR(VLOOKUP(Envoltória!I55,Aux_Lista!M:P,2,FALSE),"")</f>
        <v/>
      </c>
      <c r="AC50" s="55" t="str">
        <f>IFERROR(VLOOKUP(Envoltória!G55,CB3E_Envoltória!$AF$18:$AG$19,2,FALSE),"")</f>
        <v/>
      </c>
      <c r="AD50" s="371"/>
    </row>
    <row r="51" spans="1:31" x14ac:dyDescent="0.25">
      <c r="A51" s="1">
        <v>41</v>
      </c>
      <c r="B51" s="50">
        <f>Envoltória!H56</f>
        <v>0</v>
      </c>
      <c r="C51" s="51">
        <f>Envoltória!B56</f>
        <v>0</v>
      </c>
      <c r="D51" s="52">
        <f>Envoltória!C56</f>
        <v>0</v>
      </c>
      <c r="E51" s="53">
        <f>Envoltória!D56</f>
        <v>0</v>
      </c>
      <c r="F51" s="53" t="str">
        <f>IFERROR(VLOOKUP(Envoltória!F56,CB3E_Envoltória!$AF$11:$AG$15,2,FALSE),"")</f>
        <v/>
      </c>
      <c r="G51" s="53" t="str">
        <f>Envoltória!T56</f>
        <v/>
      </c>
      <c r="H51" s="56">
        <f>Envoltória!S56</f>
        <v>0</v>
      </c>
      <c r="I51" s="56">
        <f>IF(ISERROR(VLOOKUP(Envoltória!M56,Componentes!L:N,3,FALSE)),0,VLOOKUP(Envoltória!M56,Componentes!L:N,3,FALSE))</f>
        <v>0</v>
      </c>
      <c r="J51" s="56">
        <v>0.5</v>
      </c>
      <c r="K51" s="56" t="str">
        <f>Envoltória!U56</f>
        <v/>
      </c>
      <c r="L51" s="56">
        <f>IF(ISERROR(VLOOKUP(Envoltória!M56,Componentes!L:N,2,FALSE)),0,VLOOKUP(Envoltória!M56,Componentes!L:N,2,FALSE))</f>
        <v>0</v>
      </c>
      <c r="M51" s="56">
        <f>IF(ISERROR(VLOOKUP(Envoltória!L56,Componentes!G:J,4,FALSE)),0,VLOOKUP(Envoltória!L56,Componentes!G:J,4,FALSE))</f>
        <v>0</v>
      </c>
      <c r="N51" s="56">
        <f>IF(ISERROR(VLOOKUP(Envoltória!K56,Componentes!B:E,4,FALSE)),0,VLOOKUP(Envoltória!K56,Componentes!B:E,4,FALSE))</f>
        <v>0</v>
      </c>
      <c r="O51" s="54">
        <f>Envoltória!E56</f>
        <v>0</v>
      </c>
      <c r="P51" s="56">
        <f>Envoltória!N56/100</f>
        <v>0</v>
      </c>
      <c r="Q51" s="56">
        <f>Envoltória!Q56</f>
        <v>0</v>
      </c>
      <c r="R51" s="56">
        <f>Envoltória!P56</f>
        <v>0</v>
      </c>
      <c r="S51" s="56">
        <f>Envoltória!R56</f>
        <v>0</v>
      </c>
      <c r="T51" s="56" t="str">
        <f>Envoltória!V56</f>
        <v/>
      </c>
      <c r="U51" s="56" t="str">
        <f>IFERROR(VLOOKUP(Envoltória!I56,Aux_Lista!M:P,3,FALSE),"")</f>
        <v/>
      </c>
      <c r="V51" s="56" t="str">
        <f>IFERROR(VLOOKUP(Envoltória!I56,Aux_Lista!M:P,4,FALSE),"")</f>
        <v/>
      </c>
      <c r="W51" s="56" t="str">
        <f>IFERROR(VLOOKUP(Envoltória!J56,Aux_Lista!R:S,2,FALSE),"")</f>
        <v/>
      </c>
      <c r="X51" s="56">
        <f>IF(ISERROR(VLOOKUP(Envoltória!L56,Componentes!G:J,2,FALSE)),0,VLOOKUP(Envoltória!L56,Componentes!G:J,2,FALSE))</f>
        <v>0</v>
      </c>
      <c r="Y51" s="56">
        <f>IF(ISERROR(VLOOKUP(Envoltória!K56,Componentes!B:E,2,FALSE)),0,VLOOKUP(Envoltória!K56,Componentes!B:E,2,FALSE))</f>
        <v>0</v>
      </c>
      <c r="Z51" s="56">
        <f>IF(ISERROR(VLOOKUP(Envoltória!L56,Componentes!G:J,3,FALSE)),0,VLOOKUP(Envoltória!L56,Componentes!G:J,3,FALSE))</f>
        <v>0</v>
      </c>
      <c r="AA51" s="56">
        <f>IF(ISERROR(VLOOKUP(Envoltória!K56,Componentes!B:E,3,FALSE)),0,VLOOKUP(Envoltória!K56,Componentes!B:E,3,FALSE))</f>
        <v>0</v>
      </c>
      <c r="AB51" s="56" t="str">
        <f>IFERROR(VLOOKUP(Envoltória!I56,Aux_Lista!M:P,2,FALSE),"")</f>
        <v/>
      </c>
      <c r="AC51" s="55" t="str">
        <f>IFERROR(VLOOKUP(Envoltória!G56,CB3E_Envoltória!$AF$18:$AG$19,2,FALSE),"")</f>
        <v/>
      </c>
      <c r="AD51" s="371"/>
    </row>
    <row r="52" spans="1:31" x14ac:dyDescent="0.25">
      <c r="A52" s="1">
        <v>42</v>
      </c>
      <c r="B52" s="50">
        <f>Envoltória!H57</f>
        <v>0</v>
      </c>
      <c r="C52" s="51">
        <f>Envoltória!B57</f>
        <v>0</v>
      </c>
      <c r="D52" s="52">
        <f>Envoltória!C57</f>
        <v>0</v>
      </c>
      <c r="E52" s="53">
        <f>Envoltória!D57</f>
        <v>0</v>
      </c>
      <c r="F52" s="53" t="str">
        <f>IFERROR(VLOOKUP(Envoltória!F57,CB3E_Envoltória!$AF$11:$AG$15,2,FALSE),"")</f>
        <v/>
      </c>
      <c r="G52" s="53" t="str">
        <f>Envoltória!T57</f>
        <v/>
      </c>
      <c r="H52" s="56">
        <f>Envoltória!S57</f>
        <v>0</v>
      </c>
      <c r="I52" s="56">
        <f>IF(ISERROR(VLOOKUP(Envoltória!M57,Componentes!L:N,3,FALSE)),0,VLOOKUP(Envoltória!M57,Componentes!L:N,3,FALSE))</f>
        <v>0</v>
      </c>
      <c r="J52" s="56">
        <v>0.5</v>
      </c>
      <c r="K52" s="56" t="str">
        <f>Envoltória!U57</f>
        <v/>
      </c>
      <c r="L52" s="56">
        <f>IF(ISERROR(VLOOKUP(Envoltória!M57,Componentes!L:N,2,FALSE)),0,VLOOKUP(Envoltória!M57,Componentes!L:N,2,FALSE))</f>
        <v>0</v>
      </c>
      <c r="M52" s="56">
        <f>IF(ISERROR(VLOOKUP(Envoltória!L57,Componentes!G:J,4,FALSE)),0,VLOOKUP(Envoltória!L57,Componentes!G:J,4,FALSE))</f>
        <v>0</v>
      </c>
      <c r="N52" s="56">
        <f>IF(ISERROR(VLOOKUP(Envoltória!K57,Componentes!B:E,4,FALSE)),0,VLOOKUP(Envoltória!K57,Componentes!B:E,4,FALSE))</f>
        <v>0</v>
      </c>
      <c r="O52" s="54">
        <f>Envoltória!E57</f>
        <v>0</v>
      </c>
      <c r="P52" s="56">
        <f>Envoltória!N57/100</f>
        <v>0</v>
      </c>
      <c r="Q52" s="56">
        <f>Envoltória!Q57</f>
        <v>0</v>
      </c>
      <c r="R52" s="56">
        <f>Envoltória!P57</f>
        <v>0</v>
      </c>
      <c r="S52" s="56">
        <f>Envoltória!R57</f>
        <v>0</v>
      </c>
      <c r="T52" s="56" t="str">
        <f>Envoltória!V57</f>
        <v/>
      </c>
      <c r="U52" s="56" t="str">
        <f>IFERROR(VLOOKUP(Envoltória!I57,Aux_Lista!M:P,3,FALSE),"")</f>
        <v/>
      </c>
      <c r="V52" s="56" t="str">
        <f>IFERROR(VLOOKUP(Envoltória!I57,Aux_Lista!M:P,4,FALSE),"")</f>
        <v/>
      </c>
      <c r="W52" s="56" t="str">
        <f>IFERROR(VLOOKUP(Envoltória!J57,Aux_Lista!R:S,2,FALSE),"")</f>
        <v/>
      </c>
      <c r="X52" s="56">
        <f>IF(ISERROR(VLOOKUP(Envoltória!L57,Componentes!G:J,2,FALSE)),0,VLOOKUP(Envoltória!L57,Componentes!G:J,2,FALSE))</f>
        <v>0</v>
      </c>
      <c r="Y52" s="56">
        <f>IF(ISERROR(VLOOKUP(Envoltória!K57,Componentes!B:E,2,FALSE)),0,VLOOKUP(Envoltória!K57,Componentes!B:E,2,FALSE))</f>
        <v>0</v>
      </c>
      <c r="Z52" s="56">
        <f>IF(ISERROR(VLOOKUP(Envoltória!L57,Componentes!G:J,3,FALSE)),0,VLOOKUP(Envoltória!L57,Componentes!G:J,3,FALSE))</f>
        <v>0</v>
      </c>
      <c r="AA52" s="56">
        <f>IF(ISERROR(VLOOKUP(Envoltória!K57,Componentes!B:E,3,FALSE)),0,VLOOKUP(Envoltória!K57,Componentes!B:E,3,FALSE))</f>
        <v>0</v>
      </c>
      <c r="AB52" s="56" t="str">
        <f>IFERROR(VLOOKUP(Envoltória!I57,Aux_Lista!M:P,2,FALSE),"")</f>
        <v/>
      </c>
      <c r="AC52" s="55" t="str">
        <f>IFERROR(VLOOKUP(Envoltória!G57,CB3E_Envoltória!$AF$18:$AG$19,2,FALSE),"")</f>
        <v/>
      </c>
      <c r="AD52" s="371"/>
    </row>
    <row r="53" spans="1:31" x14ac:dyDescent="0.25">
      <c r="A53" s="1">
        <v>43</v>
      </c>
      <c r="B53" s="50">
        <f>Envoltória!H58</f>
        <v>0</v>
      </c>
      <c r="C53" s="51">
        <f>Envoltória!B58</f>
        <v>0</v>
      </c>
      <c r="D53" s="52">
        <f>Envoltória!C58</f>
        <v>0</v>
      </c>
      <c r="E53" s="53">
        <f>Envoltória!D58</f>
        <v>0</v>
      </c>
      <c r="F53" s="53" t="str">
        <f>IFERROR(VLOOKUP(Envoltória!F58,CB3E_Envoltória!$AF$11:$AG$15,2,FALSE),"")</f>
        <v/>
      </c>
      <c r="G53" s="53" t="str">
        <f>Envoltória!T58</f>
        <v/>
      </c>
      <c r="H53" s="56">
        <f>Envoltória!S58</f>
        <v>0</v>
      </c>
      <c r="I53" s="56">
        <f>IF(ISERROR(VLOOKUP(Envoltória!M58,Componentes!L:N,3,FALSE)),0,VLOOKUP(Envoltória!M58,Componentes!L:N,3,FALSE))</f>
        <v>0</v>
      </c>
      <c r="J53" s="56">
        <v>0.5</v>
      </c>
      <c r="K53" s="56" t="str">
        <f>Envoltória!U58</f>
        <v/>
      </c>
      <c r="L53" s="56">
        <f>IF(ISERROR(VLOOKUP(Envoltória!M58,Componentes!L:N,2,FALSE)),0,VLOOKUP(Envoltória!M58,Componentes!L:N,2,FALSE))</f>
        <v>0</v>
      </c>
      <c r="M53" s="56">
        <f>IF(ISERROR(VLOOKUP(Envoltória!L58,Componentes!G:J,4,FALSE)),0,VLOOKUP(Envoltória!L58,Componentes!G:J,4,FALSE))</f>
        <v>0</v>
      </c>
      <c r="N53" s="56">
        <f>IF(ISERROR(VLOOKUP(Envoltória!K58,Componentes!B:E,4,FALSE)),0,VLOOKUP(Envoltória!K58,Componentes!B:E,4,FALSE))</f>
        <v>0</v>
      </c>
      <c r="O53" s="54">
        <f>Envoltória!E58</f>
        <v>0</v>
      </c>
      <c r="P53" s="56">
        <f>Envoltória!N58/100</f>
        <v>0</v>
      </c>
      <c r="Q53" s="56">
        <f>Envoltória!Q58</f>
        <v>0</v>
      </c>
      <c r="R53" s="56">
        <f>Envoltória!P58</f>
        <v>0</v>
      </c>
      <c r="S53" s="56">
        <f>Envoltória!R58</f>
        <v>0</v>
      </c>
      <c r="T53" s="56" t="str">
        <f>Envoltória!V58</f>
        <v/>
      </c>
      <c r="U53" s="56" t="str">
        <f>IFERROR(VLOOKUP(Envoltória!I58,Aux_Lista!M:P,3,FALSE),"")</f>
        <v/>
      </c>
      <c r="V53" s="56" t="str">
        <f>IFERROR(VLOOKUP(Envoltória!I58,Aux_Lista!M:P,4,FALSE),"")</f>
        <v/>
      </c>
      <c r="W53" s="56" t="str">
        <f>IFERROR(VLOOKUP(Envoltória!J58,Aux_Lista!R:S,2,FALSE),"")</f>
        <v/>
      </c>
      <c r="X53" s="56">
        <f>IF(ISERROR(VLOOKUP(Envoltória!L58,Componentes!G:J,2,FALSE)),0,VLOOKUP(Envoltória!L58,Componentes!G:J,2,FALSE))</f>
        <v>0</v>
      </c>
      <c r="Y53" s="56">
        <f>IF(ISERROR(VLOOKUP(Envoltória!K58,Componentes!B:E,2,FALSE)),0,VLOOKUP(Envoltória!K58,Componentes!B:E,2,FALSE))</f>
        <v>0</v>
      </c>
      <c r="Z53" s="56">
        <f>IF(ISERROR(VLOOKUP(Envoltória!L58,Componentes!G:J,3,FALSE)),0,VLOOKUP(Envoltória!L58,Componentes!G:J,3,FALSE))</f>
        <v>0</v>
      </c>
      <c r="AA53" s="56">
        <f>IF(ISERROR(VLOOKUP(Envoltória!K58,Componentes!B:E,3,FALSE)),0,VLOOKUP(Envoltória!K58,Componentes!B:E,3,FALSE))</f>
        <v>0</v>
      </c>
      <c r="AB53" s="56" t="str">
        <f>IFERROR(VLOOKUP(Envoltória!I58,Aux_Lista!M:P,2,FALSE),"")</f>
        <v/>
      </c>
      <c r="AC53" s="55" t="str">
        <f>IFERROR(VLOOKUP(Envoltória!G58,CB3E_Envoltória!$AF$18:$AG$19,2,FALSE),"")</f>
        <v/>
      </c>
      <c r="AD53" s="371"/>
    </row>
    <row r="54" spans="1:31" x14ac:dyDescent="0.25">
      <c r="A54" s="1">
        <v>44</v>
      </c>
      <c r="B54" s="50">
        <f>Envoltória!H59</f>
        <v>0</v>
      </c>
      <c r="C54" s="51">
        <f>Envoltória!B59</f>
        <v>0</v>
      </c>
      <c r="D54" s="52">
        <f>Envoltória!C59</f>
        <v>0</v>
      </c>
      <c r="E54" s="53">
        <f>Envoltória!D59</f>
        <v>0</v>
      </c>
      <c r="F54" s="53" t="str">
        <f>IFERROR(VLOOKUP(Envoltória!F59,CB3E_Envoltória!$AF$11:$AG$15,2,FALSE),"")</f>
        <v/>
      </c>
      <c r="G54" s="53" t="str">
        <f>Envoltória!T59</f>
        <v/>
      </c>
      <c r="H54" s="56">
        <f>Envoltória!S59</f>
        <v>0</v>
      </c>
      <c r="I54" s="56">
        <f>IF(ISERROR(VLOOKUP(Envoltória!M59,Componentes!L:N,3,FALSE)),0,VLOOKUP(Envoltória!M59,Componentes!L:N,3,FALSE))</f>
        <v>0</v>
      </c>
      <c r="J54" s="56">
        <v>0.5</v>
      </c>
      <c r="K54" s="56" t="str">
        <f>Envoltória!U59</f>
        <v/>
      </c>
      <c r="L54" s="56">
        <f>IF(ISERROR(VLOOKUP(Envoltória!M59,Componentes!L:N,2,FALSE)),0,VLOOKUP(Envoltória!M59,Componentes!L:N,2,FALSE))</f>
        <v>0</v>
      </c>
      <c r="M54" s="56">
        <f>IF(ISERROR(VLOOKUP(Envoltória!L59,Componentes!G:J,4,FALSE)),0,VLOOKUP(Envoltória!L59,Componentes!G:J,4,FALSE))</f>
        <v>0</v>
      </c>
      <c r="N54" s="56">
        <f>IF(ISERROR(VLOOKUP(Envoltória!K59,Componentes!B:E,4,FALSE)),0,VLOOKUP(Envoltória!K59,Componentes!B:E,4,FALSE))</f>
        <v>0</v>
      </c>
      <c r="O54" s="54">
        <f>Envoltória!E59</f>
        <v>0</v>
      </c>
      <c r="P54" s="56">
        <f>Envoltória!N59/100</f>
        <v>0</v>
      </c>
      <c r="Q54" s="56">
        <f>Envoltória!Q59</f>
        <v>0</v>
      </c>
      <c r="R54" s="56">
        <f>Envoltória!P59</f>
        <v>0</v>
      </c>
      <c r="S54" s="56">
        <f>Envoltória!R59</f>
        <v>0</v>
      </c>
      <c r="T54" s="56" t="str">
        <f>Envoltória!V59</f>
        <v/>
      </c>
      <c r="U54" s="56" t="str">
        <f>IFERROR(VLOOKUP(Envoltória!I59,Aux_Lista!M:P,3,FALSE),"")</f>
        <v/>
      </c>
      <c r="V54" s="56" t="str">
        <f>IFERROR(VLOOKUP(Envoltória!I59,Aux_Lista!M:P,4,FALSE),"")</f>
        <v/>
      </c>
      <c r="W54" s="56" t="str">
        <f>IFERROR(VLOOKUP(Envoltória!J59,Aux_Lista!R:S,2,FALSE),"")</f>
        <v/>
      </c>
      <c r="X54" s="56">
        <f>IF(ISERROR(VLOOKUP(Envoltória!L59,Componentes!G:J,2,FALSE)),0,VLOOKUP(Envoltória!L59,Componentes!G:J,2,FALSE))</f>
        <v>0</v>
      </c>
      <c r="Y54" s="56">
        <f>IF(ISERROR(VLOOKUP(Envoltória!K59,Componentes!B:E,2,FALSE)),0,VLOOKUP(Envoltória!K59,Componentes!B:E,2,FALSE))</f>
        <v>0</v>
      </c>
      <c r="Z54" s="56">
        <f>IF(ISERROR(VLOOKUP(Envoltória!L59,Componentes!G:J,3,FALSE)),0,VLOOKUP(Envoltória!L59,Componentes!G:J,3,FALSE))</f>
        <v>0</v>
      </c>
      <c r="AA54" s="56">
        <f>IF(ISERROR(VLOOKUP(Envoltória!K59,Componentes!B:E,3,FALSE)),0,VLOOKUP(Envoltória!K59,Componentes!B:E,3,FALSE))</f>
        <v>0</v>
      </c>
      <c r="AB54" s="56" t="str">
        <f>IFERROR(VLOOKUP(Envoltória!I59,Aux_Lista!M:P,2,FALSE),"")</f>
        <v/>
      </c>
      <c r="AC54" s="55" t="str">
        <f>IFERROR(VLOOKUP(Envoltória!G59,CB3E_Envoltória!$AF$18:$AG$19,2,FALSE),"")</f>
        <v/>
      </c>
      <c r="AD54" s="371"/>
    </row>
    <row r="55" spans="1:31" x14ac:dyDescent="0.25">
      <c r="A55" s="1">
        <v>45</v>
      </c>
      <c r="B55" s="50">
        <f>Envoltória!H60</f>
        <v>0</v>
      </c>
      <c r="C55" s="51">
        <f>Envoltória!B60</f>
        <v>0</v>
      </c>
      <c r="D55" s="52">
        <f>Envoltória!C60</f>
        <v>0</v>
      </c>
      <c r="E55" s="53">
        <f>Envoltória!D60</f>
        <v>0</v>
      </c>
      <c r="F55" s="53" t="str">
        <f>IFERROR(VLOOKUP(Envoltória!F60,CB3E_Envoltória!$AF$11:$AG$15,2,FALSE),"")</f>
        <v/>
      </c>
      <c r="G55" s="53" t="str">
        <f>Envoltória!T60</f>
        <v/>
      </c>
      <c r="H55" s="56">
        <f>Envoltória!S60</f>
        <v>0</v>
      </c>
      <c r="I55" s="56">
        <f>IF(ISERROR(VLOOKUP(Envoltória!M60,Componentes!L:N,3,FALSE)),0,VLOOKUP(Envoltória!M60,Componentes!L:N,3,FALSE))</f>
        <v>0</v>
      </c>
      <c r="J55" s="56">
        <v>0.5</v>
      </c>
      <c r="K55" s="56" t="str">
        <f>Envoltória!U60</f>
        <v/>
      </c>
      <c r="L55" s="56">
        <f>IF(ISERROR(VLOOKUP(Envoltória!M60,Componentes!L:N,2,FALSE)),0,VLOOKUP(Envoltória!M60,Componentes!L:N,2,FALSE))</f>
        <v>0</v>
      </c>
      <c r="M55" s="56">
        <f>IF(ISERROR(VLOOKUP(Envoltória!L60,Componentes!G:J,4,FALSE)),0,VLOOKUP(Envoltória!L60,Componentes!G:J,4,FALSE))</f>
        <v>0</v>
      </c>
      <c r="N55" s="56">
        <f>IF(ISERROR(VLOOKUP(Envoltória!K60,Componentes!B:E,4,FALSE)),0,VLOOKUP(Envoltória!K60,Componentes!B:E,4,FALSE))</f>
        <v>0</v>
      </c>
      <c r="O55" s="54">
        <f>Envoltória!E60</f>
        <v>0</v>
      </c>
      <c r="P55" s="56">
        <f>Envoltória!N60/100</f>
        <v>0</v>
      </c>
      <c r="Q55" s="56">
        <f>Envoltória!Q60</f>
        <v>0</v>
      </c>
      <c r="R55" s="56">
        <f>Envoltória!P60</f>
        <v>0</v>
      </c>
      <c r="S55" s="56">
        <f>Envoltória!R60</f>
        <v>0</v>
      </c>
      <c r="T55" s="56" t="str">
        <f>Envoltória!V60</f>
        <v/>
      </c>
      <c r="U55" s="56" t="str">
        <f>IFERROR(VLOOKUP(Envoltória!I60,Aux_Lista!M:P,3,FALSE),"")</f>
        <v/>
      </c>
      <c r="V55" s="56" t="str">
        <f>IFERROR(VLOOKUP(Envoltória!I60,Aux_Lista!M:P,4,FALSE),"")</f>
        <v/>
      </c>
      <c r="W55" s="56" t="str">
        <f>IFERROR(VLOOKUP(Envoltória!J60,Aux_Lista!R:S,2,FALSE),"")</f>
        <v/>
      </c>
      <c r="X55" s="56">
        <f>IF(ISERROR(VLOOKUP(Envoltória!L60,Componentes!G:J,2,FALSE)),0,VLOOKUP(Envoltória!L60,Componentes!G:J,2,FALSE))</f>
        <v>0</v>
      </c>
      <c r="Y55" s="56">
        <f>IF(ISERROR(VLOOKUP(Envoltória!K60,Componentes!B:E,2,FALSE)),0,VLOOKUP(Envoltória!K60,Componentes!B:E,2,FALSE))</f>
        <v>0</v>
      </c>
      <c r="Z55" s="56">
        <f>IF(ISERROR(VLOOKUP(Envoltória!L60,Componentes!G:J,3,FALSE)),0,VLOOKUP(Envoltória!L60,Componentes!G:J,3,FALSE))</f>
        <v>0</v>
      </c>
      <c r="AA55" s="56">
        <f>IF(ISERROR(VLOOKUP(Envoltória!K60,Componentes!B:E,3,FALSE)),0,VLOOKUP(Envoltória!K60,Componentes!B:E,3,FALSE))</f>
        <v>0</v>
      </c>
      <c r="AB55" s="56" t="str">
        <f>IFERROR(VLOOKUP(Envoltória!I60,Aux_Lista!M:P,2,FALSE),"")</f>
        <v/>
      </c>
      <c r="AC55" s="55" t="str">
        <f>IFERROR(VLOOKUP(Envoltória!G60,CB3E_Envoltória!$AF$18:$AG$19,2,FALSE),"")</f>
        <v/>
      </c>
      <c r="AD55" s="371"/>
    </row>
    <row r="56" spans="1:31" x14ac:dyDescent="0.25">
      <c r="A56" s="1">
        <v>46</v>
      </c>
      <c r="B56" s="50">
        <f>Envoltória!H61</f>
        <v>0</v>
      </c>
      <c r="C56" s="51">
        <f>Envoltória!B61</f>
        <v>0</v>
      </c>
      <c r="D56" s="52">
        <f>Envoltória!C61</f>
        <v>0</v>
      </c>
      <c r="E56" s="53">
        <f>Envoltória!D61</f>
        <v>0</v>
      </c>
      <c r="F56" s="53" t="str">
        <f>IFERROR(VLOOKUP(Envoltória!F61,CB3E_Envoltória!$AF$11:$AG$15,2,FALSE),"")</f>
        <v/>
      </c>
      <c r="G56" s="53" t="str">
        <f>Envoltória!T61</f>
        <v/>
      </c>
      <c r="H56" s="56">
        <f>Envoltória!S61</f>
        <v>0</v>
      </c>
      <c r="I56" s="56">
        <f>IF(ISERROR(VLOOKUP(Envoltória!M61,Componentes!L:N,3,FALSE)),0,VLOOKUP(Envoltória!M61,Componentes!L:N,3,FALSE))</f>
        <v>0</v>
      </c>
      <c r="J56" s="56">
        <v>0.5</v>
      </c>
      <c r="K56" s="56" t="str">
        <f>Envoltória!U61</f>
        <v/>
      </c>
      <c r="L56" s="56">
        <f>IF(ISERROR(VLOOKUP(Envoltória!M61,Componentes!L:N,2,FALSE)),0,VLOOKUP(Envoltória!M61,Componentes!L:N,2,FALSE))</f>
        <v>0</v>
      </c>
      <c r="M56" s="56">
        <f>IF(ISERROR(VLOOKUP(Envoltória!L61,Componentes!G:J,4,FALSE)),0,VLOOKUP(Envoltória!L61,Componentes!G:J,4,FALSE))</f>
        <v>0</v>
      </c>
      <c r="N56" s="56">
        <f>IF(ISERROR(VLOOKUP(Envoltória!K61,Componentes!B:E,4,FALSE)),0,VLOOKUP(Envoltória!K61,Componentes!B:E,4,FALSE))</f>
        <v>0</v>
      </c>
      <c r="O56" s="54">
        <f>Envoltória!E61</f>
        <v>0</v>
      </c>
      <c r="P56" s="56">
        <f>Envoltória!N61/100</f>
        <v>0</v>
      </c>
      <c r="Q56" s="56">
        <f>Envoltória!Q61</f>
        <v>0</v>
      </c>
      <c r="R56" s="56">
        <f>Envoltória!P61</f>
        <v>0</v>
      </c>
      <c r="S56" s="56">
        <f>Envoltória!R61</f>
        <v>0</v>
      </c>
      <c r="T56" s="56" t="str">
        <f>Envoltória!V61</f>
        <v/>
      </c>
      <c r="U56" s="56" t="str">
        <f>IFERROR(VLOOKUP(Envoltória!I61,Aux_Lista!M:P,3,FALSE),"")</f>
        <v/>
      </c>
      <c r="V56" s="56" t="str">
        <f>IFERROR(VLOOKUP(Envoltória!I61,Aux_Lista!M:P,4,FALSE),"")</f>
        <v/>
      </c>
      <c r="W56" s="56" t="str">
        <f>IFERROR(VLOOKUP(Envoltória!J61,Aux_Lista!R:S,2,FALSE),"")</f>
        <v/>
      </c>
      <c r="X56" s="56">
        <f>IF(ISERROR(VLOOKUP(Envoltória!L61,Componentes!G:J,2,FALSE)),0,VLOOKUP(Envoltória!L61,Componentes!G:J,2,FALSE))</f>
        <v>0</v>
      </c>
      <c r="Y56" s="56">
        <f>IF(ISERROR(VLOOKUP(Envoltória!K61,Componentes!B:E,2,FALSE)),0,VLOOKUP(Envoltória!K61,Componentes!B:E,2,FALSE))</f>
        <v>0</v>
      </c>
      <c r="Z56" s="56">
        <f>IF(ISERROR(VLOOKUP(Envoltória!L61,Componentes!G:J,3,FALSE)),0,VLOOKUP(Envoltória!L61,Componentes!G:J,3,FALSE))</f>
        <v>0</v>
      </c>
      <c r="AA56" s="56">
        <f>IF(ISERROR(VLOOKUP(Envoltória!K61,Componentes!B:E,3,FALSE)),0,VLOOKUP(Envoltória!K61,Componentes!B:E,3,FALSE))</f>
        <v>0</v>
      </c>
      <c r="AB56" s="56" t="str">
        <f>IFERROR(VLOOKUP(Envoltória!I61,Aux_Lista!M:P,2,FALSE),"")</f>
        <v/>
      </c>
      <c r="AC56" s="55" t="str">
        <f>IFERROR(VLOOKUP(Envoltória!G61,CB3E_Envoltória!$AF$18:$AG$19,2,FALSE),"")</f>
        <v/>
      </c>
      <c r="AD56" s="371"/>
    </row>
    <row r="57" spans="1:31" x14ac:dyDescent="0.25">
      <c r="A57" s="1">
        <v>47</v>
      </c>
      <c r="B57" s="50">
        <f>Envoltória!H62</f>
        <v>0</v>
      </c>
      <c r="C57" s="51">
        <f>Envoltória!B62</f>
        <v>0</v>
      </c>
      <c r="D57" s="52">
        <f>Envoltória!C62</f>
        <v>0</v>
      </c>
      <c r="E57" s="53">
        <f>Envoltória!D62</f>
        <v>0</v>
      </c>
      <c r="F57" s="53" t="str">
        <f>IFERROR(VLOOKUP(Envoltória!F62,CB3E_Envoltória!$AF$11:$AG$15,2,FALSE),"")</f>
        <v/>
      </c>
      <c r="G57" s="53" t="str">
        <f>Envoltória!T62</f>
        <v/>
      </c>
      <c r="H57" s="56">
        <f>Envoltória!S62</f>
        <v>0</v>
      </c>
      <c r="I57" s="56">
        <f>IF(ISERROR(VLOOKUP(Envoltória!M62,Componentes!L:N,3,FALSE)),0,VLOOKUP(Envoltória!M62,Componentes!L:N,3,FALSE))</f>
        <v>0</v>
      </c>
      <c r="J57" s="56">
        <v>0.5</v>
      </c>
      <c r="K57" s="56" t="str">
        <f>Envoltória!U62</f>
        <v/>
      </c>
      <c r="L57" s="56">
        <f>IF(ISERROR(VLOOKUP(Envoltória!M62,Componentes!L:N,2,FALSE)),0,VLOOKUP(Envoltória!M62,Componentes!L:N,2,FALSE))</f>
        <v>0</v>
      </c>
      <c r="M57" s="56">
        <f>IF(ISERROR(VLOOKUP(Envoltória!L62,Componentes!G:J,4,FALSE)),0,VLOOKUP(Envoltória!L62,Componentes!G:J,4,FALSE))</f>
        <v>0</v>
      </c>
      <c r="N57" s="56">
        <f>IF(ISERROR(VLOOKUP(Envoltória!K62,Componentes!B:E,4,FALSE)),0,VLOOKUP(Envoltória!K62,Componentes!B:E,4,FALSE))</f>
        <v>0</v>
      </c>
      <c r="O57" s="54">
        <f>Envoltória!E62</f>
        <v>0</v>
      </c>
      <c r="P57" s="56">
        <f>Envoltória!N62/100</f>
        <v>0</v>
      </c>
      <c r="Q57" s="56">
        <f>Envoltória!Q62</f>
        <v>0</v>
      </c>
      <c r="R57" s="56">
        <f>Envoltória!P62</f>
        <v>0</v>
      </c>
      <c r="S57" s="56">
        <f>Envoltória!R62</f>
        <v>0</v>
      </c>
      <c r="T57" s="56" t="str">
        <f>Envoltória!V62</f>
        <v/>
      </c>
      <c r="U57" s="56" t="str">
        <f>IFERROR(VLOOKUP(Envoltória!I62,Aux_Lista!M:P,3,FALSE),"")</f>
        <v/>
      </c>
      <c r="V57" s="56" t="str">
        <f>IFERROR(VLOOKUP(Envoltória!I62,Aux_Lista!M:P,4,FALSE),"")</f>
        <v/>
      </c>
      <c r="W57" s="56" t="str">
        <f>IFERROR(VLOOKUP(Envoltória!J62,Aux_Lista!R:S,2,FALSE),"")</f>
        <v/>
      </c>
      <c r="X57" s="56">
        <f>IF(ISERROR(VLOOKUP(Envoltória!L62,Componentes!G:J,2,FALSE)),0,VLOOKUP(Envoltória!L62,Componentes!G:J,2,FALSE))</f>
        <v>0</v>
      </c>
      <c r="Y57" s="56">
        <f>IF(ISERROR(VLOOKUP(Envoltória!K62,Componentes!B:E,2,FALSE)),0,VLOOKUP(Envoltória!K62,Componentes!B:E,2,FALSE))</f>
        <v>0</v>
      </c>
      <c r="Z57" s="56">
        <f>IF(ISERROR(VLOOKUP(Envoltória!L62,Componentes!G:J,3,FALSE)),0,VLOOKUP(Envoltória!L62,Componentes!G:J,3,FALSE))</f>
        <v>0</v>
      </c>
      <c r="AA57" s="56">
        <f>IF(ISERROR(VLOOKUP(Envoltória!K62,Componentes!B:E,3,FALSE)),0,VLOOKUP(Envoltória!K62,Componentes!B:E,3,FALSE))</f>
        <v>0</v>
      </c>
      <c r="AB57" s="56" t="str">
        <f>IFERROR(VLOOKUP(Envoltória!I62,Aux_Lista!M:P,2,FALSE),"")</f>
        <v/>
      </c>
      <c r="AC57" s="55" t="str">
        <f>IFERROR(VLOOKUP(Envoltória!G62,CB3E_Envoltória!$AF$18:$AG$19,2,FALSE),"")</f>
        <v/>
      </c>
      <c r="AD57" s="371"/>
    </row>
    <row r="58" spans="1:31" x14ac:dyDescent="0.25">
      <c r="A58" s="1">
        <v>48</v>
      </c>
      <c r="B58" s="50">
        <f>Envoltória!H63</f>
        <v>0</v>
      </c>
      <c r="C58" s="51">
        <f>Envoltória!B63</f>
        <v>0</v>
      </c>
      <c r="D58" s="52">
        <f>Envoltória!C63</f>
        <v>0</v>
      </c>
      <c r="E58" s="53">
        <f>Envoltória!D63</f>
        <v>0</v>
      </c>
      <c r="F58" s="53" t="str">
        <f>IFERROR(VLOOKUP(Envoltória!F63,CB3E_Envoltória!$AF$11:$AG$15,2,FALSE),"")</f>
        <v/>
      </c>
      <c r="G58" s="53" t="str">
        <f>Envoltória!T63</f>
        <v/>
      </c>
      <c r="H58" s="56">
        <f>Envoltória!S63</f>
        <v>0</v>
      </c>
      <c r="I58" s="56">
        <f>IF(ISERROR(VLOOKUP(Envoltória!M63,Componentes!L:N,3,FALSE)),0,VLOOKUP(Envoltória!M63,Componentes!L:N,3,FALSE))</f>
        <v>0</v>
      </c>
      <c r="J58" s="56">
        <v>0.5</v>
      </c>
      <c r="K58" s="56" t="str">
        <f>Envoltória!U63</f>
        <v/>
      </c>
      <c r="L58" s="56">
        <f>IF(ISERROR(VLOOKUP(Envoltória!M63,Componentes!L:N,2,FALSE)),0,VLOOKUP(Envoltória!M63,Componentes!L:N,2,FALSE))</f>
        <v>0</v>
      </c>
      <c r="M58" s="56">
        <f>IF(ISERROR(VLOOKUP(Envoltória!L63,Componentes!G:J,4,FALSE)),0,VLOOKUP(Envoltória!L63,Componentes!G:J,4,FALSE))</f>
        <v>0</v>
      </c>
      <c r="N58" s="56">
        <f>IF(ISERROR(VLOOKUP(Envoltória!K63,Componentes!B:E,4,FALSE)),0,VLOOKUP(Envoltória!K63,Componentes!B:E,4,FALSE))</f>
        <v>0</v>
      </c>
      <c r="O58" s="54">
        <f>Envoltória!E63</f>
        <v>0</v>
      </c>
      <c r="P58" s="56">
        <f>Envoltória!N63/100</f>
        <v>0</v>
      </c>
      <c r="Q58" s="56">
        <f>Envoltória!Q63</f>
        <v>0</v>
      </c>
      <c r="R58" s="56">
        <f>Envoltória!P63</f>
        <v>0</v>
      </c>
      <c r="S58" s="56">
        <f>Envoltória!R63</f>
        <v>0</v>
      </c>
      <c r="T58" s="56" t="str">
        <f>Envoltória!V63</f>
        <v/>
      </c>
      <c r="U58" s="56" t="str">
        <f>IFERROR(VLOOKUP(Envoltória!I63,Aux_Lista!M:P,3,FALSE),"")</f>
        <v/>
      </c>
      <c r="V58" s="56" t="str">
        <f>IFERROR(VLOOKUP(Envoltória!I63,Aux_Lista!M:P,4,FALSE),"")</f>
        <v/>
      </c>
      <c r="W58" s="56" t="str">
        <f>IFERROR(VLOOKUP(Envoltória!J63,Aux_Lista!R:S,2,FALSE),"")</f>
        <v/>
      </c>
      <c r="X58" s="56">
        <f>IF(ISERROR(VLOOKUP(Envoltória!L63,Componentes!G:J,2,FALSE)),0,VLOOKUP(Envoltória!L63,Componentes!G:J,2,FALSE))</f>
        <v>0</v>
      </c>
      <c r="Y58" s="56">
        <f>IF(ISERROR(VLOOKUP(Envoltória!K63,Componentes!B:E,2,FALSE)),0,VLOOKUP(Envoltória!K63,Componentes!B:E,2,FALSE))</f>
        <v>0</v>
      </c>
      <c r="Z58" s="56">
        <f>IF(ISERROR(VLOOKUP(Envoltória!L63,Componentes!G:J,3,FALSE)),0,VLOOKUP(Envoltória!L63,Componentes!G:J,3,FALSE))</f>
        <v>0</v>
      </c>
      <c r="AA58" s="56">
        <f>IF(ISERROR(VLOOKUP(Envoltória!K63,Componentes!B:E,3,FALSE)),0,VLOOKUP(Envoltória!K63,Componentes!B:E,3,FALSE))</f>
        <v>0</v>
      </c>
      <c r="AB58" s="56" t="str">
        <f>IFERROR(VLOOKUP(Envoltória!I63,Aux_Lista!M:P,2,FALSE),"")</f>
        <v/>
      </c>
      <c r="AC58" s="55" t="str">
        <f>IFERROR(VLOOKUP(Envoltória!G63,CB3E_Envoltória!$AF$18:$AG$19,2,FALSE),"")</f>
        <v/>
      </c>
      <c r="AD58" s="371"/>
    </row>
    <row r="59" spans="1:31" x14ac:dyDescent="0.25">
      <c r="A59" s="1">
        <v>49</v>
      </c>
      <c r="B59" s="50">
        <f>Envoltória!H64</f>
        <v>0</v>
      </c>
      <c r="C59" s="51">
        <f>Envoltória!B64</f>
        <v>0</v>
      </c>
      <c r="D59" s="52">
        <f>Envoltória!C64</f>
        <v>0</v>
      </c>
      <c r="E59" s="53">
        <f>Envoltória!D64</f>
        <v>0</v>
      </c>
      <c r="F59" s="53" t="str">
        <f>IFERROR(VLOOKUP(Envoltória!F64,CB3E_Envoltória!$AF$11:$AG$15,2,FALSE),"")</f>
        <v/>
      </c>
      <c r="G59" s="53" t="str">
        <f>Envoltória!T64</f>
        <v/>
      </c>
      <c r="H59" s="56">
        <f>Envoltória!S64</f>
        <v>0</v>
      </c>
      <c r="I59" s="56">
        <f>IF(ISERROR(VLOOKUP(Envoltória!M64,Componentes!L:N,3,FALSE)),0,VLOOKUP(Envoltória!M64,Componentes!L:N,3,FALSE))</f>
        <v>0</v>
      </c>
      <c r="J59" s="56">
        <v>0.5</v>
      </c>
      <c r="K59" s="56" t="str">
        <f>Envoltória!U64</f>
        <v/>
      </c>
      <c r="L59" s="56">
        <f>IF(ISERROR(VLOOKUP(Envoltória!M64,Componentes!L:N,2,FALSE)),0,VLOOKUP(Envoltória!M64,Componentes!L:N,2,FALSE))</f>
        <v>0</v>
      </c>
      <c r="M59" s="56">
        <f>IF(ISERROR(VLOOKUP(Envoltória!L64,Componentes!G:J,4,FALSE)),0,VLOOKUP(Envoltória!L64,Componentes!G:J,4,FALSE))</f>
        <v>0</v>
      </c>
      <c r="N59" s="56">
        <f>IF(ISERROR(VLOOKUP(Envoltória!K64,Componentes!B:E,4,FALSE)),0,VLOOKUP(Envoltória!K64,Componentes!B:E,4,FALSE))</f>
        <v>0</v>
      </c>
      <c r="O59" s="54">
        <f>Envoltória!E64</f>
        <v>0</v>
      </c>
      <c r="P59" s="56">
        <f>Envoltória!N64/100</f>
        <v>0</v>
      </c>
      <c r="Q59" s="56">
        <f>Envoltória!Q64</f>
        <v>0</v>
      </c>
      <c r="R59" s="56">
        <f>Envoltória!P64</f>
        <v>0</v>
      </c>
      <c r="S59" s="56">
        <f>Envoltória!R64</f>
        <v>0</v>
      </c>
      <c r="T59" s="56" t="str">
        <f>Envoltória!V64</f>
        <v/>
      </c>
      <c r="U59" s="56" t="str">
        <f>IFERROR(VLOOKUP(Envoltória!I64,Aux_Lista!M:P,3,FALSE),"")</f>
        <v/>
      </c>
      <c r="V59" s="56" t="str">
        <f>IFERROR(VLOOKUP(Envoltória!I64,Aux_Lista!M:P,4,FALSE),"")</f>
        <v/>
      </c>
      <c r="W59" s="56" t="str">
        <f>IFERROR(VLOOKUP(Envoltória!J64,Aux_Lista!R:S,2,FALSE),"")</f>
        <v/>
      </c>
      <c r="X59" s="56">
        <f>IF(ISERROR(VLOOKUP(Envoltória!L64,Componentes!G:J,2,FALSE)),0,VLOOKUP(Envoltória!L64,Componentes!G:J,2,FALSE))</f>
        <v>0</v>
      </c>
      <c r="Y59" s="56">
        <f>IF(ISERROR(VLOOKUP(Envoltória!K64,Componentes!B:E,2,FALSE)),0,VLOOKUP(Envoltória!K64,Componentes!B:E,2,FALSE))</f>
        <v>0</v>
      </c>
      <c r="Z59" s="56">
        <f>IF(ISERROR(VLOOKUP(Envoltória!L64,Componentes!G:J,3,FALSE)),0,VLOOKUP(Envoltória!L64,Componentes!G:J,3,FALSE))</f>
        <v>0</v>
      </c>
      <c r="AA59" s="56">
        <f>IF(ISERROR(VLOOKUP(Envoltória!K64,Componentes!B:E,3,FALSE)),0,VLOOKUP(Envoltória!K64,Componentes!B:E,3,FALSE))</f>
        <v>0</v>
      </c>
      <c r="AB59" s="56" t="str">
        <f>IFERROR(VLOOKUP(Envoltória!I64,Aux_Lista!M:P,2,FALSE),"")</f>
        <v/>
      </c>
      <c r="AC59" s="55" t="str">
        <f>IFERROR(VLOOKUP(Envoltória!G64,CB3E_Envoltória!$AF$18:$AG$19,2,FALSE),"")</f>
        <v/>
      </c>
      <c r="AD59" s="371"/>
    </row>
    <row r="60" spans="1:31" x14ac:dyDescent="0.25">
      <c r="A60" s="1">
        <v>50</v>
      </c>
      <c r="B60" s="50">
        <f>Envoltória!H65</f>
        <v>0</v>
      </c>
      <c r="C60" s="51">
        <f>Envoltória!B65</f>
        <v>0</v>
      </c>
      <c r="D60" s="52">
        <f>Envoltória!C65</f>
        <v>0</v>
      </c>
      <c r="E60" s="53">
        <f>Envoltória!D65</f>
        <v>0</v>
      </c>
      <c r="F60" s="53" t="str">
        <f>IFERROR(VLOOKUP(Envoltória!F65,CB3E_Envoltória!$AF$11:$AG$15,2,FALSE),"")</f>
        <v/>
      </c>
      <c r="G60" s="53" t="str">
        <f>Envoltória!T65</f>
        <v/>
      </c>
      <c r="H60" s="56">
        <f>Envoltória!S65</f>
        <v>0</v>
      </c>
      <c r="I60" s="56">
        <f>IF(ISERROR(VLOOKUP(Envoltória!M65,Componentes!L:N,3,FALSE)),0,VLOOKUP(Envoltória!M65,Componentes!L:N,3,FALSE))</f>
        <v>0</v>
      </c>
      <c r="J60" s="56">
        <v>0.5</v>
      </c>
      <c r="K60" s="56" t="str">
        <f>Envoltória!U65</f>
        <v/>
      </c>
      <c r="L60" s="56">
        <f>IF(ISERROR(VLOOKUP(Envoltória!M65,Componentes!L:N,2,FALSE)),0,VLOOKUP(Envoltória!M65,Componentes!L:N,2,FALSE))</f>
        <v>0</v>
      </c>
      <c r="M60" s="56">
        <f>IF(ISERROR(VLOOKUP(Envoltória!L65,Componentes!G:J,4,FALSE)),0,VLOOKUP(Envoltória!L65,Componentes!G:J,4,FALSE))</f>
        <v>0</v>
      </c>
      <c r="N60" s="56">
        <f>IF(ISERROR(VLOOKUP(Envoltória!K65,Componentes!B:E,4,FALSE)),0,VLOOKUP(Envoltória!K65,Componentes!B:E,4,FALSE))</f>
        <v>0</v>
      </c>
      <c r="O60" s="54">
        <f>Envoltória!E65</f>
        <v>0</v>
      </c>
      <c r="P60" s="56">
        <f>Envoltória!N65/100</f>
        <v>0</v>
      </c>
      <c r="Q60" s="56">
        <f>Envoltória!Q65</f>
        <v>0</v>
      </c>
      <c r="R60" s="56">
        <f>Envoltória!P65</f>
        <v>0</v>
      </c>
      <c r="S60" s="56">
        <f>Envoltória!R65</f>
        <v>0</v>
      </c>
      <c r="T60" s="56" t="str">
        <f>Envoltória!V65</f>
        <v/>
      </c>
      <c r="U60" s="56" t="str">
        <f>IFERROR(VLOOKUP(Envoltória!I65,Aux_Lista!M:P,3,FALSE),"")</f>
        <v/>
      </c>
      <c r="V60" s="56" t="str">
        <f>IFERROR(VLOOKUP(Envoltória!I65,Aux_Lista!M:P,4,FALSE),"")</f>
        <v/>
      </c>
      <c r="W60" s="56" t="str">
        <f>IFERROR(VLOOKUP(Envoltória!J65,Aux_Lista!R:S,2,FALSE),"")</f>
        <v/>
      </c>
      <c r="X60" s="56">
        <f>IF(ISERROR(VLOOKUP(Envoltória!L65,Componentes!G:J,2,FALSE)),0,VLOOKUP(Envoltória!L65,Componentes!G:J,2,FALSE))</f>
        <v>0</v>
      </c>
      <c r="Y60" s="56">
        <f>IF(ISERROR(VLOOKUP(Envoltória!K65,Componentes!B:E,2,FALSE)),0,VLOOKUP(Envoltória!K65,Componentes!B:E,2,FALSE))</f>
        <v>0</v>
      </c>
      <c r="Z60" s="56">
        <f>IF(ISERROR(VLOOKUP(Envoltória!L65,Componentes!G:J,3,FALSE)),0,VLOOKUP(Envoltória!L65,Componentes!G:J,3,FALSE))</f>
        <v>0</v>
      </c>
      <c r="AA60" s="56">
        <f>IF(ISERROR(VLOOKUP(Envoltória!K65,Componentes!B:E,3,FALSE)),0,VLOOKUP(Envoltória!K65,Componentes!B:E,3,FALSE))</f>
        <v>0</v>
      </c>
      <c r="AB60" s="56" t="str">
        <f>IFERROR(VLOOKUP(Envoltória!I65,Aux_Lista!M:P,2,FALSE),"")</f>
        <v/>
      </c>
      <c r="AC60" s="55" t="str">
        <f>IFERROR(VLOOKUP(Envoltória!G65,CB3E_Envoltória!$AF$18:$AG$19,2,FALSE),"")</f>
        <v/>
      </c>
      <c r="AD60" s="371"/>
    </row>
    <row r="61" spans="1:31" x14ac:dyDescent="0.25">
      <c r="A61" s="1">
        <v>51</v>
      </c>
      <c r="B61" s="50">
        <f>Envoltória!H66</f>
        <v>0</v>
      </c>
      <c r="C61" s="51">
        <f>Envoltória!B66</f>
        <v>0</v>
      </c>
      <c r="D61" s="52">
        <f>Envoltória!C66</f>
        <v>0</v>
      </c>
      <c r="E61" s="53">
        <f>Envoltória!D66</f>
        <v>0</v>
      </c>
      <c r="F61" s="53" t="str">
        <f>IFERROR(VLOOKUP(Envoltória!F66,CB3E_Envoltória!$AF$11:$AG$15,2,FALSE),"")</f>
        <v/>
      </c>
      <c r="G61" s="53" t="str">
        <f>Envoltória!T66</f>
        <v/>
      </c>
      <c r="H61" s="56">
        <f>Envoltória!S66</f>
        <v>0</v>
      </c>
      <c r="I61" s="56">
        <f>IF(ISERROR(VLOOKUP(Envoltória!M66,Componentes!L:N,3,FALSE)),0,VLOOKUP(Envoltória!M66,Componentes!L:N,3,FALSE))</f>
        <v>0</v>
      </c>
      <c r="J61" s="56">
        <v>0.5</v>
      </c>
      <c r="K61" s="56" t="str">
        <f>Envoltória!U66</f>
        <v/>
      </c>
      <c r="L61" s="56">
        <f>IF(ISERROR(VLOOKUP(Envoltória!M66,Componentes!L:N,2,FALSE)),0,VLOOKUP(Envoltória!M66,Componentes!L:N,2,FALSE))</f>
        <v>0</v>
      </c>
      <c r="M61" s="56">
        <f>IF(ISERROR(VLOOKUP(Envoltória!L66,Componentes!G:J,4,FALSE)),0,VLOOKUP(Envoltória!L66,Componentes!G:J,4,FALSE))</f>
        <v>0</v>
      </c>
      <c r="N61" s="56">
        <f>IF(ISERROR(VLOOKUP(Envoltória!K66,Componentes!B:E,4,FALSE)),0,VLOOKUP(Envoltória!K66,Componentes!B:E,4,FALSE))</f>
        <v>0</v>
      </c>
      <c r="O61" s="54">
        <f>Envoltória!E66</f>
        <v>0</v>
      </c>
      <c r="P61" s="56">
        <f>Envoltória!N66/100</f>
        <v>0</v>
      </c>
      <c r="Q61" s="56">
        <f>Envoltória!Q66</f>
        <v>0</v>
      </c>
      <c r="R61" s="56">
        <f>Envoltória!P66</f>
        <v>0</v>
      </c>
      <c r="S61" s="56">
        <f>Envoltória!R66</f>
        <v>0</v>
      </c>
      <c r="T61" s="56" t="str">
        <f>Envoltória!V66</f>
        <v/>
      </c>
      <c r="U61" s="56" t="str">
        <f>IFERROR(VLOOKUP(Envoltória!I66,Aux_Lista!M:P,3,FALSE),"")</f>
        <v/>
      </c>
      <c r="V61" s="56" t="str">
        <f>IFERROR(VLOOKUP(Envoltória!I66,Aux_Lista!M:P,4,FALSE),"")</f>
        <v/>
      </c>
      <c r="W61" s="56" t="str">
        <f>IFERROR(VLOOKUP(Envoltória!J66,Aux_Lista!R:S,2,FALSE),"")</f>
        <v/>
      </c>
      <c r="X61" s="56">
        <f>IF(ISERROR(VLOOKUP(Envoltória!L66,Componentes!G:J,2,FALSE)),0,VLOOKUP(Envoltória!L66,Componentes!G:J,2,FALSE))</f>
        <v>0</v>
      </c>
      <c r="Y61" s="56">
        <f>IF(ISERROR(VLOOKUP(Envoltória!K66,Componentes!B:E,2,FALSE)),0,VLOOKUP(Envoltória!K66,Componentes!B:E,2,FALSE))</f>
        <v>0</v>
      </c>
      <c r="Z61" s="56">
        <f>IF(ISERROR(VLOOKUP(Envoltória!L66,Componentes!G:J,3,FALSE)),0,VLOOKUP(Envoltória!L66,Componentes!G:J,3,FALSE))</f>
        <v>0</v>
      </c>
      <c r="AA61" s="56">
        <f>IF(ISERROR(VLOOKUP(Envoltória!K66,Componentes!B:E,3,FALSE)),0,VLOOKUP(Envoltória!K66,Componentes!B:E,3,FALSE))</f>
        <v>0</v>
      </c>
      <c r="AB61" s="56" t="str">
        <f>IFERROR(VLOOKUP(Envoltória!I66,Aux_Lista!M:P,2,FALSE),"")</f>
        <v/>
      </c>
      <c r="AC61" s="55" t="str">
        <f>IFERROR(VLOOKUP(Envoltória!G66,CB3E_Envoltória!$AF$18:$AG$19,2,FALSE),"")</f>
        <v/>
      </c>
      <c r="AD61" s="371"/>
    </row>
    <row r="62" spans="1:31" x14ac:dyDescent="0.25">
      <c r="A62" s="1">
        <v>52</v>
      </c>
      <c r="B62" s="50">
        <f>Envoltória!H67</f>
        <v>0</v>
      </c>
      <c r="C62" s="51">
        <f>Envoltória!B67</f>
        <v>0</v>
      </c>
      <c r="D62" s="52">
        <f>Envoltória!C67</f>
        <v>0</v>
      </c>
      <c r="E62" s="53">
        <f>Envoltória!D67</f>
        <v>0</v>
      </c>
      <c r="F62" s="53" t="str">
        <f>IFERROR(VLOOKUP(Envoltória!F67,CB3E_Envoltória!$AF$11:$AG$15,2,FALSE),"")</f>
        <v/>
      </c>
      <c r="G62" s="53" t="str">
        <f>Envoltória!T67</f>
        <v/>
      </c>
      <c r="H62" s="56">
        <f>Envoltória!S67</f>
        <v>0</v>
      </c>
      <c r="I62" s="56">
        <f>IF(ISERROR(VLOOKUP(Envoltória!M67,Componentes!L:N,3,FALSE)),0,VLOOKUP(Envoltória!M67,Componentes!L:N,3,FALSE))</f>
        <v>0</v>
      </c>
      <c r="J62" s="56">
        <v>0.5</v>
      </c>
      <c r="K62" s="56" t="str">
        <f>Envoltória!U67</f>
        <v/>
      </c>
      <c r="L62" s="56">
        <f>IF(ISERROR(VLOOKUP(Envoltória!M67,Componentes!L:N,2,FALSE)),0,VLOOKUP(Envoltória!M67,Componentes!L:N,2,FALSE))</f>
        <v>0</v>
      </c>
      <c r="M62" s="56">
        <f>IF(ISERROR(VLOOKUP(Envoltória!L67,Componentes!G:J,4,FALSE)),0,VLOOKUP(Envoltória!L67,Componentes!G:J,4,FALSE))</f>
        <v>0</v>
      </c>
      <c r="N62" s="56">
        <f>IF(ISERROR(VLOOKUP(Envoltória!K67,Componentes!B:E,4,FALSE)),0,VLOOKUP(Envoltória!K67,Componentes!B:E,4,FALSE))</f>
        <v>0</v>
      </c>
      <c r="O62" s="54">
        <f>Envoltória!E67</f>
        <v>0</v>
      </c>
      <c r="P62" s="56">
        <f>Envoltória!N67/100</f>
        <v>0</v>
      </c>
      <c r="Q62" s="56">
        <f>Envoltória!Q67</f>
        <v>0</v>
      </c>
      <c r="R62" s="56">
        <f>Envoltória!P67</f>
        <v>0</v>
      </c>
      <c r="S62" s="56">
        <f>Envoltória!R67</f>
        <v>0</v>
      </c>
      <c r="T62" s="56" t="str">
        <f>Envoltória!V67</f>
        <v/>
      </c>
      <c r="U62" s="56" t="str">
        <f>IFERROR(VLOOKUP(Envoltória!I67,Aux_Lista!M:P,3,FALSE),"")</f>
        <v/>
      </c>
      <c r="V62" s="56" t="str">
        <f>IFERROR(VLOOKUP(Envoltória!I67,Aux_Lista!M:P,4,FALSE),"")</f>
        <v/>
      </c>
      <c r="W62" s="56" t="str">
        <f>IFERROR(VLOOKUP(Envoltória!J67,Aux_Lista!R:S,2,FALSE),"")</f>
        <v/>
      </c>
      <c r="X62" s="56">
        <f>IF(ISERROR(VLOOKUP(Envoltória!L67,Componentes!G:J,2,FALSE)),0,VLOOKUP(Envoltória!L67,Componentes!G:J,2,FALSE))</f>
        <v>0</v>
      </c>
      <c r="Y62" s="56">
        <f>IF(ISERROR(VLOOKUP(Envoltória!K67,Componentes!B:E,2,FALSE)),0,VLOOKUP(Envoltória!K67,Componentes!B:E,2,FALSE))</f>
        <v>0</v>
      </c>
      <c r="Z62" s="56">
        <f>IF(ISERROR(VLOOKUP(Envoltória!L67,Componentes!G:J,3,FALSE)),0,VLOOKUP(Envoltória!L67,Componentes!G:J,3,FALSE))</f>
        <v>0</v>
      </c>
      <c r="AA62" s="56">
        <f>IF(ISERROR(VLOOKUP(Envoltória!K67,Componentes!B:E,3,FALSE)),0,VLOOKUP(Envoltória!K67,Componentes!B:E,3,FALSE))</f>
        <v>0</v>
      </c>
      <c r="AB62" s="56" t="str">
        <f>IFERROR(VLOOKUP(Envoltória!I67,Aux_Lista!M:P,2,FALSE),"")</f>
        <v/>
      </c>
      <c r="AC62" s="55" t="str">
        <f>IFERROR(VLOOKUP(Envoltória!G67,CB3E_Envoltória!$AF$18:$AG$19,2,FALSE),"")</f>
        <v/>
      </c>
      <c r="AD62" s="371"/>
    </row>
    <row r="63" spans="1:31" x14ac:dyDescent="0.25">
      <c r="A63" s="1">
        <v>53</v>
      </c>
      <c r="B63" s="50">
        <f>Envoltória!H68</f>
        <v>0</v>
      </c>
      <c r="C63" s="51">
        <f>Envoltória!B68</f>
        <v>0</v>
      </c>
      <c r="D63" s="52">
        <f>Envoltória!C68</f>
        <v>0</v>
      </c>
      <c r="E63" s="53">
        <f>Envoltória!D68</f>
        <v>0</v>
      </c>
      <c r="F63" s="53" t="str">
        <f>IFERROR(VLOOKUP(Envoltória!F68,CB3E_Envoltória!$AF$11:$AG$15,2,FALSE),"")</f>
        <v/>
      </c>
      <c r="G63" s="53" t="str">
        <f>Envoltória!T68</f>
        <v/>
      </c>
      <c r="H63" s="56">
        <f>Envoltória!S68</f>
        <v>0</v>
      </c>
      <c r="I63" s="56">
        <f>IF(ISERROR(VLOOKUP(Envoltória!M68,Componentes!L:N,3,FALSE)),0,VLOOKUP(Envoltória!M68,Componentes!L:N,3,FALSE))</f>
        <v>0</v>
      </c>
      <c r="J63" s="56">
        <v>0.5</v>
      </c>
      <c r="K63" s="56" t="str">
        <f>Envoltória!U68</f>
        <v/>
      </c>
      <c r="L63" s="56">
        <f>IF(ISERROR(VLOOKUP(Envoltória!M68,Componentes!L:N,2,FALSE)),0,VLOOKUP(Envoltória!M68,Componentes!L:N,2,FALSE))</f>
        <v>0</v>
      </c>
      <c r="M63" s="56">
        <f>IF(ISERROR(VLOOKUP(Envoltória!L68,Componentes!G:J,4,FALSE)),0,VLOOKUP(Envoltória!L68,Componentes!G:J,4,FALSE))</f>
        <v>0</v>
      </c>
      <c r="N63" s="56">
        <f>IF(ISERROR(VLOOKUP(Envoltória!K68,Componentes!B:E,4,FALSE)),0,VLOOKUP(Envoltória!K68,Componentes!B:E,4,FALSE))</f>
        <v>0</v>
      </c>
      <c r="O63" s="54">
        <f>Envoltória!E68</f>
        <v>0</v>
      </c>
      <c r="P63" s="56">
        <f>Envoltória!N68/100</f>
        <v>0</v>
      </c>
      <c r="Q63" s="56">
        <f>Envoltória!Q68</f>
        <v>0</v>
      </c>
      <c r="R63" s="56">
        <f>Envoltória!P68</f>
        <v>0</v>
      </c>
      <c r="S63" s="56">
        <f>Envoltória!R68</f>
        <v>0</v>
      </c>
      <c r="T63" s="56" t="str">
        <f>Envoltória!V68</f>
        <v/>
      </c>
      <c r="U63" s="56" t="str">
        <f>IFERROR(VLOOKUP(Envoltória!I68,Aux_Lista!M:P,3,FALSE),"")</f>
        <v/>
      </c>
      <c r="V63" s="56" t="str">
        <f>IFERROR(VLOOKUP(Envoltória!I68,Aux_Lista!M:P,4,FALSE),"")</f>
        <v/>
      </c>
      <c r="W63" s="56" t="str">
        <f>IFERROR(VLOOKUP(Envoltória!J68,Aux_Lista!R:S,2,FALSE),"")</f>
        <v/>
      </c>
      <c r="X63" s="56">
        <f>IF(ISERROR(VLOOKUP(Envoltória!L68,Componentes!G:J,2,FALSE)),0,VLOOKUP(Envoltória!L68,Componentes!G:J,2,FALSE))</f>
        <v>0</v>
      </c>
      <c r="Y63" s="56">
        <f>IF(ISERROR(VLOOKUP(Envoltória!K68,Componentes!B:E,2,FALSE)),0,VLOOKUP(Envoltória!K68,Componentes!B:E,2,FALSE))</f>
        <v>0</v>
      </c>
      <c r="Z63" s="56">
        <f>IF(ISERROR(VLOOKUP(Envoltória!L68,Componentes!G:J,3,FALSE)),0,VLOOKUP(Envoltória!L68,Componentes!G:J,3,FALSE))</f>
        <v>0</v>
      </c>
      <c r="AA63" s="56">
        <f>IF(ISERROR(VLOOKUP(Envoltória!K68,Componentes!B:E,3,FALSE)),0,VLOOKUP(Envoltória!K68,Componentes!B:E,3,FALSE))</f>
        <v>0</v>
      </c>
      <c r="AB63" s="56" t="str">
        <f>IFERROR(VLOOKUP(Envoltória!I68,Aux_Lista!M:P,2,FALSE),"")</f>
        <v/>
      </c>
      <c r="AC63" s="55" t="str">
        <f>IFERROR(VLOOKUP(Envoltória!G68,CB3E_Envoltória!$AF$18:$AG$19,2,FALSE),"")</f>
        <v/>
      </c>
      <c r="AD63" s="371"/>
    </row>
    <row r="64" spans="1:31" x14ac:dyDescent="0.25">
      <c r="A64" s="1">
        <v>54</v>
      </c>
      <c r="B64" s="50">
        <f>Envoltória!H69</f>
        <v>0</v>
      </c>
      <c r="C64" s="51">
        <f>Envoltória!B69</f>
        <v>0</v>
      </c>
      <c r="D64" s="52">
        <f>Envoltória!C69</f>
        <v>0</v>
      </c>
      <c r="E64" s="53">
        <f>Envoltória!D69</f>
        <v>0</v>
      </c>
      <c r="F64" s="53" t="str">
        <f>IFERROR(VLOOKUP(Envoltória!F69,CB3E_Envoltória!$AF$11:$AG$15,2,FALSE),"")</f>
        <v/>
      </c>
      <c r="G64" s="53" t="str">
        <f>Envoltória!T69</f>
        <v/>
      </c>
      <c r="H64" s="56">
        <f>Envoltória!S69</f>
        <v>0</v>
      </c>
      <c r="I64" s="56">
        <f>IF(ISERROR(VLOOKUP(Envoltória!M69,Componentes!L:N,3,FALSE)),0,VLOOKUP(Envoltória!M69,Componentes!L:N,3,FALSE))</f>
        <v>0</v>
      </c>
      <c r="J64" s="56">
        <v>0.5</v>
      </c>
      <c r="K64" s="56" t="str">
        <f>Envoltória!U69</f>
        <v/>
      </c>
      <c r="L64" s="56">
        <f>IF(ISERROR(VLOOKUP(Envoltória!M69,Componentes!L:N,2,FALSE)),0,VLOOKUP(Envoltória!M69,Componentes!L:N,2,FALSE))</f>
        <v>0</v>
      </c>
      <c r="M64" s="56">
        <f>IF(ISERROR(VLOOKUP(Envoltória!L69,Componentes!G:J,4,FALSE)),0,VLOOKUP(Envoltória!L69,Componentes!G:J,4,FALSE))</f>
        <v>0</v>
      </c>
      <c r="N64" s="56">
        <f>IF(ISERROR(VLOOKUP(Envoltória!K69,Componentes!B:E,4,FALSE)),0,VLOOKUP(Envoltória!K69,Componentes!B:E,4,FALSE))</f>
        <v>0</v>
      </c>
      <c r="O64" s="54">
        <f>Envoltória!E69</f>
        <v>0</v>
      </c>
      <c r="P64" s="56">
        <f>Envoltória!N69/100</f>
        <v>0</v>
      </c>
      <c r="Q64" s="56">
        <f>Envoltória!Q69</f>
        <v>0</v>
      </c>
      <c r="R64" s="56">
        <f>Envoltória!P69</f>
        <v>0</v>
      </c>
      <c r="S64" s="56">
        <f>Envoltória!R69</f>
        <v>0</v>
      </c>
      <c r="T64" s="56" t="str">
        <f>Envoltória!V69</f>
        <v/>
      </c>
      <c r="U64" s="56" t="str">
        <f>IFERROR(VLOOKUP(Envoltória!I69,Aux_Lista!M:P,3,FALSE),"")</f>
        <v/>
      </c>
      <c r="V64" s="56" t="str">
        <f>IFERROR(VLOOKUP(Envoltória!I69,Aux_Lista!M:P,4,FALSE),"")</f>
        <v/>
      </c>
      <c r="W64" s="56" t="str">
        <f>IFERROR(VLOOKUP(Envoltória!J69,Aux_Lista!R:S,2,FALSE),"")</f>
        <v/>
      </c>
      <c r="X64" s="56">
        <f>IF(ISERROR(VLOOKUP(Envoltória!L69,Componentes!G:J,2,FALSE)),0,VLOOKUP(Envoltória!L69,Componentes!G:J,2,FALSE))</f>
        <v>0</v>
      </c>
      <c r="Y64" s="56">
        <f>IF(ISERROR(VLOOKUP(Envoltória!K69,Componentes!B:E,2,FALSE)),0,VLOOKUP(Envoltória!K69,Componentes!B:E,2,FALSE))</f>
        <v>0</v>
      </c>
      <c r="Z64" s="56">
        <f>IF(ISERROR(VLOOKUP(Envoltória!L69,Componentes!G:J,3,FALSE)),0,VLOOKUP(Envoltória!L69,Componentes!G:J,3,FALSE))</f>
        <v>0</v>
      </c>
      <c r="AA64" s="56">
        <f>IF(ISERROR(VLOOKUP(Envoltória!K69,Componentes!B:E,3,FALSE)),0,VLOOKUP(Envoltória!K69,Componentes!B:E,3,FALSE))</f>
        <v>0</v>
      </c>
      <c r="AB64" s="56" t="str">
        <f>IFERROR(VLOOKUP(Envoltória!I69,Aux_Lista!M:P,2,FALSE),"")</f>
        <v/>
      </c>
      <c r="AC64" s="55" t="str">
        <f>IFERROR(VLOOKUP(Envoltória!G69,CB3E_Envoltória!$AF$18:$AG$19,2,FALSE),"")</f>
        <v/>
      </c>
      <c r="AD64" s="371"/>
    </row>
    <row r="65" spans="1:30" x14ac:dyDescent="0.25">
      <c r="A65" s="1">
        <v>55</v>
      </c>
      <c r="B65" s="50">
        <f>Envoltória!H70</f>
        <v>0</v>
      </c>
      <c r="C65" s="51">
        <f>Envoltória!B70</f>
        <v>0</v>
      </c>
      <c r="D65" s="52">
        <f>Envoltória!C70</f>
        <v>0</v>
      </c>
      <c r="E65" s="53">
        <f>Envoltória!D70</f>
        <v>0</v>
      </c>
      <c r="F65" s="53" t="str">
        <f>IFERROR(VLOOKUP(Envoltória!F70,CB3E_Envoltória!$AF$11:$AG$15,2,FALSE),"")</f>
        <v/>
      </c>
      <c r="G65" s="53" t="str">
        <f>Envoltória!T70</f>
        <v/>
      </c>
      <c r="H65" s="56">
        <f>Envoltória!S70</f>
        <v>0</v>
      </c>
      <c r="I65" s="56">
        <f>IF(ISERROR(VLOOKUP(Envoltória!M70,Componentes!L:N,3,FALSE)),0,VLOOKUP(Envoltória!M70,Componentes!L:N,3,FALSE))</f>
        <v>0</v>
      </c>
      <c r="J65" s="56">
        <v>0.5</v>
      </c>
      <c r="K65" s="56" t="str">
        <f>Envoltória!U70</f>
        <v/>
      </c>
      <c r="L65" s="56">
        <f>IF(ISERROR(VLOOKUP(Envoltória!M70,Componentes!L:N,2,FALSE)),0,VLOOKUP(Envoltória!M70,Componentes!L:N,2,FALSE))</f>
        <v>0</v>
      </c>
      <c r="M65" s="56">
        <f>IF(ISERROR(VLOOKUP(Envoltória!L70,Componentes!G:J,4,FALSE)),0,VLOOKUP(Envoltória!L70,Componentes!G:J,4,FALSE))</f>
        <v>0</v>
      </c>
      <c r="N65" s="56">
        <f>IF(ISERROR(VLOOKUP(Envoltória!K70,Componentes!B:E,4,FALSE)),0,VLOOKUP(Envoltória!K70,Componentes!B:E,4,FALSE))</f>
        <v>0</v>
      </c>
      <c r="O65" s="54">
        <f>Envoltória!E70</f>
        <v>0</v>
      </c>
      <c r="P65" s="56">
        <f>Envoltória!N70/100</f>
        <v>0</v>
      </c>
      <c r="Q65" s="56">
        <f>Envoltória!Q70</f>
        <v>0</v>
      </c>
      <c r="R65" s="56">
        <f>Envoltória!P70</f>
        <v>0</v>
      </c>
      <c r="S65" s="56">
        <f>Envoltória!R70</f>
        <v>0</v>
      </c>
      <c r="T65" s="56" t="str">
        <f>Envoltória!V70</f>
        <v/>
      </c>
      <c r="U65" s="56" t="str">
        <f>IFERROR(VLOOKUP(Envoltória!I70,Aux_Lista!M:P,3,FALSE),"")</f>
        <v/>
      </c>
      <c r="V65" s="56" t="str">
        <f>IFERROR(VLOOKUP(Envoltória!I70,Aux_Lista!M:P,4,FALSE),"")</f>
        <v/>
      </c>
      <c r="W65" s="56" t="str">
        <f>IFERROR(VLOOKUP(Envoltória!J70,Aux_Lista!R:S,2,FALSE),"")</f>
        <v/>
      </c>
      <c r="X65" s="56">
        <f>IF(ISERROR(VLOOKUP(Envoltória!L70,Componentes!G:J,2,FALSE)),0,VLOOKUP(Envoltória!L70,Componentes!G:J,2,FALSE))</f>
        <v>0</v>
      </c>
      <c r="Y65" s="56">
        <f>IF(ISERROR(VLOOKUP(Envoltória!K70,Componentes!B:E,2,FALSE)),0,VLOOKUP(Envoltória!K70,Componentes!B:E,2,FALSE))</f>
        <v>0</v>
      </c>
      <c r="Z65" s="56">
        <f>IF(ISERROR(VLOOKUP(Envoltória!L70,Componentes!G:J,3,FALSE)),0,VLOOKUP(Envoltória!L70,Componentes!G:J,3,FALSE))</f>
        <v>0</v>
      </c>
      <c r="AA65" s="56">
        <f>IF(ISERROR(VLOOKUP(Envoltória!K70,Componentes!B:E,3,FALSE)),0,VLOOKUP(Envoltória!K70,Componentes!B:E,3,FALSE))</f>
        <v>0</v>
      </c>
      <c r="AB65" s="56" t="str">
        <f>IFERROR(VLOOKUP(Envoltória!I70,Aux_Lista!M:P,2,FALSE),"")</f>
        <v/>
      </c>
      <c r="AC65" s="55" t="str">
        <f>IFERROR(VLOOKUP(Envoltória!G70,CB3E_Envoltória!$AF$18:$AG$19,2,FALSE),"")</f>
        <v/>
      </c>
      <c r="AD65" s="371"/>
    </row>
    <row r="66" spans="1:30" x14ac:dyDescent="0.25">
      <c r="A66" s="1">
        <v>56</v>
      </c>
      <c r="B66" s="50">
        <f>Envoltória!H71</f>
        <v>0</v>
      </c>
      <c r="C66" s="51">
        <f>Envoltória!B71</f>
        <v>0</v>
      </c>
      <c r="D66" s="52">
        <f>Envoltória!C71</f>
        <v>0</v>
      </c>
      <c r="E66" s="53">
        <f>Envoltória!D71</f>
        <v>0</v>
      </c>
      <c r="F66" s="53" t="str">
        <f>IFERROR(VLOOKUP(Envoltória!F71,CB3E_Envoltória!$AF$11:$AG$15,2,FALSE),"")</f>
        <v/>
      </c>
      <c r="G66" s="53" t="str">
        <f>Envoltória!T71</f>
        <v/>
      </c>
      <c r="H66" s="56">
        <f>Envoltória!S71</f>
        <v>0</v>
      </c>
      <c r="I66" s="56">
        <f>IF(ISERROR(VLOOKUP(Envoltória!M71,Componentes!L:N,3,FALSE)),0,VLOOKUP(Envoltória!M71,Componentes!L:N,3,FALSE))</f>
        <v>0</v>
      </c>
      <c r="J66" s="56">
        <v>0.5</v>
      </c>
      <c r="K66" s="56" t="str">
        <f>Envoltória!U71</f>
        <v/>
      </c>
      <c r="L66" s="56">
        <f>IF(ISERROR(VLOOKUP(Envoltória!M71,Componentes!L:N,2,FALSE)),0,VLOOKUP(Envoltória!M71,Componentes!L:N,2,FALSE))</f>
        <v>0</v>
      </c>
      <c r="M66" s="56">
        <f>IF(ISERROR(VLOOKUP(Envoltória!L71,Componentes!G:J,4,FALSE)),0,VLOOKUP(Envoltória!L71,Componentes!G:J,4,FALSE))</f>
        <v>0</v>
      </c>
      <c r="N66" s="56">
        <f>IF(ISERROR(VLOOKUP(Envoltória!K71,Componentes!B:E,4,FALSE)),0,VLOOKUP(Envoltória!K71,Componentes!B:E,4,FALSE))</f>
        <v>0</v>
      </c>
      <c r="O66" s="54">
        <f>Envoltória!E71</f>
        <v>0</v>
      </c>
      <c r="P66" s="56">
        <f>Envoltória!N71/100</f>
        <v>0</v>
      </c>
      <c r="Q66" s="56">
        <f>Envoltória!Q71</f>
        <v>0</v>
      </c>
      <c r="R66" s="56">
        <f>Envoltória!P71</f>
        <v>0</v>
      </c>
      <c r="S66" s="56">
        <f>Envoltória!R71</f>
        <v>0</v>
      </c>
      <c r="T66" s="56" t="str">
        <f>Envoltória!V71</f>
        <v/>
      </c>
      <c r="U66" s="56" t="str">
        <f>IFERROR(VLOOKUP(Envoltória!I71,Aux_Lista!M:P,3,FALSE),"")</f>
        <v/>
      </c>
      <c r="V66" s="56" t="str">
        <f>IFERROR(VLOOKUP(Envoltória!I71,Aux_Lista!M:P,4,FALSE),"")</f>
        <v/>
      </c>
      <c r="W66" s="56" t="str">
        <f>IFERROR(VLOOKUP(Envoltória!J71,Aux_Lista!R:S,2,FALSE),"")</f>
        <v/>
      </c>
      <c r="X66" s="56">
        <f>IF(ISERROR(VLOOKUP(Envoltória!L71,Componentes!G:J,2,FALSE)),0,VLOOKUP(Envoltória!L71,Componentes!G:J,2,FALSE))</f>
        <v>0</v>
      </c>
      <c r="Y66" s="56">
        <f>IF(ISERROR(VLOOKUP(Envoltória!K71,Componentes!B:E,2,FALSE)),0,VLOOKUP(Envoltória!K71,Componentes!B:E,2,FALSE))</f>
        <v>0</v>
      </c>
      <c r="Z66" s="56">
        <f>IF(ISERROR(VLOOKUP(Envoltória!L71,Componentes!G:J,3,FALSE)),0,VLOOKUP(Envoltória!L71,Componentes!G:J,3,FALSE))</f>
        <v>0</v>
      </c>
      <c r="AA66" s="56">
        <f>IF(ISERROR(VLOOKUP(Envoltória!K71,Componentes!B:E,3,FALSE)),0,VLOOKUP(Envoltória!K71,Componentes!B:E,3,FALSE))</f>
        <v>0</v>
      </c>
      <c r="AB66" s="56" t="str">
        <f>IFERROR(VLOOKUP(Envoltória!I71,Aux_Lista!M:P,2,FALSE),"")</f>
        <v/>
      </c>
      <c r="AC66" s="55" t="str">
        <f>IFERROR(VLOOKUP(Envoltória!G71,CB3E_Envoltória!$AF$18:$AG$19,2,FALSE),"")</f>
        <v/>
      </c>
      <c r="AD66" s="371"/>
    </row>
    <row r="67" spans="1:30" x14ac:dyDescent="0.25">
      <c r="A67" s="1">
        <v>57</v>
      </c>
      <c r="B67" s="50">
        <f>Envoltória!H72</f>
        <v>0</v>
      </c>
      <c r="C67" s="51">
        <f>Envoltória!B72</f>
        <v>0</v>
      </c>
      <c r="D67" s="52">
        <f>Envoltória!C72</f>
        <v>0</v>
      </c>
      <c r="E67" s="53">
        <f>Envoltória!D72</f>
        <v>0</v>
      </c>
      <c r="F67" s="53" t="str">
        <f>IFERROR(VLOOKUP(Envoltória!F72,CB3E_Envoltória!$AF$11:$AG$15,2,FALSE),"")</f>
        <v/>
      </c>
      <c r="G67" s="53" t="str">
        <f>Envoltória!T72</f>
        <v/>
      </c>
      <c r="H67" s="56">
        <f>Envoltória!S72</f>
        <v>0</v>
      </c>
      <c r="I67" s="56">
        <f>IF(ISERROR(VLOOKUP(Envoltória!M72,Componentes!L:N,3,FALSE)),0,VLOOKUP(Envoltória!M72,Componentes!L:N,3,FALSE))</f>
        <v>0</v>
      </c>
      <c r="J67" s="56">
        <v>0.5</v>
      </c>
      <c r="K67" s="56" t="str">
        <f>Envoltória!U72</f>
        <v/>
      </c>
      <c r="L67" s="56">
        <f>IF(ISERROR(VLOOKUP(Envoltória!M72,Componentes!L:N,2,FALSE)),0,VLOOKUP(Envoltória!M72,Componentes!L:N,2,FALSE))</f>
        <v>0</v>
      </c>
      <c r="M67" s="56">
        <f>IF(ISERROR(VLOOKUP(Envoltória!L72,Componentes!G:J,4,FALSE)),0,VLOOKUP(Envoltória!L72,Componentes!G:J,4,FALSE))</f>
        <v>0</v>
      </c>
      <c r="N67" s="56">
        <f>IF(ISERROR(VLOOKUP(Envoltória!K72,Componentes!B:E,4,FALSE)),0,VLOOKUP(Envoltória!K72,Componentes!B:E,4,FALSE))</f>
        <v>0</v>
      </c>
      <c r="O67" s="54">
        <f>Envoltória!E72</f>
        <v>0</v>
      </c>
      <c r="P67" s="56">
        <f>Envoltória!N72/100</f>
        <v>0</v>
      </c>
      <c r="Q67" s="56">
        <f>Envoltória!Q72</f>
        <v>0</v>
      </c>
      <c r="R67" s="56">
        <f>Envoltória!P72</f>
        <v>0</v>
      </c>
      <c r="S67" s="56">
        <f>Envoltória!R72</f>
        <v>0</v>
      </c>
      <c r="T67" s="56" t="str">
        <f>Envoltória!V72</f>
        <v/>
      </c>
      <c r="U67" s="56" t="str">
        <f>IFERROR(VLOOKUP(Envoltória!I72,Aux_Lista!M:P,3,FALSE),"")</f>
        <v/>
      </c>
      <c r="V67" s="56" t="str">
        <f>IFERROR(VLOOKUP(Envoltória!I72,Aux_Lista!M:P,4,FALSE),"")</f>
        <v/>
      </c>
      <c r="W67" s="56" t="str">
        <f>IFERROR(VLOOKUP(Envoltória!J72,Aux_Lista!R:S,2,FALSE),"")</f>
        <v/>
      </c>
      <c r="X67" s="56">
        <f>IF(ISERROR(VLOOKUP(Envoltória!L72,Componentes!G:J,2,FALSE)),0,VLOOKUP(Envoltória!L72,Componentes!G:J,2,FALSE))</f>
        <v>0</v>
      </c>
      <c r="Y67" s="56">
        <f>IF(ISERROR(VLOOKUP(Envoltória!K72,Componentes!B:E,2,FALSE)),0,VLOOKUP(Envoltória!K72,Componentes!B:E,2,FALSE))</f>
        <v>0</v>
      </c>
      <c r="Z67" s="56">
        <f>IF(ISERROR(VLOOKUP(Envoltória!L72,Componentes!G:J,3,FALSE)),0,VLOOKUP(Envoltória!L72,Componentes!G:J,3,FALSE))</f>
        <v>0</v>
      </c>
      <c r="AA67" s="56">
        <f>IF(ISERROR(VLOOKUP(Envoltória!K72,Componentes!B:E,3,FALSE)),0,VLOOKUP(Envoltória!K72,Componentes!B:E,3,FALSE))</f>
        <v>0</v>
      </c>
      <c r="AB67" s="56" t="str">
        <f>IFERROR(VLOOKUP(Envoltória!I72,Aux_Lista!M:P,2,FALSE),"")</f>
        <v/>
      </c>
      <c r="AC67" s="55" t="str">
        <f>IFERROR(VLOOKUP(Envoltória!G72,CB3E_Envoltória!$AF$18:$AG$19,2,FALSE),"")</f>
        <v/>
      </c>
      <c r="AD67" s="371"/>
    </row>
    <row r="68" spans="1:30" x14ac:dyDescent="0.25">
      <c r="A68" s="1">
        <v>58</v>
      </c>
      <c r="B68" s="50">
        <f>Envoltória!H73</f>
        <v>0</v>
      </c>
      <c r="C68" s="51">
        <f>Envoltória!B73</f>
        <v>0</v>
      </c>
      <c r="D68" s="52">
        <f>Envoltória!C73</f>
        <v>0</v>
      </c>
      <c r="E68" s="53">
        <f>Envoltória!D73</f>
        <v>0</v>
      </c>
      <c r="F68" s="53" t="str">
        <f>IFERROR(VLOOKUP(Envoltória!F73,CB3E_Envoltória!$AF$11:$AG$15,2,FALSE),"")</f>
        <v/>
      </c>
      <c r="G68" s="53" t="str">
        <f>Envoltória!T73</f>
        <v/>
      </c>
      <c r="H68" s="56">
        <f>Envoltória!S73</f>
        <v>0</v>
      </c>
      <c r="I68" s="56">
        <f>IF(ISERROR(VLOOKUP(Envoltória!M73,Componentes!L:N,3,FALSE)),0,VLOOKUP(Envoltória!M73,Componentes!L:N,3,FALSE))</f>
        <v>0</v>
      </c>
      <c r="J68" s="56">
        <v>0.5</v>
      </c>
      <c r="K68" s="56" t="str">
        <f>Envoltória!U73</f>
        <v/>
      </c>
      <c r="L68" s="56">
        <f>IF(ISERROR(VLOOKUP(Envoltória!M73,Componentes!L:N,2,FALSE)),0,VLOOKUP(Envoltória!M73,Componentes!L:N,2,FALSE))</f>
        <v>0</v>
      </c>
      <c r="M68" s="56">
        <f>IF(ISERROR(VLOOKUP(Envoltória!L73,Componentes!G:J,4,FALSE)),0,VLOOKUP(Envoltória!L73,Componentes!G:J,4,FALSE))</f>
        <v>0</v>
      </c>
      <c r="N68" s="56">
        <f>IF(ISERROR(VLOOKUP(Envoltória!K73,Componentes!B:E,4,FALSE)),0,VLOOKUP(Envoltória!K73,Componentes!B:E,4,FALSE))</f>
        <v>0</v>
      </c>
      <c r="O68" s="54">
        <f>Envoltória!E73</f>
        <v>0</v>
      </c>
      <c r="P68" s="56">
        <f>Envoltória!N73/100</f>
        <v>0</v>
      </c>
      <c r="Q68" s="56">
        <f>Envoltória!Q73</f>
        <v>0</v>
      </c>
      <c r="R68" s="56">
        <f>Envoltória!P73</f>
        <v>0</v>
      </c>
      <c r="S68" s="56">
        <f>Envoltória!R73</f>
        <v>0</v>
      </c>
      <c r="T68" s="56" t="str">
        <f>Envoltória!V73</f>
        <v/>
      </c>
      <c r="U68" s="56" t="str">
        <f>IFERROR(VLOOKUP(Envoltória!I73,Aux_Lista!M:P,3,FALSE),"")</f>
        <v/>
      </c>
      <c r="V68" s="56" t="str">
        <f>IFERROR(VLOOKUP(Envoltória!I73,Aux_Lista!M:P,4,FALSE),"")</f>
        <v/>
      </c>
      <c r="W68" s="56" t="str">
        <f>IFERROR(VLOOKUP(Envoltória!J73,Aux_Lista!R:S,2,FALSE),"")</f>
        <v/>
      </c>
      <c r="X68" s="56">
        <f>IF(ISERROR(VLOOKUP(Envoltória!L73,Componentes!G:J,2,FALSE)),0,VLOOKUP(Envoltória!L73,Componentes!G:J,2,FALSE))</f>
        <v>0</v>
      </c>
      <c r="Y68" s="56">
        <f>IF(ISERROR(VLOOKUP(Envoltória!K73,Componentes!B:E,2,FALSE)),0,VLOOKUP(Envoltória!K73,Componentes!B:E,2,FALSE))</f>
        <v>0</v>
      </c>
      <c r="Z68" s="56">
        <f>IF(ISERROR(VLOOKUP(Envoltória!L73,Componentes!G:J,3,FALSE)),0,VLOOKUP(Envoltória!L73,Componentes!G:J,3,FALSE))</f>
        <v>0</v>
      </c>
      <c r="AA68" s="56">
        <f>IF(ISERROR(VLOOKUP(Envoltória!K73,Componentes!B:E,3,FALSE)),0,VLOOKUP(Envoltória!K73,Componentes!B:E,3,FALSE))</f>
        <v>0</v>
      </c>
      <c r="AB68" s="56" t="str">
        <f>IFERROR(VLOOKUP(Envoltória!I73,Aux_Lista!M:P,2,FALSE),"")</f>
        <v/>
      </c>
      <c r="AC68" s="55" t="str">
        <f>IFERROR(VLOOKUP(Envoltória!G73,CB3E_Envoltória!$AF$18:$AG$19,2,FALSE),"")</f>
        <v/>
      </c>
      <c r="AD68" s="371"/>
    </row>
    <row r="69" spans="1:30" x14ac:dyDescent="0.25">
      <c r="A69" s="1">
        <v>59</v>
      </c>
      <c r="B69" s="50">
        <f>Envoltória!H74</f>
        <v>0</v>
      </c>
      <c r="C69" s="51">
        <f>Envoltória!B74</f>
        <v>0</v>
      </c>
      <c r="D69" s="52">
        <f>Envoltória!C74</f>
        <v>0</v>
      </c>
      <c r="E69" s="53">
        <f>Envoltória!D74</f>
        <v>0</v>
      </c>
      <c r="F69" s="53" t="str">
        <f>IFERROR(VLOOKUP(Envoltória!F74,CB3E_Envoltória!$AF$11:$AG$15,2,FALSE),"")</f>
        <v/>
      </c>
      <c r="G69" s="53" t="str">
        <f>Envoltória!T74</f>
        <v/>
      </c>
      <c r="H69" s="56">
        <f>Envoltória!S74</f>
        <v>0</v>
      </c>
      <c r="I69" s="56">
        <f>IF(ISERROR(VLOOKUP(Envoltória!M74,Componentes!L:N,3,FALSE)),0,VLOOKUP(Envoltória!M74,Componentes!L:N,3,FALSE))</f>
        <v>0</v>
      </c>
      <c r="J69" s="56">
        <v>0.5</v>
      </c>
      <c r="K69" s="56" t="str">
        <f>Envoltória!U74</f>
        <v/>
      </c>
      <c r="L69" s="56">
        <f>IF(ISERROR(VLOOKUP(Envoltória!M74,Componentes!L:N,2,FALSE)),0,VLOOKUP(Envoltória!M74,Componentes!L:N,2,FALSE))</f>
        <v>0</v>
      </c>
      <c r="M69" s="56">
        <f>IF(ISERROR(VLOOKUP(Envoltória!L74,Componentes!G:J,4,FALSE)),0,VLOOKUP(Envoltória!L74,Componentes!G:J,4,FALSE))</f>
        <v>0</v>
      </c>
      <c r="N69" s="56">
        <f>IF(ISERROR(VLOOKUP(Envoltória!K74,Componentes!B:E,4,FALSE)),0,VLOOKUP(Envoltória!K74,Componentes!B:E,4,FALSE))</f>
        <v>0</v>
      </c>
      <c r="O69" s="54">
        <f>Envoltória!E74</f>
        <v>0</v>
      </c>
      <c r="P69" s="56">
        <f>Envoltória!N74/100</f>
        <v>0</v>
      </c>
      <c r="Q69" s="56">
        <f>Envoltória!Q74</f>
        <v>0</v>
      </c>
      <c r="R69" s="56">
        <f>Envoltória!P74</f>
        <v>0</v>
      </c>
      <c r="S69" s="56">
        <f>Envoltória!R74</f>
        <v>0</v>
      </c>
      <c r="T69" s="56" t="str">
        <f>Envoltória!V74</f>
        <v/>
      </c>
      <c r="U69" s="56" t="str">
        <f>IFERROR(VLOOKUP(Envoltória!I74,Aux_Lista!M:P,3,FALSE),"")</f>
        <v/>
      </c>
      <c r="V69" s="56" t="str">
        <f>IFERROR(VLOOKUP(Envoltória!I74,Aux_Lista!M:P,4,FALSE),"")</f>
        <v/>
      </c>
      <c r="W69" s="56" t="str">
        <f>IFERROR(VLOOKUP(Envoltória!J74,Aux_Lista!R:S,2,FALSE),"")</f>
        <v/>
      </c>
      <c r="X69" s="56">
        <f>IF(ISERROR(VLOOKUP(Envoltória!L74,Componentes!G:J,2,FALSE)),0,VLOOKUP(Envoltória!L74,Componentes!G:J,2,FALSE))</f>
        <v>0</v>
      </c>
      <c r="Y69" s="56">
        <f>IF(ISERROR(VLOOKUP(Envoltória!K74,Componentes!B:E,2,FALSE)),0,VLOOKUP(Envoltória!K74,Componentes!B:E,2,FALSE))</f>
        <v>0</v>
      </c>
      <c r="Z69" s="56">
        <f>IF(ISERROR(VLOOKUP(Envoltória!L74,Componentes!G:J,3,FALSE)),0,VLOOKUP(Envoltória!L74,Componentes!G:J,3,FALSE))</f>
        <v>0</v>
      </c>
      <c r="AA69" s="56">
        <f>IF(ISERROR(VLOOKUP(Envoltória!K74,Componentes!B:E,3,FALSE)),0,VLOOKUP(Envoltória!K74,Componentes!B:E,3,FALSE))</f>
        <v>0</v>
      </c>
      <c r="AB69" s="56" t="str">
        <f>IFERROR(VLOOKUP(Envoltória!I74,Aux_Lista!M:P,2,FALSE),"")</f>
        <v/>
      </c>
      <c r="AC69" s="55" t="str">
        <f>IFERROR(VLOOKUP(Envoltória!G74,CB3E_Envoltória!$AF$18:$AG$19,2,FALSE),"")</f>
        <v/>
      </c>
      <c r="AD69" s="371"/>
    </row>
    <row r="70" spans="1:30" x14ac:dyDescent="0.25">
      <c r="A70" s="1">
        <v>60</v>
      </c>
      <c r="B70" s="50">
        <f>Envoltória!H75</f>
        <v>0</v>
      </c>
      <c r="C70" s="51">
        <f>Envoltória!B75</f>
        <v>0</v>
      </c>
      <c r="D70" s="52">
        <f>Envoltória!C75</f>
        <v>0</v>
      </c>
      <c r="E70" s="53">
        <f>Envoltória!D75</f>
        <v>0</v>
      </c>
      <c r="F70" s="53" t="str">
        <f>IFERROR(VLOOKUP(Envoltória!F75,CB3E_Envoltória!$AF$11:$AG$15,2,FALSE),"")</f>
        <v/>
      </c>
      <c r="G70" s="53" t="str">
        <f>Envoltória!T75</f>
        <v/>
      </c>
      <c r="H70" s="56">
        <f>Envoltória!S75</f>
        <v>0</v>
      </c>
      <c r="I70" s="56">
        <f>IF(ISERROR(VLOOKUP(Envoltória!M75,Componentes!L:N,3,FALSE)),0,VLOOKUP(Envoltória!M75,Componentes!L:N,3,FALSE))</f>
        <v>0</v>
      </c>
      <c r="J70" s="56">
        <v>0.5</v>
      </c>
      <c r="K70" s="56" t="str">
        <f>Envoltória!U75</f>
        <v/>
      </c>
      <c r="L70" s="56">
        <f>IF(ISERROR(VLOOKUP(Envoltória!M75,Componentes!L:N,2,FALSE)),0,VLOOKUP(Envoltória!M75,Componentes!L:N,2,FALSE))</f>
        <v>0</v>
      </c>
      <c r="M70" s="56">
        <f>IF(ISERROR(VLOOKUP(Envoltória!L75,Componentes!G:J,4,FALSE)),0,VLOOKUP(Envoltória!L75,Componentes!G:J,4,FALSE))</f>
        <v>0</v>
      </c>
      <c r="N70" s="56">
        <f>IF(ISERROR(VLOOKUP(Envoltória!K75,Componentes!B:E,4,FALSE)),0,VLOOKUP(Envoltória!K75,Componentes!B:E,4,FALSE))</f>
        <v>0</v>
      </c>
      <c r="O70" s="54">
        <f>Envoltória!E75</f>
        <v>0</v>
      </c>
      <c r="P70" s="56">
        <f>Envoltória!N75/100</f>
        <v>0</v>
      </c>
      <c r="Q70" s="56">
        <f>Envoltória!Q75</f>
        <v>0</v>
      </c>
      <c r="R70" s="56">
        <f>Envoltória!P75</f>
        <v>0</v>
      </c>
      <c r="S70" s="56">
        <f>Envoltória!R75</f>
        <v>0</v>
      </c>
      <c r="T70" s="56" t="str">
        <f>Envoltória!V75</f>
        <v/>
      </c>
      <c r="U70" s="56" t="str">
        <f>IFERROR(VLOOKUP(Envoltória!I75,Aux_Lista!M:P,3,FALSE),"")</f>
        <v/>
      </c>
      <c r="V70" s="56" t="str">
        <f>IFERROR(VLOOKUP(Envoltória!I75,Aux_Lista!M:P,4,FALSE),"")</f>
        <v/>
      </c>
      <c r="W70" s="56" t="str">
        <f>IFERROR(VLOOKUP(Envoltória!J75,Aux_Lista!R:S,2,FALSE),"")</f>
        <v/>
      </c>
      <c r="X70" s="56">
        <f>IF(ISERROR(VLOOKUP(Envoltória!L75,Componentes!G:J,2,FALSE)),0,VLOOKUP(Envoltória!L75,Componentes!G:J,2,FALSE))</f>
        <v>0</v>
      </c>
      <c r="Y70" s="56">
        <f>IF(ISERROR(VLOOKUP(Envoltória!K75,Componentes!B:E,2,FALSE)),0,VLOOKUP(Envoltória!K75,Componentes!B:E,2,FALSE))</f>
        <v>0</v>
      </c>
      <c r="Z70" s="56">
        <f>IF(ISERROR(VLOOKUP(Envoltória!L75,Componentes!G:J,3,FALSE)),0,VLOOKUP(Envoltória!L75,Componentes!G:J,3,FALSE))</f>
        <v>0</v>
      </c>
      <c r="AA70" s="56">
        <f>IF(ISERROR(VLOOKUP(Envoltória!K75,Componentes!B:E,3,FALSE)),0,VLOOKUP(Envoltória!K75,Componentes!B:E,3,FALSE))</f>
        <v>0</v>
      </c>
      <c r="AB70" s="56" t="str">
        <f>IFERROR(VLOOKUP(Envoltória!I75,Aux_Lista!M:P,2,FALSE),"")</f>
        <v/>
      </c>
      <c r="AC70" s="55" t="str">
        <f>IFERROR(VLOOKUP(Envoltória!G75,CB3E_Envoltória!$AF$18:$AG$19,2,FALSE),"")</f>
        <v/>
      </c>
      <c r="AD70" s="371"/>
    </row>
    <row r="71" spans="1:30" x14ac:dyDescent="0.25">
      <c r="A71" s="1">
        <v>61</v>
      </c>
      <c r="B71" s="50">
        <f>Envoltória!H76</f>
        <v>0</v>
      </c>
      <c r="C71" s="51">
        <f>Envoltória!B76</f>
        <v>0</v>
      </c>
      <c r="D71" s="52">
        <f>Envoltória!C76</f>
        <v>0</v>
      </c>
      <c r="E71" s="53">
        <f>Envoltória!D76</f>
        <v>0</v>
      </c>
      <c r="F71" s="53" t="str">
        <f>IFERROR(VLOOKUP(Envoltória!F76,CB3E_Envoltória!$AF$11:$AG$15,2,FALSE),"")</f>
        <v/>
      </c>
      <c r="G71" s="53" t="str">
        <f>Envoltória!T76</f>
        <v/>
      </c>
      <c r="H71" s="56">
        <f>Envoltória!S76</f>
        <v>0</v>
      </c>
      <c r="I71" s="56">
        <f>IF(ISERROR(VLOOKUP(Envoltória!M76,Componentes!L:N,3,FALSE)),0,VLOOKUP(Envoltória!M76,Componentes!L:N,3,FALSE))</f>
        <v>0</v>
      </c>
      <c r="J71" s="56">
        <v>0.5</v>
      </c>
      <c r="K71" s="56" t="str">
        <f>Envoltória!U76</f>
        <v/>
      </c>
      <c r="L71" s="56">
        <f>IF(ISERROR(VLOOKUP(Envoltória!M76,Componentes!L:N,2,FALSE)),0,VLOOKUP(Envoltória!M76,Componentes!L:N,2,FALSE))</f>
        <v>0</v>
      </c>
      <c r="M71" s="56">
        <f>IF(ISERROR(VLOOKUP(Envoltória!L76,Componentes!G:J,4,FALSE)),0,VLOOKUP(Envoltória!L76,Componentes!G:J,4,FALSE))</f>
        <v>0</v>
      </c>
      <c r="N71" s="56">
        <f>IF(ISERROR(VLOOKUP(Envoltória!K76,Componentes!B:E,4,FALSE)),0,VLOOKUP(Envoltória!K76,Componentes!B:E,4,FALSE))</f>
        <v>0</v>
      </c>
      <c r="O71" s="54">
        <f>Envoltória!E76</f>
        <v>0</v>
      </c>
      <c r="P71" s="56">
        <f>Envoltória!N76/100</f>
        <v>0</v>
      </c>
      <c r="Q71" s="56">
        <f>Envoltória!Q76</f>
        <v>0</v>
      </c>
      <c r="R71" s="56">
        <f>Envoltória!P76</f>
        <v>0</v>
      </c>
      <c r="S71" s="56">
        <f>Envoltória!R76</f>
        <v>0</v>
      </c>
      <c r="T71" s="56" t="str">
        <f>Envoltória!V76</f>
        <v/>
      </c>
      <c r="U71" s="56" t="str">
        <f>IFERROR(VLOOKUP(Envoltória!I76,Aux_Lista!M:P,3,FALSE),"")</f>
        <v/>
      </c>
      <c r="V71" s="56" t="str">
        <f>IFERROR(VLOOKUP(Envoltória!I76,Aux_Lista!M:P,4,FALSE),"")</f>
        <v/>
      </c>
      <c r="W71" s="56" t="str">
        <f>IFERROR(VLOOKUP(Envoltória!J76,Aux_Lista!R:S,2,FALSE),"")</f>
        <v/>
      </c>
      <c r="X71" s="56">
        <f>IF(ISERROR(VLOOKUP(Envoltória!L76,Componentes!G:J,2,FALSE)),0,VLOOKUP(Envoltória!L76,Componentes!G:J,2,FALSE))</f>
        <v>0</v>
      </c>
      <c r="Y71" s="56">
        <f>IF(ISERROR(VLOOKUP(Envoltória!K76,Componentes!B:E,2,FALSE)),0,VLOOKUP(Envoltória!K76,Componentes!B:E,2,FALSE))</f>
        <v>0</v>
      </c>
      <c r="Z71" s="56">
        <f>IF(ISERROR(VLOOKUP(Envoltória!L76,Componentes!G:J,3,FALSE)),0,VLOOKUP(Envoltória!L76,Componentes!G:J,3,FALSE))</f>
        <v>0</v>
      </c>
      <c r="AA71" s="56">
        <f>IF(ISERROR(VLOOKUP(Envoltória!K76,Componentes!B:E,3,FALSE)),0,VLOOKUP(Envoltória!K76,Componentes!B:E,3,FALSE))</f>
        <v>0</v>
      </c>
      <c r="AB71" s="56" t="str">
        <f>IFERROR(VLOOKUP(Envoltória!I76,Aux_Lista!M:P,2,FALSE),"")</f>
        <v/>
      </c>
      <c r="AC71" s="55" t="str">
        <f>IFERROR(VLOOKUP(Envoltória!G76,CB3E_Envoltória!$AF$18:$AG$19,2,FALSE),"")</f>
        <v/>
      </c>
      <c r="AD71" s="371"/>
    </row>
    <row r="72" spans="1:30" x14ac:dyDescent="0.25">
      <c r="A72" s="1">
        <v>62</v>
      </c>
      <c r="B72" s="50">
        <f>Envoltória!H77</f>
        <v>0</v>
      </c>
      <c r="C72" s="51">
        <f>Envoltória!B77</f>
        <v>0</v>
      </c>
      <c r="D72" s="52">
        <f>Envoltória!C77</f>
        <v>0</v>
      </c>
      <c r="E72" s="53">
        <f>Envoltória!D77</f>
        <v>0</v>
      </c>
      <c r="F72" s="53" t="str">
        <f>IFERROR(VLOOKUP(Envoltória!F77,CB3E_Envoltória!$AF$11:$AG$15,2,FALSE),"")</f>
        <v/>
      </c>
      <c r="G72" s="53" t="str">
        <f>Envoltória!T77</f>
        <v/>
      </c>
      <c r="H72" s="56">
        <f>Envoltória!S77</f>
        <v>0</v>
      </c>
      <c r="I72" s="56">
        <f>IF(ISERROR(VLOOKUP(Envoltória!M77,Componentes!L:N,3,FALSE)),0,VLOOKUP(Envoltória!M77,Componentes!L:N,3,FALSE))</f>
        <v>0</v>
      </c>
      <c r="J72" s="56">
        <v>0.5</v>
      </c>
      <c r="K72" s="56" t="str">
        <f>Envoltória!U77</f>
        <v/>
      </c>
      <c r="L72" s="56">
        <f>IF(ISERROR(VLOOKUP(Envoltória!M77,Componentes!L:N,2,FALSE)),0,VLOOKUP(Envoltória!M77,Componentes!L:N,2,FALSE))</f>
        <v>0</v>
      </c>
      <c r="M72" s="56">
        <f>IF(ISERROR(VLOOKUP(Envoltória!L77,Componentes!G:J,4,FALSE)),0,VLOOKUP(Envoltória!L77,Componentes!G:J,4,FALSE))</f>
        <v>0</v>
      </c>
      <c r="N72" s="56">
        <f>IF(ISERROR(VLOOKUP(Envoltória!K77,Componentes!B:E,4,FALSE)),0,VLOOKUP(Envoltória!K77,Componentes!B:E,4,FALSE))</f>
        <v>0</v>
      </c>
      <c r="O72" s="54">
        <f>Envoltória!E77</f>
        <v>0</v>
      </c>
      <c r="P72" s="56">
        <f>Envoltória!N77/100</f>
        <v>0</v>
      </c>
      <c r="Q72" s="56">
        <f>Envoltória!Q77</f>
        <v>0</v>
      </c>
      <c r="R72" s="56">
        <f>Envoltória!P77</f>
        <v>0</v>
      </c>
      <c r="S72" s="56">
        <f>Envoltória!R77</f>
        <v>0</v>
      </c>
      <c r="T72" s="56" t="str">
        <f>Envoltória!V77</f>
        <v/>
      </c>
      <c r="U72" s="56" t="str">
        <f>IFERROR(VLOOKUP(Envoltória!I77,Aux_Lista!M:P,3,FALSE),"")</f>
        <v/>
      </c>
      <c r="V72" s="56" t="str">
        <f>IFERROR(VLOOKUP(Envoltória!I77,Aux_Lista!M:P,4,FALSE),"")</f>
        <v/>
      </c>
      <c r="W72" s="56" t="str">
        <f>IFERROR(VLOOKUP(Envoltória!J77,Aux_Lista!R:S,2,FALSE),"")</f>
        <v/>
      </c>
      <c r="X72" s="56">
        <f>IF(ISERROR(VLOOKUP(Envoltória!L77,Componentes!G:J,2,FALSE)),0,VLOOKUP(Envoltória!L77,Componentes!G:J,2,FALSE))</f>
        <v>0</v>
      </c>
      <c r="Y72" s="56">
        <f>IF(ISERROR(VLOOKUP(Envoltória!K77,Componentes!B:E,2,FALSE)),0,VLOOKUP(Envoltória!K77,Componentes!B:E,2,FALSE))</f>
        <v>0</v>
      </c>
      <c r="Z72" s="56">
        <f>IF(ISERROR(VLOOKUP(Envoltória!L77,Componentes!G:J,3,FALSE)),0,VLOOKUP(Envoltória!L77,Componentes!G:J,3,FALSE))</f>
        <v>0</v>
      </c>
      <c r="AA72" s="56">
        <f>IF(ISERROR(VLOOKUP(Envoltória!K77,Componentes!B:E,3,FALSE)),0,VLOOKUP(Envoltória!K77,Componentes!B:E,3,FALSE))</f>
        <v>0</v>
      </c>
      <c r="AB72" s="56" t="str">
        <f>IFERROR(VLOOKUP(Envoltória!I77,Aux_Lista!M:P,2,FALSE),"")</f>
        <v/>
      </c>
      <c r="AC72" s="55" t="str">
        <f>IFERROR(VLOOKUP(Envoltória!G77,CB3E_Envoltória!$AF$18:$AG$19,2,FALSE),"")</f>
        <v/>
      </c>
      <c r="AD72" s="371"/>
    </row>
    <row r="73" spans="1:30" x14ac:dyDescent="0.25">
      <c r="A73" s="1">
        <v>63</v>
      </c>
      <c r="B73" s="50">
        <f>Envoltória!H78</f>
        <v>0</v>
      </c>
      <c r="C73" s="51">
        <f>Envoltória!B78</f>
        <v>0</v>
      </c>
      <c r="D73" s="52">
        <f>Envoltória!C78</f>
        <v>0</v>
      </c>
      <c r="E73" s="53">
        <f>Envoltória!D78</f>
        <v>0</v>
      </c>
      <c r="F73" s="53" t="str">
        <f>IFERROR(VLOOKUP(Envoltória!F78,CB3E_Envoltória!$AF$11:$AG$15,2,FALSE),"")</f>
        <v/>
      </c>
      <c r="G73" s="53" t="str">
        <f>Envoltória!T78</f>
        <v/>
      </c>
      <c r="H73" s="56">
        <f>Envoltória!S78</f>
        <v>0</v>
      </c>
      <c r="I73" s="56">
        <f>IF(ISERROR(VLOOKUP(Envoltória!M78,Componentes!L:N,3,FALSE)),0,VLOOKUP(Envoltória!M78,Componentes!L:N,3,FALSE))</f>
        <v>0</v>
      </c>
      <c r="J73" s="56">
        <v>0.5</v>
      </c>
      <c r="K73" s="56" t="str">
        <f>Envoltória!U78</f>
        <v/>
      </c>
      <c r="L73" s="56">
        <f>IF(ISERROR(VLOOKUP(Envoltória!M78,Componentes!L:N,2,FALSE)),0,VLOOKUP(Envoltória!M78,Componentes!L:N,2,FALSE))</f>
        <v>0</v>
      </c>
      <c r="M73" s="56">
        <f>IF(ISERROR(VLOOKUP(Envoltória!L78,Componentes!G:J,4,FALSE)),0,VLOOKUP(Envoltória!L78,Componentes!G:J,4,FALSE))</f>
        <v>0</v>
      </c>
      <c r="N73" s="56">
        <f>IF(ISERROR(VLOOKUP(Envoltória!K78,Componentes!B:E,4,FALSE)),0,VLOOKUP(Envoltória!K78,Componentes!B:E,4,FALSE))</f>
        <v>0</v>
      </c>
      <c r="O73" s="54">
        <f>Envoltória!E78</f>
        <v>0</v>
      </c>
      <c r="P73" s="56">
        <f>Envoltória!N78/100</f>
        <v>0</v>
      </c>
      <c r="Q73" s="56">
        <f>Envoltória!Q78</f>
        <v>0</v>
      </c>
      <c r="R73" s="56">
        <f>Envoltória!P78</f>
        <v>0</v>
      </c>
      <c r="S73" s="56">
        <f>Envoltória!R78</f>
        <v>0</v>
      </c>
      <c r="T73" s="56" t="str">
        <f>Envoltória!V78</f>
        <v/>
      </c>
      <c r="U73" s="56" t="str">
        <f>IFERROR(VLOOKUP(Envoltória!I78,Aux_Lista!M:P,3,FALSE),"")</f>
        <v/>
      </c>
      <c r="V73" s="56" t="str">
        <f>IFERROR(VLOOKUP(Envoltória!I78,Aux_Lista!M:P,4,FALSE),"")</f>
        <v/>
      </c>
      <c r="W73" s="56" t="str">
        <f>IFERROR(VLOOKUP(Envoltória!J78,Aux_Lista!R:S,2,FALSE),"")</f>
        <v/>
      </c>
      <c r="X73" s="56">
        <f>IF(ISERROR(VLOOKUP(Envoltória!L78,Componentes!G:J,2,FALSE)),0,VLOOKUP(Envoltória!L78,Componentes!G:J,2,FALSE))</f>
        <v>0</v>
      </c>
      <c r="Y73" s="56">
        <f>IF(ISERROR(VLOOKUP(Envoltória!K78,Componentes!B:E,2,FALSE)),0,VLOOKUP(Envoltória!K78,Componentes!B:E,2,FALSE))</f>
        <v>0</v>
      </c>
      <c r="Z73" s="56">
        <f>IF(ISERROR(VLOOKUP(Envoltória!L78,Componentes!G:J,3,FALSE)),0,VLOOKUP(Envoltória!L78,Componentes!G:J,3,FALSE))</f>
        <v>0</v>
      </c>
      <c r="AA73" s="56">
        <f>IF(ISERROR(VLOOKUP(Envoltória!K78,Componentes!B:E,3,FALSE)),0,VLOOKUP(Envoltória!K78,Componentes!B:E,3,FALSE))</f>
        <v>0</v>
      </c>
      <c r="AB73" s="56" t="str">
        <f>IFERROR(VLOOKUP(Envoltória!I78,Aux_Lista!M:P,2,FALSE),"")</f>
        <v/>
      </c>
      <c r="AC73" s="55" t="str">
        <f>IFERROR(VLOOKUP(Envoltória!G78,CB3E_Envoltória!$AF$18:$AG$19,2,FALSE),"")</f>
        <v/>
      </c>
      <c r="AD73" s="371"/>
    </row>
    <row r="74" spans="1:30" x14ac:dyDescent="0.25">
      <c r="A74" s="1">
        <v>64</v>
      </c>
      <c r="B74" s="50">
        <f>Envoltória!H79</f>
        <v>0</v>
      </c>
      <c r="C74" s="51">
        <f>Envoltória!B79</f>
        <v>0</v>
      </c>
      <c r="D74" s="52">
        <f>Envoltória!C79</f>
        <v>0</v>
      </c>
      <c r="E74" s="53">
        <f>Envoltória!D79</f>
        <v>0</v>
      </c>
      <c r="F74" s="53" t="str">
        <f>IFERROR(VLOOKUP(Envoltória!F79,CB3E_Envoltória!$AF$11:$AG$15,2,FALSE),"")</f>
        <v/>
      </c>
      <c r="G74" s="53" t="str">
        <f>Envoltória!T79</f>
        <v/>
      </c>
      <c r="H74" s="56">
        <f>Envoltória!S79</f>
        <v>0</v>
      </c>
      <c r="I74" s="56">
        <f>IF(ISERROR(VLOOKUP(Envoltória!M79,Componentes!L:N,3,FALSE)),0,VLOOKUP(Envoltória!M79,Componentes!L:N,3,FALSE))</f>
        <v>0</v>
      </c>
      <c r="J74" s="56">
        <v>0.5</v>
      </c>
      <c r="K74" s="56" t="str">
        <f>Envoltória!U79</f>
        <v/>
      </c>
      <c r="L74" s="56">
        <f>IF(ISERROR(VLOOKUP(Envoltória!M79,Componentes!L:N,2,FALSE)),0,VLOOKUP(Envoltória!M79,Componentes!L:N,2,FALSE))</f>
        <v>0</v>
      </c>
      <c r="M74" s="56">
        <f>IF(ISERROR(VLOOKUP(Envoltória!L79,Componentes!G:J,4,FALSE)),0,VLOOKUP(Envoltória!L79,Componentes!G:J,4,FALSE))</f>
        <v>0</v>
      </c>
      <c r="N74" s="56">
        <f>IF(ISERROR(VLOOKUP(Envoltória!K79,Componentes!B:E,4,FALSE)),0,VLOOKUP(Envoltória!K79,Componentes!B:E,4,FALSE))</f>
        <v>0</v>
      </c>
      <c r="O74" s="54">
        <f>Envoltória!E79</f>
        <v>0</v>
      </c>
      <c r="P74" s="56">
        <f>Envoltória!N79/100</f>
        <v>0</v>
      </c>
      <c r="Q74" s="56">
        <f>Envoltória!Q79</f>
        <v>0</v>
      </c>
      <c r="R74" s="56">
        <f>Envoltória!P79</f>
        <v>0</v>
      </c>
      <c r="S74" s="56">
        <f>Envoltória!R79</f>
        <v>0</v>
      </c>
      <c r="T74" s="56" t="str">
        <f>Envoltória!V79</f>
        <v/>
      </c>
      <c r="U74" s="56" t="str">
        <f>IFERROR(VLOOKUP(Envoltória!I79,Aux_Lista!M:P,3,FALSE),"")</f>
        <v/>
      </c>
      <c r="V74" s="56" t="str">
        <f>IFERROR(VLOOKUP(Envoltória!I79,Aux_Lista!M:P,4,FALSE),"")</f>
        <v/>
      </c>
      <c r="W74" s="56" t="str">
        <f>IFERROR(VLOOKUP(Envoltória!J79,Aux_Lista!R:S,2,FALSE),"")</f>
        <v/>
      </c>
      <c r="X74" s="56">
        <f>IF(ISERROR(VLOOKUP(Envoltória!L79,Componentes!G:J,2,FALSE)),0,VLOOKUP(Envoltória!L79,Componentes!G:J,2,FALSE))</f>
        <v>0</v>
      </c>
      <c r="Y74" s="56">
        <f>IF(ISERROR(VLOOKUP(Envoltória!K79,Componentes!B:E,2,FALSE)),0,VLOOKUP(Envoltória!K79,Componentes!B:E,2,FALSE))</f>
        <v>0</v>
      </c>
      <c r="Z74" s="56">
        <f>IF(ISERROR(VLOOKUP(Envoltória!L79,Componentes!G:J,3,FALSE)),0,VLOOKUP(Envoltória!L79,Componentes!G:J,3,FALSE))</f>
        <v>0</v>
      </c>
      <c r="AA74" s="56">
        <f>IF(ISERROR(VLOOKUP(Envoltória!K79,Componentes!B:E,3,FALSE)),0,VLOOKUP(Envoltória!K79,Componentes!B:E,3,FALSE))</f>
        <v>0</v>
      </c>
      <c r="AB74" s="56" t="str">
        <f>IFERROR(VLOOKUP(Envoltória!I79,Aux_Lista!M:P,2,FALSE),"")</f>
        <v/>
      </c>
      <c r="AC74" s="55" t="str">
        <f>IFERROR(VLOOKUP(Envoltória!G79,CB3E_Envoltória!$AF$18:$AG$19,2,FALSE),"")</f>
        <v/>
      </c>
      <c r="AD74" s="371"/>
    </row>
    <row r="75" spans="1:30" x14ac:dyDescent="0.25">
      <c r="A75" s="1">
        <v>65</v>
      </c>
      <c r="B75" s="50">
        <f>Envoltória!H80</f>
        <v>0</v>
      </c>
      <c r="C75" s="51">
        <f>Envoltória!B80</f>
        <v>0</v>
      </c>
      <c r="D75" s="52">
        <f>Envoltória!C80</f>
        <v>0</v>
      </c>
      <c r="E75" s="53">
        <f>Envoltória!D80</f>
        <v>0</v>
      </c>
      <c r="F75" s="53" t="str">
        <f>IFERROR(VLOOKUP(Envoltória!F80,CB3E_Envoltória!$AF$11:$AG$15,2,FALSE),"")</f>
        <v/>
      </c>
      <c r="G75" s="53" t="str">
        <f>Envoltória!T80</f>
        <v/>
      </c>
      <c r="H75" s="56">
        <f>Envoltória!S80</f>
        <v>0</v>
      </c>
      <c r="I75" s="56">
        <f>IF(ISERROR(VLOOKUP(Envoltória!M80,Componentes!L:N,3,FALSE)),0,VLOOKUP(Envoltória!M80,Componentes!L:N,3,FALSE))</f>
        <v>0</v>
      </c>
      <c r="J75" s="56">
        <v>0.5</v>
      </c>
      <c r="K75" s="56" t="str">
        <f>Envoltória!U80</f>
        <v/>
      </c>
      <c r="L75" s="56">
        <f>IF(ISERROR(VLOOKUP(Envoltória!M80,Componentes!L:N,2,FALSE)),0,VLOOKUP(Envoltória!M80,Componentes!L:N,2,FALSE))</f>
        <v>0</v>
      </c>
      <c r="M75" s="56">
        <f>IF(ISERROR(VLOOKUP(Envoltória!L80,Componentes!G:J,4,FALSE)),0,VLOOKUP(Envoltória!L80,Componentes!G:J,4,FALSE))</f>
        <v>0</v>
      </c>
      <c r="N75" s="56">
        <f>IF(ISERROR(VLOOKUP(Envoltória!K80,Componentes!B:E,4,FALSE)),0,VLOOKUP(Envoltória!K80,Componentes!B:E,4,FALSE))</f>
        <v>0</v>
      </c>
      <c r="O75" s="54">
        <f>Envoltória!E80</f>
        <v>0</v>
      </c>
      <c r="P75" s="56">
        <f>Envoltória!N80/100</f>
        <v>0</v>
      </c>
      <c r="Q75" s="56">
        <f>Envoltória!Q80</f>
        <v>0</v>
      </c>
      <c r="R75" s="56">
        <f>Envoltória!P80</f>
        <v>0</v>
      </c>
      <c r="S75" s="56">
        <f>Envoltória!R80</f>
        <v>0</v>
      </c>
      <c r="T75" s="56" t="str">
        <f>Envoltória!V80</f>
        <v/>
      </c>
      <c r="U75" s="56" t="str">
        <f>IFERROR(VLOOKUP(Envoltória!I80,Aux_Lista!M:P,3,FALSE),"")</f>
        <v/>
      </c>
      <c r="V75" s="56" t="str">
        <f>IFERROR(VLOOKUP(Envoltória!I80,Aux_Lista!M:P,4,FALSE),"")</f>
        <v/>
      </c>
      <c r="W75" s="56" t="str">
        <f>IFERROR(VLOOKUP(Envoltória!J80,Aux_Lista!R:S,2,FALSE),"")</f>
        <v/>
      </c>
      <c r="X75" s="56">
        <f>IF(ISERROR(VLOOKUP(Envoltória!L80,Componentes!G:J,2,FALSE)),0,VLOOKUP(Envoltória!L80,Componentes!G:J,2,FALSE))</f>
        <v>0</v>
      </c>
      <c r="Y75" s="56">
        <f>IF(ISERROR(VLOOKUP(Envoltória!K80,Componentes!B:E,2,FALSE)),0,VLOOKUP(Envoltória!K80,Componentes!B:E,2,FALSE))</f>
        <v>0</v>
      </c>
      <c r="Z75" s="56">
        <f>IF(ISERROR(VLOOKUP(Envoltória!L80,Componentes!G:J,3,FALSE)),0,VLOOKUP(Envoltória!L80,Componentes!G:J,3,FALSE))</f>
        <v>0</v>
      </c>
      <c r="AA75" s="56">
        <f>IF(ISERROR(VLOOKUP(Envoltória!K80,Componentes!B:E,3,FALSE)),0,VLOOKUP(Envoltória!K80,Componentes!B:E,3,FALSE))</f>
        <v>0</v>
      </c>
      <c r="AB75" s="56" t="str">
        <f>IFERROR(VLOOKUP(Envoltória!I80,Aux_Lista!M:P,2,FALSE),"")</f>
        <v/>
      </c>
      <c r="AC75" s="55" t="str">
        <f>IFERROR(VLOOKUP(Envoltória!G80,CB3E_Envoltória!$AF$18:$AG$19,2,FALSE),"")</f>
        <v/>
      </c>
      <c r="AD75" s="371"/>
    </row>
    <row r="76" spans="1:30" x14ac:dyDescent="0.25">
      <c r="A76" s="1">
        <v>66</v>
      </c>
      <c r="B76" s="50">
        <f>Envoltória!H81</f>
        <v>0</v>
      </c>
      <c r="C76" s="51">
        <f>Envoltória!B81</f>
        <v>0</v>
      </c>
      <c r="D76" s="52">
        <f>Envoltória!C81</f>
        <v>0</v>
      </c>
      <c r="E76" s="53">
        <f>Envoltória!D81</f>
        <v>0</v>
      </c>
      <c r="F76" s="53" t="str">
        <f>IFERROR(VLOOKUP(Envoltória!F81,CB3E_Envoltória!$AF$11:$AG$15,2,FALSE),"")</f>
        <v/>
      </c>
      <c r="G76" s="53" t="str">
        <f>Envoltória!T81</f>
        <v/>
      </c>
      <c r="H76" s="56">
        <f>Envoltória!S81</f>
        <v>0</v>
      </c>
      <c r="I76" s="56">
        <f>IF(ISERROR(VLOOKUP(Envoltória!M81,Componentes!L:N,3,FALSE)),0,VLOOKUP(Envoltória!M81,Componentes!L:N,3,FALSE))</f>
        <v>0</v>
      </c>
      <c r="J76" s="56">
        <v>0.5</v>
      </c>
      <c r="K76" s="56" t="str">
        <f>Envoltória!U81</f>
        <v/>
      </c>
      <c r="L76" s="56">
        <f>IF(ISERROR(VLOOKUP(Envoltória!M81,Componentes!L:N,2,FALSE)),0,VLOOKUP(Envoltória!M81,Componentes!L:N,2,FALSE))</f>
        <v>0</v>
      </c>
      <c r="M76" s="56">
        <f>IF(ISERROR(VLOOKUP(Envoltória!L81,Componentes!G:J,4,FALSE)),0,VLOOKUP(Envoltória!L81,Componentes!G:J,4,FALSE))</f>
        <v>0</v>
      </c>
      <c r="N76" s="56">
        <f>IF(ISERROR(VLOOKUP(Envoltória!K81,Componentes!B:E,4,FALSE)),0,VLOOKUP(Envoltória!K81,Componentes!B:E,4,FALSE))</f>
        <v>0</v>
      </c>
      <c r="O76" s="54">
        <f>Envoltória!E81</f>
        <v>0</v>
      </c>
      <c r="P76" s="56">
        <f>Envoltória!N81/100</f>
        <v>0</v>
      </c>
      <c r="Q76" s="56">
        <f>Envoltória!Q81</f>
        <v>0</v>
      </c>
      <c r="R76" s="56">
        <f>Envoltória!P81</f>
        <v>0</v>
      </c>
      <c r="S76" s="56">
        <f>Envoltória!R81</f>
        <v>0</v>
      </c>
      <c r="T76" s="56" t="str">
        <f>Envoltória!V81</f>
        <v/>
      </c>
      <c r="U76" s="56" t="str">
        <f>IFERROR(VLOOKUP(Envoltória!I81,Aux_Lista!M:P,3,FALSE),"")</f>
        <v/>
      </c>
      <c r="V76" s="56" t="str">
        <f>IFERROR(VLOOKUP(Envoltória!I81,Aux_Lista!M:P,4,FALSE),"")</f>
        <v/>
      </c>
      <c r="W76" s="56" t="str">
        <f>IFERROR(VLOOKUP(Envoltória!J81,Aux_Lista!R:S,2,FALSE),"")</f>
        <v/>
      </c>
      <c r="X76" s="56">
        <f>IF(ISERROR(VLOOKUP(Envoltória!L81,Componentes!G:J,2,FALSE)),0,VLOOKUP(Envoltória!L81,Componentes!G:J,2,FALSE))</f>
        <v>0</v>
      </c>
      <c r="Y76" s="56">
        <f>IF(ISERROR(VLOOKUP(Envoltória!K81,Componentes!B:E,2,FALSE)),0,VLOOKUP(Envoltória!K81,Componentes!B:E,2,FALSE))</f>
        <v>0</v>
      </c>
      <c r="Z76" s="56">
        <f>IF(ISERROR(VLOOKUP(Envoltória!L81,Componentes!G:J,3,FALSE)),0,VLOOKUP(Envoltória!L81,Componentes!G:J,3,FALSE))</f>
        <v>0</v>
      </c>
      <c r="AA76" s="56">
        <f>IF(ISERROR(VLOOKUP(Envoltória!K81,Componentes!B:E,3,FALSE)),0,VLOOKUP(Envoltória!K81,Componentes!B:E,3,FALSE))</f>
        <v>0</v>
      </c>
      <c r="AB76" s="56" t="str">
        <f>IFERROR(VLOOKUP(Envoltória!I81,Aux_Lista!M:P,2,FALSE),"")</f>
        <v/>
      </c>
      <c r="AC76" s="55" t="str">
        <f>IFERROR(VLOOKUP(Envoltória!G81,CB3E_Envoltória!$AF$18:$AG$19,2,FALSE),"")</f>
        <v/>
      </c>
      <c r="AD76" s="371"/>
    </row>
    <row r="77" spans="1:30" x14ac:dyDescent="0.25">
      <c r="A77" s="1">
        <v>67</v>
      </c>
      <c r="B77" s="50">
        <f>Envoltória!H82</f>
        <v>0</v>
      </c>
      <c r="C77" s="51">
        <f>Envoltória!B82</f>
        <v>0</v>
      </c>
      <c r="D77" s="52">
        <f>Envoltória!C82</f>
        <v>0</v>
      </c>
      <c r="E77" s="53">
        <f>Envoltória!D82</f>
        <v>0</v>
      </c>
      <c r="F77" s="53" t="str">
        <f>IFERROR(VLOOKUP(Envoltória!F82,CB3E_Envoltória!$AF$11:$AG$15,2,FALSE),"")</f>
        <v/>
      </c>
      <c r="G77" s="53" t="str">
        <f>Envoltória!T82</f>
        <v/>
      </c>
      <c r="H77" s="56">
        <f>Envoltória!S82</f>
        <v>0</v>
      </c>
      <c r="I77" s="56">
        <f>IF(ISERROR(VLOOKUP(Envoltória!M82,Componentes!L:N,3,FALSE)),0,VLOOKUP(Envoltória!M82,Componentes!L:N,3,FALSE))</f>
        <v>0</v>
      </c>
      <c r="J77" s="56">
        <v>0.5</v>
      </c>
      <c r="K77" s="56" t="str">
        <f>Envoltória!U82</f>
        <v/>
      </c>
      <c r="L77" s="56">
        <f>IF(ISERROR(VLOOKUP(Envoltória!M82,Componentes!L:N,2,FALSE)),0,VLOOKUP(Envoltória!M82,Componentes!L:N,2,FALSE))</f>
        <v>0</v>
      </c>
      <c r="M77" s="56">
        <f>IF(ISERROR(VLOOKUP(Envoltória!L82,Componentes!G:J,4,FALSE)),0,VLOOKUP(Envoltória!L82,Componentes!G:J,4,FALSE))</f>
        <v>0</v>
      </c>
      <c r="N77" s="56">
        <f>IF(ISERROR(VLOOKUP(Envoltória!K82,Componentes!B:E,4,FALSE)),0,VLOOKUP(Envoltória!K82,Componentes!B:E,4,FALSE))</f>
        <v>0</v>
      </c>
      <c r="O77" s="54">
        <f>Envoltória!E82</f>
        <v>0</v>
      </c>
      <c r="P77" s="56">
        <f>Envoltória!N82/100</f>
        <v>0</v>
      </c>
      <c r="Q77" s="56">
        <f>Envoltória!Q82</f>
        <v>0</v>
      </c>
      <c r="R77" s="56">
        <f>Envoltória!P82</f>
        <v>0</v>
      </c>
      <c r="S77" s="56">
        <f>Envoltória!R82</f>
        <v>0</v>
      </c>
      <c r="T77" s="56" t="str">
        <f>Envoltória!V82</f>
        <v/>
      </c>
      <c r="U77" s="56" t="str">
        <f>IFERROR(VLOOKUP(Envoltória!I82,Aux_Lista!M:P,3,FALSE),"")</f>
        <v/>
      </c>
      <c r="V77" s="56" t="str">
        <f>IFERROR(VLOOKUP(Envoltória!I82,Aux_Lista!M:P,4,FALSE),"")</f>
        <v/>
      </c>
      <c r="W77" s="56" t="str">
        <f>IFERROR(VLOOKUP(Envoltória!J82,Aux_Lista!R:S,2,FALSE),"")</f>
        <v/>
      </c>
      <c r="X77" s="56">
        <f>IF(ISERROR(VLOOKUP(Envoltória!L82,Componentes!G:J,2,FALSE)),0,VLOOKUP(Envoltória!L82,Componentes!G:J,2,FALSE))</f>
        <v>0</v>
      </c>
      <c r="Y77" s="56">
        <f>IF(ISERROR(VLOOKUP(Envoltória!K82,Componentes!B:E,2,FALSE)),0,VLOOKUP(Envoltória!K82,Componentes!B:E,2,FALSE))</f>
        <v>0</v>
      </c>
      <c r="Z77" s="56">
        <f>IF(ISERROR(VLOOKUP(Envoltória!L82,Componentes!G:J,3,FALSE)),0,VLOOKUP(Envoltória!L82,Componentes!G:J,3,FALSE))</f>
        <v>0</v>
      </c>
      <c r="AA77" s="56">
        <f>IF(ISERROR(VLOOKUP(Envoltória!K82,Componentes!B:E,3,FALSE)),0,VLOOKUP(Envoltória!K82,Componentes!B:E,3,FALSE))</f>
        <v>0</v>
      </c>
      <c r="AB77" s="56" t="str">
        <f>IFERROR(VLOOKUP(Envoltória!I82,Aux_Lista!M:P,2,FALSE),"")</f>
        <v/>
      </c>
      <c r="AC77" s="55" t="str">
        <f>IFERROR(VLOOKUP(Envoltória!G82,CB3E_Envoltória!$AF$18:$AG$19,2,FALSE),"")</f>
        <v/>
      </c>
      <c r="AD77" s="371"/>
    </row>
    <row r="78" spans="1:30" x14ac:dyDescent="0.25">
      <c r="A78" s="1">
        <v>68</v>
      </c>
      <c r="B78" s="50">
        <f>Envoltória!H83</f>
        <v>0</v>
      </c>
      <c r="C78" s="51">
        <f>Envoltória!B83</f>
        <v>0</v>
      </c>
      <c r="D78" s="52">
        <f>Envoltória!C83</f>
        <v>0</v>
      </c>
      <c r="E78" s="53">
        <f>Envoltória!D83</f>
        <v>0</v>
      </c>
      <c r="F78" s="53" t="str">
        <f>IFERROR(VLOOKUP(Envoltória!F83,CB3E_Envoltória!$AF$11:$AG$15,2,FALSE),"")</f>
        <v/>
      </c>
      <c r="G78" s="53" t="str">
        <f>Envoltória!T83</f>
        <v/>
      </c>
      <c r="H78" s="56">
        <f>Envoltória!S83</f>
        <v>0</v>
      </c>
      <c r="I78" s="56">
        <f>IF(ISERROR(VLOOKUP(Envoltória!M83,Componentes!L:N,3,FALSE)),0,VLOOKUP(Envoltória!M83,Componentes!L:N,3,FALSE))</f>
        <v>0</v>
      </c>
      <c r="J78" s="56">
        <v>0.5</v>
      </c>
      <c r="K78" s="56" t="str">
        <f>Envoltória!U83</f>
        <v/>
      </c>
      <c r="L78" s="56">
        <f>IF(ISERROR(VLOOKUP(Envoltória!M83,Componentes!L:N,2,FALSE)),0,VLOOKUP(Envoltória!M83,Componentes!L:N,2,FALSE))</f>
        <v>0</v>
      </c>
      <c r="M78" s="56">
        <f>IF(ISERROR(VLOOKUP(Envoltória!L83,Componentes!G:J,4,FALSE)),0,VLOOKUP(Envoltória!L83,Componentes!G:J,4,FALSE))</f>
        <v>0</v>
      </c>
      <c r="N78" s="56">
        <f>IF(ISERROR(VLOOKUP(Envoltória!K83,Componentes!B:E,4,FALSE)),0,VLOOKUP(Envoltória!K83,Componentes!B:E,4,FALSE))</f>
        <v>0</v>
      </c>
      <c r="O78" s="54">
        <f>Envoltória!E83</f>
        <v>0</v>
      </c>
      <c r="P78" s="56">
        <f>Envoltória!N83/100</f>
        <v>0</v>
      </c>
      <c r="Q78" s="56">
        <f>Envoltória!Q83</f>
        <v>0</v>
      </c>
      <c r="R78" s="56">
        <f>Envoltória!P83</f>
        <v>0</v>
      </c>
      <c r="S78" s="56">
        <f>Envoltória!R83</f>
        <v>0</v>
      </c>
      <c r="T78" s="56" t="str">
        <f>Envoltória!V83</f>
        <v/>
      </c>
      <c r="U78" s="56" t="str">
        <f>IFERROR(VLOOKUP(Envoltória!I83,Aux_Lista!M:P,3,FALSE),"")</f>
        <v/>
      </c>
      <c r="V78" s="56" t="str">
        <f>IFERROR(VLOOKUP(Envoltória!I83,Aux_Lista!M:P,4,FALSE),"")</f>
        <v/>
      </c>
      <c r="W78" s="56" t="str">
        <f>IFERROR(VLOOKUP(Envoltória!J83,Aux_Lista!R:S,2,FALSE),"")</f>
        <v/>
      </c>
      <c r="X78" s="56">
        <f>IF(ISERROR(VLOOKUP(Envoltória!L83,Componentes!G:J,2,FALSE)),0,VLOOKUP(Envoltória!L83,Componentes!G:J,2,FALSE))</f>
        <v>0</v>
      </c>
      <c r="Y78" s="56">
        <f>IF(ISERROR(VLOOKUP(Envoltória!K83,Componentes!B:E,2,FALSE)),0,VLOOKUP(Envoltória!K83,Componentes!B:E,2,FALSE))</f>
        <v>0</v>
      </c>
      <c r="Z78" s="56">
        <f>IF(ISERROR(VLOOKUP(Envoltória!L83,Componentes!G:J,3,FALSE)),0,VLOOKUP(Envoltória!L83,Componentes!G:J,3,FALSE))</f>
        <v>0</v>
      </c>
      <c r="AA78" s="56">
        <f>IF(ISERROR(VLOOKUP(Envoltória!K83,Componentes!B:E,3,FALSE)),0,VLOOKUP(Envoltória!K83,Componentes!B:E,3,FALSE))</f>
        <v>0</v>
      </c>
      <c r="AB78" s="56" t="str">
        <f>IFERROR(VLOOKUP(Envoltória!I83,Aux_Lista!M:P,2,FALSE),"")</f>
        <v/>
      </c>
      <c r="AC78" s="55" t="str">
        <f>IFERROR(VLOOKUP(Envoltória!G83,CB3E_Envoltória!$AF$18:$AG$19,2,FALSE),"")</f>
        <v/>
      </c>
      <c r="AD78" s="371"/>
    </row>
    <row r="79" spans="1:30" x14ac:dyDescent="0.25">
      <c r="A79" s="1">
        <v>69</v>
      </c>
      <c r="B79" s="50">
        <f>Envoltória!H84</f>
        <v>0</v>
      </c>
      <c r="C79" s="51">
        <f>Envoltória!B84</f>
        <v>0</v>
      </c>
      <c r="D79" s="52">
        <f>Envoltória!C84</f>
        <v>0</v>
      </c>
      <c r="E79" s="53">
        <f>Envoltória!D84</f>
        <v>0</v>
      </c>
      <c r="F79" s="53" t="str">
        <f>IFERROR(VLOOKUP(Envoltória!F84,CB3E_Envoltória!$AF$11:$AG$15,2,FALSE),"")</f>
        <v/>
      </c>
      <c r="G79" s="53" t="str">
        <f>Envoltória!T84</f>
        <v/>
      </c>
      <c r="H79" s="56">
        <f>Envoltória!S84</f>
        <v>0</v>
      </c>
      <c r="I79" s="56">
        <f>IF(ISERROR(VLOOKUP(Envoltória!M84,Componentes!L:N,3,FALSE)),0,VLOOKUP(Envoltória!M84,Componentes!L:N,3,FALSE))</f>
        <v>0</v>
      </c>
      <c r="J79" s="56">
        <v>0.5</v>
      </c>
      <c r="K79" s="56" t="str">
        <f>Envoltória!U84</f>
        <v/>
      </c>
      <c r="L79" s="56">
        <f>IF(ISERROR(VLOOKUP(Envoltória!M84,Componentes!L:N,2,FALSE)),0,VLOOKUP(Envoltória!M84,Componentes!L:N,2,FALSE))</f>
        <v>0</v>
      </c>
      <c r="M79" s="56">
        <f>IF(ISERROR(VLOOKUP(Envoltória!L84,Componentes!G:J,4,FALSE)),0,VLOOKUP(Envoltória!L84,Componentes!G:J,4,FALSE))</f>
        <v>0</v>
      </c>
      <c r="N79" s="56">
        <f>IF(ISERROR(VLOOKUP(Envoltória!K84,Componentes!B:E,4,FALSE)),0,VLOOKUP(Envoltória!K84,Componentes!B:E,4,FALSE))</f>
        <v>0</v>
      </c>
      <c r="O79" s="54">
        <f>Envoltória!E84</f>
        <v>0</v>
      </c>
      <c r="P79" s="56">
        <f>Envoltória!N84/100</f>
        <v>0</v>
      </c>
      <c r="Q79" s="56">
        <f>Envoltória!Q84</f>
        <v>0</v>
      </c>
      <c r="R79" s="56">
        <f>Envoltória!P84</f>
        <v>0</v>
      </c>
      <c r="S79" s="56">
        <f>Envoltória!R84</f>
        <v>0</v>
      </c>
      <c r="T79" s="56" t="str">
        <f>Envoltória!V84</f>
        <v/>
      </c>
      <c r="U79" s="56" t="str">
        <f>IFERROR(VLOOKUP(Envoltória!I84,Aux_Lista!M:P,3,FALSE),"")</f>
        <v/>
      </c>
      <c r="V79" s="56" t="str">
        <f>IFERROR(VLOOKUP(Envoltória!I84,Aux_Lista!M:P,4,FALSE),"")</f>
        <v/>
      </c>
      <c r="W79" s="56" t="str">
        <f>IFERROR(VLOOKUP(Envoltória!J84,Aux_Lista!R:S,2,FALSE),"")</f>
        <v/>
      </c>
      <c r="X79" s="56">
        <f>IF(ISERROR(VLOOKUP(Envoltória!L84,Componentes!G:J,2,FALSE)),0,VLOOKUP(Envoltória!L84,Componentes!G:J,2,FALSE))</f>
        <v>0</v>
      </c>
      <c r="Y79" s="56">
        <f>IF(ISERROR(VLOOKUP(Envoltória!K84,Componentes!B:E,2,FALSE)),0,VLOOKUP(Envoltória!K84,Componentes!B:E,2,FALSE))</f>
        <v>0</v>
      </c>
      <c r="Z79" s="56">
        <f>IF(ISERROR(VLOOKUP(Envoltória!L84,Componentes!G:J,3,FALSE)),0,VLOOKUP(Envoltória!L84,Componentes!G:J,3,FALSE))</f>
        <v>0</v>
      </c>
      <c r="AA79" s="56">
        <f>IF(ISERROR(VLOOKUP(Envoltória!K84,Componentes!B:E,3,FALSE)),0,VLOOKUP(Envoltória!K84,Componentes!B:E,3,FALSE))</f>
        <v>0</v>
      </c>
      <c r="AB79" s="56" t="str">
        <f>IFERROR(VLOOKUP(Envoltória!I84,Aux_Lista!M:P,2,FALSE),"")</f>
        <v/>
      </c>
      <c r="AC79" s="55" t="str">
        <f>IFERROR(VLOOKUP(Envoltória!G84,CB3E_Envoltória!$AF$18:$AG$19,2,FALSE),"")</f>
        <v/>
      </c>
      <c r="AD79" s="371"/>
    </row>
    <row r="80" spans="1:30" x14ac:dyDescent="0.25">
      <c r="A80" s="1">
        <v>70</v>
      </c>
      <c r="B80" s="50">
        <f>Envoltória!H85</f>
        <v>0</v>
      </c>
      <c r="C80" s="51">
        <f>Envoltória!B85</f>
        <v>0</v>
      </c>
      <c r="D80" s="52">
        <f>Envoltória!C85</f>
        <v>0</v>
      </c>
      <c r="E80" s="53">
        <f>Envoltória!D85</f>
        <v>0</v>
      </c>
      <c r="F80" s="53" t="str">
        <f>IFERROR(VLOOKUP(Envoltória!F85,CB3E_Envoltória!$AF$11:$AG$15,2,FALSE),"")</f>
        <v/>
      </c>
      <c r="G80" s="53" t="str">
        <f>Envoltória!T85</f>
        <v/>
      </c>
      <c r="H80" s="56">
        <f>Envoltória!S85</f>
        <v>0</v>
      </c>
      <c r="I80" s="56">
        <f>IF(ISERROR(VLOOKUP(Envoltória!M85,Componentes!L:N,3,FALSE)),0,VLOOKUP(Envoltória!M85,Componentes!L:N,3,FALSE))</f>
        <v>0</v>
      </c>
      <c r="J80" s="56">
        <v>0.5</v>
      </c>
      <c r="K80" s="56" t="str">
        <f>Envoltória!U85</f>
        <v/>
      </c>
      <c r="L80" s="56">
        <f>IF(ISERROR(VLOOKUP(Envoltória!M85,Componentes!L:N,2,FALSE)),0,VLOOKUP(Envoltória!M85,Componentes!L:N,2,FALSE))</f>
        <v>0</v>
      </c>
      <c r="M80" s="56">
        <f>IF(ISERROR(VLOOKUP(Envoltória!L85,Componentes!G:J,4,FALSE)),0,VLOOKUP(Envoltória!L85,Componentes!G:J,4,FALSE))</f>
        <v>0</v>
      </c>
      <c r="N80" s="56">
        <f>IF(ISERROR(VLOOKUP(Envoltória!K85,Componentes!B:E,4,FALSE)),0,VLOOKUP(Envoltória!K85,Componentes!B:E,4,FALSE))</f>
        <v>0</v>
      </c>
      <c r="O80" s="54">
        <f>Envoltória!E85</f>
        <v>0</v>
      </c>
      <c r="P80" s="56">
        <f>Envoltória!N85/100</f>
        <v>0</v>
      </c>
      <c r="Q80" s="56">
        <f>Envoltória!Q85</f>
        <v>0</v>
      </c>
      <c r="R80" s="56">
        <f>Envoltória!P85</f>
        <v>0</v>
      </c>
      <c r="S80" s="56">
        <f>Envoltória!R85</f>
        <v>0</v>
      </c>
      <c r="T80" s="56" t="str">
        <f>Envoltória!V85</f>
        <v/>
      </c>
      <c r="U80" s="56" t="str">
        <f>IFERROR(VLOOKUP(Envoltória!I85,Aux_Lista!M:P,3,FALSE),"")</f>
        <v/>
      </c>
      <c r="V80" s="56" t="str">
        <f>IFERROR(VLOOKUP(Envoltória!I85,Aux_Lista!M:P,4,FALSE),"")</f>
        <v/>
      </c>
      <c r="W80" s="56" t="str">
        <f>IFERROR(VLOOKUP(Envoltória!J85,Aux_Lista!R:S,2,FALSE),"")</f>
        <v/>
      </c>
      <c r="X80" s="56">
        <f>IF(ISERROR(VLOOKUP(Envoltória!L85,Componentes!G:J,2,FALSE)),0,VLOOKUP(Envoltória!L85,Componentes!G:J,2,FALSE))</f>
        <v>0</v>
      </c>
      <c r="Y80" s="56">
        <f>IF(ISERROR(VLOOKUP(Envoltória!K85,Componentes!B:E,2,FALSE)),0,VLOOKUP(Envoltória!K85,Componentes!B:E,2,FALSE))</f>
        <v>0</v>
      </c>
      <c r="Z80" s="56">
        <f>IF(ISERROR(VLOOKUP(Envoltória!L85,Componentes!G:J,3,FALSE)),0,VLOOKUP(Envoltória!L85,Componentes!G:J,3,FALSE))</f>
        <v>0</v>
      </c>
      <c r="AA80" s="56">
        <f>IF(ISERROR(VLOOKUP(Envoltória!K85,Componentes!B:E,3,FALSE)),0,VLOOKUP(Envoltória!K85,Componentes!B:E,3,FALSE))</f>
        <v>0</v>
      </c>
      <c r="AB80" s="56" t="str">
        <f>IFERROR(VLOOKUP(Envoltória!I85,Aux_Lista!M:P,2,FALSE),"")</f>
        <v/>
      </c>
      <c r="AC80" s="55" t="str">
        <f>IFERROR(VLOOKUP(Envoltória!G85,CB3E_Envoltória!$AF$18:$AG$19,2,FALSE),"")</f>
        <v/>
      </c>
      <c r="AD80" s="371"/>
    </row>
    <row r="81" spans="1:30" x14ac:dyDescent="0.25">
      <c r="A81" s="1">
        <v>71</v>
      </c>
      <c r="B81" s="50">
        <f>Envoltória!H86</f>
        <v>0</v>
      </c>
      <c r="C81" s="51">
        <f>Envoltória!B86</f>
        <v>0</v>
      </c>
      <c r="D81" s="52">
        <f>Envoltória!C86</f>
        <v>0</v>
      </c>
      <c r="E81" s="53">
        <f>Envoltória!D86</f>
        <v>0</v>
      </c>
      <c r="F81" s="53" t="str">
        <f>IFERROR(VLOOKUP(Envoltória!F86,CB3E_Envoltória!$AF$11:$AG$15,2,FALSE),"")</f>
        <v/>
      </c>
      <c r="G81" s="53" t="str">
        <f>Envoltória!T86</f>
        <v/>
      </c>
      <c r="H81" s="56">
        <f>Envoltória!S86</f>
        <v>0</v>
      </c>
      <c r="I81" s="56">
        <f>IF(ISERROR(VLOOKUP(Envoltória!M86,Componentes!L:N,3,FALSE)),0,VLOOKUP(Envoltória!M86,Componentes!L:N,3,FALSE))</f>
        <v>0</v>
      </c>
      <c r="J81" s="56">
        <v>0.5</v>
      </c>
      <c r="K81" s="56" t="str">
        <f>Envoltória!U86</f>
        <v/>
      </c>
      <c r="L81" s="56">
        <f>IF(ISERROR(VLOOKUP(Envoltória!M86,Componentes!L:N,2,FALSE)),0,VLOOKUP(Envoltória!M86,Componentes!L:N,2,FALSE))</f>
        <v>0</v>
      </c>
      <c r="M81" s="56">
        <f>IF(ISERROR(VLOOKUP(Envoltória!L86,Componentes!G:J,4,FALSE)),0,VLOOKUP(Envoltória!L86,Componentes!G:J,4,FALSE))</f>
        <v>0</v>
      </c>
      <c r="N81" s="56">
        <f>IF(ISERROR(VLOOKUP(Envoltória!K86,Componentes!B:E,4,FALSE)),0,VLOOKUP(Envoltória!K86,Componentes!B:E,4,FALSE))</f>
        <v>0</v>
      </c>
      <c r="O81" s="54">
        <f>Envoltória!E86</f>
        <v>0</v>
      </c>
      <c r="P81" s="56">
        <f>Envoltória!N86/100</f>
        <v>0</v>
      </c>
      <c r="Q81" s="56">
        <f>Envoltória!Q86</f>
        <v>0</v>
      </c>
      <c r="R81" s="56">
        <f>Envoltória!P86</f>
        <v>0</v>
      </c>
      <c r="S81" s="56">
        <f>Envoltória!R86</f>
        <v>0</v>
      </c>
      <c r="T81" s="56" t="str">
        <f>Envoltória!V86</f>
        <v/>
      </c>
      <c r="U81" s="56" t="str">
        <f>IFERROR(VLOOKUP(Envoltória!I86,Aux_Lista!M:P,3,FALSE),"")</f>
        <v/>
      </c>
      <c r="V81" s="56" t="str">
        <f>IFERROR(VLOOKUP(Envoltória!I86,Aux_Lista!M:P,4,FALSE),"")</f>
        <v/>
      </c>
      <c r="W81" s="56" t="str">
        <f>IFERROR(VLOOKUP(Envoltória!J86,Aux_Lista!R:S,2,FALSE),"")</f>
        <v/>
      </c>
      <c r="X81" s="56">
        <f>IF(ISERROR(VLOOKUP(Envoltória!L86,Componentes!G:J,2,FALSE)),0,VLOOKUP(Envoltória!L86,Componentes!G:J,2,FALSE))</f>
        <v>0</v>
      </c>
      <c r="Y81" s="56">
        <f>IF(ISERROR(VLOOKUP(Envoltória!K86,Componentes!B:E,2,FALSE)),0,VLOOKUP(Envoltória!K86,Componentes!B:E,2,FALSE))</f>
        <v>0</v>
      </c>
      <c r="Z81" s="56">
        <f>IF(ISERROR(VLOOKUP(Envoltória!L86,Componentes!G:J,3,FALSE)),0,VLOOKUP(Envoltória!L86,Componentes!G:J,3,FALSE))</f>
        <v>0</v>
      </c>
      <c r="AA81" s="56">
        <f>IF(ISERROR(VLOOKUP(Envoltória!K86,Componentes!B:E,3,FALSE)),0,VLOOKUP(Envoltória!K86,Componentes!B:E,3,FALSE))</f>
        <v>0</v>
      </c>
      <c r="AB81" s="56" t="str">
        <f>IFERROR(VLOOKUP(Envoltória!I86,Aux_Lista!M:P,2,FALSE),"")</f>
        <v/>
      </c>
      <c r="AC81" s="55" t="str">
        <f>IFERROR(VLOOKUP(Envoltória!G86,CB3E_Envoltória!$AF$18:$AG$19,2,FALSE),"")</f>
        <v/>
      </c>
      <c r="AD81" s="371"/>
    </row>
    <row r="82" spans="1:30" x14ac:dyDescent="0.25">
      <c r="A82" s="1">
        <v>72</v>
      </c>
      <c r="B82" s="50">
        <f>Envoltória!H87</f>
        <v>0</v>
      </c>
      <c r="C82" s="51">
        <f>Envoltória!B87</f>
        <v>0</v>
      </c>
      <c r="D82" s="52">
        <f>Envoltória!C87</f>
        <v>0</v>
      </c>
      <c r="E82" s="53">
        <f>Envoltória!D87</f>
        <v>0</v>
      </c>
      <c r="F82" s="53" t="str">
        <f>IFERROR(VLOOKUP(Envoltória!F87,CB3E_Envoltória!$AF$11:$AG$15,2,FALSE),"")</f>
        <v/>
      </c>
      <c r="G82" s="53" t="str">
        <f>Envoltória!T87</f>
        <v/>
      </c>
      <c r="H82" s="56">
        <f>Envoltória!S87</f>
        <v>0</v>
      </c>
      <c r="I82" s="56">
        <f>IF(ISERROR(VLOOKUP(Envoltória!M87,Componentes!L:N,3,FALSE)),0,VLOOKUP(Envoltória!M87,Componentes!L:N,3,FALSE))</f>
        <v>0</v>
      </c>
      <c r="J82" s="56">
        <v>0.5</v>
      </c>
      <c r="K82" s="56" t="str">
        <f>Envoltória!U87</f>
        <v/>
      </c>
      <c r="L82" s="56">
        <f>IF(ISERROR(VLOOKUP(Envoltória!M87,Componentes!L:N,2,FALSE)),0,VLOOKUP(Envoltória!M87,Componentes!L:N,2,FALSE))</f>
        <v>0</v>
      </c>
      <c r="M82" s="56">
        <f>IF(ISERROR(VLOOKUP(Envoltória!L87,Componentes!G:J,4,FALSE)),0,VLOOKUP(Envoltória!L87,Componentes!G:J,4,FALSE))</f>
        <v>0</v>
      </c>
      <c r="N82" s="56">
        <f>IF(ISERROR(VLOOKUP(Envoltória!K87,Componentes!B:E,4,FALSE)),0,VLOOKUP(Envoltória!K87,Componentes!B:E,4,FALSE))</f>
        <v>0</v>
      </c>
      <c r="O82" s="54">
        <f>Envoltória!E87</f>
        <v>0</v>
      </c>
      <c r="P82" s="56">
        <f>Envoltória!N87/100</f>
        <v>0</v>
      </c>
      <c r="Q82" s="56">
        <f>Envoltória!Q87</f>
        <v>0</v>
      </c>
      <c r="R82" s="56">
        <f>Envoltória!P87</f>
        <v>0</v>
      </c>
      <c r="S82" s="56">
        <f>Envoltória!R87</f>
        <v>0</v>
      </c>
      <c r="T82" s="56" t="str">
        <f>Envoltória!V87</f>
        <v/>
      </c>
      <c r="U82" s="56" t="str">
        <f>IFERROR(VLOOKUP(Envoltória!I87,Aux_Lista!M:P,3,FALSE),"")</f>
        <v/>
      </c>
      <c r="V82" s="56" t="str">
        <f>IFERROR(VLOOKUP(Envoltória!I87,Aux_Lista!M:P,4,FALSE),"")</f>
        <v/>
      </c>
      <c r="W82" s="56" t="str">
        <f>IFERROR(VLOOKUP(Envoltória!J87,Aux_Lista!R:S,2,FALSE),"")</f>
        <v/>
      </c>
      <c r="X82" s="56">
        <f>IF(ISERROR(VLOOKUP(Envoltória!L87,Componentes!G:J,2,FALSE)),0,VLOOKUP(Envoltória!L87,Componentes!G:J,2,FALSE))</f>
        <v>0</v>
      </c>
      <c r="Y82" s="56">
        <f>IF(ISERROR(VLOOKUP(Envoltória!K87,Componentes!B:E,2,FALSE)),0,VLOOKUP(Envoltória!K87,Componentes!B:E,2,FALSE))</f>
        <v>0</v>
      </c>
      <c r="Z82" s="56">
        <f>IF(ISERROR(VLOOKUP(Envoltória!L87,Componentes!G:J,3,FALSE)),0,VLOOKUP(Envoltória!L87,Componentes!G:J,3,FALSE))</f>
        <v>0</v>
      </c>
      <c r="AA82" s="56">
        <f>IF(ISERROR(VLOOKUP(Envoltória!K87,Componentes!B:E,3,FALSE)),0,VLOOKUP(Envoltória!K87,Componentes!B:E,3,FALSE))</f>
        <v>0</v>
      </c>
      <c r="AB82" s="56" t="str">
        <f>IFERROR(VLOOKUP(Envoltória!I87,Aux_Lista!M:P,2,FALSE),"")</f>
        <v/>
      </c>
      <c r="AC82" s="55" t="str">
        <f>IFERROR(VLOOKUP(Envoltória!G87,CB3E_Envoltória!$AF$18:$AG$19,2,FALSE),"")</f>
        <v/>
      </c>
      <c r="AD82" s="371"/>
    </row>
    <row r="83" spans="1:30" x14ac:dyDescent="0.25">
      <c r="A83" s="1">
        <v>73</v>
      </c>
      <c r="B83" s="50">
        <f>Envoltória!H88</f>
        <v>0</v>
      </c>
      <c r="C83" s="51">
        <f>Envoltória!B88</f>
        <v>0</v>
      </c>
      <c r="D83" s="52">
        <f>Envoltória!C88</f>
        <v>0</v>
      </c>
      <c r="E83" s="53">
        <f>Envoltória!D88</f>
        <v>0</v>
      </c>
      <c r="F83" s="53" t="str">
        <f>IFERROR(VLOOKUP(Envoltória!F88,CB3E_Envoltória!$AF$11:$AG$15,2,FALSE),"")</f>
        <v/>
      </c>
      <c r="G83" s="53" t="str">
        <f>Envoltória!T88</f>
        <v/>
      </c>
      <c r="H83" s="56">
        <f>Envoltória!S88</f>
        <v>0</v>
      </c>
      <c r="I83" s="56">
        <f>IF(ISERROR(VLOOKUP(Envoltória!M88,Componentes!L:N,3,FALSE)),0,VLOOKUP(Envoltória!M88,Componentes!L:N,3,FALSE))</f>
        <v>0</v>
      </c>
      <c r="J83" s="56">
        <v>0.5</v>
      </c>
      <c r="K83" s="56" t="str">
        <f>Envoltória!U88</f>
        <v/>
      </c>
      <c r="L83" s="56">
        <f>IF(ISERROR(VLOOKUP(Envoltória!M88,Componentes!L:N,2,FALSE)),0,VLOOKUP(Envoltória!M88,Componentes!L:N,2,FALSE))</f>
        <v>0</v>
      </c>
      <c r="M83" s="56">
        <f>IF(ISERROR(VLOOKUP(Envoltória!L88,Componentes!G:J,4,FALSE)),0,VLOOKUP(Envoltória!L88,Componentes!G:J,4,FALSE))</f>
        <v>0</v>
      </c>
      <c r="N83" s="56">
        <f>IF(ISERROR(VLOOKUP(Envoltória!K88,Componentes!B:E,4,FALSE)),0,VLOOKUP(Envoltória!K88,Componentes!B:E,4,FALSE))</f>
        <v>0</v>
      </c>
      <c r="O83" s="54">
        <f>Envoltória!E88</f>
        <v>0</v>
      </c>
      <c r="P83" s="56">
        <f>Envoltória!N88/100</f>
        <v>0</v>
      </c>
      <c r="Q83" s="56">
        <f>Envoltória!Q88</f>
        <v>0</v>
      </c>
      <c r="R83" s="56">
        <f>Envoltória!P88</f>
        <v>0</v>
      </c>
      <c r="S83" s="56">
        <f>Envoltória!R88</f>
        <v>0</v>
      </c>
      <c r="T83" s="56" t="str">
        <f>Envoltória!V88</f>
        <v/>
      </c>
      <c r="U83" s="56" t="str">
        <f>IFERROR(VLOOKUP(Envoltória!I88,Aux_Lista!M:P,3,FALSE),"")</f>
        <v/>
      </c>
      <c r="V83" s="56" t="str">
        <f>IFERROR(VLOOKUP(Envoltória!I88,Aux_Lista!M:P,4,FALSE),"")</f>
        <v/>
      </c>
      <c r="W83" s="56" t="str">
        <f>IFERROR(VLOOKUP(Envoltória!J88,Aux_Lista!R:S,2,FALSE),"")</f>
        <v/>
      </c>
      <c r="X83" s="56">
        <f>IF(ISERROR(VLOOKUP(Envoltória!L88,Componentes!G:J,2,FALSE)),0,VLOOKUP(Envoltória!L88,Componentes!G:J,2,FALSE))</f>
        <v>0</v>
      </c>
      <c r="Y83" s="56">
        <f>IF(ISERROR(VLOOKUP(Envoltória!K88,Componentes!B:E,2,FALSE)),0,VLOOKUP(Envoltória!K88,Componentes!B:E,2,FALSE))</f>
        <v>0</v>
      </c>
      <c r="Z83" s="56">
        <f>IF(ISERROR(VLOOKUP(Envoltória!L88,Componentes!G:J,3,FALSE)),0,VLOOKUP(Envoltória!L88,Componentes!G:J,3,FALSE))</f>
        <v>0</v>
      </c>
      <c r="AA83" s="56">
        <f>IF(ISERROR(VLOOKUP(Envoltória!K88,Componentes!B:E,3,FALSE)),0,VLOOKUP(Envoltória!K88,Componentes!B:E,3,FALSE))</f>
        <v>0</v>
      </c>
      <c r="AB83" s="56" t="str">
        <f>IFERROR(VLOOKUP(Envoltória!I88,Aux_Lista!M:P,2,FALSE),"")</f>
        <v/>
      </c>
      <c r="AC83" s="55" t="str">
        <f>IFERROR(VLOOKUP(Envoltória!G88,CB3E_Envoltória!$AF$18:$AG$19,2,FALSE),"")</f>
        <v/>
      </c>
      <c r="AD83" s="371"/>
    </row>
    <row r="84" spans="1:30" x14ac:dyDescent="0.25">
      <c r="A84" s="1">
        <v>74</v>
      </c>
      <c r="B84" s="50">
        <f>Envoltória!H89</f>
        <v>0</v>
      </c>
      <c r="C84" s="51">
        <f>Envoltória!B89</f>
        <v>0</v>
      </c>
      <c r="D84" s="52">
        <f>Envoltória!C89</f>
        <v>0</v>
      </c>
      <c r="E84" s="53">
        <f>Envoltória!D89</f>
        <v>0</v>
      </c>
      <c r="F84" s="53" t="str">
        <f>IFERROR(VLOOKUP(Envoltória!F89,CB3E_Envoltória!$AF$11:$AG$15,2,FALSE),"")</f>
        <v/>
      </c>
      <c r="G84" s="53" t="str">
        <f>Envoltória!T89</f>
        <v/>
      </c>
      <c r="H84" s="56">
        <f>Envoltória!S89</f>
        <v>0</v>
      </c>
      <c r="I84" s="56">
        <f>IF(ISERROR(VLOOKUP(Envoltória!M89,Componentes!L:N,3,FALSE)),0,VLOOKUP(Envoltória!M89,Componentes!L:N,3,FALSE))</f>
        <v>0</v>
      </c>
      <c r="J84" s="56">
        <v>0.5</v>
      </c>
      <c r="K84" s="56" t="str">
        <f>Envoltória!U89</f>
        <v/>
      </c>
      <c r="L84" s="56">
        <f>IF(ISERROR(VLOOKUP(Envoltória!M89,Componentes!L:N,2,FALSE)),0,VLOOKUP(Envoltória!M89,Componentes!L:N,2,FALSE))</f>
        <v>0</v>
      </c>
      <c r="M84" s="56">
        <f>IF(ISERROR(VLOOKUP(Envoltória!L89,Componentes!G:J,4,FALSE)),0,VLOOKUP(Envoltória!L89,Componentes!G:J,4,FALSE))</f>
        <v>0</v>
      </c>
      <c r="N84" s="56">
        <f>IF(ISERROR(VLOOKUP(Envoltória!K89,Componentes!B:E,4,FALSE)),0,VLOOKUP(Envoltória!K89,Componentes!B:E,4,FALSE))</f>
        <v>0</v>
      </c>
      <c r="O84" s="54">
        <f>Envoltória!E89</f>
        <v>0</v>
      </c>
      <c r="P84" s="56">
        <f>Envoltória!N89/100</f>
        <v>0</v>
      </c>
      <c r="Q84" s="56">
        <f>Envoltória!Q89</f>
        <v>0</v>
      </c>
      <c r="R84" s="56">
        <f>Envoltória!P89</f>
        <v>0</v>
      </c>
      <c r="S84" s="56">
        <f>Envoltória!R89</f>
        <v>0</v>
      </c>
      <c r="T84" s="56" t="str">
        <f>Envoltória!V89</f>
        <v/>
      </c>
      <c r="U84" s="56" t="str">
        <f>IFERROR(VLOOKUP(Envoltória!I89,Aux_Lista!M:P,3,FALSE),"")</f>
        <v/>
      </c>
      <c r="V84" s="56" t="str">
        <f>IFERROR(VLOOKUP(Envoltória!I89,Aux_Lista!M:P,4,FALSE),"")</f>
        <v/>
      </c>
      <c r="W84" s="56" t="str">
        <f>IFERROR(VLOOKUP(Envoltória!J89,Aux_Lista!R:S,2,FALSE),"")</f>
        <v/>
      </c>
      <c r="X84" s="56">
        <f>IF(ISERROR(VLOOKUP(Envoltória!L89,Componentes!G:J,2,FALSE)),0,VLOOKUP(Envoltória!L89,Componentes!G:J,2,FALSE))</f>
        <v>0</v>
      </c>
      <c r="Y84" s="56">
        <f>IF(ISERROR(VLOOKUP(Envoltória!K89,Componentes!B:E,2,FALSE)),0,VLOOKUP(Envoltória!K89,Componentes!B:E,2,FALSE))</f>
        <v>0</v>
      </c>
      <c r="Z84" s="56">
        <f>IF(ISERROR(VLOOKUP(Envoltória!L89,Componentes!G:J,3,FALSE)),0,VLOOKUP(Envoltória!L89,Componentes!G:J,3,FALSE))</f>
        <v>0</v>
      </c>
      <c r="AA84" s="56">
        <f>IF(ISERROR(VLOOKUP(Envoltória!K89,Componentes!B:E,3,FALSE)),0,VLOOKUP(Envoltória!K89,Componentes!B:E,3,FALSE))</f>
        <v>0</v>
      </c>
      <c r="AB84" s="56" t="str">
        <f>IFERROR(VLOOKUP(Envoltória!I89,Aux_Lista!M:P,2,FALSE),"")</f>
        <v/>
      </c>
      <c r="AC84" s="55" t="str">
        <f>IFERROR(VLOOKUP(Envoltória!G89,CB3E_Envoltória!$AF$18:$AG$19,2,FALSE),"")</f>
        <v/>
      </c>
      <c r="AD84" s="371"/>
    </row>
    <row r="85" spans="1:30" x14ac:dyDescent="0.25">
      <c r="A85" s="1">
        <v>75</v>
      </c>
      <c r="B85" s="50">
        <f>Envoltória!H90</f>
        <v>0</v>
      </c>
      <c r="C85" s="51">
        <f>Envoltória!B90</f>
        <v>0</v>
      </c>
      <c r="D85" s="52">
        <f>Envoltória!C90</f>
        <v>0</v>
      </c>
      <c r="E85" s="53">
        <f>Envoltória!D90</f>
        <v>0</v>
      </c>
      <c r="F85" s="53" t="str">
        <f>IFERROR(VLOOKUP(Envoltória!F90,CB3E_Envoltória!$AF$11:$AG$15,2,FALSE),"")</f>
        <v/>
      </c>
      <c r="G85" s="53" t="str">
        <f>Envoltória!T90</f>
        <v/>
      </c>
      <c r="H85" s="56">
        <f>Envoltória!S90</f>
        <v>0</v>
      </c>
      <c r="I85" s="56">
        <f>IF(ISERROR(VLOOKUP(Envoltória!M90,Componentes!L:N,3,FALSE)),0,VLOOKUP(Envoltória!M90,Componentes!L:N,3,FALSE))</f>
        <v>0</v>
      </c>
      <c r="J85" s="56">
        <v>0.5</v>
      </c>
      <c r="K85" s="56" t="str">
        <f>Envoltória!U90</f>
        <v/>
      </c>
      <c r="L85" s="56">
        <f>IF(ISERROR(VLOOKUP(Envoltória!M90,Componentes!L:N,2,FALSE)),0,VLOOKUP(Envoltória!M90,Componentes!L:N,2,FALSE))</f>
        <v>0</v>
      </c>
      <c r="M85" s="56">
        <f>IF(ISERROR(VLOOKUP(Envoltória!L90,Componentes!G:J,4,FALSE)),0,VLOOKUP(Envoltória!L90,Componentes!G:J,4,FALSE))</f>
        <v>0</v>
      </c>
      <c r="N85" s="56">
        <f>IF(ISERROR(VLOOKUP(Envoltória!K90,Componentes!B:E,4,FALSE)),0,VLOOKUP(Envoltória!K90,Componentes!B:E,4,FALSE))</f>
        <v>0</v>
      </c>
      <c r="O85" s="54">
        <f>Envoltória!E90</f>
        <v>0</v>
      </c>
      <c r="P85" s="56">
        <f>Envoltória!N90/100</f>
        <v>0</v>
      </c>
      <c r="Q85" s="56">
        <f>Envoltória!Q90</f>
        <v>0</v>
      </c>
      <c r="R85" s="56">
        <f>Envoltória!P90</f>
        <v>0</v>
      </c>
      <c r="S85" s="56">
        <f>Envoltória!R90</f>
        <v>0</v>
      </c>
      <c r="T85" s="56" t="str">
        <f>Envoltória!V90</f>
        <v/>
      </c>
      <c r="U85" s="56" t="str">
        <f>IFERROR(VLOOKUP(Envoltória!I90,Aux_Lista!M:P,3,FALSE),"")</f>
        <v/>
      </c>
      <c r="V85" s="56" t="str">
        <f>IFERROR(VLOOKUP(Envoltória!I90,Aux_Lista!M:P,4,FALSE),"")</f>
        <v/>
      </c>
      <c r="W85" s="56" t="str">
        <f>IFERROR(VLOOKUP(Envoltória!J90,Aux_Lista!R:S,2,FALSE),"")</f>
        <v/>
      </c>
      <c r="X85" s="56">
        <f>IF(ISERROR(VLOOKUP(Envoltória!L90,Componentes!G:J,2,FALSE)),0,VLOOKUP(Envoltória!L90,Componentes!G:J,2,FALSE))</f>
        <v>0</v>
      </c>
      <c r="Y85" s="56">
        <f>IF(ISERROR(VLOOKUP(Envoltória!K90,Componentes!B:E,2,FALSE)),0,VLOOKUP(Envoltória!K90,Componentes!B:E,2,FALSE))</f>
        <v>0</v>
      </c>
      <c r="Z85" s="56">
        <f>IF(ISERROR(VLOOKUP(Envoltória!L90,Componentes!G:J,3,FALSE)),0,VLOOKUP(Envoltória!L90,Componentes!G:J,3,FALSE))</f>
        <v>0</v>
      </c>
      <c r="AA85" s="56">
        <f>IF(ISERROR(VLOOKUP(Envoltória!K90,Componentes!B:E,3,FALSE)),0,VLOOKUP(Envoltória!K90,Componentes!B:E,3,FALSE))</f>
        <v>0</v>
      </c>
      <c r="AB85" s="56" t="str">
        <f>IFERROR(VLOOKUP(Envoltória!I90,Aux_Lista!M:P,2,FALSE),"")</f>
        <v/>
      </c>
      <c r="AC85" s="55" t="str">
        <f>IFERROR(VLOOKUP(Envoltória!G90,CB3E_Envoltória!$AF$18:$AG$19,2,FALSE),"")</f>
        <v/>
      </c>
      <c r="AD85" s="371"/>
    </row>
    <row r="86" spans="1:30" x14ac:dyDescent="0.25">
      <c r="A86" s="1">
        <v>76</v>
      </c>
      <c r="B86" s="50">
        <f>Envoltória!H91</f>
        <v>0</v>
      </c>
      <c r="C86" s="51">
        <f>Envoltória!B91</f>
        <v>0</v>
      </c>
      <c r="D86" s="52">
        <f>Envoltória!C91</f>
        <v>0</v>
      </c>
      <c r="E86" s="53">
        <f>Envoltória!D91</f>
        <v>0</v>
      </c>
      <c r="F86" s="53" t="str">
        <f>IFERROR(VLOOKUP(Envoltória!F91,CB3E_Envoltória!$AF$11:$AG$15,2,FALSE),"")</f>
        <v/>
      </c>
      <c r="G86" s="53" t="str">
        <f>Envoltória!T91</f>
        <v/>
      </c>
      <c r="H86" s="56">
        <f>Envoltória!S91</f>
        <v>0</v>
      </c>
      <c r="I86" s="56">
        <f>IF(ISERROR(VLOOKUP(Envoltória!M91,Componentes!L:N,3,FALSE)),0,VLOOKUP(Envoltória!M91,Componentes!L:N,3,FALSE))</f>
        <v>0</v>
      </c>
      <c r="J86" s="56">
        <v>0.5</v>
      </c>
      <c r="K86" s="56" t="str">
        <f>Envoltória!U91</f>
        <v/>
      </c>
      <c r="L86" s="56">
        <f>IF(ISERROR(VLOOKUP(Envoltória!M91,Componentes!L:N,2,FALSE)),0,VLOOKUP(Envoltória!M91,Componentes!L:N,2,FALSE))</f>
        <v>0</v>
      </c>
      <c r="M86" s="56">
        <f>IF(ISERROR(VLOOKUP(Envoltória!L91,Componentes!G:J,4,FALSE)),0,VLOOKUP(Envoltória!L91,Componentes!G:J,4,FALSE))</f>
        <v>0</v>
      </c>
      <c r="N86" s="56">
        <f>IF(ISERROR(VLOOKUP(Envoltória!K91,Componentes!B:E,4,FALSE)),0,VLOOKUP(Envoltória!K91,Componentes!B:E,4,FALSE))</f>
        <v>0</v>
      </c>
      <c r="O86" s="54">
        <f>Envoltória!E91</f>
        <v>0</v>
      </c>
      <c r="P86" s="56">
        <f>Envoltória!N91/100</f>
        <v>0</v>
      </c>
      <c r="Q86" s="56">
        <f>Envoltória!Q91</f>
        <v>0</v>
      </c>
      <c r="R86" s="56">
        <f>Envoltória!P91</f>
        <v>0</v>
      </c>
      <c r="S86" s="56">
        <f>Envoltória!R91</f>
        <v>0</v>
      </c>
      <c r="T86" s="56" t="str">
        <f>Envoltória!V91</f>
        <v/>
      </c>
      <c r="U86" s="56" t="str">
        <f>IFERROR(VLOOKUP(Envoltória!I91,Aux_Lista!M:P,3,FALSE),"")</f>
        <v/>
      </c>
      <c r="V86" s="56" t="str">
        <f>IFERROR(VLOOKUP(Envoltória!I91,Aux_Lista!M:P,4,FALSE),"")</f>
        <v/>
      </c>
      <c r="W86" s="56" t="str">
        <f>IFERROR(VLOOKUP(Envoltória!J91,Aux_Lista!R:S,2,FALSE),"")</f>
        <v/>
      </c>
      <c r="X86" s="56">
        <f>IF(ISERROR(VLOOKUP(Envoltória!L91,Componentes!G:J,2,FALSE)),0,VLOOKUP(Envoltória!L91,Componentes!G:J,2,FALSE))</f>
        <v>0</v>
      </c>
      <c r="Y86" s="56">
        <f>IF(ISERROR(VLOOKUP(Envoltória!K91,Componentes!B:E,2,FALSE)),0,VLOOKUP(Envoltória!K91,Componentes!B:E,2,FALSE))</f>
        <v>0</v>
      </c>
      <c r="Z86" s="56">
        <f>IF(ISERROR(VLOOKUP(Envoltória!L91,Componentes!G:J,3,FALSE)),0,VLOOKUP(Envoltória!L91,Componentes!G:J,3,FALSE))</f>
        <v>0</v>
      </c>
      <c r="AA86" s="56">
        <f>IF(ISERROR(VLOOKUP(Envoltória!K91,Componentes!B:E,3,FALSE)),0,VLOOKUP(Envoltória!K91,Componentes!B:E,3,FALSE))</f>
        <v>0</v>
      </c>
      <c r="AB86" s="56" t="str">
        <f>IFERROR(VLOOKUP(Envoltória!I91,Aux_Lista!M:P,2,FALSE),"")</f>
        <v/>
      </c>
      <c r="AC86" s="55" t="str">
        <f>IFERROR(VLOOKUP(Envoltória!G91,CB3E_Envoltória!$AF$18:$AG$19,2,FALSE),"")</f>
        <v/>
      </c>
      <c r="AD86" s="371"/>
    </row>
    <row r="87" spans="1:30" x14ac:dyDescent="0.25">
      <c r="A87" s="1">
        <v>77</v>
      </c>
      <c r="B87" s="50">
        <f>Envoltória!H92</f>
        <v>0</v>
      </c>
      <c r="C87" s="51">
        <f>Envoltória!B92</f>
        <v>0</v>
      </c>
      <c r="D87" s="52">
        <f>Envoltória!C92</f>
        <v>0</v>
      </c>
      <c r="E87" s="53">
        <f>Envoltória!D92</f>
        <v>0</v>
      </c>
      <c r="F87" s="53" t="str">
        <f>IFERROR(VLOOKUP(Envoltória!F92,CB3E_Envoltória!$AF$11:$AG$15,2,FALSE),"")</f>
        <v/>
      </c>
      <c r="G87" s="53" t="str">
        <f>Envoltória!T92</f>
        <v/>
      </c>
      <c r="H87" s="56">
        <f>Envoltória!S92</f>
        <v>0</v>
      </c>
      <c r="I87" s="56">
        <f>IF(ISERROR(VLOOKUP(Envoltória!M92,Componentes!L:N,3,FALSE)),0,VLOOKUP(Envoltória!M92,Componentes!L:N,3,FALSE))</f>
        <v>0</v>
      </c>
      <c r="J87" s="56">
        <v>0.5</v>
      </c>
      <c r="K87" s="56" t="str">
        <f>Envoltória!U92</f>
        <v/>
      </c>
      <c r="L87" s="56">
        <f>IF(ISERROR(VLOOKUP(Envoltória!M92,Componentes!L:N,2,FALSE)),0,VLOOKUP(Envoltória!M92,Componentes!L:N,2,FALSE))</f>
        <v>0</v>
      </c>
      <c r="M87" s="56">
        <f>IF(ISERROR(VLOOKUP(Envoltória!L92,Componentes!G:J,4,FALSE)),0,VLOOKUP(Envoltória!L92,Componentes!G:J,4,FALSE))</f>
        <v>0</v>
      </c>
      <c r="N87" s="56">
        <f>IF(ISERROR(VLOOKUP(Envoltória!K92,Componentes!B:E,4,FALSE)),0,VLOOKUP(Envoltória!K92,Componentes!B:E,4,FALSE))</f>
        <v>0</v>
      </c>
      <c r="O87" s="54">
        <f>Envoltória!E92</f>
        <v>0</v>
      </c>
      <c r="P87" s="56">
        <f>Envoltória!N92/100</f>
        <v>0</v>
      </c>
      <c r="Q87" s="56">
        <f>Envoltória!Q92</f>
        <v>0</v>
      </c>
      <c r="R87" s="56">
        <f>Envoltória!P92</f>
        <v>0</v>
      </c>
      <c r="S87" s="56">
        <f>Envoltória!R92</f>
        <v>0</v>
      </c>
      <c r="T87" s="56" t="str">
        <f>Envoltória!V92</f>
        <v/>
      </c>
      <c r="U87" s="56" t="str">
        <f>IFERROR(VLOOKUP(Envoltória!I92,Aux_Lista!M:P,3,FALSE),"")</f>
        <v/>
      </c>
      <c r="V87" s="56" t="str">
        <f>IFERROR(VLOOKUP(Envoltória!I92,Aux_Lista!M:P,4,FALSE),"")</f>
        <v/>
      </c>
      <c r="W87" s="56" t="str">
        <f>IFERROR(VLOOKUP(Envoltória!J92,Aux_Lista!R:S,2,FALSE),"")</f>
        <v/>
      </c>
      <c r="X87" s="56">
        <f>IF(ISERROR(VLOOKUP(Envoltória!L92,Componentes!G:J,2,FALSE)),0,VLOOKUP(Envoltória!L92,Componentes!G:J,2,FALSE))</f>
        <v>0</v>
      </c>
      <c r="Y87" s="56">
        <f>IF(ISERROR(VLOOKUP(Envoltória!K92,Componentes!B:E,2,FALSE)),0,VLOOKUP(Envoltória!K92,Componentes!B:E,2,FALSE))</f>
        <v>0</v>
      </c>
      <c r="Z87" s="56">
        <f>IF(ISERROR(VLOOKUP(Envoltória!L92,Componentes!G:J,3,FALSE)),0,VLOOKUP(Envoltória!L92,Componentes!G:J,3,FALSE))</f>
        <v>0</v>
      </c>
      <c r="AA87" s="56">
        <f>IF(ISERROR(VLOOKUP(Envoltória!K92,Componentes!B:E,3,FALSE)),0,VLOOKUP(Envoltória!K92,Componentes!B:E,3,FALSE))</f>
        <v>0</v>
      </c>
      <c r="AB87" s="56" t="str">
        <f>IFERROR(VLOOKUP(Envoltória!I92,Aux_Lista!M:P,2,FALSE),"")</f>
        <v/>
      </c>
      <c r="AC87" s="55" t="str">
        <f>IFERROR(VLOOKUP(Envoltória!G92,CB3E_Envoltória!$AF$18:$AG$19,2,FALSE),"")</f>
        <v/>
      </c>
      <c r="AD87" s="371"/>
    </row>
    <row r="88" spans="1:30" x14ac:dyDescent="0.25">
      <c r="A88" s="1">
        <v>78</v>
      </c>
      <c r="B88" s="50">
        <f>Envoltória!H93</f>
        <v>0</v>
      </c>
      <c r="C88" s="51">
        <f>Envoltória!B93</f>
        <v>0</v>
      </c>
      <c r="D88" s="52">
        <f>Envoltória!C93</f>
        <v>0</v>
      </c>
      <c r="E88" s="53">
        <f>Envoltória!D93</f>
        <v>0</v>
      </c>
      <c r="F88" s="53" t="str">
        <f>IFERROR(VLOOKUP(Envoltória!F93,CB3E_Envoltória!$AF$11:$AG$15,2,FALSE),"")</f>
        <v/>
      </c>
      <c r="G88" s="53" t="str">
        <f>Envoltória!T93</f>
        <v/>
      </c>
      <c r="H88" s="56">
        <f>Envoltória!S93</f>
        <v>0</v>
      </c>
      <c r="I88" s="56">
        <f>IF(ISERROR(VLOOKUP(Envoltória!M93,Componentes!L:N,3,FALSE)),0,VLOOKUP(Envoltória!M93,Componentes!L:N,3,FALSE))</f>
        <v>0</v>
      </c>
      <c r="J88" s="56">
        <v>0.5</v>
      </c>
      <c r="K88" s="56" t="str">
        <f>Envoltória!U93</f>
        <v/>
      </c>
      <c r="L88" s="56">
        <f>IF(ISERROR(VLOOKUP(Envoltória!M93,Componentes!L:N,2,FALSE)),0,VLOOKUP(Envoltória!M93,Componentes!L:N,2,FALSE))</f>
        <v>0</v>
      </c>
      <c r="M88" s="56">
        <f>IF(ISERROR(VLOOKUP(Envoltória!L93,Componentes!G:J,4,FALSE)),0,VLOOKUP(Envoltória!L93,Componentes!G:J,4,FALSE))</f>
        <v>0</v>
      </c>
      <c r="N88" s="56">
        <f>IF(ISERROR(VLOOKUP(Envoltória!K93,Componentes!B:E,4,FALSE)),0,VLOOKUP(Envoltória!K93,Componentes!B:E,4,FALSE))</f>
        <v>0</v>
      </c>
      <c r="O88" s="54">
        <f>Envoltória!E93</f>
        <v>0</v>
      </c>
      <c r="P88" s="56">
        <f>Envoltória!N93/100</f>
        <v>0</v>
      </c>
      <c r="Q88" s="56">
        <f>Envoltória!Q93</f>
        <v>0</v>
      </c>
      <c r="R88" s="56">
        <f>Envoltória!P93</f>
        <v>0</v>
      </c>
      <c r="S88" s="56">
        <f>Envoltória!R93</f>
        <v>0</v>
      </c>
      <c r="T88" s="56" t="str">
        <f>Envoltória!V93</f>
        <v/>
      </c>
      <c r="U88" s="56" t="str">
        <f>IFERROR(VLOOKUP(Envoltória!I93,Aux_Lista!M:P,3,FALSE),"")</f>
        <v/>
      </c>
      <c r="V88" s="56" t="str">
        <f>IFERROR(VLOOKUP(Envoltória!I93,Aux_Lista!M:P,4,FALSE),"")</f>
        <v/>
      </c>
      <c r="W88" s="56" t="str">
        <f>IFERROR(VLOOKUP(Envoltória!J93,Aux_Lista!R:S,2,FALSE),"")</f>
        <v/>
      </c>
      <c r="X88" s="56">
        <f>IF(ISERROR(VLOOKUP(Envoltória!L93,Componentes!G:J,2,FALSE)),0,VLOOKUP(Envoltória!L93,Componentes!G:J,2,FALSE))</f>
        <v>0</v>
      </c>
      <c r="Y88" s="56">
        <f>IF(ISERROR(VLOOKUP(Envoltória!K93,Componentes!B:E,2,FALSE)),0,VLOOKUP(Envoltória!K93,Componentes!B:E,2,FALSE))</f>
        <v>0</v>
      </c>
      <c r="Z88" s="56">
        <f>IF(ISERROR(VLOOKUP(Envoltória!L93,Componentes!G:J,3,FALSE)),0,VLOOKUP(Envoltória!L93,Componentes!G:J,3,FALSE))</f>
        <v>0</v>
      </c>
      <c r="AA88" s="56">
        <f>IF(ISERROR(VLOOKUP(Envoltória!K93,Componentes!B:E,3,FALSE)),0,VLOOKUP(Envoltória!K93,Componentes!B:E,3,FALSE))</f>
        <v>0</v>
      </c>
      <c r="AB88" s="56" t="str">
        <f>IFERROR(VLOOKUP(Envoltória!I93,Aux_Lista!M:P,2,FALSE),"")</f>
        <v/>
      </c>
      <c r="AC88" s="55" t="str">
        <f>IFERROR(VLOOKUP(Envoltória!G93,CB3E_Envoltória!$AF$18:$AG$19,2,FALSE),"")</f>
        <v/>
      </c>
      <c r="AD88" s="371"/>
    </row>
    <row r="89" spans="1:30" x14ac:dyDescent="0.25">
      <c r="A89" s="1">
        <v>79</v>
      </c>
      <c r="B89" s="50">
        <f>Envoltória!H94</f>
        <v>0</v>
      </c>
      <c r="C89" s="51">
        <f>Envoltória!B94</f>
        <v>0</v>
      </c>
      <c r="D89" s="52">
        <f>Envoltória!C94</f>
        <v>0</v>
      </c>
      <c r="E89" s="53">
        <f>Envoltória!D94</f>
        <v>0</v>
      </c>
      <c r="F89" s="53" t="str">
        <f>IFERROR(VLOOKUP(Envoltória!F94,CB3E_Envoltória!$AF$11:$AG$15,2,FALSE),"")</f>
        <v/>
      </c>
      <c r="G89" s="53" t="str">
        <f>Envoltória!T94</f>
        <v/>
      </c>
      <c r="H89" s="56">
        <f>Envoltória!S94</f>
        <v>0</v>
      </c>
      <c r="I89" s="56">
        <f>IF(ISERROR(VLOOKUP(Envoltória!M94,Componentes!L:N,3,FALSE)),0,VLOOKUP(Envoltória!M94,Componentes!L:N,3,FALSE))</f>
        <v>0</v>
      </c>
      <c r="J89" s="56">
        <v>0.5</v>
      </c>
      <c r="K89" s="56" t="str">
        <f>Envoltória!U94</f>
        <v/>
      </c>
      <c r="L89" s="56">
        <f>IF(ISERROR(VLOOKUP(Envoltória!M94,Componentes!L:N,2,FALSE)),0,VLOOKUP(Envoltória!M94,Componentes!L:N,2,FALSE))</f>
        <v>0</v>
      </c>
      <c r="M89" s="56">
        <f>IF(ISERROR(VLOOKUP(Envoltória!L94,Componentes!G:J,4,FALSE)),0,VLOOKUP(Envoltória!L94,Componentes!G:J,4,FALSE))</f>
        <v>0</v>
      </c>
      <c r="N89" s="56">
        <f>IF(ISERROR(VLOOKUP(Envoltória!K94,Componentes!B:E,4,FALSE)),0,VLOOKUP(Envoltória!K94,Componentes!B:E,4,FALSE))</f>
        <v>0</v>
      </c>
      <c r="O89" s="54">
        <f>Envoltória!E94</f>
        <v>0</v>
      </c>
      <c r="P89" s="56">
        <f>Envoltória!N94/100</f>
        <v>0</v>
      </c>
      <c r="Q89" s="56">
        <f>Envoltória!Q94</f>
        <v>0</v>
      </c>
      <c r="R89" s="56">
        <f>Envoltória!P94</f>
        <v>0</v>
      </c>
      <c r="S89" s="56">
        <f>Envoltória!R94</f>
        <v>0</v>
      </c>
      <c r="T89" s="56" t="str">
        <f>Envoltória!V94</f>
        <v/>
      </c>
      <c r="U89" s="56" t="str">
        <f>IFERROR(VLOOKUP(Envoltória!I94,Aux_Lista!M:P,3,FALSE),"")</f>
        <v/>
      </c>
      <c r="V89" s="56" t="str">
        <f>IFERROR(VLOOKUP(Envoltória!I94,Aux_Lista!M:P,4,FALSE),"")</f>
        <v/>
      </c>
      <c r="W89" s="56" t="str">
        <f>IFERROR(VLOOKUP(Envoltória!J94,Aux_Lista!R:S,2,FALSE),"")</f>
        <v/>
      </c>
      <c r="X89" s="56">
        <f>IF(ISERROR(VLOOKUP(Envoltória!L94,Componentes!G:J,2,FALSE)),0,VLOOKUP(Envoltória!L94,Componentes!G:J,2,FALSE))</f>
        <v>0</v>
      </c>
      <c r="Y89" s="56">
        <f>IF(ISERROR(VLOOKUP(Envoltória!K94,Componentes!B:E,2,FALSE)),0,VLOOKUP(Envoltória!K94,Componentes!B:E,2,FALSE))</f>
        <v>0</v>
      </c>
      <c r="Z89" s="56">
        <f>IF(ISERROR(VLOOKUP(Envoltória!L94,Componentes!G:J,3,FALSE)),0,VLOOKUP(Envoltória!L94,Componentes!G:J,3,FALSE))</f>
        <v>0</v>
      </c>
      <c r="AA89" s="56">
        <f>IF(ISERROR(VLOOKUP(Envoltória!K94,Componentes!B:E,3,FALSE)),0,VLOOKUP(Envoltória!K94,Componentes!B:E,3,FALSE))</f>
        <v>0</v>
      </c>
      <c r="AB89" s="56" t="str">
        <f>IFERROR(VLOOKUP(Envoltória!I94,Aux_Lista!M:P,2,FALSE),"")</f>
        <v/>
      </c>
      <c r="AC89" s="55" t="str">
        <f>IFERROR(VLOOKUP(Envoltória!G94,CB3E_Envoltória!$AF$18:$AG$19,2,FALSE),"")</f>
        <v/>
      </c>
      <c r="AD89" s="371"/>
    </row>
    <row r="90" spans="1:30" x14ac:dyDescent="0.25">
      <c r="A90" s="1">
        <v>80</v>
      </c>
      <c r="B90" s="50">
        <f>Envoltória!H95</f>
        <v>0</v>
      </c>
      <c r="C90" s="51">
        <f>Envoltória!B95</f>
        <v>0</v>
      </c>
      <c r="D90" s="52">
        <f>Envoltória!C95</f>
        <v>0</v>
      </c>
      <c r="E90" s="53">
        <f>Envoltória!D95</f>
        <v>0</v>
      </c>
      <c r="F90" s="53" t="str">
        <f>IFERROR(VLOOKUP(Envoltória!F95,CB3E_Envoltória!$AF$11:$AG$15,2,FALSE),"")</f>
        <v/>
      </c>
      <c r="G90" s="53" t="str">
        <f>Envoltória!T95</f>
        <v/>
      </c>
      <c r="H90" s="56">
        <f>Envoltória!S95</f>
        <v>0</v>
      </c>
      <c r="I90" s="56">
        <f>IF(ISERROR(VLOOKUP(Envoltória!M95,Componentes!L:N,3,FALSE)),0,VLOOKUP(Envoltória!M95,Componentes!L:N,3,FALSE))</f>
        <v>0</v>
      </c>
      <c r="J90" s="56">
        <v>0.5</v>
      </c>
      <c r="K90" s="56" t="str">
        <f>Envoltória!U95</f>
        <v/>
      </c>
      <c r="L90" s="56">
        <f>IF(ISERROR(VLOOKUP(Envoltória!M95,Componentes!L:N,2,FALSE)),0,VLOOKUP(Envoltória!M95,Componentes!L:N,2,FALSE))</f>
        <v>0</v>
      </c>
      <c r="M90" s="56">
        <f>IF(ISERROR(VLOOKUP(Envoltória!L95,Componentes!G:J,4,FALSE)),0,VLOOKUP(Envoltória!L95,Componentes!G:J,4,FALSE))</f>
        <v>0</v>
      </c>
      <c r="N90" s="56">
        <f>IF(ISERROR(VLOOKUP(Envoltória!K95,Componentes!B:E,4,FALSE)),0,VLOOKUP(Envoltória!K95,Componentes!B:E,4,FALSE))</f>
        <v>0</v>
      </c>
      <c r="O90" s="54">
        <f>Envoltória!E95</f>
        <v>0</v>
      </c>
      <c r="P90" s="56">
        <f>Envoltória!N95/100</f>
        <v>0</v>
      </c>
      <c r="Q90" s="56">
        <f>Envoltória!Q95</f>
        <v>0</v>
      </c>
      <c r="R90" s="56">
        <f>Envoltória!P95</f>
        <v>0</v>
      </c>
      <c r="S90" s="56">
        <f>Envoltória!R95</f>
        <v>0</v>
      </c>
      <c r="T90" s="56" t="str">
        <f>Envoltória!V95</f>
        <v/>
      </c>
      <c r="U90" s="56" t="str">
        <f>IFERROR(VLOOKUP(Envoltória!I95,Aux_Lista!M:P,3,FALSE),"")</f>
        <v/>
      </c>
      <c r="V90" s="56" t="str">
        <f>IFERROR(VLOOKUP(Envoltória!I95,Aux_Lista!M:P,4,FALSE),"")</f>
        <v/>
      </c>
      <c r="W90" s="56" t="str">
        <f>IFERROR(VLOOKUP(Envoltória!J95,Aux_Lista!R:S,2,FALSE),"")</f>
        <v/>
      </c>
      <c r="X90" s="56">
        <f>IF(ISERROR(VLOOKUP(Envoltória!L95,Componentes!G:J,2,FALSE)),0,VLOOKUP(Envoltória!L95,Componentes!G:J,2,FALSE))</f>
        <v>0</v>
      </c>
      <c r="Y90" s="56">
        <f>IF(ISERROR(VLOOKUP(Envoltória!K95,Componentes!B:E,2,FALSE)),0,VLOOKUP(Envoltória!K95,Componentes!B:E,2,FALSE))</f>
        <v>0</v>
      </c>
      <c r="Z90" s="56">
        <f>IF(ISERROR(VLOOKUP(Envoltória!L95,Componentes!G:J,3,FALSE)),0,VLOOKUP(Envoltória!L95,Componentes!G:J,3,FALSE))</f>
        <v>0</v>
      </c>
      <c r="AA90" s="56">
        <f>IF(ISERROR(VLOOKUP(Envoltória!K95,Componentes!B:E,3,FALSE)),0,VLOOKUP(Envoltória!K95,Componentes!B:E,3,FALSE))</f>
        <v>0</v>
      </c>
      <c r="AB90" s="56" t="str">
        <f>IFERROR(VLOOKUP(Envoltória!I95,Aux_Lista!M:P,2,FALSE),"")</f>
        <v/>
      </c>
      <c r="AC90" s="55" t="str">
        <f>IFERROR(VLOOKUP(Envoltória!G95,CB3E_Envoltória!$AF$18:$AG$19,2,FALSE),"")</f>
        <v/>
      </c>
      <c r="AD90" s="371"/>
    </row>
    <row r="91" spans="1:30" x14ac:dyDescent="0.25">
      <c r="A91" s="1">
        <v>81</v>
      </c>
      <c r="B91" s="50">
        <f>Envoltória!H96</f>
        <v>0</v>
      </c>
      <c r="C91" s="51">
        <f>Envoltória!B96</f>
        <v>0</v>
      </c>
      <c r="D91" s="52">
        <f>Envoltória!C96</f>
        <v>0</v>
      </c>
      <c r="E91" s="53">
        <f>Envoltória!D96</f>
        <v>0</v>
      </c>
      <c r="F91" s="53" t="str">
        <f>IFERROR(VLOOKUP(Envoltória!F96,CB3E_Envoltória!$AF$11:$AG$15,2,FALSE),"")</f>
        <v/>
      </c>
      <c r="G91" s="53" t="str">
        <f>Envoltória!T96</f>
        <v/>
      </c>
      <c r="H91" s="56">
        <f>Envoltória!S96</f>
        <v>0</v>
      </c>
      <c r="I91" s="56">
        <f>IF(ISERROR(VLOOKUP(Envoltória!M96,Componentes!L:N,3,FALSE)),0,VLOOKUP(Envoltória!M96,Componentes!L:N,3,FALSE))</f>
        <v>0</v>
      </c>
      <c r="J91" s="56">
        <v>0.5</v>
      </c>
      <c r="K91" s="56" t="str">
        <f>Envoltória!U96</f>
        <v/>
      </c>
      <c r="L91" s="56">
        <f>IF(ISERROR(VLOOKUP(Envoltória!M96,Componentes!L:N,2,FALSE)),0,VLOOKUP(Envoltória!M96,Componentes!L:N,2,FALSE))</f>
        <v>0</v>
      </c>
      <c r="M91" s="56">
        <f>IF(ISERROR(VLOOKUP(Envoltória!L96,Componentes!G:J,4,FALSE)),0,VLOOKUP(Envoltória!L96,Componentes!G:J,4,FALSE))</f>
        <v>0</v>
      </c>
      <c r="N91" s="56">
        <f>IF(ISERROR(VLOOKUP(Envoltória!K96,Componentes!B:E,4,FALSE)),0,VLOOKUP(Envoltória!K96,Componentes!B:E,4,FALSE))</f>
        <v>0</v>
      </c>
      <c r="O91" s="54">
        <f>Envoltória!E96</f>
        <v>0</v>
      </c>
      <c r="P91" s="56">
        <f>Envoltória!N96/100</f>
        <v>0</v>
      </c>
      <c r="Q91" s="56">
        <f>Envoltória!Q96</f>
        <v>0</v>
      </c>
      <c r="R91" s="56">
        <f>Envoltória!P96</f>
        <v>0</v>
      </c>
      <c r="S91" s="56">
        <f>Envoltória!R96</f>
        <v>0</v>
      </c>
      <c r="T91" s="56" t="str">
        <f>Envoltória!V96</f>
        <v/>
      </c>
      <c r="U91" s="56" t="str">
        <f>IFERROR(VLOOKUP(Envoltória!I96,Aux_Lista!M:P,3,FALSE),"")</f>
        <v/>
      </c>
      <c r="V91" s="56" t="str">
        <f>IFERROR(VLOOKUP(Envoltória!I96,Aux_Lista!M:P,4,FALSE),"")</f>
        <v/>
      </c>
      <c r="W91" s="56" t="str">
        <f>IFERROR(VLOOKUP(Envoltória!J96,Aux_Lista!R:S,2,FALSE),"")</f>
        <v/>
      </c>
      <c r="X91" s="56">
        <f>IF(ISERROR(VLOOKUP(Envoltória!L96,Componentes!G:J,2,FALSE)),0,VLOOKUP(Envoltória!L96,Componentes!G:J,2,FALSE))</f>
        <v>0</v>
      </c>
      <c r="Y91" s="56">
        <f>IF(ISERROR(VLOOKUP(Envoltória!K96,Componentes!B:E,2,FALSE)),0,VLOOKUP(Envoltória!K96,Componentes!B:E,2,FALSE))</f>
        <v>0</v>
      </c>
      <c r="Z91" s="56">
        <f>IF(ISERROR(VLOOKUP(Envoltória!L96,Componentes!G:J,3,FALSE)),0,VLOOKUP(Envoltória!L96,Componentes!G:J,3,FALSE))</f>
        <v>0</v>
      </c>
      <c r="AA91" s="56">
        <f>IF(ISERROR(VLOOKUP(Envoltória!K96,Componentes!B:E,3,FALSE)),0,VLOOKUP(Envoltória!K96,Componentes!B:E,3,FALSE))</f>
        <v>0</v>
      </c>
      <c r="AB91" s="56" t="str">
        <f>IFERROR(VLOOKUP(Envoltória!I96,Aux_Lista!M:P,2,FALSE),"")</f>
        <v/>
      </c>
      <c r="AC91" s="55" t="str">
        <f>IFERROR(VLOOKUP(Envoltória!G96,CB3E_Envoltória!$AF$18:$AG$19,2,FALSE),"")</f>
        <v/>
      </c>
      <c r="AD91" s="371"/>
    </row>
    <row r="92" spans="1:30" x14ac:dyDescent="0.25">
      <c r="A92" s="1">
        <v>82</v>
      </c>
      <c r="B92" s="50">
        <f>Envoltória!H97</f>
        <v>0</v>
      </c>
      <c r="C92" s="51">
        <f>Envoltória!B97</f>
        <v>0</v>
      </c>
      <c r="D92" s="52">
        <f>Envoltória!C97</f>
        <v>0</v>
      </c>
      <c r="E92" s="53">
        <f>Envoltória!D97</f>
        <v>0</v>
      </c>
      <c r="F92" s="53" t="str">
        <f>IFERROR(VLOOKUP(Envoltória!F97,CB3E_Envoltória!$AF$11:$AG$15,2,FALSE),"")</f>
        <v/>
      </c>
      <c r="G92" s="53" t="str">
        <f>Envoltória!T97</f>
        <v/>
      </c>
      <c r="H92" s="56">
        <f>Envoltória!S97</f>
        <v>0</v>
      </c>
      <c r="I92" s="56">
        <f>IF(ISERROR(VLOOKUP(Envoltória!M97,Componentes!L:N,3,FALSE)),0,VLOOKUP(Envoltória!M97,Componentes!L:N,3,FALSE))</f>
        <v>0</v>
      </c>
      <c r="J92" s="56">
        <v>0.5</v>
      </c>
      <c r="K92" s="56" t="str">
        <f>Envoltória!U97</f>
        <v/>
      </c>
      <c r="L92" s="56">
        <f>IF(ISERROR(VLOOKUP(Envoltória!M97,Componentes!L:N,2,FALSE)),0,VLOOKUP(Envoltória!M97,Componentes!L:N,2,FALSE))</f>
        <v>0</v>
      </c>
      <c r="M92" s="56">
        <f>IF(ISERROR(VLOOKUP(Envoltória!L97,Componentes!G:J,4,FALSE)),0,VLOOKUP(Envoltória!L97,Componentes!G:J,4,FALSE))</f>
        <v>0</v>
      </c>
      <c r="N92" s="56">
        <f>IF(ISERROR(VLOOKUP(Envoltória!K97,Componentes!B:E,4,FALSE)),0,VLOOKUP(Envoltória!K97,Componentes!B:E,4,FALSE))</f>
        <v>0</v>
      </c>
      <c r="O92" s="54">
        <f>Envoltória!E97</f>
        <v>0</v>
      </c>
      <c r="P92" s="56">
        <f>Envoltória!N97/100</f>
        <v>0</v>
      </c>
      <c r="Q92" s="56">
        <f>Envoltória!Q97</f>
        <v>0</v>
      </c>
      <c r="R92" s="56">
        <f>Envoltória!P97</f>
        <v>0</v>
      </c>
      <c r="S92" s="56">
        <f>Envoltória!R97</f>
        <v>0</v>
      </c>
      <c r="T92" s="56" t="str">
        <f>Envoltória!V97</f>
        <v/>
      </c>
      <c r="U92" s="56" t="str">
        <f>IFERROR(VLOOKUP(Envoltória!I97,Aux_Lista!M:P,3,FALSE),"")</f>
        <v/>
      </c>
      <c r="V92" s="56" t="str">
        <f>IFERROR(VLOOKUP(Envoltória!I97,Aux_Lista!M:P,4,FALSE),"")</f>
        <v/>
      </c>
      <c r="W92" s="56" t="str">
        <f>IFERROR(VLOOKUP(Envoltória!J97,Aux_Lista!R:S,2,FALSE),"")</f>
        <v/>
      </c>
      <c r="X92" s="56">
        <f>IF(ISERROR(VLOOKUP(Envoltória!L97,Componentes!G:J,2,FALSE)),0,VLOOKUP(Envoltória!L97,Componentes!G:J,2,FALSE))</f>
        <v>0</v>
      </c>
      <c r="Y92" s="56">
        <f>IF(ISERROR(VLOOKUP(Envoltória!K97,Componentes!B:E,2,FALSE)),0,VLOOKUP(Envoltória!K97,Componentes!B:E,2,FALSE))</f>
        <v>0</v>
      </c>
      <c r="Z92" s="56">
        <f>IF(ISERROR(VLOOKUP(Envoltória!L97,Componentes!G:J,3,FALSE)),0,VLOOKUP(Envoltória!L97,Componentes!G:J,3,FALSE))</f>
        <v>0</v>
      </c>
      <c r="AA92" s="56">
        <f>IF(ISERROR(VLOOKUP(Envoltória!K97,Componentes!B:E,3,FALSE)),0,VLOOKUP(Envoltória!K97,Componentes!B:E,3,FALSE))</f>
        <v>0</v>
      </c>
      <c r="AB92" s="56" t="str">
        <f>IFERROR(VLOOKUP(Envoltória!I97,Aux_Lista!M:P,2,FALSE),"")</f>
        <v/>
      </c>
      <c r="AC92" s="55" t="str">
        <f>IFERROR(VLOOKUP(Envoltória!G97,CB3E_Envoltória!$AF$18:$AG$19,2,FALSE),"")</f>
        <v/>
      </c>
      <c r="AD92" s="371"/>
    </row>
    <row r="93" spans="1:30" x14ac:dyDescent="0.25">
      <c r="A93" s="1">
        <v>83</v>
      </c>
      <c r="B93" s="50">
        <f>Envoltória!H98</f>
        <v>0</v>
      </c>
      <c r="C93" s="51">
        <f>Envoltória!B98</f>
        <v>0</v>
      </c>
      <c r="D93" s="52">
        <f>Envoltória!C98</f>
        <v>0</v>
      </c>
      <c r="E93" s="53">
        <f>Envoltória!D98</f>
        <v>0</v>
      </c>
      <c r="F93" s="53" t="str">
        <f>IFERROR(VLOOKUP(Envoltória!F98,CB3E_Envoltória!$AF$11:$AG$15,2,FALSE),"")</f>
        <v/>
      </c>
      <c r="G93" s="53" t="str">
        <f>Envoltória!T98</f>
        <v/>
      </c>
      <c r="H93" s="56">
        <f>Envoltória!S98</f>
        <v>0</v>
      </c>
      <c r="I93" s="56">
        <f>IF(ISERROR(VLOOKUP(Envoltória!M98,Componentes!L:N,3,FALSE)),0,VLOOKUP(Envoltória!M98,Componentes!L:N,3,FALSE))</f>
        <v>0</v>
      </c>
      <c r="J93" s="56">
        <v>0.5</v>
      </c>
      <c r="K93" s="56" t="str">
        <f>Envoltória!U98</f>
        <v/>
      </c>
      <c r="L93" s="56">
        <f>IF(ISERROR(VLOOKUP(Envoltória!M98,Componentes!L:N,2,FALSE)),0,VLOOKUP(Envoltória!M98,Componentes!L:N,2,FALSE))</f>
        <v>0</v>
      </c>
      <c r="M93" s="56">
        <f>IF(ISERROR(VLOOKUP(Envoltória!L98,Componentes!G:J,4,FALSE)),0,VLOOKUP(Envoltória!L98,Componentes!G:J,4,FALSE))</f>
        <v>0</v>
      </c>
      <c r="N93" s="56">
        <f>IF(ISERROR(VLOOKUP(Envoltória!K98,Componentes!B:E,4,FALSE)),0,VLOOKUP(Envoltória!K98,Componentes!B:E,4,FALSE))</f>
        <v>0</v>
      </c>
      <c r="O93" s="54">
        <f>Envoltória!E98</f>
        <v>0</v>
      </c>
      <c r="P93" s="56">
        <f>Envoltória!N98/100</f>
        <v>0</v>
      </c>
      <c r="Q93" s="56">
        <f>Envoltória!Q98</f>
        <v>0</v>
      </c>
      <c r="R93" s="56">
        <f>Envoltória!P98</f>
        <v>0</v>
      </c>
      <c r="S93" s="56">
        <f>Envoltória!R98</f>
        <v>0</v>
      </c>
      <c r="T93" s="56" t="str">
        <f>Envoltória!V98</f>
        <v/>
      </c>
      <c r="U93" s="56" t="str">
        <f>IFERROR(VLOOKUP(Envoltória!I98,Aux_Lista!M:P,3,FALSE),"")</f>
        <v/>
      </c>
      <c r="V93" s="56" t="str">
        <f>IFERROR(VLOOKUP(Envoltória!I98,Aux_Lista!M:P,4,FALSE),"")</f>
        <v/>
      </c>
      <c r="W93" s="56" t="str">
        <f>IFERROR(VLOOKUP(Envoltória!J98,Aux_Lista!R:S,2,FALSE),"")</f>
        <v/>
      </c>
      <c r="X93" s="56">
        <f>IF(ISERROR(VLOOKUP(Envoltória!L98,Componentes!G:J,2,FALSE)),0,VLOOKUP(Envoltória!L98,Componentes!G:J,2,FALSE))</f>
        <v>0</v>
      </c>
      <c r="Y93" s="56">
        <f>IF(ISERROR(VLOOKUP(Envoltória!K98,Componentes!B:E,2,FALSE)),0,VLOOKUP(Envoltória!K98,Componentes!B:E,2,FALSE))</f>
        <v>0</v>
      </c>
      <c r="Z93" s="56">
        <f>IF(ISERROR(VLOOKUP(Envoltória!L98,Componentes!G:J,3,FALSE)),0,VLOOKUP(Envoltória!L98,Componentes!G:J,3,FALSE))</f>
        <v>0</v>
      </c>
      <c r="AA93" s="56">
        <f>IF(ISERROR(VLOOKUP(Envoltória!K98,Componentes!B:E,3,FALSE)),0,VLOOKUP(Envoltória!K98,Componentes!B:E,3,FALSE))</f>
        <v>0</v>
      </c>
      <c r="AB93" s="56" t="str">
        <f>IFERROR(VLOOKUP(Envoltória!I98,Aux_Lista!M:P,2,FALSE),"")</f>
        <v/>
      </c>
      <c r="AC93" s="55" t="str">
        <f>IFERROR(VLOOKUP(Envoltória!G98,CB3E_Envoltória!$AF$18:$AG$19,2,FALSE),"")</f>
        <v/>
      </c>
      <c r="AD93" s="371"/>
    </row>
    <row r="94" spans="1:30" x14ac:dyDescent="0.25">
      <c r="A94" s="1">
        <v>84</v>
      </c>
      <c r="B94" s="50">
        <f>Envoltória!H99</f>
        <v>0</v>
      </c>
      <c r="C94" s="51">
        <f>Envoltória!B99</f>
        <v>0</v>
      </c>
      <c r="D94" s="52">
        <f>Envoltória!C99</f>
        <v>0</v>
      </c>
      <c r="E94" s="53">
        <f>Envoltória!D99</f>
        <v>0</v>
      </c>
      <c r="F94" s="53" t="str">
        <f>IFERROR(VLOOKUP(Envoltória!F99,CB3E_Envoltória!$AF$11:$AG$15,2,FALSE),"")</f>
        <v/>
      </c>
      <c r="G94" s="53" t="str">
        <f>Envoltória!T99</f>
        <v/>
      </c>
      <c r="H94" s="56">
        <f>Envoltória!S99</f>
        <v>0</v>
      </c>
      <c r="I94" s="56">
        <f>IF(ISERROR(VLOOKUP(Envoltória!M99,Componentes!L:N,3,FALSE)),0,VLOOKUP(Envoltória!M99,Componentes!L:N,3,FALSE))</f>
        <v>0</v>
      </c>
      <c r="J94" s="56">
        <v>0.5</v>
      </c>
      <c r="K94" s="56" t="str">
        <f>Envoltória!U99</f>
        <v/>
      </c>
      <c r="L94" s="56">
        <f>IF(ISERROR(VLOOKUP(Envoltória!M99,Componentes!L:N,2,FALSE)),0,VLOOKUP(Envoltória!M99,Componentes!L:N,2,FALSE))</f>
        <v>0</v>
      </c>
      <c r="M94" s="56">
        <f>IF(ISERROR(VLOOKUP(Envoltória!L99,Componentes!G:J,4,FALSE)),0,VLOOKUP(Envoltória!L99,Componentes!G:J,4,FALSE))</f>
        <v>0</v>
      </c>
      <c r="N94" s="56">
        <f>IF(ISERROR(VLOOKUP(Envoltória!K99,Componentes!B:E,4,FALSE)),0,VLOOKUP(Envoltória!K99,Componentes!B:E,4,FALSE))</f>
        <v>0</v>
      </c>
      <c r="O94" s="54">
        <f>Envoltória!E99</f>
        <v>0</v>
      </c>
      <c r="P94" s="56">
        <f>Envoltória!N99/100</f>
        <v>0</v>
      </c>
      <c r="Q94" s="56">
        <f>Envoltória!Q99</f>
        <v>0</v>
      </c>
      <c r="R94" s="56">
        <f>Envoltória!P99</f>
        <v>0</v>
      </c>
      <c r="S94" s="56">
        <f>Envoltória!R99</f>
        <v>0</v>
      </c>
      <c r="T94" s="56" t="str">
        <f>Envoltória!V99</f>
        <v/>
      </c>
      <c r="U94" s="56" t="str">
        <f>IFERROR(VLOOKUP(Envoltória!I99,Aux_Lista!M:P,3,FALSE),"")</f>
        <v/>
      </c>
      <c r="V94" s="56" t="str">
        <f>IFERROR(VLOOKUP(Envoltória!I99,Aux_Lista!M:P,4,FALSE),"")</f>
        <v/>
      </c>
      <c r="W94" s="56" t="str">
        <f>IFERROR(VLOOKUP(Envoltória!J99,Aux_Lista!R:S,2,FALSE),"")</f>
        <v/>
      </c>
      <c r="X94" s="56">
        <f>IF(ISERROR(VLOOKUP(Envoltória!L99,Componentes!G:J,2,FALSE)),0,VLOOKUP(Envoltória!L99,Componentes!G:J,2,FALSE))</f>
        <v>0</v>
      </c>
      <c r="Y94" s="56">
        <f>IF(ISERROR(VLOOKUP(Envoltória!K99,Componentes!B:E,2,FALSE)),0,VLOOKUP(Envoltória!K99,Componentes!B:E,2,FALSE))</f>
        <v>0</v>
      </c>
      <c r="Z94" s="56">
        <f>IF(ISERROR(VLOOKUP(Envoltória!L99,Componentes!G:J,3,FALSE)),0,VLOOKUP(Envoltória!L99,Componentes!G:J,3,FALSE))</f>
        <v>0</v>
      </c>
      <c r="AA94" s="56">
        <f>IF(ISERROR(VLOOKUP(Envoltória!K99,Componentes!B:E,3,FALSE)),0,VLOOKUP(Envoltória!K99,Componentes!B:E,3,FALSE))</f>
        <v>0</v>
      </c>
      <c r="AB94" s="56" t="str">
        <f>IFERROR(VLOOKUP(Envoltória!I99,Aux_Lista!M:P,2,FALSE),"")</f>
        <v/>
      </c>
      <c r="AC94" s="55" t="str">
        <f>IFERROR(VLOOKUP(Envoltória!G99,CB3E_Envoltória!$AF$18:$AG$19,2,FALSE),"")</f>
        <v/>
      </c>
      <c r="AD94" s="371"/>
    </row>
    <row r="95" spans="1:30" x14ac:dyDescent="0.25">
      <c r="A95" s="1">
        <v>85</v>
      </c>
      <c r="B95" s="50">
        <f>Envoltória!H100</f>
        <v>0</v>
      </c>
      <c r="C95" s="51">
        <f>Envoltória!B100</f>
        <v>0</v>
      </c>
      <c r="D95" s="52">
        <f>Envoltória!C100</f>
        <v>0</v>
      </c>
      <c r="E95" s="53">
        <f>Envoltória!D100</f>
        <v>0</v>
      </c>
      <c r="F95" s="53" t="str">
        <f>IFERROR(VLOOKUP(Envoltória!F100,CB3E_Envoltória!$AF$11:$AG$15,2,FALSE),"")</f>
        <v/>
      </c>
      <c r="G95" s="53" t="str">
        <f>Envoltória!T100</f>
        <v/>
      </c>
      <c r="H95" s="56">
        <f>Envoltória!S100</f>
        <v>0</v>
      </c>
      <c r="I95" s="56">
        <f>IF(ISERROR(VLOOKUP(Envoltória!M100,Componentes!L:N,3,FALSE)),0,VLOOKUP(Envoltória!M100,Componentes!L:N,3,FALSE))</f>
        <v>0</v>
      </c>
      <c r="J95" s="56">
        <v>0.5</v>
      </c>
      <c r="K95" s="56" t="str">
        <f>Envoltória!U100</f>
        <v/>
      </c>
      <c r="L95" s="56">
        <f>IF(ISERROR(VLOOKUP(Envoltória!M100,Componentes!L:N,2,FALSE)),0,VLOOKUP(Envoltória!M100,Componentes!L:N,2,FALSE))</f>
        <v>0</v>
      </c>
      <c r="M95" s="56">
        <f>IF(ISERROR(VLOOKUP(Envoltória!L100,Componentes!G:J,4,FALSE)),0,VLOOKUP(Envoltória!L100,Componentes!G:J,4,FALSE))</f>
        <v>0</v>
      </c>
      <c r="N95" s="56">
        <f>IF(ISERROR(VLOOKUP(Envoltória!K100,Componentes!B:E,4,FALSE)),0,VLOOKUP(Envoltória!K100,Componentes!B:E,4,FALSE))</f>
        <v>0</v>
      </c>
      <c r="O95" s="54">
        <f>Envoltória!E100</f>
        <v>0</v>
      </c>
      <c r="P95" s="56">
        <f>Envoltória!N100/100</f>
        <v>0</v>
      </c>
      <c r="Q95" s="56">
        <f>Envoltória!Q100</f>
        <v>0</v>
      </c>
      <c r="R95" s="56">
        <f>Envoltória!P100</f>
        <v>0</v>
      </c>
      <c r="S95" s="56">
        <f>Envoltória!R100</f>
        <v>0</v>
      </c>
      <c r="T95" s="56" t="str">
        <f>Envoltória!V100</f>
        <v/>
      </c>
      <c r="U95" s="56" t="str">
        <f>IFERROR(VLOOKUP(Envoltória!I100,Aux_Lista!M:P,3,FALSE),"")</f>
        <v/>
      </c>
      <c r="V95" s="56" t="str">
        <f>IFERROR(VLOOKUP(Envoltória!I100,Aux_Lista!M:P,4,FALSE),"")</f>
        <v/>
      </c>
      <c r="W95" s="56" t="str">
        <f>IFERROR(VLOOKUP(Envoltória!J100,Aux_Lista!R:S,2,FALSE),"")</f>
        <v/>
      </c>
      <c r="X95" s="56">
        <f>IF(ISERROR(VLOOKUP(Envoltória!L100,Componentes!G:J,2,FALSE)),0,VLOOKUP(Envoltória!L100,Componentes!G:J,2,FALSE))</f>
        <v>0</v>
      </c>
      <c r="Y95" s="56">
        <f>IF(ISERROR(VLOOKUP(Envoltória!K100,Componentes!B:E,2,FALSE)),0,VLOOKUP(Envoltória!K100,Componentes!B:E,2,FALSE))</f>
        <v>0</v>
      </c>
      <c r="Z95" s="56">
        <f>IF(ISERROR(VLOOKUP(Envoltória!L100,Componentes!G:J,3,FALSE)),0,VLOOKUP(Envoltória!L100,Componentes!G:J,3,FALSE))</f>
        <v>0</v>
      </c>
      <c r="AA95" s="56">
        <f>IF(ISERROR(VLOOKUP(Envoltória!K100,Componentes!B:E,3,FALSE)),0,VLOOKUP(Envoltória!K100,Componentes!B:E,3,FALSE))</f>
        <v>0</v>
      </c>
      <c r="AB95" s="56" t="str">
        <f>IFERROR(VLOOKUP(Envoltória!I100,Aux_Lista!M:P,2,FALSE),"")</f>
        <v/>
      </c>
      <c r="AC95" s="55" t="str">
        <f>IFERROR(VLOOKUP(Envoltória!G100,CB3E_Envoltória!$AF$18:$AG$19,2,FALSE),"")</f>
        <v/>
      </c>
      <c r="AD95" s="371"/>
    </row>
    <row r="96" spans="1:30" x14ac:dyDescent="0.25">
      <c r="A96" s="1">
        <v>86</v>
      </c>
      <c r="B96" s="50">
        <f>Envoltória!H101</f>
        <v>0</v>
      </c>
      <c r="C96" s="51">
        <f>Envoltória!B101</f>
        <v>0</v>
      </c>
      <c r="D96" s="52">
        <f>Envoltória!C101</f>
        <v>0</v>
      </c>
      <c r="E96" s="53">
        <f>Envoltória!D101</f>
        <v>0</v>
      </c>
      <c r="F96" s="53" t="str">
        <f>IFERROR(VLOOKUP(Envoltória!F101,CB3E_Envoltória!$AF$11:$AG$15,2,FALSE),"")</f>
        <v/>
      </c>
      <c r="G96" s="53" t="str">
        <f>Envoltória!T101</f>
        <v/>
      </c>
      <c r="H96" s="56">
        <f>Envoltória!S101</f>
        <v>0</v>
      </c>
      <c r="I96" s="56">
        <f>IF(ISERROR(VLOOKUP(Envoltória!M101,Componentes!L:N,3,FALSE)),0,VLOOKUP(Envoltória!M101,Componentes!L:N,3,FALSE))</f>
        <v>0</v>
      </c>
      <c r="J96" s="56">
        <v>0.5</v>
      </c>
      <c r="K96" s="56" t="str">
        <f>Envoltória!U101</f>
        <v/>
      </c>
      <c r="L96" s="56">
        <f>IF(ISERROR(VLOOKUP(Envoltória!M101,Componentes!L:N,2,FALSE)),0,VLOOKUP(Envoltória!M101,Componentes!L:N,2,FALSE))</f>
        <v>0</v>
      </c>
      <c r="M96" s="56">
        <f>IF(ISERROR(VLOOKUP(Envoltória!L101,Componentes!G:J,4,FALSE)),0,VLOOKUP(Envoltória!L101,Componentes!G:J,4,FALSE))</f>
        <v>0</v>
      </c>
      <c r="N96" s="56">
        <f>IF(ISERROR(VLOOKUP(Envoltória!K101,Componentes!B:E,4,FALSE)),0,VLOOKUP(Envoltória!K101,Componentes!B:E,4,FALSE))</f>
        <v>0</v>
      </c>
      <c r="O96" s="54">
        <f>Envoltória!E101</f>
        <v>0</v>
      </c>
      <c r="P96" s="56">
        <f>Envoltória!N101/100</f>
        <v>0</v>
      </c>
      <c r="Q96" s="56">
        <f>Envoltória!Q101</f>
        <v>0</v>
      </c>
      <c r="R96" s="56">
        <f>Envoltória!P101</f>
        <v>0</v>
      </c>
      <c r="S96" s="56">
        <f>Envoltória!R101</f>
        <v>0</v>
      </c>
      <c r="T96" s="56" t="str">
        <f>Envoltória!V101</f>
        <v/>
      </c>
      <c r="U96" s="56" t="str">
        <f>IFERROR(VLOOKUP(Envoltória!I101,Aux_Lista!M:P,3,FALSE),"")</f>
        <v/>
      </c>
      <c r="V96" s="56" t="str">
        <f>IFERROR(VLOOKUP(Envoltória!I101,Aux_Lista!M:P,4,FALSE),"")</f>
        <v/>
      </c>
      <c r="W96" s="56" t="str">
        <f>IFERROR(VLOOKUP(Envoltória!J101,Aux_Lista!R:S,2,FALSE),"")</f>
        <v/>
      </c>
      <c r="X96" s="56">
        <f>IF(ISERROR(VLOOKUP(Envoltória!L101,Componentes!G:J,2,FALSE)),0,VLOOKUP(Envoltória!L101,Componentes!G:J,2,FALSE))</f>
        <v>0</v>
      </c>
      <c r="Y96" s="56">
        <f>IF(ISERROR(VLOOKUP(Envoltória!K101,Componentes!B:E,2,FALSE)),0,VLOOKUP(Envoltória!K101,Componentes!B:E,2,FALSE))</f>
        <v>0</v>
      </c>
      <c r="Z96" s="56">
        <f>IF(ISERROR(VLOOKUP(Envoltória!L101,Componentes!G:J,3,FALSE)),0,VLOOKUP(Envoltória!L101,Componentes!G:J,3,FALSE))</f>
        <v>0</v>
      </c>
      <c r="AA96" s="56">
        <f>IF(ISERROR(VLOOKUP(Envoltória!K101,Componentes!B:E,3,FALSE)),0,VLOOKUP(Envoltória!K101,Componentes!B:E,3,FALSE))</f>
        <v>0</v>
      </c>
      <c r="AB96" s="56" t="str">
        <f>IFERROR(VLOOKUP(Envoltória!I101,Aux_Lista!M:P,2,FALSE),"")</f>
        <v/>
      </c>
      <c r="AC96" s="55" t="str">
        <f>IFERROR(VLOOKUP(Envoltória!G101,CB3E_Envoltória!$AF$18:$AG$19,2,FALSE),"")</f>
        <v/>
      </c>
      <c r="AD96" s="371"/>
    </row>
    <row r="97" spans="1:30" x14ac:dyDescent="0.25">
      <c r="A97" s="1">
        <v>87</v>
      </c>
      <c r="B97" s="50">
        <f>Envoltória!H102</f>
        <v>0</v>
      </c>
      <c r="C97" s="51">
        <f>Envoltória!B102</f>
        <v>0</v>
      </c>
      <c r="D97" s="52">
        <f>Envoltória!C102</f>
        <v>0</v>
      </c>
      <c r="E97" s="53">
        <f>Envoltória!D102</f>
        <v>0</v>
      </c>
      <c r="F97" s="53" t="str">
        <f>IFERROR(VLOOKUP(Envoltória!F102,CB3E_Envoltória!$AF$11:$AG$15,2,FALSE),"")</f>
        <v/>
      </c>
      <c r="G97" s="53" t="str">
        <f>Envoltória!T102</f>
        <v/>
      </c>
      <c r="H97" s="56">
        <f>Envoltória!S102</f>
        <v>0</v>
      </c>
      <c r="I97" s="56">
        <f>IF(ISERROR(VLOOKUP(Envoltória!M102,Componentes!L:N,3,FALSE)),0,VLOOKUP(Envoltória!M102,Componentes!L:N,3,FALSE))</f>
        <v>0</v>
      </c>
      <c r="J97" s="56">
        <v>0.5</v>
      </c>
      <c r="K97" s="56" t="str">
        <f>Envoltória!U102</f>
        <v/>
      </c>
      <c r="L97" s="56">
        <f>IF(ISERROR(VLOOKUP(Envoltória!M102,Componentes!L:N,2,FALSE)),0,VLOOKUP(Envoltória!M102,Componentes!L:N,2,FALSE))</f>
        <v>0</v>
      </c>
      <c r="M97" s="56">
        <f>IF(ISERROR(VLOOKUP(Envoltória!L102,Componentes!G:J,4,FALSE)),0,VLOOKUP(Envoltória!L102,Componentes!G:J,4,FALSE))</f>
        <v>0</v>
      </c>
      <c r="N97" s="56">
        <f>IF(ISERROR(VLOOKUP(Envoltória!K102,Componentes!B:E,4,FALSE)),0,VLOOKUP(Envoltória!K102,Componentes!B:E,4,FALSE))</f>
        <v>0</v>
      </c>
      <c r="O97" s="54">
        <f>Envoltória!E102</f>
        <v>0</v>
      </c>
      <c r="P97" s="56">
        <f>Envoltória!N102/100</f>
        <v>0</v>
      </c>
      <c r="Q97" s="56">
        <f>Envoltória!Q102</f>
        <v>0</v>
      </c>
      <c r="R97" s="56">
        <f>Envoltória!P102</f>
        <v>0</v>
      </c>
      <c r="S97" s="56">
        <f>Envoltória!R102</f>
        <v>0</v>
      </c>
      <c r="T97" s="56" t="str">
        <f>Envoltória!V102</f>
        <v/>
      </c>
      <c r="U97" s="56" t="str">
        <f>IFERROR(VLOOKUP(Envoltória!I102,Aux_Lista!M:P,3,FALSE),"")</f>
        <v/>
      </c>
      <c r="V97" s="56" t="str">
        <f>IFERROR(VLOOKUP(Envoltória!I102,Aux_Lista!M:P,4,FALSE),"")</f>
        <v/>
      </c>
      <c r="W97" s="56" t="str">
        <f>IFERROR(VLOOKUP(Envoltória!J102,Aux_Lista!R:S,2,FALSE),"")</f>
        <v/>
      </c>
      <c r="X97" s="56">
        <f>IF(ISERROR(VLOOKUP(Envoltória!L102,Componentes!G:J,2,FALSE)),0,VLOOKUP(Envoltória!L102,Componentes!G:J,2,FALSE))</f>
        <v>0</v>
      </c>
      <c r="Y97" s="56">
        <f>IF(ISERROR(VLOOKUP(Envoltória!K102,Componentes!B:E,2,FALSE)),0,VLOOKUP(Envoltória!K102,Componentes!B:E,2,FALSE))</f>
        <v>0</v>
      </c>
      <c r="Z97" s="56">
        <f>IF(ISERROR(VLOOKUP(Envoltória!L102,Componentes!G:J,3,FALSE)),0,VLOOKUP(Envoltória!L102,Componentes!G:J,3,FALSE))</f>
        <v>0</v>
      </c>
      <c r="AA97" s="56">
        <f>IF(ISERROR(VLOOKUP(Envoltória!K102,Componentes!B:E,3,FALSE)),0,VLOOKUP(Envoltória!K102,Componentes!B:E,3,FALSE))</f>
        <v>0</v>
      </c>
      <c r="AB97" s="56" t="str">
        <f>IFERROR(VLOOKUP(Envoltória!I102,Aux_Lista!M:P,2,FALSE),"")</f>
        <v/>
      </c>
      <c r="AC97" s="55" t="str">
        <f>IFERROR(VLOOKUP(Envoltória!G102,CB3E_Envoltória!$AF$18:$AG$19,2,FALSE),"")</f>
        <v/>
      </c>
      <c r="AD97" s="371"/>
    </row>
    <row r="98" spans="1:30" x14ac:dyDescent="0.25">
      <c r="A98" s="1">
        <v>88</v>
      </c>
      <c r="B98" s="50">
        <f>Envoltória!H103</f>
        <v>0</v>
      </c>
      <c r="C98" s="51">
        <f>Envoltória!B103</f>
        <v>0</v>
      </c>
      <c r="D98" s="52">
        <f>Envoltória!C103</f>
        <v>0</v>
      </c>
      <c r="E98" s="53">
        <f>Envoltória!D103</f>
        <v>0</v>
      </c>
      <c r="F98" s="53" t="str">
        <f>IFERROR(VLOOKUP(Envoltória!F103,CB3E_Envoltória!$AF$11:$AG$15,2,FALSE),"")</f>
        <v/>
      </c>
      <c r="G98" s="53" t="str">
        <f>Envoltória!T103</f>
        <v/>
      </c>
      <c r="H98" s="56">
        <f>Envoltória!S103</f>
        <v>0</v>
      </c>
      <c r="I98" s="56">
        <f>IF(ISERROR(VLOOKUP(Envoltória!M103,Componentes!L:N,3,FALSE)),0,VLOOKUP(Envoltória!M103,Componentes!L:N,3,FALSE))</f>
        <v>0</v>
      </c>
      <c r="J98" s="56">
        <v>0.5</v>
      </c>
      <c r="K98" s="56" t="str">
        <f>Envoltória!U103</f>
        <v/>
      </c>
      <c r="L98" s="56">
        <f>IF(ISERROR(VLOOKUP(Envoltória!M103,Componentes!L:N,2,FALSE)),0,VLOOKUP(Envoltória!M103,Componentes!L:N,2,FALSE))</f>
        <v>0</v>
      </c>
      <c r="M98" s="56">
        <f>IF(ISERROR(VLOOKUP(Envoltória!L103,Componentes!G:J,4,FALSE)),0,VLOOKUP(Envoltória!L103,Componentes!G:J,4,FALSE))</f>
        <v>0</v>
      </c>
      <c r="N98" s="56">
        <f>IF(ISERROR(VLOOKUP(Envoltória!K103,Componentes!B:E,4,FALSE)),0,VLOOKUP(Envoltória!K103,Componentes!B:E,4,FALSE))</f>
        <v>0</v>
      </c>
      <c r="O98" s="54">
        <f>Envoltória!E103</f>
        <v>0</v>
      </c>
      <c r="P98" s="56">
        <f>Envoltória!N103/100</f>
        <v>0</v>
      </c>
      <c r="Q98" s="56">
        <f>Envoltória!Q103</f>
        <v>0</v>
      </c>
      <c r="R98" s="56">
        <f>Envoltória!P103</f>
        <v>0</v>
      </c>
      <c r="S98" s="56">
        <f>Envoltória!R103</f>
        <v>0</v>
      </c>
      <c r="T98" s="56" t="str">
        <f>Envoltória!V103</f>
        <v/>
      </c>
      <c r="U98" s="56" t="str">
        <f>IFERROR(VLOOKUP(Envoltória!I103,Aux_Lista!M:P,3,FALSE),"")</f>
        <v/>
      </c>
      <c r="V98" s="56" t="str">
        <f>IFERROR(VLOOKUP(Envoltória!I103,Aux_Lista!M:P,4,FALSE),"")</f>
        <v/>
      </c>
      <c r="W98" s="56" t="str">
        <f>IFERROR(VLOOKUP(Envoltória!J103,Aux_Lista!R:S,2,FALSE),"")</f>
        <v/>
      </c>
      <c r="X98" s="56">
        <f>IF(ISERROR(VLOOKUP(Envoltória!L103,Componentes!G:J,2,FALSE)),0,VLOOKUP(Envoltória!L103,Componentes!G:J,2,FALSE))</f>
        <v>0</v>
      </c>
      <c r="Y98" s="56">
        <f>IF(ISERROR(VLOOKUP(Envoltória!K103,Componentes!B:E,2,FALSE)),0,VLOOKUP(Envoltória!K103,Componentes!B:E,2,FALSE))</f>
        <v>0</v>
      </c>
      <c r="Z98" s="56">
        <f>IF(ISERROR(VLOOKUP(Envoltória!L103,Componentes!G:J,3,FALSE)),0,VLOOKUP(Envoltória!L103,Componentes!G:J,3,FALSE))</f>
        <v>0</v>
      </c>
      <c r="AA98" s="56">
        <f>IF(ISERROR(VLOOKUP(Envoltória!K103,Componentes!B:E,3,FALSE)),0,VLOOKUP(Envoltória!K103,Componentes!B:E,3,FALSE))</f>
        <v>0</v>
      </c>
      <c r="AB98" s="56" t="str">
        <f>IFERROR(VLOOKUP(Envoltória!I103,Aux_Lista!M:P,2,FALSE),"")</f>
        <v/>
      </c>
      <c r="AC98" s="55" t="str">
        <f>IFERROR(VLOOKUP(Envoltória!G103,CB3E_Envoltória!$AF$18:$AG$19,2,FALSE),"")</f>
        <v/>
      </c>
      <c r="AD98" s="371"/>
    </row>
    <row r="99" spans="1:30" x14ac:dyDescent="0.25">
      <c r="A99" s="1">
        <v>89</v>
      </c>
      <c r="B99" s="50">
        <f>Envoltória!H104</f>
        <v>0</v>
      </c>
      <c r="C99" s="51">
        <f>Envoltória!B104</f>
        <v>0</v>
      </c>
      <c r="D99" s="52">
        <f>Envoltória!C104</f>
        <v>0</v>
      </c>
      <c r="E99" s="53">
        <f>Envoltória!D104</f>
        <v>0</v>
      </c>
      <c r="F99" s="53" t="str">
        <f>IFERROR(VLOOKUP(Envoltória!F104,CB3E_Envoltória!$AF$11:$AG$15,2,FALSE),"")</f>
        <v/>
      </c>
      <c r="G99" s="53" t="str">
        <f>Envoltória!T104</f>
        <v/>
      </c>
      <c r="H99" s="56">
        <f>Envoltória!S104</f>
        <v>0</v>
      </c>
      <c r="I99" s="56">
        <f>IF(ISERROR(VLOOKUP(Envoltória!M104,Componentes!L:N,3,FALSE)),0,VLOOKUP(Envoltória!M104,Componentes!L:N,3,FALSE))</f>
        <v>0</v>
      </c>
      <c r="J99" s="56">
        <v>0.5</v>
      </c>
      <c r="K99" s="56" t="str">
        <f>Envoltória!U104</f>
        <v/>
      </c>
      <c r="L99" s="56">
        <f>IF(ISERROR(VLOOKUP(Envoltória!M104,Componentes!L:N,2,FALSE)),0,VLOOKUP(Envoltória!M104,Componentes!L:N,2,FALSE))</f>
        <v>0</v>
      </c>
      <c r="M99" s="56">
        <f>IF(ISERROR(VLOOKUP(Envoltória!L104,Componentes!G:J,4,FALSE)),0,VLOOKUP(Envoltória!L104,Componentes!G:J,4,FALSE))</f>
        <v>0</v>
      </c>
      <c r="N99" s="56">
        <f>IF(ISERROR(VLOOKUP(Envoltória!K104,Componentes!B:E,4,FALSE)),0,VLOOKUP(Envoltória!K104,Componentes!B:E,4,FALSE))</f>
        <v>0</v>
      </c>
      <c r="O99" s="54">
        <f>Envoltória!E104</f>
        <v>0</v>
      </c>
      <c r="P99" s="56">
        <f>Envoltória!N104/100</f>
        <v>0</v>
      </c>
      <c r="Q99" s="56">
        <f>Envoltória!Q104</f>
        <v>0</v>
      </c>
      <c r="R99" s="56">
        <f>Envoltória!P104</f>
        <v>0</v>
      </c>
      <c r="S99" s="56">
        <f>Envoltória!R104</f>
        <v>0</v>
      </c>
      <c r="T99" s="56" t="str">
        <f>Envoltória!V104</f>
        <v/>
      </c>
      <c r="U99" s="56" t="str">
        <f>IFERROR(VLOOKUP(Envoltória!I104,Aux_Lista!M:P,3,FALSE),"")</f>
        <v/>
      </c>
      <c r="V99" s="56" t="str">
        <f>IFERROR(VLOOKUP(Envoltória!I104,Aux_Lista!M:P,4,FALSE),"")</f>
        <v/>
      </c>
      <c r="W99" s="56" t="str">
        <f>IFERROR(VLOOKUP(Envoltória!J104,Aux_Lista!R:S,2,FALSE),"")</f>
        <v/>
      </c>
      <c r="X99" s="56">
        <f>IF(ISERROR(VLOOKUP(Envoltória!L104,Componentes!G:J,2,FALSE)),0,VLOOKUP(Envoltória!L104,Componentes!G:J,2,FALSE))</f>
        <v>0</v>
      </c>
      <c r="Y99" s="56">
        <f>IF(ISERROR(VLOOKUP(Envoltória!K104,Componentes!B:E,2,FALSE)),0,VLOOKUP(Envoltória!K104,Componentes!B:E,2,FALSE))</f>
        <v>0</v>
      </c>
      <c r="Z99" s="56">
        <f>IF(ISERROR(VLOOKUP(Envoltória!L104,Componentes!G:J,3,FALSE)),0,VLOOKUP(Envoltória!L104,Componentes!G:J,3,FALSE))</f>
        <v>0</v>
      </c>
      <c r="AA99" s="56">
        <f>IF(ISERROR(VLOOKUP(Envoltória!K104,Componentes!B:E,3,FALSE)),0,VLOOKUP(Envoltória!K104,Componentes!B:E,3,FALSE))</f>
        <v>0</v>
      </c>
      <c r="AB99" s="56" t="str">
        <f>IFERROR(VLOOKUP(Envoltória!I104,Aux_Lista!M:P,2,FALSE),"")</f>
        <v/>
      </c>
      <c r="AC99" s="55" t="str">
        <f>IFERROR(VLOOKUP(Envoltória!G104,CB3E_Envoltória!$AF$18:$AG$19,2,FALSE),"")</f>
        <v/>
      </c>
      <c r="AD99" s="371"/>
    </row>
    <row r="100" spans="1:30" x14ac:dyDescent="0.25">
      <c r="A100" s="1">
        <v>90</v>
      </c>
      <c r="B100" s="50">
        <f>Envoltória!H105</f>
        <v>0</v>
      </c>
      <c r="C100" s="51">
        <f>Envoltória!B105</f>
        <v>0</v>
      </c>
      <c r="D100" s="52">
        <f>Envoltória!C105</f>
        <v>0</v>
      </c>
      <c r="E100" s="53">
        <f>Envoltória!D105</f>
        <v>0</v>
      </c>
      <c r="F100" s="53" t="str">
        <f>IFERROR(VLOOKUP(Envoltória!F105,CB3E_Envoltória!$AF$11:$AG$15,2,FALSE),"")</f>
        <v/>
      </c>
      <c r="G100" s="53" t="str">
        <f>Envoltória!T105</f>
        <v/>
      </c>
      <c r="H100" s="56">
        <f>Envoltória!S105</f>
        <v>0</v>
      </c>
      <c r="I100" s="56">
        <f>IF(ISERROR(VLOOKUP(Envoltória!M105,Componentes!L:N,3,FALSE)),0,VLOOKUP(Envoltória!M105,Componentes!L:N,3,FALSE))</f>
        <v>0</v>
      </c>
      <c r="J100" s="56">
        <v>0.5</v>
      </c>
      <c r="K100" s="56" t="str">
        <f>Envoltória!U105</f>
        <v/>
      </c>
      <c r="L100" s="56">
        <f>IF(ISERROR(VLOOKUP(Envoltória!M105,Componentes!L:N,2,FALSE)),0,VLOOKUP(Envoltória!M105,Componentes!L:N,2,FALSE))</f>
        <v>0</v>
      </c>
      <c r="M100" s="56">
        <f>IF(ISERROR(VLOOKUP(Envoltória!L105,Componentes!G:J,4,FALSE)),0,VLOOKUP(Envoltória!L105,Componentes!G:J,4,FALSE))</f>
        <v>0</v>
      </c>
      <c r="N100" s="56">
        <f>IF(ISERROR(VLOOKUP(Envoltória!K105,Componentes!B:E,4,FALSE)),0,VLOOKUP(Envoltória!K105,Componentes!B:E,4,FALSE))</f>
        <v>0</v>
      </c>
      <c r="O100" s="54">
        <f>Envoltória!E105</f>
        <v>0</v>
      </c>
      <c r="P100" s="56">
        <f>Envoltória!N105/100</f>
        <v>0</v>
      </c>
      <c r="Q100" s="56">
        <f>Envoltória!Q105</f>
        <v>0</v>
      </c>
      <c r="R100" s="56">
        <f>Envoltória!P105</f>
        <v>0</v>
      </c>
      <c r="S100" s="56">
        <f>Envoltória!R105</f>
        <v>0</v>
      </c>
      <c r="T100" s="56" t="str">
        <f>Envoltória!V105</f>
        <v/>
      </c>
      <c r="U100" s="56" t="str">
        <f>IFERROR(VLOOKUP(Envoltória!I105,Aux_Lista!M:P,3,FALSE),"")</f>
        <v/>
      </c>
      <c r="V100" s="56" t="str">
        <f>IFERROR(VLOOKUP(Envoltória!I105,Aux_Lista!M:P,4,FALSE),"")</f>
        <v/>
      </c>
      <c r="W100" s="56" t="str">
        <f>IFERROR(VLOOKUP(Envoltória!J105,Aux_Lista!R:S,2,FALSE),"")</f>
        <v/>
      </c>
      <c r="X100" s="56">
        <f>IF(ISERROR(VLOOKUP(Envoltória!L105,Componentes!G:J,2,FALSE)),0,VLOOKUP(Envoltória!L105,Componentes!G:J,2,FALSE))</f>
        <v>0</v>
      </c>
      <c r="Y100" s="56">
        <f>IF(ISERROR(VLOOKUP(Envoltória!K105,Componentes!B:E,2,FALSE)),0,VLOOKUP(Envoltória!K105,Componentes!B:E,2,FALSE))</f>
        <v>0</v>
      </c>
      <c r="Z100" s="56">
        <f>IF(ISERROR(VLOOKUP(Envoltória!L105,Componentes!G:J,3,FALSE)),0,VLOOKUP(Envoltória!L105,Componentes!G:J,3,FALSE))</f>
        <v>0</v>
      </c>
      <c r="AA100" s="56">
        <f>IF(ISERROR(VLOOKUP(Envoltória!K105,Componentes!B:E,3,FALSE)),0,VLOOKUP(Envoltória!K105,Componentes!B:E,3,FALSE))</f>
        <v>0</v>
      </c>
      <c r="AB100" s="56" t="str">
        <f>IFERROR(VLOOKUP(Envoltória!I105,Aux_Lista!M:P,2,FALSE),"")</f>
        <v/>
      </c>
      <c r="AC100" s="55" t="str">
        <f>IFERROR(VLOOKUP(Envoltória!G105,CB3E_Envoltória!$AF$18:$AG$19,2,FALSE),"")</f>
        <v/>
      </c>
      <c r="AD100" s="371"/>
    </row>
    <row r="101" spans="1:30" x14ac:dyDescent="0.25">
      <c r="A101" s="1">
        <v>91</v>
      </c>
      <c r="B101" s="50">
        <f>Envoltória!H106</f>
        <v>0</v>
      </c>
      <c r="C101" s="51">
        <f>Envoltória!B106</f>
        <v>0</v>
      </c>
      <c r="D101" s="52">
        <f>Envoltória!C106</f>
        <v>0</v>
      </c>
      <c r="E101" s="53">
        <f>Envoltória!D106</f>
        <v>0</v>
      </c>
      <c r="F101" s="53" t="str">
        <f>IFERROR(VLOOKUP(Envoltória!F106,CB3E_Envoltória!$AF$11:$AG$15,2,FALSE),"")</f>
        <v/>
      </c>
      <c r="G101" s="53" t="str">
        <f>Envoltória!T106</f>
        <v/>
      </c>
      <c r="H101" s="56">
        <f>Envoltória!S106</f>
        <v>0</v>
      </c>
      <c r="I101" s="56">
        <f>IF(ISERROR(VLOOKUP(Envoltória!M106,Componentes!L:N,3,FALSE)),0,VLOOKUP(Envoltória!M106,Componentes!L:N,3,FALSE))</f>
        <v>0</v>
      </c>
      <c r="J101" s="56">
        <v>0.5</v>
      </c>
      <c r="K101" s="56" t="str">
        <f>Envoltória!U106</f>
        <v/>
      </c>
      <c r="L101" s="56">
        <f>IF(ISERROR(VLOOKUP(Envoltória!M106,Componentes!L:N,2,FALSE)),0,VLOOKUP(Envoltória!M106,Componentes!L:N,2,FALSE))</f>
        <v>0</v>
      </c>
      <c r="M101" s="56">
        <f>IF(ISERROR(VLOOKUP(Envoltória!L106,Componentes!G:J,4,FALSE)),0,VLOOKUP(Envoltória!L106,Componentes!G:J,4,FALSE))</f>
        <v>0</v>
      </c>
      <c r="N101" s="56">
        <f>IF(ISERROR(VLOOKUP(Envoltória!K106,Componentes!B:E,4,FALSE)),0,VLOOKUP(Envoltória!K106,Componentes!B:E,4,FALSE))</f>
        <v>0</v>
      </c>
      <c r="O101" s="54">
        <f>Envoltória!E106</f>
        <v>0</v>
      </c>
      <c r="P101" s="56">
        <f>Envoltória!N106/100</f>
        <v>0</v>
      </c>
      <c r="Q101" s="56">
        <f>Envoltória!Q106</f>
        <v>0</v>
      </c>
      <c r="R101" s="56">
        <f>Envoltória!P106</f>
        <v>0</v>
      </c>
      <c r="S101" s="56">
        <f>Envoltória!R106</f>
        <v>0</v>
      </c>
      <c r="T101" s="56" t="str">
        <f>Envoltória!V106</f>
        <v/>
      </c>
      <c r="U101" s="56" t="str">
        <f>IFERROR(VLOOKUP(Envoltória!I106,Aux_Lista!M:P,3,FALSE),"")</f>
        <v/>
      </c>
      <c r="V101" s="56" t="str">
        <f>IFERROR(VLOOKUP(Envoltória!I106,Aux_Lista!M:P,4,FALSE),"")</f>
        <v/>
      </c>
      <c r="W101" s="56" t="str">
        <f>IFERROR(VLOOKUP(Envoltória!J106,Aux_Lista!R:S,2,FALSE),"")</f>
        <v/>
      </c>
      <c r="X101" s="56">
        <f>IF(ISERROR(VLOOKUP(Envoltória!L106,Componentes!G:J,2,FALSE)),0,VLOOKUP(Envoltória!L106,Componentes!G:J,2,FALSE))</f>
        <v>0</v>
      </c>
      <c r="Y101" s="56">
        <f>IF(ISERROR(VLOOKUP(Envoltória!K106,Componentes!B:E,2,FALSE)),0,VLOOKUP(Envoltória!K106,Componentes!B:E,2,FALSE))</f>
        <v>0</v>
      </c>
      <c r="Z101" s="56">
        <f>IF(ISERROR(VLOOKUP(Envoltória!L106,Componentes!G:J,3,FALSE)),0,VLOOKUP(Envoltória!L106,Componentes!G:J,3,FALSE))</f>
        <v>0</v>
      </c>
      <c r="AA101" s="56">
        <f>IF(ISERROR(VLOOKUP(Envoltória!K106,Componentes!B:E,3,FALSE)),0,VLOOKUP(Envoltória!K106,Componentes!B:E,3,FALSE))</f>
        <v>0</v>
      </c>
      <c r="AB101" s="56" t="str">
        <f>IFERROR(VLOOKUP(Envoltória!I106,Aux_Lista!M:P,2,FALSE),"")</f>
        <v/>
      </c>
      <c r="AC101" s="55" t="str">
        <f>IFERROR(VLOOKUP(Envoltória!G106,CB3E_Envoltória!$AF$18:$AG$19,2,FALSE),"")</f>
        <v/>
      </c>
      <c r="AD101" s="371"/>
    </row>
    <row r="102" spans="1:30" x14ac:dyDescent="0.25">
      <c r="A102" s="1">
        <v>92</v>
      </c>
      <c r="B102" s="50">
        <f>Envoltória!H107</f>
        <v>0</v>
      </c>
      <c r="C102" s="51">
        <f>Envoltória!B107</f>
        <v>0</v>
      </c>
      <c r="D102" s="52">
        <f>Envoltória!C107</f>
        <v>0</v>
      </c>
      <c r="E102" s="53">
        <f>Envoltória!D107</f>
        <v>0</v>
      </c>
      <c r="F102" s="53" t="str">
        <f>IFERROR(VLOOKUP(Envoltória!F107,CB3E_Envoltória!$AF$11:$AG$15,2,FALSE),"")</f>
        <v/>
      </c>
      <c r="G102" s="53" t="str">
        <f>Envoltória!T107</f>
        <v/>
      </c>
      <c r="H102" s="56">
        <f>Envoltória!S107</f>
        <v>0</v>
      </c>
      <c r="I102" s="56">
        <f>IF(ISERROR(VLOOKUP(Envoltória!M107,Componentes!L:N,3,FALSE)),0,VLOOKUP(Envoltória!M107,Componentes!L:N,3,FALSE))</f>
        <v>0</v>
      </c>
      <c r="J102" s="56">
        <v>0.5</v>
      </c>
      <c r="K102" s="56" t="str">
        <f>Envoltória!U107</f>
        <v/>
      </c>
      <c r="L102" s="56">
        <f>IF(ISERROR(VLOOKUP(Envoltória!M107,Componentes!L:N,2,FALSE)),0,VLOOKUP(Envoltória!M107,Componentes!L:N,2,FALSE))</f>
        <v>0</v>
      </c>
      <c r="M102" s="56">
        <f>IF(ISERROR(VLOOKUP(Envoltória!L107,Componentes!G:J,4,FALSE)),0,VLOOKUP(Envoltória!L107,Componentes!G:J,4,FALSE))</f>
        <v>0</v>
      </c>
      <c r="N102" s="56">
        <f>IF(ISERROR(VLOOKUP(Envoltória!K107,Componentes!B:E,4,FALSE)),0,VLOOKUP(Envoltória!K107,Componentes!B:E,4,FALSE))</f>
        <v>0</v>
      </c>
      <c r="O102" s="54">
        <f>Envoltória!E107</f>
        <v>0</v>
      </c>
      <c r="P102" s="56">
        <f>Envoltória!N107/100</f>
        <v>0</v>
      </c>
      <c r="Q102" s="56">
        <f>Envoltória!Q107</f>
        <v>0</v>
      </c>
      <c r="R102" s="56">
        <f>Envoltória!P107</f>
        <v>0</v>
      </c>
      <c r="S102" s="56">
        <f>Envoltória!R107</f>
        <v>0</v>
      </c>
      <c r="T102" s="56" t="str">
        <f>Envoltória!V107</f>
        <v/>
      </c>
      <c r="U102" s="56" t="str">
        <f>IFERROR(VLOOKUP(Envoltória!I107,Aux_Lista!M:P,3,FALSE),"")</f>
        <v/>
      </c>
      <c r="V102" s="56" t="str">
        <f>IFERROR(VLOOKUP(Envoltória!I107,Aux_Lista!M:P,4,FALSE),"")</f>
        <v/>
      </c>
      <c r="W102" s="56" t="str">
        <f>IFERROR(VLOOKUP(Envoltória!J107,Aux_Lista!R:S,2,FALSE),"")</f>
        <v/>
      </c>
      <c r="X102" s="56">
        <f>IF(ISERROR(VLOOKUP(Envoltória!L107,Componentes!G:J,2,FALSE)),0,VLOOKUP(Envoltória!L107,Componentes!G:J,2,FALSE))</f>
        <v>0</v>
      </c>
      <c r="Y102" s="56">
        <f>IF(ISERROR(VLOOKUP(Envoltória!K107,Componentes!B:E,2,FALSE)),0,VLOOKUP(Envoltória!K107,Componentes!B:E,2,FALSE))</f>
        <v>0</v>
      </c>
      <c r="Z102" s="56">
        <f>IF(ISERROR(VLOOKUP(Envoltória!L107,Componentes!G:J,3,FALSE)),0,VLOOKUP(Envoltória!L107,Componentes!G:J,3,FALSE))</f>
        <v>0</v>
      </c>
      <c r="AA102" s="56">
        <f>IF(ISERROR(VLOOKUP(Envoltória!K107,Componentes!B:E,3,FALSE)),0,VLOOKUP(Envoltória!K107,Componentes!B:E,3,FALSE))</f>
        <v>0</v>
      </c>
      <c r="AB102" s="56" t="str">
        <f>IFERROR(VLOOKUP(Envoltória!I107,Aux_Lista!M:P,2,FALSE),"")</f>
        <v/>
      </c>
      <c r="AC102" s="55" t="str">
        <f>IFERROR(VLOOKUP(Envoltória!G107,CB3E_Envoltória!$AF$18:$AG$19,2,FALSE),"")</f>
        <v/>
      </c>
      <c r="AD102" s="371"/>
    </row>
    <row r="103" spans="1:30" x14ac:dyDescent="0.25">
      <c r="A103" s="1">
        <v>93</v>
      </c>
      <c r="B103" s="50">
        <f>Envoltória!H108</f>
        <v>0</v>
      </c>
      <c r="C103" s="51">
        <f>Envoltória!B108</f>
        <v>0</v>
      </c>
      <c r="D103" s="52">
        <f>Envoltória!C108</f>
        <v>0</v>
      </c>
      <c r="E103" s="53">
        <f>Envoltória!D108</f>
        <v>0</v>
      </c>
      <c r="F103" s="53" t="str">
        <f>IFERROR(VLOOKUP(Envoltória!F108,CB3E_Envoltória!$AF$11:$AG$15,2,FALSE),"")</f>
        <v/>
      </c>
      <c r="G103" s="53" t="str">
        <f>Envoltória!T108</f>
        <v/>
      </c>
      <c r="H103" s="56">
        <f>Envoltória!S108</f>
        <v>0</v>
      </c>
      <c r="I103" s="56">
        <f>IF(ISERROR(VLOOKUP(Envoltória!M108,Componentes!L:N,3,FALSE)),0,VLOOKUP(Envoltória!M108,Componentes!L:N,3,FALSE))</f>
        <v>0</v>
      </c>
      <c r="J103" s="56">
        <v>0.5</v>
      </c>
      <c r="K103" s="56" t="str">
        <f>Envoltória!U108</f>
        <v/>
      </c>
      <c r="L103" s="56">
        <f>IF(ISERROR(VLOOKUP(Envoltória!M108,Componentes!L:N,2,FALSE)),0,VLOOKUP(Envoltória!M108,Componentes!L:N,2,FALSE))</f>
        <v>0</v>
      </c>
      <c r="M103" s="56">
        <f>IF(ISERROR(VLOOKUP(Envoltória!L108,Componentes!G:J,4,FALSE)),0,VLOOKUP(Envoltória!L108,Componentes!G:J,4,FALSE))</f>
        <v>0</v>
      </c>
      <c r="N103" s="56">
        <f>IF(ISERROR(VLOOKUP(Envoltória!K108,Componentes!B:E,4,FALSE)),0,VLOOKUP(Envoltória!K108,Componentes!B:E,4,FALSE))</f>
        <v>0</v>
      </c>
      <c r="O103" s="54">
        <f>Envoltória!E108</f>
        <v>0</v>
      </c>
      <c r="P103" s="56">
        <f>Envoltória!N108/100</f>
        <v>0</v>
      </c>
      <c r="Q103" s="56">
        <f>Envoltória!Q108</f>
        <v>0</v>
      </c>
      <c r="R103" s="56">
        <f>Envoltória!P108</f>
        <v>0</v>
      </c>
      <c r="S103" s="56">
        <f>Envoltória!R108</f>
        <v>0</v>
      </c>
      <c r="T103" s="56" t="str">
        <f>Envoltória!V108</f>
        <v/>
      </c>
      <c r="U103" s="56" t="str">
        <f>IFERROR(VLOOKUP(Envoltória!I108,Aux_Lista!M:P,3,FALSE),"")</f>
        <v/>
      </c>
      <c r="V103" s="56" t="str">
        <f>IFERROR(VLOOKUP(Envoltória!I108,Aux_Lista!M:P,4,FALSE),"")</f>
        <v/>
      </c>
      <c r="W103" s="56" t="str">
        <f>IFERROR(VLOOKUP(Envoltória!J108,Aux_Lista!R:S,2,FALSE),"")</f>
        <v/>
      </c>
      <c r="X103" s="56">
        <f>IF(ISERROR(VLOOKUP(Envoltória!L108,Componentes!G:J,2,FALSE)),0,VLOOKUP(Envoltória!L108,Componentes!G:J,2,FALSE))</f>
        <v>0</v>
      </c>
      <c r="Y103" s="56">
        <f>IF(ISERROR(VLOOKUP(Envoltória!K108,Componentes!B:E,2,FALSE)),0,VLOOKUP(Envoltória!K108,Componentes!B:E,2,FALSE))</f>
        <v>0</v>
      </c>
      <c r="Z103" s="56">
        <f>IF(ISERROR(VLOOKUP(Envoltória!L108,Componentes!G:J,3,FALSE)),0,VLOOKUP(Envoltória!L108,Componentes!G:J,3,FALSE))</f>
        <v>0</v>
      </c>
      <c r="AA103" s="56">
        <f>IF(ISERROR(VLOOKUP(Envoltória!K108,Componentes!B:E,3,FALSE)),0,VLOOKUP(Envoltória!K108,Componentes!B:E,3,FALSE))</f>
        <v>0</v>
      </c>
      <c r="AB103" s="56" t="str">
        <f>IFERROR(VLOOKUP(Envoltória!I108,Aux_Lista!M:P,2,FALSE),"")</f>
        <v/>
      </c>
      <c r="AC103" s="55" t="str">
        <f>IFERROR(VLOOKUP(Envoltória!G108,CB3E_Envoltória!$AF$18:$AG$19,2,FALSE),"")</f>
        <v/>
      </c>
      <c r="AD103" s="371"/>
    </row>
    <row r="104" spans="1:30" x14ac:dyDescent="0.25">
      <c r="A104" s="1">
        <v>94</v>
      </c>
      <c r="B104" s="50">
        <f>Envoltória!H109</f>
        <v>0</v>
      </c>
      <c r="C104" s="51">
        <f>Envoltória!B109</f>
        <v>0</v>
      </c>
      <c r="D104" s="52">
        <f>Envoltória!C109</f>
        <v>0</v>
      </c>
      <c r="E104" s="53">
        <f>Envoltória!D109</f>
        <v>0</v>
      </c>
      <c r="F104" s="53" t="str">
        <f>IFERROR(VLOOKUP(Envoltória!F109,CB3E_Envoltória!$AF$11:$AG$15,2,FALSE),"")</f>
        <v/>
      </c>
      <c r="G104" s="53" t="str">
        <f>Envoltória!T109</f>
        <v/>
      </c>
      <c r="H104" s="56">
        <f>Envoltória!S109</f>
        <v>0</v>
      </c>
      <c r="I104" s="56">
        <f>IF(ISERROR(VLOOKUP(Envoltória!M109,Componentes!L:N,3,FALSE)),0,VLOOKUP(Envoltória!M109,Componentes!L:N,3,FALSE))</f>
        <v>0</v>
      </c>
      <c r="J104" s="56">
        <v>0.5</v>
      </c>
      <c r="K104" s="56" t="str">
        <f>Envoltória!U109</f>
        <v/>
      </c>
      <c r="L104" s="56">
        <f>IF(ISERROR(VLOOKUP(Envoltória!M109,Componentes!L:N,2,FALSE)),0,VLOOKUP(Envoltória!M109,Componentes!L:N,2,FALSE))</f>
        <v>0</v>
      </c>
      <c r="M104" s="56">
        <f>IF(ISERROR(VLOOKUP(Envoltória!L109,Componentes!G:J,4,FALSE)),0,VLOOKUP(Envoltória!L109,Componentes!G:J,4,FALSE))</f>
        <v>0</v>
      </c>
      <c r="N104" s="56">
        <f>IF(ISERROR(VLOOKUP(Envoltória!K109,Componentes!B:E,4,FALSE)),0,VLOOKUP(Envoltória!K109,Componentes!B:E,4,FALSE))</f>
        <v>0</v>
      </c>
      <c r="O104" s="54">
        <f>Envoltória!E109</f>
        <v>0</v>
      </c>
      <c r="P104" s="56">
        <f>Envoltória!N109/100</f>
        <v>0</v>
      </c>
      <c r="Q104" s="56">
        <f>Envoltória!Q109</f>
        <v>0</v>
      </c>
      <c r="R104" s="56">
        <f>Envoltória!P109</f>
        <v>0</v>
      </c>
      <c r="S104" s="56">
        <f>Envoltória!R109</f>
        <v>0</v>
      </c>
      <c r="T104" s="56" t="str">
        <f>Envoltória!V109</f>
        <v/>
      </c>
      <c r="U104" s="56" t="str">
        <f>IFERROR(VLOOKUP(Envoltória!I109,Aux_Lista!M:P,3,FALSE),"")</f>
        <v/>
      </c>
      <c r="V104" s="56" t="str">
        <f>IFERROR(VLOOKUP(Envoltória!I109,Aux_Lista!M:P,4,FALSE),"")</f>
        <v/>
      </c>
      <c r="W104" s="56" t="str">
        <f>IFERROR(VLOOKUP(Envoltória!J109,Aux_Lista!R:S,2,FALSE),"")</f>
        <v/>
      </c>
      <c r="X104" s="56">
        <f>IF(ISERROR(VLOOKUP(Envoltória!L109,Componentes!G:J,2,FALSE)),0,VLOOKUP(Envoltória!L109,Componentes!G:J,2,FALSE))</f>
        <v>0</v>
      </c>
      <c r="Y104" s="56">
        <f>IF(ISERROR(VLOOKUP(Envoltória!K109,Componentes!B:E,2,FALSE)),0,VLOOKUP(Envoltória!K109,Componentes!B:E,2,FALSE))</f>
        <v>0</v>
      </c>
      <c r="Z104" s="56">
        <f>IF(ISERROR(VLOOKUP(Envoltória!L109,Componentes!G:J,3,FALSE)),0,VLOOKUP(Envoltória!L109,Componentes!G:J,3,FALSE))</f>
        <v>0</v>
      </c>
      <c r="AA104" s="56">
        <f>IF(ISERROR(VLOOKUP(Envoltória!K109,Componentes!B:E,3,FALSE)),0,VLOOKUP(Envoltória!K109,Componentes!B:E,3,FALSE))</f>
        <v>0</v>
      </c>
      <c r="AB104" s="56" t="str">
        <f>IFERROR(VLOOKUP(Envoltória!I109,Aux_Lista!M:P,2,FALSE),"")</f>
        <v/>
      </c>
      <c r="AC104" s="55" t="str">
        <f>IFERROR(VLOOKUP(Envoltória!G109,CB3E_Envoltória!$AF$18:$AG$19,2,FALSE),"")</f>
        <v/>
      </c>
      <c r="AD104" s="371"/>
    </row>
    <row r="105" spans="1:30" x14ac:dyDescent="0.25">
      <c r="A105" s="1">
        <v>95</v>
      </c>
      <c r="B105" s="50">
        <f>Envoltória!H110</f>
        <v>0</v>
      </c>
      <c r="C105" s="51">
        <f>Envoltória!B110</f>
        <v>0</v>
      </c>
      <c r="D105" s="52">
        <f>Envoltória!C110</f>
        <v>0</v>
      </c>
      <c r="E105" s="53">
        <f>Envoltória!D110</f>
        <v>0</v>
      </c>
      <c r="F105" s="53" t="str">
        <f>IFERROR(VLOOKUP(Envoltória!F110,CB3E_Envoltória!$AF$11:$AG$15,2,FALSE),"")</f>
        <v/>
      </c>
      <c r="G105" s="53" t="str">
        <f>Envoltória!T110</f>
        <v/>
      </c>
      <c r="H105" s="56">
        <f>Envoltória!S110</f>
        <v>0</v>
      </c>
      <c r="I105" s="56">
        <f>IF(ISERROR(VLOOKUP(Envoltória!M110,Componentes!L:N,3,FALSE)),0,VLOOKUP(Envoltória!M110,Componentes!L:N,3,FALSE))</f>
        <v>0</v>
      </c>
      <c r="J105" s="56">
        <v>0.5</v>
      </c>
      <c r="K105" s="56" t="str">
        <f>Envoltória!U110</f>
        <v/>
      </c>
      <c r="L105" s="56">
        <f>IF(ISERROR(VLOOKUP(Envoltória!M110,Componentes!L:N,2,FALSE)),0,VLOOKUP(Envoltória!M110,Componentes!L:N,2,FALSE))</f>
        <v>0</v>
      </c>
      <c r="M105" s="56">
        <f>IF(ISERROR(VLOOKUP(Envoltória!L110,Componentes!G:J,4,FALSE)),0,VLOOKUP(Envoltória!L110,Componentes!G:J,4,FALSE))</f>
        <v>0</v>
      </c>
      <c r="N105" s="56">
        <f>IF(ISERROR(VLOOKUP(Envoltória!K110,Componentes!B:E,4,FALSE)),0,VLOOKUP(Envoltória!K110,Componentes!B:E,4,FALSE))</f>
        <v>0</v>
      </c>
      <c r="O105" s="54">
        <f>Envoltória!E110</f>
        <v>0</v>
      </c>
      <c r="P105" s="56">
        <f>Envoltória!N110/100</f>
        <v>0</v>
      </c>
      <c r="Q105" s="56">
        <f>Envoltória!Q110</f>
        <v>0</v>
      </c>
      <c r="R105" s="56">
        <f>Envoltória!P110</f>
        <v>0</v>
      </c>
      <c r="S105" s="56">
        <f>Envoltória!R110</f>
        <v>0</v>
      </c>
      <c r="T105" s="56" t="str">
        <f>Envoltória!V110</f>
        <v/>
      </c>
      <c r="U105" s="56" t="str">
        <f>IFERROR(VLOOKUP(Envoltória!I110,Aux_Lista!M:P,3,FALSE),"")</f>
        <v/>
      </c>
      <c r="V105" s="56" t="str">
        <f>IFERROR(VLOOKUP(Envoltória!I110,Aux_Lista!M:P,4,FALSE),"")</f>
        <v/>
      </c>
      <c r="W105" s="56" t="str">
        <f>IFERROR(VLOOKUP(Envoltória!J110,Aux_Lista!R:S,2,FALSE),"")</f>
        <v/>
      </c>
      <c r="X105" s="56">
        <f>IF(ISERROR(VLOOKUP(Envoltória!L110,Componentes!G:J,2,FALSE)),0,VLOOKUP(Envoltória!L110,Componentes!G:J,2,FALSE))</f>
        <v>0</v>
      </c>
      <c r="Y105" s="56">
        <f>IF(ISERROR(VLOOKUP(Envoltória!K110,Componentes!B:E,2,FALSE)),0,VLOOKUP(Envoltória!K110,Componentes!B:E,2,FALSE))</f>
        <v>0</v>
      </c>
      <c r="Z105" s="56">
        <f>IF(ISERROR(VLOOKUP(Envoltória!L110,Componentes!G:J,3,FALSE)),0,VLOOKUP(Envoltória!L110,Componentes!G:J,3,FALSE))</f>
        <v>0</v>
      </c>
      <c r="AA105" s="56">
        <f>IF(ISERROR(VLOOKUP(Envoltória!K110,Componentes!B:E,3,FALSE)),0,VLOOKUP(Envoltória!K110,Componentes!B:E,3,FALSE))</f>
        <v>0</v>
      </c>
      <c r="AB105" s="56" t="str">
        <f>IFERROR(VLOOKUP(Envoltória!I110,Aux_Lista!M:P,2,FALSE),"")</f>
        <v/>
      </c>
      <c r="AC105" s="55" t="str">
        <f>IFERROR(VLOOKUP(Envoltória!G110,CB3E_Envoltória!$AF$18:$AG$19,2,FALSE),"")</f>
        <v/>
      </c>
      <c r="AD105" s="371"/>
    </row>
    <row r="106" spans="1:30" x14ac:dyDescent="0.25">
      <c r="A106" s="1">
        <v>96</v>
      </c>
      <c r="B106" s="50">
        <f>Envoltória!H111</f>
        <v>0</v>
      </c>
      <c r="C106" s="51">
        <f>Envoltória!B111</f>
        <v>0</v>
      </c>
      <c r="D106" s="52">
        <f>Envoltória!C111</f>
        <v>0</v>
      </c>
      <c r="E106" s="53">
        <f>Envoltória!D111</f>
        <v>0</v>
      </c>
      <c r="F106" s="53" t="str">
        <f>IFERROR(VLOOKUP(Envoltória!F111,CB3E_Envoltória!$AF$11:$AG$15,2,FALSE),"")</f>
        <v/>
      </c>
      <c r="G106" s="53" t="str">
        <f>Envoltória!T111</f>
        <v/>
      </c>
      <c r="H106" s="56">
        <f>Envoltória!S111</f>
        <v>0</v>
      </c>
      <c r="I106" s="56">
        <f>IF(ISERROR(VLOOKUP(Envoltória!M111,Componentes!L:N,3,FALSE)),0,VLOOKUP(Envoltória!M111,Componentes!L:N,3,FALSE))</f>
        <v>0</v>
      </c>
      <c r="J106" s="56">
        <v>0.5</v>
      </c>
      <c r="K106" s="56" t="str">
        <f>Envoltória!U111</f>
        <v/>
      </c>
      <c r="L106" s="56">
        <f>IF(ISERROR(VLOOKUP(Envoltória!M111,Componentes!L:N,2,FALSE)),0,VLOOKUP(Envoltória!M111,Componentes!L:N,2,FALSE))</f>
        <v>0</v>
      </c>
      <c r="M106" s="56">
        <f>IF(ISERROR(VLOOKUP(Envoltória!L111,Componentes!G:J,4,FALSE)),0,VLOOKUP(Envoltória!L111,Componentes!G:J,4,FALSE))</f>
        <v>0</v>
      </c>
      <c r="N106" s="56">
        <f>IF(ISERROR(VLOOKUP(Envoltória!K111,Componentes!B:E,4,FALSE)),0,VLOOKUP(Envoltória!K111,Componentes!B:E,4,FALSE))</f>
        <v>0</v>
      </c>
      <c r="O106" s="54">
        <f>Envoltória!E111</f>
        <v>0</v>
      </c>
      <c r="P106" s="56">
        <f>Envoltória!N111/100</f>
        <v>0</v>
      </c>
      <c r="Q106" s="56">
        <f>Envoltória!Q111</f>
        <v>0</v>
      </c>
      <c r="R106" s="56">
        <f>Envoltória!P111</f>
        <v>0</v>
      </c>
      <c r="S106" s="56">
        <f>Envoltória!R111</f>
        <v>0</v>
      </c>
      <c r="T106" s="56" t="str">
        <f>Envoltória!V111</f>
        <v/>
      </c>
      <c r="U106" s="56" t="str">
        <f>IFERROR(VLOOKUP(Envoltória!I111,Aux_Lista!M:P,3,FALSE),"")</f>
        <v/>
      </c>
      <c r="V106" s="56" t="str">
        <f>IFERROR(VLOOKUP(Envoltória!I111,Aux_Lista!M:P,4,FALSE),"")</f>
        <v/>
      </c>
      <c r="W106" s="56" t="str">
        <f>IFERROR(VLOOKUP(Envoltória!J111,Aux_Lista!R:S,2,FALSE),"")</f>
        <v/>
      </c>
      <c r="X106" s="56">
        <f>IF(ISERROR(VLOOKUP(Envoltória!L111,Componentes!G:J,2,FALSE)),0,VLOOKUP(Envoltória!L111,Componentes!G:J,2,FALSE))</f>
        <v>0</v>
      </c>
      <c r="Y106" s="56">
        <f>IF(ISERROR(VLOOKUP(Envoltória!K111,Componentes!B:E,2,FALSE)),0,VLOOKUP(Envoltória!K111,Componentes!B:E,2,FALSE))</f>
        <v>0</v>
      </c>
      <c r="Z106" s="56">
        <f>IF(ISERROR(VLOOKUP(Envoltória!L111,Componentes!G:J,3,FALSE)),0,VLOOKUP(Envoltória!L111,Componentes!G:J,3,FALSE))</f>
        <v>0</v>
      </c>
      <c r="AA106" s="56">
        <f>IF(ISERROR(VLOOKUP(Envoltória!K111,Componentes!B:E,3,FALSE)),0,VLOOKUP(Envoltória!K111,Componentes!B:E,3,FALSE))</f>
        <v>0</v>
      </c>
      <c r="AB106" s="56" t="str">
        <f>IFERROR(VLOOKUP(Envoltória!I111,Aux_Lista!M:P,2,FALSE),"")</f>
        <v/>
      </c>
      <c r="AC106" s="55" t="str">
        <f>IFERROR(VLOOKUP(Envoltória!G111,CB3E_Envoltória!$AF$18:$AG$19,2,FALSE),"")</f>
        <v/>
      </c>
      <c r="AD106" s="371"/>
    </row>
    <row r="107" spans="1:30" x14ac:dyDescent="0.25">
      <c r="A107" s="1">
        <v>97</v>
      </c>
      <c r="B107" s="50">
        <f>Envoltória!H112</f>
        <v>0</v>
      </c>
      <c r="C107" s="51">
        <f>Envoltória!B112</f>
        <v>0</v>
      </c>
      <c r="D107" s="52">
        <f>Envoltória!C112</f>
        <v>0</v>
      </c>
      <c r="E107" s="53">
        <f>Envoltória!D112</f>
        <v>0</v>
      </c>
      <c r="F107" s="53" t="str">
        <f>IFERROR(VLOOKUP(Envoltória!F112,CB3E_Envoltória!$AF$11:$AG$15,2,FALSE),"")</f>
        <v/>
      </c>
      <c r="G107" s="53" t="str">
        <f>Envoltória!T112</f>
        <v/>
      </c>
      <c r="H107" s="56">
        <f>Envoltória!S112</f>
        <v>0</v>
      </c>
      <c r="I107" s="56">
        <f>IF(ISERROR(VLOOKUP(Envoltória!M112,Componentes!L:N,3,FALSE)),0,VLOOKUP(Envoltória!M112,Componentes!L:N,3,FALSE))</f>
        <v>0</v>
      </c>
      <c r="J107" s="56">
        <v>0.5</v>
      </c>
      <c r="K107" s="56" t="str">
        <f>Envoltória!U112</f>
        <v/>
      </c>
      <c r="L107" s="56">
        <f>IF(ISERROR(VLOOKUP(Envoltória!M112,Componentes!L:N,2,FALSE)),0,VLOOKUP(Envoltória!M112,Componentes!L:N,2,FALSE))</f>
        <v>0</v>
      </c>
      <c r="M107" s="56">
        <f>IF(ISERROR(VLOOKUP(Envoltória!L112,Componentes!G:J,4,FALSE)),0,VLOOKUP(Envoltória!L112,Componentes!G:J,4,FALSE))</f>
        <v>0</v>
      </c>
      <c r="N107" s="56">
        <f>IF(ISERROR(VLOOKUP(Envoltória!K112,Componentes!B:E,4,FALSE)),0,VLOOKUP(Envoltória!K112,Componentes!B:E,4,FALSE))</f>
        <v>0</v>
      </c>
      <c r="O107" s="54">
        <f>Envoltória!E112</f>
        <v>0</v>
      </c>
      <c r="P107" s="56">
        <f>Envoltória!N112/100</f>
        <v>0</v>
      </c>
      <c r="Q107" s="56">
        <f>Envoltória!Q112</f>
        <v>0</v>
      </c>
      <c r="R107" s="56">
        <f>Envoltória!P112</f>
        <v>0</v>
      </c>
      <c r="S107" s="56">
        <f>Envoltória!R112</f>
        <v>0</v>
      </c>
      <c r="T107" s="56" t="str">
        <f>Envoltória!V112</f>
        <v/>
      </c>
      <c r="U107" s="56" t="str">
        <f>IFERROR(VLOOKUP(Envoltória!I112,Aux_Lista!M:P,3,FALSE),"")</f>
        <v/>
      </c>
      <c r="V107" s="56" t="str">
        <f>IFERROR(VLOOKUP(Envoltória!I112,Aux_Lista!M:P,4,FALSE),"")</f>
        <v/>
      </c>
      <c r="W107" s="56" t="str">
        <f>IFERROR(VLOOKUP(Envoltória!J112,Aux_Lista!R:S,2,FALSE),"")</f>
        <v/>
      </c>
      <c r="X107" s="56">
        <f>IF(ISERROR(VLOOKUP(Envoltória!L112,Componentes!G:J,2,FALSE)),0,VLOOKUP(Envoltória!L112,Componentes!G:J,2,FALSE))</f>
        <v>0</v>
      </c>
      <c r="Y107" s="56">
        <f>IF(ISERROR(VLOOKUP(Envoltória!K112,Componentes!B:E,2,FALSE)),0,VLOOKUP(Envoltória!K112,Componentes!B:E,2,FALSE))</f>
        <v>0</v>
      </c>
      <c r="Z107" s="56">
        <f>IF(ISERROR(VLOOKUP(Envoltória!L112,Componentes!G:J,3,FALSE)),0,VLOOKUP(Envoltória!L112,Componentes!G:J,3,FALSE))</f>
        <v>0</v>
      </c>
      <c r="AA107" s="56">
        <f>IF(ISERROR(VLOOKUP(Envoltória!K112,Componentes!B:E,3,FALSE)),0,VLOOKUP(Envoltória!K112,Componentes!B:E,3,FALSE))</f>
        <v>0</v>
      </c>
      <c r="AB107" s="56" t="str">
        <f>IFERROR(VLOOKUP(Envoltória!I112,Aux_Lista!M:P,2,FALSE),"")</f>
        <v/>
      </c>
      <c r="AC107" s="55" t="str">
        <f>IFERROR(VLOOKUP(Envoltória!G112,CB3E_Envoltória!$AF$18:$AG$19,2,FALSE),"")</f>
        <v/>
      </c>
      <c r="AD107" s="371"/>
    </row>
    <row r="108" spans="1:30" x14ac:dyDescent="0.25">
      <c r="A108" s="1">
        <v>98</v>
      </c>
      <c r="B108" s="50">
        <f>Envoltória!H113</f>
        <v>0</v>
      </c>
      <c r="C108" s="51">
        <f>Envoltória!B113</f>
        <v>0</v>
      </c>
      <c r="D108" s="52">
        <f>Envoltória!C113</f>
        <v>0</v>
      </c>
      <c r="E108" s="53">
        <f>Envoltória!D113</f>
        <v>0</v>
      </c>
      <c r="F108" s="53" t="str">
        <f>IFERROR(VLOOKUP(Envoltória!F113,CB3E_Envoltória!$AF$11:$AG$15,2,FALSE),"")</f>
        <v/>
      </c>
      <c r="G108" s="53" t="str">
        <f>Envoltória!T113</f>
        <v/>
      </c>
      <c r="H108" s="56">
        <f>Envoltória!S113</f>
        <v>0</v>
      </c>
      <c r="I108" s="56">
        <f>IF(ISERROR(VLOOKUP(Envoltória!M113,Componentes!L:N,3,FALSE)),0,VLOOKUP(Envoltória!M113,Componentes!L:N,3,FALSE))</f>
        <v>0</v>
      </c>
      <c r="J108" s="56">
        <v>0.5</v>
      </c>
      <c r="K108" s="56" t="str">
        <f>Envoltória!U113</f>
        <v/>
      </c>
      <c r="L108" s="56">
        <f>IF(ISERROR(VLOOKUP(Envoltória!M113,Componentes!L:N,2,FALSE)),0,VLOOKUP(Envoltória!M113,Componentes!L:N,2,FALSE))</f>
        <v>0</v>
      </c>
      <c r="M108" s="56">
        <f>IF(ISERROR(VLOOKUP(Envoltória!L113,Componentes!G:J,4,FALSE)),0,VLOOKUP(Envoltória!L113,Componentes!G:J,4,FALSE))</f>
        <v>0</v>
      </c>
      <c r="N108" s="56">
        <f>IF(ISERROR(VLOOKUP(Envoltória!K113,Componentes!B:E,4,FALSE)),0,VLOOKUP(Envoltória!K113,Componentes!B:E,4,FALSE))</f>
        <v>0</v>
      </c>
      <c r="O108" s="54">
        <f>Envoltória!E113</f>
        <v>0</v>
      </c>
      <c r="P108" s="56">
        <f>Envoltória!N113/100</f>
        <v>0</v>
      </c>
      <c r="Q108" s="56">
        <f>Envoltória!Q113</f>
        <v>0</v>
      </c>
      <c r="R108" s="56">
        <f>Envoltória!P113</f>
        <v>0</v>
      </c>
      <c r="S108" s="56">
        <f>Envoltória!R113</f>
        <v>0</v>
      </c>
      <c r="T108" s="56" t="str">
        <f>Envoltória!V113</f>
        <v/>
      </c>
      <c r="U108" s="56" t="str">
        <f>IFERROR(VLOOKUP(Envoltória!I113,Aux_Lista!M:P,3,FALSE),"")</f>
        <v/>
      </c>
      <c r="V108" s="56" t="str">
        <f>IFERROR(VLOOKUP(Envoltória!I113,Aux_Lista!M:P,4,FALSE),"")</f>
        <v/>
      </c>
      <c r="W108" s="56" t="str">
        <f>IFERROR(VLOOKUP(Envoltória!J113,Aux_Lista!R:S,2,FALSE),"")</f>
        <v/>
      </c>
      <c r="X108" s="56">
        <f>IF(ISERROR(VLOOKUP(Envoltória!L113,Componentes!G:J,2,FALSE)),0,VLOOKUP(Envoltória!L113,Componentes!G:J,2,FALSE))</f>
        <v>0</v>
      </c>
      <c r="Y108" s="56">
        <f>IF(ISERROR(VLOOKUP(Envoltória!K113,Componentes!B:E,2,FALSE)),0,VLOOKUP(Envoltória!K113,Componentes!B:E,2,FALSE))</f>
        <v>0</v>
      </c>
      <c r="Z108" s="56">
        <f>IF(ISERROR(VLOOKUP(Envoltória!L113,Componentes!G:J,3,FALSE)),0,VLOOKUP(Envoltória!L113,Componentes!G:J,3,FALSE))</f>
        <v>0</v>
      </c>
      <c r="AA108" s="56">
        <f>IF(ISERROR(VLOOKUP(Envoltória!K113,Componentes!B:E,3,FALSE)),0,VLOOKUP(Envoltória!K113,Componentes!B:E,3,FALSE))</f>
        <v>0</v>
      </c>
      <c r="AB108" s="56" t="str">
        <f>IFERROR(VLOOKUP(Envoltória!I113,Aux_Lista!M:P,2,FALSE),"")</f>
        <v/>
      </c>
      <c r="AC108" s="55" t="str">
        <f>IFERROR(VLOOKUP(Envoltória!G113,CB3E_Envoltória!$AF$18:$AG$19,2,FALSE),"")</f>
        <v/>
      </c>
      <c r="AD108" s="371"/>
    </row>
    <row r="109" spans="1:30" x14ac:dyDescent="0.25">
      <c r="A109" s="1">
        <v>99</v>
      </c>
      <c r="B109" s="50">
        <f>Envoltória!H114</f>
        <v>0</v>
      </c>
      <c r="C109" s="51">
        <f>Envoltória!B114</f>
        <v>0</v>
      </c>
      <c r="D109" s="52">
        <f>Envoltória!C114</f>
        <v>0</v>
      </c>
      <c r="E109" s="53">
        <f>Envoltória!D114</f>
        <v>0</v>
      </c>
      <c r="F109" s="53" t="str">
        <f>IFERROR(VLOOKUP(Envoltória!F114,CB3E_Envoltória!$AF$11:$AG$15,2,FALSE),"")</f>
        <v/>
      </c>
      <c r="G109" s="53" t="str">
        <f>Envoltória!T114</f>
        <v/>
      </c>
      <c r="H109" s="56">
        <f>Envoltória!S114</f>
        <v>0</v>
      </c>
      <c r="I109" s="56">
        <f>IF(ISERROR(VLOOKUP(Envoltória!M114,Componentes!L:N,3,FALSE)),0,VLOOKUP(Envoltória!M114,Componentes!L:N,3,FALSE))</f>
        <v>0</v>
      </c>
      <c r="J109" s="56">
        <v>0.5</v>
      </c>
      <c r="K109" s="56" t="str">
        <f>Envoltória!U114</f>
        <v/>
      </c>
      <c r="L109" s="56">
        <f>IF(ISERROR(VLOOKUP(Envoltória!M114,Componentes!L:N,2,FALSE)),0,VLOOKUP(Envoltória!M114,Componentes!L:N,2,FALSE))</f>
        <v>0</v>
      </c>
      <c r="M109" s="56">
        <f>IF(ISERROR(VLOOKUP(Envoltória!L114,Componentes!G:J,4,FALSE)),0,VLOOKUP(Envoltória!L114,Componentes!G:J,4,FALSE))</f>
        <v>0</v>
      </c>
      <c r="N109" s="56">
        <f>IF(ISERROR(VLOOKUP(Envoltória!K114,Componentes!B:E,4,FALSE)),0,VLOOKUP(Envoltória!K114,Componentes!B:E,4,FALSE))</f>
        <v>0</v>
      </c>
      <c r="O109" s="54">
        <f>Envoltória!E114</f>
        <v>0</v>
      </c>
      <c r="P109" s="56">
        <f>Envoltória!N114/100</f>
        <v>0</v>
      </c>
      <c r="Q109" s="56">
        <f>Envoltória!Q114</f>
        <v>0</v>
      </c>
      <c r="R109" s="56">
        <f>Envoltória!P114</f>
        <v>0</v>
      </c>
      <c r="S109" s="56">
        <f>Envoltória!R114</f>
        <v>0</v>
      </c>
      <c r="T109" s="56" t="str">
        <f>Envoltória!V114</f>
        <v/>
      </c>
      <c r="U109" s="56" t="str">
        <f>IFERROR(VLOOKUP(Envoltória!I114,Aux_Lista!M:P,3,FALSE),"")</f>
        <v/>
      </c>
      <c r="V109" s="56" t="str">
        <f>IFERROR(VLOOKUP(Envoltória!I114,Aux_Lista!M:P,4,FALSE),"")</f>
        <v/>
      </c>
      <c r="W109" s="56" t="str">
        <f>IFERROR(VLOOKUP(Envoltória!J114,Aux_Lista!R:S,2,FALSE),"")</f>
        <v/>
      </c>
      <c r="X109" s="56">
        <f>IF(ISERROR(VLOOKUP(Envoltória!L114,Componentes!G:J,2,FALSE)),0,VLOOKUP(Envoltória!L114,Componentes!G:J,2,FALSE))</f>
        <v>0</v>
      </c>
      <c r="Y109" s="56">
        <f>IF(ISERROR(VLOOKUP(Envoltória!K114,Componentes!B:E,2,FALSE)),0,VLOOKUP(Envoltória!K114,Componentes!B:E,2,FALSE))</f>
        <v>0</v>
      </c>
      <c r="Z109" s="56">
        <f>IF(ISERROR(VLOOKUP(Envoltória!L114,Componentes!G:J,3,FALSE)),0,VLOOKUP(Envoltória!L114,Componentes!G:J,3,FALSE))</f>
        <v>0</v>
      </c>
      <c r="AA109" s="56">
        <f>IF(ISERROR(VLOOKUP(Envoltória!K114,Componentes!B:E,3,FALSE)),0,VLOOKUP(Envoltória!K114,Componentes!B:E,3,FALSE))</f>
        <v>0</v>
      </c>
      <c r="AB109" s="56" t="str">
        <f>IFERROR(VLOOKUP(Envoltória!I114,Aux_Lista!M:P,2,FALSE),"")</f>
        <v/>
      </c>
      <c r="AC109" s="55" t="str">
        <f>IFERROR(VLOOKUP(Envoltória!G114,CB3E_Envoltória!$AF$18:$AG$19,2,FALSE),"")</f>
        <v/>
      </c>
      <c r="AD109" s="371"/>
    </row>
    <row r="110" spans="1:30" x14ac:dyDescent="0.25">
      <c r="A110" s="1">
        <v>100</v>
      </c>
      <c r="B110" s="50">
        <f>Envoltória!H115</f>
        <v>0</v>
      </c>
      <c r="C110" s="51">
        <f>Envoltória!B115</f>
        <v>0</v>
      </c>
      <c r="D110" s="52">
        <f>Envoltória!C115</f>
        <v>0</v>
      </c>
      <c r="E110" s="53">
        <f>Envoltória!D115</f>
        <v>0</v>
      </c>
      <c r="F110" s="53" t="str">
        <f>IFERROR(VLOOKUP(Envoltória!F115,CB3E_Envoltória!$AF$11:$AG$15,2,FALSE),"")</f>
        <v/>
      </c>
      <c r="G110" s="53" t="str">
        <f>Envoltória!T115</f>
        <v/>
      </c>
      <c r="H110" s="56">
        <f>Envoltória!S115</f>
        <v>0</v>
      </c>
      <c r="I110" s="56">
        <f>IF(ISERROR(VLOOKUP(Envoltória!M115,Componentes!L:N,3,FALSE)),0,VLOOKUP(Envoltória!M115,Componentes!L:N,3,FALSE))</f>
        <v>0</v>
      </c>
      <c r="J110" s="56">
        <v>0.5</v>
      </c>
      <c r="K110" s="56" t="str">
        <f>Envoltória!U115</f>
        <v/>
      </c>
      <c r="L110" s="56">
        <f>IF(ISERROR(VLOOKUP(Envoltória!M115,Componentes!L:N,2,FALSE)),0,VLOOKUP(Envoltória!M115,Componentes!L:N,2,FALSE))</f>
        <v>0</v>
      </c>
      <c r="M110" s="56">
        <f>IF(ISERROR(VLOOKUP(Envoltória!L115,Componentes!G:J,4,FALSE)),0,VLOOKUP(Envoltória!L115,Componentes!G:J,4,FALSE))</f>
        <v>0</v>
      </c>
      <c r="N110" s="56">
        <f>IF(ISERROR(VLOOKUP(Envoltória!K115,Componentes!B:E,4,FALSE)),0,VLOOKUP(Envoltória!K115,Componentes!B:E,4,FALSE))</f>
        <v>0</v>
      </c>
      <c r="O110" s="54">
        <f>Envoltória!E115</f>
        <v>0</v>
      </c>
      <c r="P110" s="56">
        <f>Envoltória!N115/100</f>
        <v>0</v>
      </c>
      <c r="Q110" s="56">
        <f>Envoltória!Q115</f>
        <v>0</v>
      </c>
      <c r="R110" s="56">
        <f>Envoltória!P115</f>
        <v>0</v>
      </c>
      <c r="S110" s="56">
        <f>Envoltória!R115</f>
        <v>0</v>
      </c>
      <c r="T110" s="56" t="str">
        <f>Envoltória!V115</f>
        <v/>
      </c>
      <c r="U110" s="56" t="str">
        <f>IFERROR(VLOOKUP(Envoltória!I115,Aux_Lista!M:P,3,FALSE),"")</f>
        <v/>
      </c>
      <c r="V110" s="56" t="str">
        <f>IFERROR(VLOOKUP(Envoltória!I115,Aux_Lista!M:P,4,FALSE),"")</f>
        <v/>
      </c>
      <c r="W110" s="56" t="str">
        <f>IFERROR(VLOOKUP(Envoltória!J115,Aux_Lista!R:S,2,FALSE),"")</f>
        <v/>
      </c>
      <c r="X110" s="56">
        <f>IF(ISERROR(VLOOKUP(Envoltória!L115,Componentes!G:J,2,FALSE)),0,VLOOKUP(Envoltória!L115,Componentes!G:J,2,FALSE))</f>
        <v>0</v>
      </c>
      <c r="Y110" s="56">
        <f>IF(ISERROR(VLOOKUP(Envoltória!K115,Componentes!B:E,2,FALSE)),0,VLOOKUP(Envoltória!K115,Componentes!B:E,2,FALSE))</f>
        <v>0</v>
      </c>
      <c r="Z110" s="56">
        <f>IF(ISERROR(VLOOKUP(Envoltória!L115,Componentes!G:J,3,FALSE)),0,VLOOKUP(Envoltória!L115,Componentes!G:J,3,FALSE))</f>
        <v>0</v>
      </c>
      <c r="AA110" s="56">
        <f>IF(ISERROR(VLOOKUP(Envoltória!K115,Componentes!B:E,3,FALSE)),0,VLOOKUP(Envoltória!K115,Componentes!B:E,3,FALSE))</f>
        <v>0</v>
      </c>
      <c r="AB110" s="56" t="str">
        <f>IFERROR(VLOOKUP(Envoltória!I115,Aux_Lista!M:P,2,FALSE),"")</f>
        <v/>
      </c>
      <c r="AC110" s="55" t="str">
        <f>IFERROR(VLOOKUP(Envoltória!G115,CB3E_Envoltória!$AF$18:$AG$19,2,FALSE),"")</f>
        <v/>
      </c>
      <c r="AD110" s="371"/>
    </row>
    <row r="111" spans="1:30" x14ac:dyDescent="0.25">
      <c r="A111" s="1"/>
    </row>
  </sheetData>
  <dataValidations disablePrompts="1" count="1">
    <dataValidation type="list" allowBlank="1" showInputMessage="1" showErrorMessage="1" sqref="W111:W1048576 U111:U1048576" xr:uid="{00000000-0002-0000-0100-000000000000}">
      <formula1>"0,1"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3000000}">
          <x14:formula1>
            <xm:f>Aux_Lista!$C$2:$C$3</xm:f>
          </x14:formula1>
          <xm:sqref>AC111:AD1048576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RowHeight="15" x14ac:dyDescent="0.25"/>
  <cols>
    <col min="1" max="16384" width="9.140625" style="21"/>
  </cols>
  <sheetData>
    <row r="1" spans="1:27" x14ac:dyDescent="0.25">
      <c r="A1" s="257" t="s">
        <v>230</v>
      </c>
      <c r="B1" s="257" t="s">
        <v>1716</v>
      </c>
      <c r="C1" s="257" t="s">
        <v>231</v>
      </c>
      <c r="D1" s="257" t="s">
        <v>4004</v>
      </c>
      <c r="E1" s="257" t="s">
        <v>398</v>
      </c>
      <c r="F1" s="257" t="s">
        <v>1943</v>
      </c>
      <c r="G1" s="257" t="s">
        <v>24</v>
      </c>
      <c r="H1" s="257" t="s">
        <v>244</v>
      </c>
      <c r="I1" s="257" t="s">
        <v>1740</v>
      </c>
      <c r="J1" s="257" t="s">
        <v>3872</v>
      </c>
      <c r="K1" s="257" t="s">
        <v>274</v>
      </c>
      <c r="L1" s="257" t="s">
        <v>1978</v>
      </c>
      <c r="M1" s="257" t="s">
        <v>2185</v>
      </c>
      <c r="N1" s="257" t="s">
        <v>29</v>
      </c>
      <c r="O1" s="257" t="s">
        <v>1763</v>
      </c>
      <c r="P1" s="257" t="s">
        <v>242</v>
      </c>
      <c r="Q1" s="257" t="s">
        <v>3870</v>
      </c>
      <c r="R1" s="257" t="s">
        <v>239</v>
      </c>
      <c r="S1" s="257" t="s">
        <v>252</v>
      </c>
      <c r="T1" s="257" t="s">
        <v>1667</v>
      </c>
      <c r="U1" s="257" t="s">
        <v>2198</v>
      </c>
      <c r="V1" s="257" t="s">
        <v>1694</v>
      </c>
      <c r="W1" s="257" t="s">
        <v>232</v>
      </c>
      <c r="X1" s="257" t="s">
        <v>27</v>
      </c>
      <c r="Y1" s="257" t="s">
        <v>69</v>
      </c>
      <c r="Z1" s="257" t="s">
        <v>258</v>
      </c>
      <c r="AA1" s="257" t="s">
        <v>1976</v>
      </c>
    </row>
    <row r="2" spans="1:27" x14ac:dyDescent="0.25">
      <c r="A2" s="21" t="s">
        <v>4690</v>
      </c>
      <c r="B2" s="21" t="s">
        <v>2023</v>
      </c>
      <c r="C2" s="21" t="s">
        <v>3970</v>
      </c>
      <c r="D2" s="21" t="s">
        <v>4204</v>
      </c>
      <c r="E2" s="21" t="s">
        <v>399</v>
      </c>
      <c r="F2" s="21" t="s">
        <v>5011</v>
      </c>
      <c r="G2" s="21" t="s">
        <v>23</v>
      </c>
      <c r="H2" s="21" t="s">
        <v>3279</v>
      </c>
      <c r="I2" s="21" t="s">
        <v>2522</v>
      </c>
      <c r="J2" s="21" t="s">
        <v>4230</v>
      </c>
      <c r="K2" s="21" t="s">
        <v>3198</v>
      </c>
      <c r="L2" s="21" t="s">
        <v>3146</v>
      </c>
      <c r="M2" s="21" t="s">
        <v>5447</v>
      </c>
      <c r="N2" s="21" t="s">
        <v>3942</v>
      </c>
      <c r="O2" s="21" t="s">
        <v>2023</v>
      </c>
      <c r="P2" s="21" t="s">
        <v>3877</v>
      </c>
      <c r="Q2" s="21" t="s">
        <v>4914</v>
      </c>
      <c r="R2" s="21" t="s">
        <v>3023</v>
      </c>
      <c r="S2" s="21" t="s">
        <v>2920</v>
      </c>
      <c r="T2" s="21" t="s">
        <v>4188</v>
      </c>
      <c r="U2" s="21" t="s">
        <v>5917</v>
      </c>
      <c r="V2" s="21" t="s">
        <v>1383</v>
      </c>
      <c r="W2" s="21" t="s">
        <v>1575</v>
      </c>
      <c r="X2" s="21" t="s">
        <v>1279</v>
      </c>
      <c r="Y2" s="21" t="s">
        <v>4856</v>
      </c>
      <c r="Z2" s="21" t="s">
        <v>3849</v>
      </c>
      <c r="AA2" s="21" t="s">
        <v>5032</v>
      </c>
    </row>
    <row r="3" spans="1:27" x14ac:dyDescent="0.25">
      <c r="A3" s="21" t="s">
        <v>4622</v>
      </c>
      <c r="B3" s="21" t="s">
        <v>2536</v>
      </c>
      <c r="C3" s="21" t="s">
        <v>4304</v>
      </c>
      <c r="D3" s="21" t="s">
        <v>4054</v>
      </c>
      <c r="E3" s="21" t="s">
        <v>5191</v>
      </c>
      <c r="F3" s="21" t="s">
        <v>5918</v>
      </c>
      <c r="H3" s="21" t="s">
        <v>1692</v>
      </c>
      <c r="I3" s="21" t="s">
        <v>2671</v>
      </c>
      <c r="J3" s="21" t="s">
        <v>5130</v>
      </c>
      <c r="K3" s="21" t="s">
        <v>3188</v>
      </c>
      <c r="L3" s="21" t="s">
        <v>2211</v>
      </c>
      <c r="M3" s="21" t="s">
        <v>1899</v>
      </c>
      <c r="N3" s="21" t="s">
        <v>4237</v>
      </c>
      <c r="O3" s="21" t="s">
        <v>4985</v>
      </c>
      <c r="P3" s="21" t="s">
        <v>2339</v>
      </c>
      <c r="Q3" s="21" t="s">
        <v>4537</v>
      </c>
      <c r="R3" s="21" t="s">
        <v>3692</v>
      </c>
      <c r="S3" s="21" t="s">
        <v>3105</v>
      </c>
      <c r="T3" s="21" t="s">
        <v>4194</v>
      </c>
      <c r="U3" s="21" t="s">
        <v>5289</v>
      </c>
      <c r="V3" s="21" t="s">
        <v>1722</v>
      </c>
      <c r="W3" s="21" t="s">
        <v>1138</v>
      </c>
      <c r="X3" s="21" t="s">
        <v>1409</v>
      </c>
      <c r="Y3" s="21" t="s">
        <v>5160</v>
      </c>
      <c r="Z3" s="21" t="s">
        <v>3386</v>
      </c>
      <c r="AA3" s="21" t="s">
        <v>4819</v>
      </c>
    </row>
    <row r="4" spans="1:27" x14ac:dyDescent="0.25">
      <c r="A4" s="21" t="s">
        <v>4742</v>
      </c>
      <c r="B4" s="21" t="s">
        <v>4934</v>
      </c>
      <c r="C4" s="21" t="s">
        <v>4069</v>
      </c>
      <c r="D4" s="21" t="s">
        <v>4252</v>
      </c>
      <c r="E4" s="21" t="s">
        <v>1830</v>
      </c>
      <c r="F4" s="21" t="s">
        <v>4077</v>
      </c>
      <c r="H4" s="21" t="s">
        <v>2236</v>
      </c>
      <c r="I4" s="21" t="s">
        <v>2728</v>
      </c>
      <c r="J4" s="21" t="s">
        <v>4081</v>
      </c>
      <c r="K4" s="21" t="s">
        <v>392</v>
      </c>
      <c r="L4" s="21" t="s">
        <v>3500</v>
      </c>
      <c r="M4" s="21" t="s">
        <v>5330</v>
      </c>
      <c r="N4" s="21" t="s">
        <v>4131</v>
      </c>
      <c r="O4" s="21" t="s">
        <v>2120</v>
      </c>
      <c r="P4" s="21" t="s">
        <v>2288</v>
      </c>
      <c r="Q4" s="21" t="s">
        <v>2023</v>
      </c>
      <c r="R4" s="21" t="s">
        <v>381</v>
      </c>
      <c r="S4" s="21" t="s">
        <v>1650</v>
      </c>
      <c r="T4" s="21" t="s">
        <v>3984</v>
      </c>
      <c r="U4" s="21" t="s">
        <v>3012</v>
      </c>
      <c r="V4" s="21" t="s">
        <v>2057</v>
      </c>
      <c r="W4" s="21" t="s">
        <v>1499</v>
      </c>
      <c r="X4" s="21" t="s">
        <v>1139</v>
      </c>
      <c r="Y4" s="21" t="s">
        <v>4864</v>
      </c>
      <c r="Z4" s="21" t="s">
        <v>3547</v>
      </c>
      <c r="AA4" s="21" t="s">
        <v>4814</v>
      </c>
    </row>
    <row r="5" spans="1:27" x14ac:dyDescent="0.25">
      <c r="A5" s="21" t="s">
        <v>4257</v>
      </c>
      <c r="B5" s="21" t="s">
        <v>3126</v>
      </c>
      <c r="C5" s="21" t="s">
        <v>4083</v>
      </c>
      <c r="D5" s="21" t="s">
        <v>4273</v>
      </c>
      <c r="E5" s="21" t="s">
        <v>3295</v>
      </c>
      <c r="F5" s="21" t="s">
        <v>5055</v>
      </c>
      <c r="H5" s="21" t="s">
        <v>3359</v>
      </c>
      <c r="I5" s="21" t="s">
        <v>2724</v>
      </c>
      <c r="J5" s="21" t="s">
        <v>3912</v>
      </c>
      <c r="K5" s="21" t="s">
        <v>402</v>
      </c>
      <c r="L5" s="21" t="s">
        <v>2213</v>
      </c>
      <c r="M5" s="21" t="s">
        <v>2360</v>
      </c>
      <c r="N5" s="21" t="s">
        <v>4066</v>
      </c>
      <c r="O5" s="21" t="s">
        <v>2081</v>
      </c>
      <c r="P5" s="21" t="s">
        <v>2183</v>
      </c>
      <c r="Q5" s="21" t="s">
        <v>5286</v>
      </c>
      <c r="R5" s="21" t="s">
        <v>370</v>
      </c>
      <c r="S5" s="21" t="s">
        <v>544</v>
      </c>
      <c r="T5" s="21" t="s">
        <v>4380</v>
      </c>
      <c r="U5" s="21" t="s">
        <v>5919</v>
      </c>
      <c r="V5" s="21" t="s">
        <v>390</v>
      </c>
      <c r="W5" s="21" t="s">
        <v>300</v>
      </c>
      <c r="X5" s="21" t="s">
        <v>1132</v>
      </c>
      <c r="Y5" s="21" t="s">
        <v>2340</v>
      </c>
      <c r="Z5" s="21" t="s">
        <v>747</v>
      </c>
      <c r="AA5" s="21" t="s">
        <v>4185</v>
      </c>
    </row>
    <row r="6" spans="1:27" x14ac:dyDescent="0.25">
      <c r="A6" s="21" t="s">
        <v>4635</v>
      </c>
      <c r="B6" s="21" t="s">
        <v>4921</v>
      </c>
      <c r="C6" s="21" t="s">
        <v>4729</v>
      </c>
      <c r="D6" s="21" t="s">
        <v>4090</v>
      </c>
      <c r="E6" s="21" t="s">
        <v>1865</v>
      </c>
      <c r="F6" s="21" t="s">
        <v>4397</v>
      </c>
      <c r="H6" s="21" t="s">
        <v>1837</v>
      </c>
      <c r="I6" s="21" t="s">
        <v>2184</v>
      </c>
      <c r="J6" s="21" t="s">
        <v>4704</v>
      </c>
      <c r="K6" s="21" t="s">
        <v>2399</v>
      </c>
      <c r="L6" s="21" t="s">
        <v>3343</v>
      </c>
      <c r="M6" s="21" t="s">
        <v>4699</v>
      </c>
      <c r="N6" s="21" t="s">
        <v>4976</v>
      </c>
      <c r="O6" s="21" t="s">
        <v>2087</v>
      </c>
      <c r="P6" s="21" t="s">
        <v>5149</v>
      </c>
      <c r="Q6" s="21" t="s">
        <v>5274</v>
      </c>
      <c r="R6" s="21" t="s">
        <v>575</v>
      </c>
      <c r="S6" s="21" t="s">
        <v>5920</v>
      </c>
      <c r="T6" s="21" t="s">
        <v>4360</v>
      </c>
      <c r="U6" s="21" t="s">
        <v>4781</v>
      </c>
      <c r="V6" s="21" t="s">
        <v>4030</v>
      </c>
      <c r="W6" s="21" t="s">
        <v>2922</v>
      </c>
      <c r="X6" s="21" t="s">
        <v>1471</v>
      </c>
      <c r="Y6" s="21" t="s">
        <v>4078</v>
      </c>
      <c r="Z6" s="21" t="s">
        <v>804</v>
      </c>
      <c r="AA6" s="21" t="s">
        <v>1034</v>
      </c>
    </row>
    <row r="7" spans="1:27" x14ac:dyDescent="0.25">
      <c r="A7" s="21" t="s">
        <v>1251</v>
      </c>
      <c r="B7" s="21" t="s">
        <v>2071</v>
      </c>
      <c r="C7" s="21" t="s">
        <v>4807</v>
      </c>
      <c r="D7" s="21" t="s">
        <v>4005</v>
      </c>
      <c r="E7" s="21" t="s">
        <v>2141</v>
      </c>
      <c r="F7" s="21" t="s">
        <v>4511</v>
      </c>
      <c r="H7" s="21" t="s">
        <v>4872</v>
      </c>
      <c r="I7" s="21" t="s">
        <v>2631</v>
      </c>
      <c r="J7" s="21" t="s">
        <v>4539</v>
      </c>
      <c r="K7" s="21" t="s">
        <v>1899</v>
      </c>
      <c r="L7" s="21" t="s">
        <v>3251</v>
      </c>
      <c r="M7" s="21" t="s">
        <v>2667</v>
      </c>
      <c r="N7" s="21" t="s">
        <v>4047</v>
      </c>
      <c r="O7" s="21" t="s">
        <v>1942</v>
      </c>
      <c r="P7" s="21" t="s">
        <v>2296</v>
      </c>
      <c r="Q7" s="21" t="s">
        <v>5387</v>
      </c>
      <c r="R7" s="21" t="s">
        <v>3012</v>
      </c>
      <c r="S7" s="21" t="s">
        <v>1623</v>
      </c>
      <c r="T7" s="21" t="s">
        <v>4343</v>
      </c>
      <c r="U7" s="21" t="s">
        <v>2067</v>
      </c>
      <c r="V7" s="21" t="s">
        <v>4301</v>
      </c>
      <c r="W7" s="21" t="s">
        <v>1578</v>
      </c>
      <c r="X7" s="21" t="s">
        <v>1382</v>
      </c>
      <c r="Y7" s="21" t="s">
        <v>4865</v>
      </c>
      <c r="Z7" s="21" t="s">
        <v>1605</v>
      </c>
      <c r="AA7" s="21" t="s">
        <v>4789</v>
      </c>
    </row>
    <row r="8" spans="1:27" x14ac:dyDescent="0.25">
      <c r="A8" s="21" t="s">
        <v>4746</v>
      </c>
      <c r="B8" s="21" t="s">
        <v>4578</v>
      </c>
      <c r="C8" s="21" t="s">
        <v>4199</v>
      </c>
      <c r="D8" s="21" t="s">
        <v>4275</v>
      </c>
      <c r="E8" s="21" t="s">
        <v>4193</v>
      </c>
      <c r="F8" s="21" t="s">
        <v>5009</v>
      </c>
      <c r="H8" s="21" t="s">
        <v>1072</v>
      </c>
      <c r="I8" s="21" t="s">
        <v>2670</v>
      </c>
      <c r="J8" s="21" t="s">
        <v>4661</v>
      </c>
      <c r="K8" s="21" t="s">
        <v>2808</v>
      </c>
      <c r="L8" s="21" t="s">
        <v>3270</v>
      </c>
      <c r="M8" s="21" t="s">
        <v>5441</v>
      </c>
      <c r="N8" s="21" t="s">
        <v>4535</v>
      </c>
      <c r="O8" s="21" t="s">
        <v>2124</v>
      </c>
      <c r="P8" s="21" t="s">
        <v>2087</v>
      </c>
      <c r="Q8" s="21" t="s">
        <v>4498</v>
      </c>
      <c r="R8" s="21" t="s">
        <v>2986</v>
      </c>
      <c r="S8" s="21" t="s">
        <v>3208</v>
      </c>
      <c r="T8" s="21" t="s">
        <v>3986</v>
      </c>
      <c r="U8" s="21" t="s">
        <v>2225</v>
      </c>
      <c r="V8" s="21" t="s">
        <v>4027</v>
      </c>
      <c r="W8" s="21" t="s">
        <v>1468</v>
      </c>
      <c r="X8" s="21" t="s">
        <v>993</v>
      </c>
      <c r="Y8" s="21" t="s">
        <v>5180</v>
      </c>
      <c r="Z8" s="21" t="s">
        <v>905</v>
      </c>
      <c r="AA8" s="21" t="s">
        <v>4796</v>
      </c>
    </row>
    <row r="9" spans="1:27" x14ac:dyDescent="0.25">
      <c r="A9" s="21" t="s">
        <v>4142</v>
      </c>
      <c r="B9" s="21" t="s">
        <v>28</v>
      </c>
      <c r="C9" s="21" t="s">
        <v>4195</v>
      </c>
      <c r="D9" s="21" t="s">
        <v>4256</v>
      </c>
      <c r="E9" s="21" t="s">
        <v>1641</v>
      </c>
      <c r="F9" s="21" t="s">
        <v>5129</v>
      </c>
      <c r="H9" s="21" t="s">
        <v>3132</v>
      </c>
      <c r="I9" s="21" t="s">
        <v>2706</v>
      </c>
      <c r="J9" s="21" t="s">
        <v>4460</v>
      </c>
      <c r="K9" s="21" t="s">
        <v>2152</v>
      </c>
      <c r="L9" s="21" t="s">
        <v>3751</v>
      </c>
      <c r="M9" s="21" t="s">
        <v>2201</v>
      </c>
      <c r="N9" s="21" t="s">
        <v>4381</v>
      </c>
      <c r="O9" s="21" t="s">
        <v>4852</v>
      </c>
      <c r="P9" s="21" t="s">
        <v>4835</v>
      </c>
      <c r="Q9" s="21" t="s">
        <v>5336</v>
      </c>
      <c r="R9" s="21" t="s">
        <v>3411</v>
      </c>
      <c r="S9" s="21" t="s">
        <v>3497</v>
      </c>
      <c r="T9" s="21" t="s">
        <v>4039</v>
      </c>
      <c r="U9" s="21" t="s">
        <v>4691</v>
      </c>
      <c r="V9" s="21" t="s">
        <v>4026</v>
      </c>
      <c r="W9" s="21" t="s">
        <v>1146</v>
      </c>
      <c r="X9" s="21" t="s">
        <v>1048</v>
      </c>
      <c r="Y9" s="21" t="s">
        <v>4875</v>
      </c>
      <c r="Z9" s="21" t="s">
        <v>3375</v>
      </c>
      <c r="AA9" s="21" t="s">
        <v>4245</v>
      </c>
    </row>
    <row r="10" spans="1:27" x14ac:dyDescent="0.25">
      <c r="A10" s="21" t="s">
        <v>5126</v>
      </c>
      <c r="B10" s="21" t="s">
        <v>5154</v>
      </c>
      <c r="C10" s="21" t="s">
        <v>5031</v>
      </c>
      <c r="D10" s="21" t="s">
        <v>4280</v>
      </c>
      <c r="E10" s="21" t="s">
        <v>1998</v>
      </c>
      <c r="F10" s="21" t="s">
        <v>4122</v>
      </c>
      <c r="H10" s="21" t="s">
        <v>1637</v>
      </c>
      <c r="I10" s="21" t="s">
        <v>2669</v>
      </c>
      <c r="J10" s="21" t="s">
        <v>4799</v>
      </c>
      <c r="K10" s="21" t="s">
        <v>1731</v>
      </c>
      <c r="L10" s="21" t="s">
        <v>2215</v>
      </c>
      <c r="M10" s="21" t="s">
        <v>4821</v>
      </c>
      <c r="N10" s="21" t="s">
        <v>3932</v>
      </c>
      <c r="O10" s="21" t="s">
        <v>911</v>
      </c>
      <c r="P10" s="21" t="s">
        <v>2194</v>
      </c>
      <c r="Q10" s="21" t="s">
        <v>4528</v>
      </c>
      <c r="R10" s="21" t="s">
        <v>3406</v>
      </c>
      <c r="S10" s="21" t="s">
        <v>3238</v>
      </c>
      <c r="T10" s="21" t="s">
        <v>4356</v>
      </c>
      <c r="U10" s="21" t="s">
        <v>4803</v>
      </c>
      <c r="V10" s="21" t="s">
        <v>4020</v>
      </c>
      <c r="W10" s="21" t="s">
        <v>1410</v>
      </c>
      <c r="X10" s="21" t="s">
        <v>956</v>
      </c>
      <c r="Y10" s="21" t="s">
        <v>2307</v>
      </c>
      <c r="Z10" s="21" t="s">
        <v>1587</v>
      </c>
      <c r="AA10" s="21" t="s">
        <v>4686</v>
      </c>
    </row>
    <row r="11" spans="1:27" x14ac:dyDescent="0.25">
      <c r="A11" s="21" t="s">
        <v>4379</v>
      </c>
      <c r="B11" s="21" t="s">
        <v>5229</v>
      </c>
      <c r="C11" s="21" t="s">
        <v>4293</v>
      </c>
      <c r="D11" s="21" t="s">
        <v>4489</v>
      </c>
      <c r="E11" s="21" t="s">
        <v>1771</v>
      </c>
      <c r="F11" s="21" t="s">
        <v>4396</v>
      </c>
      <c r="H11" s="21" t="s">
        <v>5921</v>
      </c>
      <c r="I11" s="21" t="s">
        <v>2455</v>
      </c>
      <c r="J11" s="21" t="s">
        <v>4007</v>
      </c>
      <c r="K11" s="21" t="s">
        <v>2674</v>
      </c>
      <c r="L11" s="21" t="s">
        <v>3320</v>
      </c>
      <c r="M11" s="21" t="s">
        <v>5489</v>
      </c>
      <c r="N11" s="21" t="s">
        <v>3941</v>
      </c>
      <c r="O11" s="21" t="s">
        <v>3483</v>
      </c>
      <c r="P11" s="21" t="s">
        <v>5145</v>
      </c>
      <c r="Q11" s="21" t="s">
        <v>4514</v>
      </c>
      <c r="R11" s="21" t="s">
        <v>3608</v>
      </c>
      <c r="S11" s="21" t="s">
        <v>360</v>
      </c>
      <c r="T11" s="21" t="s">
        <v>5133</v>
      </c>
      <c r="U11" s="21" t="s">
        <v>5324</v>
      </c>
      <c r="V11" s="21" t="s">
        <v>1695</v>
      </c>
      <c r="W11" s="21" t="s">
        <v>1383</v>
      </c>
      <c r="X11" s="21" t="s">
        <v>1455</v>
      </c>
      <c r="Y11" s="21" t="s">
        <v>5175</v>
      </c>
      <c r="Z11" s="21" t="s">
        <v>3367</v>
      </c>
      <c r="AA11" s="21" t="s">
        <v>5081</v>
      </c>
    </row>
    <row r="12" spans="1:27" x14ac:dyDescent="0.25">
      <c r="A12" s="21" t="s">
        <v>4223</v>
      </c>
      <c r="B12" s="21" t="s">
        <v>5241</v>
      </c>
      <c r="C12" s="21" t="s">
        <v>4076</v>
      </c>
      <c r="D12" s="21" t="s">
        <v>4276</v>
      </c>
      <c r="E12" s="21" t="s">
        <v>2051</v>
      </c>
      <c r="F12" s="21" t="s">
        <v>4184</v>
      </c>
      <c r="H12" s="21" t="s">
        <v>4889</v>
      </c>
      <c r="I12" s="21" t="s">
        <v>2193</v>
      </c>
      <c r="J12" s="21" t="s">
        <v>4265</v>
      </c>
      <c r="K12" s="21" t="s">
        <v>4900</v>
      </c>
      <c r="L12" s="21" t="s">
        <v>2164</v>
      </c>
      <c r="M12" s="21" t="s">
        <v>2763</v>
      </c>
      <c r="N12" s="21" t="s">
        <v>4192</v>
      </c>
      <c r="O12" s="21" t="s">
        <v>4964</v>
      </c>
      <c r="P12" s="21" t="s">
        <v>2195</v>
      </c>
      <c r="Q12" s="21" t="s">
        <v>5470</v>
      </c>
      <c r="R12" s="21" t="s">
        <v>3043</v>
      </c>
      <c r="S12" s="21" t="s">
        <v>3191</v>
      </c>
      <c r="T12" s="21" t="s">
        <v>4078</v>
      </c>
      <c r="U12" s="21" t="s">
        <v>4268</v>
      </c>
      <c r="V12" s="21" t="s">
        <v>1805</v>
      </c>
      <c r="W12" s="21" t="s">
        <v>1055</v>
      </c>
      <c r="X12" s="21" t="s">
        <v>1072</v>
      </c>
      <c r="Y12" s="21" t="s">
        <v>5214</v>
      </c>
      <c r="Z12" s="21" t="s">
        <v>2665</v>
      </c>
      <c r="AA12" s="21" t="s">
        <v>4963</v>
      </c>
    </row>
    <row r="13" spans="1:27" x14ac:dyDescent="0.25">
      <c r="A13" s="21" t="s">
        <v>5084</v>
      </c>
      <c r="B13" s="21" t="s">
        <v>2390</v>
      </c>
      <c r="C13" s="21" t="s">
        <v>5092</v>
      </c>
      <c r="D13" s="21" t="s">
        <v>4254</v>
      </c>
      <c r="E13" s="21" t="s">
        <v>1875</v>
      </c>
      <c r="F13" s="21" t="s">
        <v>3945</v>
      </c>
      <c r="H13" s="21" t="s">
        <v>1688</v>
      </c>
      <c r="I13" s="21" t="s">
        <v>2083</v>
      </c>
      <c r="J13" s="21" t="s">
        <v>4423</v>
      </c>
      <c r="K13" s="21" t="s">
        <v>403</v>
      </c>
      <c r="L13" s="21" t="s">
        <v>3374</v>
      </c>
      <c r="M13" s="21" t="s">
        <v>5411</v>
      </c>
      <c r="N13" s="21" t="s">
        <v>3988</v>
      </c>
      <c r="O13" s="21" t="s">
        <v>2110</v>
      </c>
      <c r="P13" s="21" t="s">
        <v>3948</v>
      </c>
      <c r="Q13" s="21" t="s">
        <v>5118</v>
      </c>
      <c r="R13" s="21" t="s">
        <v>1491</v>
      </c>
      <c r="S13" s="21" t="s">
        <v>1622</v>
      </c>
      <c r="T13" s="21" t="s">
        <v>3913</v>
      </c>
      <c r="U13" s="21" t="s">
        <v>4556</v>
      </c>
      <c r="V13" s="21" t="s">
        <v>3980</v>
      </c>
      <c r="W13" s="21" t="s">
        <v>1034</v>
      </c>
      <c r="X13" s="21" t="s">
        <v>1026</v>
      </c>
      <c r="Y13" s="21" t="s">
        <v>2327</v>
      </c>
      <c r="Z13" s="21" t="s">
        <v>3723</v>
      </c>
      <c r="AA13" s="21" t="s">
        <v>4798</v>
      </c>
    </row>
    <row r="14" spans="1:27" x14ac:dyDescent="0.25">
      <c r="A14" s="21" t="s">
        <v>4618</v>
      </c>
      <c r="B14" s="21" t="s">
        <v>2426</v>
      </c>
      <c r="C14" s="21" t="s">
        <v>4716</v>
      </c>
      <c r="D14" s="21" t="s">
        <v>4266</v>
      </c>
      <c r="E14" s="21" t="s">
        <v>2294</v>
      </c>
      <c r="F14" s="21" t="s">
        <v>4129</v>
      </c>
      <c r="H14" s="21" t="s">
        <v>419</v>
      </c>
      <c r="I14" s="21" t="s">
        <v>2403</v>
      </c>
      <c r="J14" s="21" t="s">
        <v>5099</v>
      </c>
      <c r="K14" s="21" t="s">
        <v>404</v>
      </c>
      <c r="L14" s="21" t="s">
        <v>5922</v>
      </c>
      <c r="M14" s="21" t="s">
        <v>5457</v>
      </c>
      <c r="N14" s="21" t="s">
        <v>4189</v>
      </c>
      <c r="O14" s="21" t="s">
        <v>1777</v>
      </c>
      <c r="P14" s="21" t="s">
        <v>2454</v>
      </c>
      <c r="Q14" s="21" t="s">
        <v>5381</v>
      </c>
      <c r="R14" s="21" t="s">
        <v>2969</v>
      </c>
      <c r="S14" s="21" t="s">
        <v>327</v>
      </c>
      <c r="T14" s="21" t="s">
        <v>4314</v>
      </c>
      <c r="U14" s="21" t="s">
        <v>4270</v>
      </c>
      <c r="V14" s="21" t="s">
        <v>4014</v>
      </c>
      <c r="W14" s="21" t="s">
        <v>1135</v>
      </c>
      <c r="X14" s="21" t="s">
        <v>1295</v>
      </c>
      <c r="Y14" s="21" t="s">
        <v>3339</v>
      </c>
      <c r="Z14" s="21" t="s">
        <v>1383</v>
      </c>
      <c r="AA14" s="21" t="s">
        <v>4412</v>
      </c>
    </row>
    <row r="15" spans="1:27" x14ac:dyDescent="0.25">
      <c r="A15" s="21" t="s">
        <v>4637</v>
      </c>
      <c r="B15" s="21" t="s">
        <v>828</v>
      </c>
      <c r="C15" s="21" t="s">
        <v>4981</v>
      </c>
      <c r="D15" s="21" t="s">
        <v>5030</v>
      </c>
      <c r="E15" s="21" t="s">
        <v>2291</v>
      </c>
      <c r="F15" s="21" t="s">
        <v>4210</v>
      </c>
      <c r="H15" s="21" t="s">
        <v>3190</v>
      </c>
      <c r="I15" s="21" t="s">
        <v>2701</v>
      </c>
      <c r="J15" s="21" t="s">
        <v>3882</v>
      </c>
      <c r="K15" s="21" t="s">
        <v>863</v>
      </c>
      <c r="L15" s="21" t="s">
        <v>3185</v>
      </c>
      <c r="M15" s="21" t="s">
        <v>5246</v>
      </c>
      <c r="N15" s="21" t="s">
        <v>4179</v>
      </c>
      <c r="O15" s="21" t="s">
        <v>2163</v>
      </c>
      <c r="P15" s="21" t="s">
        <v>2223</v>
      </c>
      <c r="Q15" s="21" t="s">
        <v>5348</v>
      </c>
      <c r="R15" s="21" t="s">
        <v>3445</v>
      </c>
      <c r="S15" s="21" t="s">
        <v>3345</v>
      </c>
      <c r="T15" s="21" t="s">
        <v>3911</v>
      </c>
      <c r="U15" s="21" t="s">
        <v>4262</v>
      </c>
      <c r="V15" s="21" t="s">
        <v>3991</v>
      </c>
      <c r="W15" s="21" t="s">
        <v>1427</v>
      </c>
      <c r="X15" s="21" t="s">
        <v>928</v>
      </c>
      <c r="Y15" s="21" t="s">
        <v>5176</v>
      </c>
      <c r="Z15" s="21" t="s">
        <v>858</v>
      </c>
      <c r="AA15" s="21" t="s">
        <v>4612</v>
      </c>
    </row>
    <row r="16" spans="1:27" x14ac:dyDescent="0.25">
      <c r="A16" s="21" t="s">
        <v>4017</v>
      </c>
      <c r="B16" s="21" t="s">
        <v>551</v>
      </c>
      <c r="C16" s="21" t="s">
        <v>4071</v>
      </c>
      <c r="D16" s="21" t="s">
        <v>4279</v>
      </c>
      <c r="E16" s="21" t="s">
        <v>5050</v>
      </c>
      <c r="F16" s="21" t="s">
        <v>4506</v>
      </c>
      <c r="H16" s="21" t="s">
        <v>3271</v>
      </c>
      <c r="I16" s="21" t="s">
        <v>2800</v>
      </c>
      <c r="J16" s="21" t="s">
        <v>4412</v>
      </c>
      <c r="K16" s="21" t="s">
        <v>3447</v>
      </c>
      <c r="L16" s="21" t="s">
        <v>3370</v>
      </c>
      <c r="M16" s="21" t="s">
        <v>5434</v>
      </c>
      <c r="N16" s="21" t="s">
        <v>3955</v>
      </c>
      <c r="O16" s="21" t="s">
        <v>1999</v>
      </c>
      <c r="P16" s="21" t="s">
        <v>2241</v>
      </c>
      <c r="Q16" s="21" t="s">
        <v>5429</v>
      </c>
      <c r="R16" s="21" t="s">
        <v>3168</v>
      </c>
      <c r="S16" s="21" t="s">
        <v>2942</v>
      </c>
      <c r="T16" s="21" t="s">
        <v>2115</v>
      </c>
      <c r="U16" s="21" t="s">
        <v>2220</v>
      </c>
      <c r="V16" s="21" t="s">
        <v>1710</v>
      </c>
      <c r="W16" s="21" t="s">
        <v>1008</v>
      </c>
      <c r="X16" s="21" t="s">
        <v>411</v>
      </c>
      <c r="Y16" s="21" t="s">
        <v>4901</v>
      </c>
      <c r="Z16" s="21" t="s">
        <v>2822</v>
      </c>
      <c r="AA16" s="21" t="s">
        <v>4228</v>
      </c>
    </row>
    <row r="17" spans="1:27" x14ac:dyDescent="0.25">
      <c r="A17" s="21" t="s">
        <v>4594</v>
      </c>
      <c r="B17" s="21" t="s">
        <v>2181</v>
      </c>
      <c r="C17" s="21" t="s">
        <v>4214</v>
      </c>
      <c r="D17" s="21" t="s">
        <v>4010</v>
      </c>
      <c r="E17" s="21" t="s">
        <v>5401</v>
      </c>
      <c r="F17" s="21" t="s">
        <v>2037</v>
      </c>
      <c r="H17" s="21" t="s">
        <v>2971</v>
      </c>
      <c r="I17" s="21" t="s">
        <v>2520</v>
      </c>
      <c r="J17" s="21" t="s">
        <v>4170</v>
      </c>
      <c r="K17" s="21" t="s">
        <v>405</v>
      </c>
      <c r="L17" s="21" t="s">
        <v>1843</v>
      </c>
      <c r="M17" s="21" t="s">
        <v>5498</v>
      </c>
      <c r="N17" s="21" t="s">
        <v>4036</v>
      </c>
      <c r="O17" s="21" t="s">
        <v>2091</v>
      </c>
      <c r="P17" s="21" t="s">
        <v>5155</v>
      </c>
      <c r="Q17" s="21" t="s">
        <v>5134</v>
      </c>
      <c r="R17" s="21" t="s">
        <v>3100</v>
      </c>
      <c r="S17" s="21" t="s">
        <v>625</v>
      </c>
      <c r="T17" s="21" t="s">
        <v>4924</v>
      </c>
      <c r="U17" s="21" t="s">
        <v>4267</v>
      </c>
      <c r="W17" s="21" t="s">
        <v>1275</v>
      </c>
      <c r="X17" s="21" t="s">
        <v>1199</v>
      </c>
      <c r="Y17" s="21" t="s">
        <v>2328</v>
      </c>
      <c r="Z17" s="21" t="s">
        <v>3328</v>
      </c>
      <c r="AA17" s="21" t="s">
        <v>4426</v>
      </c>
    </row>
    <row r="18" spans="1:27" x14ac:dyDescent="0.25">
      <c r="A18" s="21" t="s">
        <v>4348</v>
      </c>
      <c r="B18" s="21" t="s">
        <v>2392</v>
      </c>
      <c r="C18" s="21" t="s">
        <v>4294</v>
      </c>
      <c r="E18" s="21" t="s">
        <v>3322</v>
      </c>
      <c r="F18" s="21" t="s">
        <v>4205</v>
      </c>
      <c r="H18" s="21" t="s">
        <v>1691</v>
      </c>
      <c r="I18" s="21" t="s">
        <v>2144</v>
      </c>
      <c r="J18" s="21" t="s">
        <v>4208</v>
      </c>
      <c r="K18" s="21" t="s">
        <v>406</v>
      </c>
      <c r="L18" s="21" t="s">
        <v>3732</v>
      </c>
      <c r="M18" s="21" t="s">
        <v>5492</v>
      </c>
      <c r="N18" s="21" t="s">
        <v>5046</v>
      </c>
      <c r="O18" s="21" t="s">
        <v>2048</v>
      </c>
      <c r="P18" s="21" t="s">
        <v>4935</v>
      </c>
      <c r="Q18" s="21" t="s">
        <v>3871</v>
      </c>
      <c r="R18" s="21" t="s">
        <v>1449</v>
      </c>
      <c r="S18" s="21" t="s">
        <v>2925</v>
      </c>
      <c r="T18" s="21" t="s">
        <v>3951</v>
      </c>
      <c r="U18" s="21" t="s">
        <v>5486</v>
      </c>
      <c r="W18" s="21" t="s">
        <v>1002</v>
      </c>
      <c r="X18" s="21" t="s">
        <v>571</v>
      </c>
      <c r="Y18" s="21" t="s">
        <v>2387</v>
      </c>
      <c r="Z18" s="21" t="s">
        <v>2760</v>
      </c>
      <c r="AA18" s="21" t="s">
        <v>4645</v>
      </c>
    </row>
    <row r="19" spans="1:27" x14ac:dyDescent="0.25">
      <c r="A19" s="21" t="s">
        <v>4261</v>
      </c>
      <c r="B19" s="21" t="s">
        <v>2327</v>
      </c>
      <c r="C19" s="21" t="s">
        <v>4101</v>
      </c>
      <c r="E19" s="21" t="s">
        <v>3317</v>
      </c>
      <c r="F19" s="21" t="s">
        <v>4394</v>
      </c>
      <c r="H19" s="21" t="s">
        <v>3084</v>
      </c>
      <c r="I19" s="21" t="s">
        <v>2689</v>
      </c>
      <c r="J19" s="21" t="s">
        <v>4479</v>
      </c>
      <c r="K19" s="21" t="s">
        <v>4984</v>
      </c>
      <c r="L19" s="21" t="s">
        <v>3160</v>
      </c>
      <c r="M19" s="21" t="s">
        <v>4677</v>
      </c>
      <c r="N19" s="21" t="s">
        <v>3918</v>
      </c>
      <c r="O19" s="21" t="s">
        <v>2004</v>
      </c>
      <c r="P19" s="21" t="s">
        <v>2348</v>
      </c>
      <c r="Q19" s="21" t="s">
        <v>4065</v>
      </c>
      <c r="R19" s="21" t="s">
        <v>1773</v>
      </c>
      <c r="S19" s="21" t="s">
        <v>3007</v>
      </c>
      <c r="T19" s="21" t="s">
        <v>4127</v>
      </c>
      <c r="U19" s="21" t="s">
        <v>4584</v>
      </c>
      <c r="W19" s="21" t="s">
        <v>1009</v>
      </c>
      <c r="X19" s="21" t="s">
        <v>2884</v>
      </c>
      <c r="Y19" s="21" t="s">
        <v>5171</v>
      </c>
      <c r="Z19" s="21" t="s">
        <v>3509</v>
      </c>
      <c r="AA19" s="21" t="s">
        <v>4306</v>
      </c>
    </row>
    <row r="20" spans="1:27" x14ac:dyDescent="0.25">
      <c r="A20" s="21" t="s">
        <v>4547</v>
      </c>
      <c r="B20" s="21" t="s">
        <v>2448</v>
      </c>
      <c r="C20" s="21" t="s">
        <v>4084</v>
      </c>
      <c r="E20" s="21" t="s">
        <v>2121</v>
      </c>
      <c r="F20" s="21" t="s">
        <v>4997</v>
      </c>
      <c r="H20" s="21" t="s">
        <v>1636</v>
      </c>
      <c r="I20" s="21" t="s">
        <v>2540</v>
      </c>
      <c r="J20" s="21" t="s">
        <v>3950</v>
      </c>
      <c r="K20" s="21" t="s">
        <v>2407</v>
      </c>
      <c r="L20" s="21" t="s">
        <v>2123</v>
      </c>
      <c r="M20" s="21" t="s">
        <v>4714</v>
      </c>
      <c r="N20" s="21" t="s">
        <v>28</v>
      </c>
      <c r="O20" s="21" t="s">
        <v>3917</v>
      </c>
      <c r="P20" s="21" t="s">
        <v>2299</v>
      </c>
      <c r="Q20" s="21" t="s">
        <v>5923</v>
      </c>
      <c r="R20" s="21" t="s">
        <v>655</v>
      </c>
      <c r="S20" s="21" t="s">
        <v>3441</v>
      </c>
      <c r="T20" s="21" t="s">
        <v>1343</v>
      </c>
      <c r="U20" s="21" t="s">
        <v>5924</v>
      </c>
      <c r="W20" s="21" t="s">
        <v>1033</v>
      </c>
      <c r="X20" s="21" t="s">
        <v>1250</v>
      </c>
      <c r="Y20" s="21" t="s">
        <v>5237</v>
      </c>
      <c r="Z20" s="21" t="s">
        <v>3717</v>
      </c>
      <c r="AA20" s="21" t="s">
        <v>4687</v>
      </c>
    </row>
    <row r="21" spans="1:27" x14ac:dyDescent="0.25">
      <c r="A21" s="21" t="s">
        <v>4619</v>
      </c>
      <c r="B21" s="21" t="s">
        <v>2427</v>
      </c>
      <c r="C21" s="21" t="s">
        <v>4123</v>
      </c>
      <c r="E21" s="21" t="s">
        <v>2182</v>
      </c>
      <c r="F21" s="21" t="s">
        <v>1154</v>
      </c>
      <c r="H21" s="21" t="s">
        <v>1633</v>
      </c>
      <c r="I21" s="21" t="s">
        <v>2835</v>
      </c>
      <c r="J21" s="21" t="s">
        <v>4669</v>
      </c>
      <c r="K21" s="21" t="s">
        <v>407</v>
      </c>
      <c r="L21" s="21" t="s">
        <v>2181</v>
      </c>
      <c r="M21" s="21" t="s">
        <v>5439</v>
      </c>
      <c r="N21" s="21" t="s">
        <v>4074</v>
      </c>
      <c r="O21" s="21" t="s">
        <v>2099</v>
      </c>
      <c r="P21" s="21" t="s">
        <v>5304</v>
      </c>
      <c r="Q21" s="21" t="s">
        <v>4599</v>
      </c>
      <c r="R21" s="21" t="s">
        <v>664</v>
      </c>
      <c r="S21" s="21" t="s">
        <v>2939</v>
      </c>
      <c r="T21" s="21" t="s">
        <v>2651</v>
      </c>
      <c r="U21" s="21" t="s">
        <v>4561</v>
      </c>
      <c r="W21" s="21" t="s">
        <v>570</v>
      </c>
      <c r="X21" s="21" t="s">
        <v>936</v>
      </c>
      <c r="Y21" s="21" t="s">
        <v>2370</v>
      </c>
      <c r="Z21" s="21" t="s">
        <v>3570</v>
      </c>
      <c r="AA21" s="21" t="s">
        <v>4786</v>
      </c>
    </row>
    <row r="22" spans="1:27" x14ac:dyDescent="0.25">
      <c r="A22" s="21" t="s">
        <v>4491</v>
      </c>
      <c r="B22" s="21" t="s">
        <v>2262</v>
      </c>
      <c r="C22" s="21" t="s">
        <v>4079</v>
      </c>
      <c r="E22" s="21" t="s">
        <v>1852</v>
      </c>
      <c r="F22" s="21" t="s">
        <v>5258</v>
      </c>
      <c r="H22" s="21" t="s">
        <v>401</v>
      </c>
      <c r="I22" s="21" t="s">
        <v>2842</v>
      </c>
      <c r="J22" s="21" t="s">
        <v>4042</v>
      </c>
      <c r="K22" s="21" t="s">
        <v>408</v>
      </c>
      <c r="L22" s="21" t="s">
        <v>3116</v>
      </c>
      <c r="M22" s="21" t="s">
        <v>4787</v>
      </c>
      <c r="N22" s="21" t="s">
        <v>3998</v>
      </c>
      <c r="O22" s="21" t="s">
        <v>2115</v>
      </c>
      <c r="P22" s="21" t="s">
        <v>1806</v>
      </c>
      <c r="Q22" s="21" t="s">
        <v>5019</v>
      </c>
      <c r="R22" s="21" t="s">
        <v>594</v>
      </c>
      <c r="S22" s="21" t="s">
        <v>545</v>
      </c>
      <c r="T22" s="21" t="s">
        <v>3920</v>
      </c>
      <c r="U22" s="21" t="s">
        <v>2526</v>
      </c>
      <c r="W22" s="21" t="s">
        <v>1257</v>
      </c>
      <c r="X22" s="21" t="s">
        <v>1309</v>
      </c>
      <c r="Y22" s="21" t="s">
        <v>2300</v>
      </c>
      <c r="Z22" s="21" t="s">
        <v>3387</v>
      </c>
      <c r="AA22" s="21" t="s">
        <v>4236</v>
      </c>
    </row>
    <row r="23" spans="1:27" x14ac:dyDescent="0.25">
      <c r="A23" s="21" t="s">
        <v>4776</v>
      </c>
      <c r="B23" s="21" t="s">
        <v>5193</v>
      </c>
      <c r="C23" s="21" t="s">
        <v>4321</v>
      </c>
      <c r="E23" s="21" t="s">
        <v>2011</v>
      </c>
      <c r="F23" s="21" t="s">
        <v>5070</v>
      </c>
      <c r="H23" s="21" t="s">
        <v>3308</v>
      </c>
      <c r="I23" s="21" t="s">
        <v>2617</v>
      </c>
      <c r="J23" s="21" t="s">
        <v>3964</v>
      </c>
      <c r="K23" s="21" t="s">
        <v>762</v>
      </c>
      <c r="L23" s="21" t="s">
        <v>2860</v>
      </c>
      <c r="M23" s="21" t="s">
        <v>2226</v>
      </c>
      <c r="N23" s="21" t="s">
        <v>4233</v>
      </c>
      <c r="O23" s="21" t="s">
        <v>2126</v>
      </c>
      <c r="P23" s="21" t="s">
        <v>5190</v>
      </c>
      <c r="Q23" s="21" t="s">
        <v>4551</v>
      </c>
      <c r="R23" s="21" t="s">
        <v>1777</v>
      </c>
      <c r="S23" s="21" t="s">
        <v>2901</v>
      </c>
      <c r="T23" s="21" t="s">
        <v>4002</v>
      </c>
      <c r="U23" s="21" t="s">
        <v>4269</v>
      </c>
      <c r="W23" s="21" t="s">
        <v>1012</v>
      </c>
      <c r="X23" s="21" t="s">
        <v>296</v>
      </c>
      <c r="Y23" s="21" t="s">
        <v>5192</v>
      </c>
      <c r="Z23" s="21" t="s">
        <v>911</v>
      </c>
      <c r="AA23" s="21" t="s">
        <v>4582</v>
      </c>
    </row>
    <row r="24" spans="1:27" x14ac:dyDescent="0.25">
      <c r="B24" s="21" t="s">
        <v>4922</v>
      </c>
      <c r="C24" s="21" t="s">
        <v>4337</v>
      </c>
      <c r="E24" s="21" t="s">
        <v>5925</v>
      </c>
      <c r="F24" s="21" t="s">
        <v>5121</v>
      </c>
      <c r="H24" s="21" t="s">
        <v>2285</v>
      </c>
      <c r="I24" s="21" t="s">
        <v>5491</v>
      </c>
      <c r="J24" s="21" t="s">
        <v>4118</v>
      </c>
      <c r="K24" s="21" t="s">
        <v>755</v>
      </c>
      <c r="L24" s="21" t="s">
        <v>2212</v>
      </c>
      <c r="M24" s="21" t="s">
        <v>2217</v>
      </c>
      <c r="N24" s="21" t="s">
        <v>1843</v>
      </c>
      <c r="O24" s="21" t="s">
        <v>1857</v>
      </c>
      <c r="P24" s="21" t="s">
        <v>2259</v>
      </c>
      <c r="Q24" s="21" t="s">
        <v>4578</v>
      </c>
      <c r="R24" s="21" t="s">
        <v>339</v>
      </c>
      <c r="S24" s="21" t="s">
        <v>3055</v>
      </c>
      <c r="T24" s="21" t="s">
        <v>5352</v>
      </c>
      <c r="U24" s="21" t="s">
        <v>5097</v>
      </c>
      <c r="W24" s="21" t="s">
        <v>1120</v>
      </c>
      <c r="X24" s="21" t="s">
        <v>1220</v>
      </c>
      <c r="Y24" s="21" t="s">
        <v>5177</v>
      </c>
      <c r="Z24" s="21" t="s">
        <v>786</v>
      </c>
      <c r="AA24" s="21" t="s">
        <v>5039</v>
      </c>
    </row>
    <row r="25" spans="1:27" x14ac:dyDescent="0.25">
      <c r="B25" s="21" t="s">
        <v>4895</v>
      </c>
      <c r="C25" s="21" t="s">
        <v>3963</v>
      </c>
      <c r="E25" s="21" t="s">
        <v>2358</v>
      </c>
      <c r="F25" s="21" t="s">
        <v>4105</v>
      </c>
      <c r="H25" s="21" t="s">
        <v>3314</v>
      </c>
      <c r="I25" s="21" t="s">
        <v>2472</v>
      </c>
      <c r="J25" s="21" t="s">
        <v>4730</v>
      </c>
      <c r="K25" s="21" t="s">
        <v>409</v>
      </c>
      <c r="L25" s="21" t="s">
        <v>2750</v>
      </c>
      <c r="M25" s="21" t="s">
        <v>2214</v>
      </c>
      <c r="N25" s="21" t="s">
        <v>4023</v>
      </c>
      <c r="O25" s="21" t="s">
        <v>2071</v>
      </c>
      <c r="P25" s="21" t="s">
        <v>360</v>
      </c>
      <c r="Q25" s="21" t="s">
        <v>4415</v>
      </c>
      <c r="R25" s="21" t="s">
        <v>597</v>
      </c>
      <c r="S25" s="21" t="s">
        <v>3107</v>
      </c>
      <c r="T25" s="21" t="s">
        <v>4987</v>
      </c>
      <c r="U25" s="21" t="s">
        <v>2462</v>
      </c>
      <c r="W25" s="21" t="s">
        <v>1424</v>
      </c>
      <c r="X25" s="21" t="s">
        <v>1161</v>
      </c>
      <c r="Y25" s="21" t="s">
        <v>2378</v>
      </c>
      <c r="Z25" s="21" t="s">
        <v>3857</v>
      </c>
      <c r="AA25" s="21" t="s">
        <v>4231</v>
      </c>
    </row>
    <row r="26" spans="1:27" x14ac:dyDescent="0.25">
      <c r="B26" s="21" t="s">
        <v>5148</v>
      </c>
      <c r="C26" s="21" t="s">
        <v>4402</v>
      </c>
      <c r="E26" s="21" t="s">
        <v>2055</v>
      </c>
      <c r="F26" s="21" t="s">
        <v>1944</v>
      </c>
      <c r="H26" s="21" t="s">
        <v>1735</v>
      </c>
      <c r="I26" s="21" t="s">
        <v>2614</v>
      </c>
      <c r="J26" s="21" t="s">
        <v>5087</v>
      </c>
      <c r="K26" s="21" t="s">
        <v>1822</v>
      </c>
      <c r="L26" s="21" t="s">
        <v>3465</v>
      </c>
      <c r="M26" s="21" t="s">
        <v>4696</v>
      </c>
      <c r="N26" s="21" t="s">
        <v>4156</v>
      </c>
      <c r="O26" s="21" t="s">
        <v>4842</v>
      </c>
      <c r="P26" s="21" t="s">
        <v>1843</v>
      </c>
      <c r="Q26" s="21" t="s">
        <v>5269</v>
      </c>
      <c r="R26" s="21" t="s">
        <v>3257</v>
      </c>
      <c r="S26" s="21" t="s">
        <v>3123</v>
      </c>
      <c r="T26" s="21" t="s">
        <v>3938</v>
      </c>
      <c r="U26" s="21" t="s">
        <v>5926</v>
      </c>
      <c r="W26" s="21" t="s">
        <v>938</v>
      </c>
      <c r="X26" s="21" t="s">
        <v>1154</v>
      </c>
      <c r="Y26" s="21" t="s">
        <v>4939</v>
      </c>
      <c r="Z26" s="21" t="s">
        <v>849</v>
      </c>
      <c r="AA26" s="21" t="s">
        <v>4233</v>
      </c>
    </row>
    <row r="27" spans="1:27" x14ac:dyDescent="0.25">
      <c r="B27" s="21" t="s">
        <v>2449</v>
      </c>
      <c r="C27" s="21" t="s">
        <v>2993</v>
      </c>
      <c r="E27" s="21" t="s">
        <v>4096</v>
      </c>
      <c r="F27" s="21" t="s">
        <v>4492</v>
      </c>
      <c r="H27" s="21" t="s">
        <v>1682</v>
      </c>
      <c r="I27" s="21" t="s">
        <v>2836</v>
      </c>
      <c r="J27" s="21" t="s">
        <v>4621</v>
      </c>
      <c r="K27" s="21" t="s">
        <v>325</v>
      </c>
      <c r="L27" s="21" t="s">
        <v>2871</v>
      </c>
      <c r="M27" s="21" t="s">
        <v>2375</v>
      </c>
      <c r="N27" s="21" t="s">
        <v>4636</v>
      </c>
      <c r="O27" s="21" t="s">
        <v>28</v>
      </c>
      <c r="P27" s="21" t="s">
        <v>2242</v>
      </c>
      <c r="Q27" s="21" t="s">
        <v>4633</v>
      </c>
      <c r="R27" s="21" t="s">
        <v>3081</v>
      </c>
      <c r="S27" s="21" t="s">
        <v>2979</v>
      </c>
      <c r="T27" s="21" t="s">
        <v>2010</v>
      </c>
      <c r="U27" s="21" t="s">
        <v>4735</v>
      </c>
      <c r="W27" s="21" t="s">
        <v>1210</v>
      </c>
      <c r="X27" s="21" t="s">
        <v>1249</v>
      </c>
      <c r="Y27" s="21" t="s">
        <v>5187</v>
      </c>
      <c r="Z27" s="21" t="s">
        <v>815</v>
      </c>
      <c r="AA27" s="21" t="s">
        <v>4251</v>
      </c>
    </row>
    <row r="28" spans="1:27" x14ac:dyDescent="0.25">
      <c r="B28" s="21" t="s">
        <v>2425</v>
      </c>
      <c r="C28" s="21" t="s">
        <v>5060</v>
      </c>
      <c r="E28" s="21" t="s">
        <v>1730</v>
      </c>
      <c r="F28" s="21" t="s">
        <v>2171</v>
      </c>
      <c r="H28" s="21" t="s">
        <v>2907</v>
      </c>
      <c r="I28" s="21" t="s">
        <v>5453</v>
      </c>
      <c r="J28" s="21" t="s">
        <v>3892</v>
      </c>
      <c r="K28" s="21" t="s">
        <v>731</v>
      </c>
      <c r="L28" s="21" t="s">
        <v>2174</v>
      </c>
      <c r="M28" s="21" t="s">
        <v>4281</v>
      </c>
      <c r="N28" s="21" t="s">
        <v>4044</v>
      </c>
      <c r="O28" s="21" t="s">
        <v>4317</v>
      </c>
      <c r="P28" s="21" t="s">
        <v>2651</v>
      </c>
      <c r="Q28" s="21" t="s">
        <v>5355</v>
      </c>
      <c r="R28" s="21" t="s">
        <v>3457</v>
      </c>
      <c r="S28" s="21" t="s">
        <v>346</v>
      </c>
      <c r="T28" s="21" t="s">
        <v>4351</v>
      </c>
      <c r="U28" s="21" t="s">
        <v>4451</v>
      </c>
      <c r="W28" s="21" t="s">
        <v>1301</v>
      </c>
      <c r="X28" s="21" t="s">
        <v>2896</v>
      </c>
      <c r="Y28" s="21" t="s">
        <v>4845</v>
      </c>
      <c r="Z28" s="21" t="s">
        <v>3474</v>
      </c>
      <c r="AA28" s="21" t="s">
        <v>4782</v>
      </c>
    </row>
    <row r="29" spans="1:27" x14ac:dyDescent="0.25">
      <c r="B29" s="21" t="s">
        <v>1746</v>
      </c>
      <c r="C29" s="21" t="s">
        <v>5195</v>
      </c>
      <c r="E29" s="21" t="s">
        <v>1873</v>
      </c>
      <c r="F29" s="21" t="s">
        <v>3921</v>
      </c>
      <c r="H29" s="21" t="s">
        <v>3340</v>
      </c>
      <c r="I29" s="21" t="s">
        <v>2768</v>
      </c>
      <c r="J29" s="21" t="s">
        <v>4558</v>
      </c>
      <c r="K29" s="21" t="s">
        <v>378</v>
      </c>
      <c r="L29" s="21" t="s">
        <v>5012</v>
      </c>
      <c r="M29" s="21" t="s">
        <v>4755</v>
      </c>
      <c r="N29" s="21" t="s">
        <v>4024</v>
      </c>
      <c r="O29" s="21" t="s">
        <v>4329</v>
      </c>
      <c r="P29" s="21" t="s">
        <v>2266</v>
      </c>
      <c r="Q29" s="21" t="s">
        <v>5221</v>
      </c>
      <c r="R29" s="21" t="s">
        <v>3126</v>
      </c>
      <c r="S29" s="21" t="s">
        <v>1660</v>
      </c>
      <c r="T29" s="21" t="s">
        <v>4022</v>
      </c>
      <c r="U29" s="21" t="s">
        <v>4679</v>
      </c>
      <c r="W29" s="21" t="s">
        <v>2893</v>
      </c>
      <c r="X29" s="21" t="s">
        <v>1213</v>
      </c>
      <c r="Y29" s="21" t="s">
        <v>4973</v>
      </c>
      <c r="Z29" s="21" t="s">
        <v>3483</v>
      </c>
      <c r="AA29" s="21" t="s">
        <v>4583</v>
      </c>
    </row>
    <row r="30" spans="1:27" x14ac:dyDescent="0.25">
      <c r="B30" s="21" t="s">
        <v>2386</v>
      </c>
      <c r="C30" s="21" t="s">
        <v>4110</v>
      </c>
      <c r="E30" s="21" t="s">
        <v>1957</v>
      </c>
      <c r="F30" s="21" t="s">
        <v>4146</v>
      </c>
      <c r="H30" s="21" t="s">
        <v>1744</v>
      </c>
      <c r="I30" s="21" t="s">
        <v>2652</v>
      </c>
      <c r="J30" s="21" t="s">
        <v>5202</v>
      </c>
      <c r="K30" s="21" t="s">
        <v>843</v>
      </c>
      <c r="L30" s="21" t="s">
        <v>3186</v>
      </c>
      <c r="M30" s="21" t="s">
        <v>5045</v>
      </c>
      <c r="N30" s="21" t="s">
        <v>4103</v>
      </c>
      <c r="O30" s="21" t="s">
        <v>5218</v>
      </c>
      <c r="P30" s="21" t="s">
        <v>4836</v>
      </c>
      <c r="Q30" s="21" t="s">
        <v>4587</v>
      </c>
      <c r="R30" s="21" t="s">
        <v>293</v>
      </c>
      <c r="S30" s="21" t="s">
        <v>304</v>
      </c>
      <c r="T30" s="21" t="s">
        <v>3926</v>
      </c>
      <c r="U30" s="21" t="s">
        <v>5927</v>
      </c>
      <c r="W30" s="21" t="s">
        <v>1488</v>
      </c>
      <c r="X30" s="21" t="s">
        <v>1247</v>
      </c>
      <c r="Y30" s="21" t="s">
        <v>5185</v>
      </c>
      <c r="Z30" s="21" t="s">
        <v>5928</v>
      </c>
      <c r="AA30" s="21" t="s">
        <v>1092</v>
      </c>
    </row>
    <row r="31" spans="1:27" x14ac:dyDescent="0.25">
      <c r="B31" s="21" t="s">
        <v>4868</v>
      </c>
      <c r="C31" s="21" t="s">
        <v>4454</v>
      </c>
      <c r="E31" s="21" t="s">
        <v>4550</v>
      </c>
      <c r="F31" s="21" t="s">
        <v>5037</v>
      </c>
      <c r="H31" s="21" t="s">
        <v>3241</v>
      </c>
      <c r="I31" s="21" t="s">
        <v>5495</v>
      </c>
      <c r="J31" s="21" t="s">
        <v>5047</v>
      </c>
      <c r="K31" s="21" t="s">
        <v>410</v>
      </c>
      <c r="L31" s="21" t="s">
        <v>3305</v>
      </c>
      <c r="M31" s="21" t="s">
        <v>4756</v>
      </c>
      <c r="N31" s="21" t="s">
        <v>3867</v>
      </c>
      <c r="O31" s="21" t="s">
        <v>2057</v>
      </c>
      <c r="P31" s="21" t="s">
        <v>2676</v>
      </c>
      <c r="Q31" s="21" t="s">
        <v>3524</v>
      </c>
      <c r="R31" s="21" t="s">
        <v>2164</v>
      </c>
      <c r="S31" s="21" t="s">
        <v>2914</v>
      </c>
      <c r="T31" s="21" t="s">
        <v>4140</v>
      </c>
      <c r="U31" s="21" t="s">
        <v>4446</v>
      </c>
      <c r="W31" s="21" t="s">
        <v>1583</v>
      </c>
      <c r="X31" s="21" t="s">
        <v>2967</v>
      </c>
      <c r="Y31" s="21" t="s">
        <v>5929</v>
      </c>
      <c r="Z31" s="21" t="s">
        <v>1613</v>
      </c>
      <c r="AA31" s="21" t="s">
        <v>4357</v>
      </c>
    </row>
    <row r="32" spans="1:27" x14ac:dyDescent="0.25">
      <c r="B32" s="21" t="s">
        <v>5205</v>
      </c>
      <c r="C32" s="21" t="s">
        <v>3422</v>
      </c>
      <c r="E32" s="21" t="s">
        <v>2019</v>
      </c>
      <c r="F32" s="21" t="s">
        <v>5298</v>
      </c>
      <c r="H32" s="21" t="s">
        <v>1639</v>
      </c>
      <c r="I32" s="21" t="s">
        <v>2326</v>
      </c>
      <c r="J32" s="21" t="s">
        <v>4104</v>
      </c>
      <c r="K32" s="21" t="s">
        <v>1871</v>
      </c>
      <c r="L32" s="21" t="s">
        <v>3014</v>
      </c>
      <c r="M32" s="21" t="s">
        <v>4457</v>
      </c>
      <c r="N32" s="21" t="s">
        <v>4062</v>
      </c>
      <c r="O32" s="21" t="s">
        <v>1343</v>
      </c>
      <c r="P32" s="21" t="s">
        <v>5167</v>
      </c>
      <c r="Q32" s="21" t="s">
        <v>1343</v>
      </c>
      <c r="R32" s="21" t="s">
        <v>2978</v>
      </c>
      <c r="S32" s="21" t="s">
        <v>3051</v>
      </c>
      <c r="T32" s="21" t="s">
        <v>2052</v>
      </c>
      <c r="U32" s="21" t="s">
        <v>2524</v>
      </c>
      <c r="W32" s="21" t="s">
        <v>1086</v>
      </c>
      <c r="X32" s="21" t="s">
        <v>5930</v>
      </c>
      <c r="Y32" s="21" t="s">
        <v>5199</v>
      </c>
      <c r="Z32" s="21" t="s">
        <v>885</v>
      </c>
      <c r="AA32" s="21" t="s">
        <v>4825</v>
      </c>
    </row>
    <row r="33" spans="2:27" x14ac:dyDescent="0.25">
      <c r="B33" s="21" t="s">
        <v>5233</v>
      </c>
      <c r="C33" s="21" t="s">
        <v>3431</v>
      </c>
      <c r="E33" s="21" t="s">
        <v>3351</v>
      </c>
      <c r="F33" s="21" t="s">
        <v>4165</v>
      </c>
      <c r="H33" s="21" t="s">
        <v>3304</v>
      </c>
      <c r="I33" s="21" t="s">
        <v>2533</v>
      </c>
      <c r="J33" s="21" t="s">
        <v>4678</v>
      </c>
      <c r="K33" s="21" t="s">
        <v>411</v>
      </c>
      <c r="L33" s="21" t="s">
        <v>3335</v>
      </c>
      <c r="M33" s="21" t="s">
        <v>4703</v>
      </c>
      <c r="N33" s="21" t="s">
        <v>4013</v>
      </c>
      <c r="O33" s="21" t="s">
        <v>423</v>
      </c>
      <c r="P33" s="21" t="s">
        <v>5062</v>
      </c>
      <c r="Q33" s="21" t="s">
        <v>4501</v>
      </c>
      <c r="R33" s="21" t="s">
        <v>3435</v>
      </c>
      <c r="S33" s="21" t="s">
        <v>3097</v>
      </c>
      <c r="T33" s="21" t="s">
        <v>4377</v>
      </c>
      <c r="U33" s="21" t="s">
        <v>4540</v>
      </c>
      <c r="W33" s="21" t="s">
        <v>1328</v>
      </c>
      <c r="X33" s="21" t="s">
        <v>1208</v>
      </c>
      <c r="Y33" s="21" t="s">
        <v>4869</v>
      </c>
      <c r="Z33" s="21" t="s">
        <v>3549</v>
      </c>
      <c r="AA33" s="21" t="s">
        <v>4763</v>
      </c>
    </row>
    <row r="34" spans="2:27" x14ac:dyDescent="0.25">
      <c r="B34" s="21" t="s">
        <v>2396</v>
      </c>
      <c r="C34" s="21" t="s">
        <v>4045</v>
      </c>
      <c r="E34" s="21" t="s">
        <v>5409</v>
      </c>
      <c r="F34" s="21" t="s">
        <v>5071</v>
      </c>
      <c r="H34" s="21" t="s">
        <v>1775</v>
      </c>
      <c r="I34" s="21" t="s">
        <v>5480</v>
      </c>
      <c r="J34" s="21" t="s">
        <v>4041</v>
      </c>
      <c r="K34" s="21" t="s">
        <v>1669</v>
      </c>
      <c r="L34" s="21" t="s">
        <v>2895</v>
      </c>
      <c r="M34" s="21" t="s">
        <v>4671</v>
      </c>
      <c r="N34" s="21" t="s">
        <v>4153</v>
      </c>
      <c r="O34" s="21" t="s">
        <v>2402</v>
      </c>
      <c r="P34" s="21" t="s">
        <v>1092</v>
      </c>
      <c r="Q34" s="21" t="s">
        <v>5476</v>
      </c>
      <c r="R34" s="21" t="s">
        <v>1195</v>
      </c>
      <c r="S34" s="21" t="s">
        <v>3140</v>
      </c>
      <c r="T34" s="21" t="s">
        <v>4364</v>
      </c>
      <c r="U34" s="21" t="s">
        <v>5307</v>
      </c>
      <c r="W34" s="21" t="s">
        <v>1545</v>
      </c>
      <c r="X34" s="21" t="s">
        <v>1194</v>
      </c>
      <c r="Y34" s="21" t="s">
        <v>5159</v>
      </c>
      <c r="Z34" s="21" t="s">
        <v>728</v>
      </c>
      <c r="AA34" s="21" t="s">
        <v>4602</v>
      </c>
    </row>
    <row r="35" spans="2:27" x14ac:dyDescent="0.25">
      <c r="B35" s="21" t="s">
        <v>2422</v>
      </c>
      <c r="C35" s="21" t="s">
        <v>4067</v>
      </c>
      <c r="E35" s="21" t="s">
        <v>650</v>
      </c>
      <c r="F35" s="21" t="s">
        <v>4219</v>
      </c>
      <c r="H35" s="21" t="s">
        <v>3287</v>
      </c>
      <c r="I35" s="21" t="s">
        <v>3180</v>
      </c>
      <c r="J35" s="21" t="s">
        <v>360</v>
      </c>
      <c r="K35" s="21" t="s">
        <v>3117</v>
      </c>
      <c r="L35" s="21" t="s">
        <v>3164</v>
      </c>
      <c r="M35" s="21" t="s">
        <v>2879</v>
      </c>
      <c r="N35" s="21" t="s">
        <v>3131</v>
      </c>
      <c r="O35" s="21" t="s">
        <v>2847</v>
      </c>
      <c r="P35" s="21" t="s">
        <v>243</v>
      </c>
      <c r="Q35" s="21" t="s">
        <v>4593</v>
      </c>
      <c r="R35" s="21" t="s">
        <v>5931</v>
      </c>
      <c r="S35" s="21" t="s">
        <v>654</v>
      </c>
      <c r="T35" s="21" t="s">
        <v>4387</v>
      </c>
      <c r="U35" s="21" t="s">
        <v>5064</v>
      </c>
      <c r="W35" s="21" t="s">
        <v>964</v>
      </c>
      <c r="X35" s="21" t="s">
        <v>2915</v>
      </c>
      <c r="Y35" s="21" t="s">
        <v>5198</v>
      </c>
      <c r="Z35" s="21" t="s">
        <v>3687</v>
      </c>
      <c r="AA35" s="21" t="s">
        <v>4610</v>
      </c>
    </row>
    <row r="36" spans="2:27" x14ac:dyDescent="0.25">
      <c r="B36" s="21" t="s">
        <v>5201</v>
      </c>
      <c r="C36" s="21" t="s">
        <v>4523</v>
      </c>
      <c r="E36" s="21" t="s">
        <v>2130</v>
      </c>
      <c r="F36" s="21" t="s">
        <v>4212</v>
      </c>
      <c r="H36" s="21" t="s">
        <v>2366</v>
      </c>
      <c r="I36" s="21" t="s">
        <v>2582</v>
      </c>
      <c r="J36" s="21" t="s">
        <v>4202</v>
      </c>
      <c r="K36" s="21" t="s">
        <v>2660</v>
      </c>
      <c r="L36" s="21" t="s">
        <v>2178</v>
      </c>
      <c r="M36" s="21" t="s">
        <v>4715</v>
      </c>
      <c r="N36" s="21" t="s">
        <v>4112</v>
      </c>
      <c r="O36" s="21" t="s">
        <v>2100</v>
      </c>
      <c r="P36" s="21" t="s">
        <v>1823</v>
      </c>
      <c r="Q36" s="21" t="s">
        <v>4658</v>
      </c>
      <c r="R36" s="21" t="s">
        <v>1620</v>
      </c>
      <c r="S36" s="21" t="s">
        <v>2977</v>
      </c>
      <c r="T36" s="21" t="s">
        <v>4417</v>
      </c>
      <c r="U36" s="21" t="s">
        <v>4754</v>
      </c>
      <c r="W36" s="21" t="s">
        <v>3421</v>
      </c>
      <c r="X36" s="21" t="s">
        <v>1549</v>
      </c>
      <c r="Y36" s="21" t="s">
        <v>2322</v>
      </c>
      <c r="Z36" s="21" t="s">
        <v>787</v>
      </c>
      <c r="AA36" s="21" t="s">
        <v>1511</v>
      </c>
    </row>
    <row r="37" spans="2:27" x14ac:dyDescent="0.25">
      <c r="B37" s="21" t="s">
        <v>2430</v>
      </c>
      <c r="C37" s="21" t="s">
        <v>4093</v>
      </c>
      <c r="E37" s="21" t="s">
        <v>2352</v>
      </c>
      <c r="F37" s="21" t="s">
        <v>2142</v>
      </c>
      <c r="H37" s="21" t="s">
        <v>1699</v>
      </c>
      <c r="I37" s="21" t="s">
        <v>4288</v>
      </c>
      <c r="J37" s="21" t="s">
        <v>4626</v>
      </c>
      <c r="K37" s="21" t="s">
        <v>412</v>
      </c>
      <c r="L37" s="21" t="s">
        <v>3096</v>
      </c>
      <c r="M37" s="21" t="s">
        <v>5932</v>
      </c>
      <c r="N37" s="21" t="s">
        <v>4154</v>
      </c>
      <c r="O37" s="21" t="s">
        <v>4318</v>
      </c>
      <c r="P37" s="21" t="s">
        <v>3106</v>
      </c>
      <c r="Q37" s="21" t="s">
        <v>4422</v>
      </c>
      <c r="R37" s="21" t="s">
        <v>637</v>
      </c>
      <c r="S37" s="21" t="s">
        <v>3099</v>
      </c>
      <c r="T37" s="21" t="s">
        <v>4408</v>
      </c>
      <c r="U37" s="21" t="s">
        <v>5103</v>
      </c>
      <c r="W37" s="21" t="s">
        <v>1572</v>
      </c>
      <c r="X37" s="21" t="s">
        <v>1217</v>
      </c>
      <c r="Y37" s="21" t="s">
        <v>4846</v>
      </c>
      <c r="Z37" s="21" t="s">
        <v>3455</v>
      </c>
      <c r="AA37" s="21" t="s">
        <v>4609</v>
      </c>
    </row>
    <row r="38" spans="2:27" x14ac:dyDescent="0.25">
      <c r="B38" s="21" t="s">
        <v>5225</v>
      </c>
      <c r="C38" s="21" t="s">
        <v>4072</v>
      </c>
      <c r="E38" s="21" t="s">
        <v>5102</v>
      </c>
      <c r="F38" s="21" t="s">
        <v>4534</v>
      </c>
      <c r="H38" s="21" t="s">
        <v>3482</v>
      </c>
      <c r="I38" s="21" t="s">
        <v>2673</v>
      </c>
      <c r="J38" s="21" t="s">
        <v>5378</v>
      </c>
      <c r="K38" s="21" t="s">
        <v>5220</v>
      </c>
      <c r="L38" s="21" t="s">
        <v>3266</v>
      </c>
      <c r="M38" s="21" t="s">
        <v>4820</v>
      </c>
      <c r="N38" s="21" t="s">
        <v>3929</v>
      </c>
      <c r="O38" s="21" t="s">
        <v>4340</v>
      </c>
      <c r="P38" s="21" t="s">
        <v>4892</v>
      </c>
      <c r="Q38" s="21" t="s">
        <v>4481</v>
      </c>
      <c r="R38" s="21" t="s">
        <v>419</v>
      </c>
      <c r="S38" s="21" t="s">
        <v>3024</v>
      </c>
      <c r="T38" s="21" t="s">
        <v>1992</v>
      </c>
      <c r="U38" s="21" t="s">
        <v>4272</v>
      </c>
      <c r="W38" s="21" t="s">
        <v>994</v>
      </c>
      <c r="X38" s="21" t="s">
        <v>1209</v>
      </c>
      <c r="Y38" s="21" t="s">
        <v>5169</v>
      </c>
      <c r="Z38" s="21" t="s">
        <v>3583</v>
      </c>
      <c r="AA38" s="21" t="s">
        <v>5042</v>
      </c>
    </row>
    <row r="39" spans="2:27" x14ac:dyDescent="0.25">
      <c r="B39" s="21" t="s">
        <v>5194</v>
      </c>
      <c r="C39" s="21" t="s">
        <v>4124</v>
      </c>
      <c r="E39" s="21" t="s">
        <v>5499</v>
      </c>
      <c r="F39" s="21" t="s">
        <v>5038</v>
      </c>
      <c r="H39" s="21" t="s">
        <v>3224</v>
      </c>
      <c r="I39" s="21" t="s">
        <v>5464</v>
      </c>
      <c r="J39" s="21" t="s">
        <v>4229</v>
      </c>
      <c r="K39" s="21" t="s">
        <v>2147</v>
      </c>
      <c r="L39" s="21" t="s">
        <v>2945</v>
      </c>
      <c r="M39" s="21" t="s">
        <v>5405</v>
      </c>
      <c r="N39" s="21" t="s">
        <v>3889</v>
      </c>
      <c r="O39" s="21" t="s">
        <v>4832</v>
      </c>
      <c r="P39" s="21" t="s">
        <v>2204</v>
      </c>
      <c r="Q39" s="21" t="s">
        <v>5135</v>
      </c>
      <c r="R39" s="21" t="s">
        <v>2960</v>
      </c>
      <c r="S39" s="21" t="s">
        <v>3013</v>
      </c>
      <c r="T39" s="21" t="s">
        <v>4915</v>
      </c>
      <c r="U39" s="21" t="s">
        <v>4147</v>
      </c>
      <c r="W39" s="21" t="s">
        <v>285</v>
      </c>
      <c r="X39" s="21" t="s">
        <v>314</v>
      </c>
      <c r="Y39" s="21" t="s">
        <v>5163</v>
      </c>
      <c r="Z39" s="21" t="s">
        <v>3532</v>
      </c>
      <c r="AA39" s="21" t="s">
        <v>4232</v>
      </c>
    </row>
    <row r="40" spans="2:27" x14ac:dyDescent="0.25">
      <c r="B40" s="21" t="s">
        <v>4909</v>
      </c>
      <c r="C40" s="21" t="s">
        <v>4368</v>
      </c>
      <c r="E40" s="21" t="s">
        <v>2326</v>
      </c>
      <c r="F40" s="21" t="s">
        <v>5309</v>
      </c>
      <c r="H40" s="21" t="s">
        <v>1693</v>
      </c>
      <c r="I40" s="21" t="s">
        <v>2723</v>
      </c>
      <c r="J40" s="21" t="s">
        <v>5125</v>
      </c>
      <c r="K40" s="21" t="s">
        <v>413</v>
      </c>
      <c r="L40" s="21" t="s">
        <v>2625</v>
      </c>
      <c r="M40" s="21" t="s">
        <v>5463</v>
      </c>
      <c r="N40" s="21" t="s">
        <v>5078</v>
      </c>
      <c r="O40" s="21" t="s">
        <v>5010</v>
      </c>
      <c r="P40" s="21" t="s">
        <v>4830</v>
      </c>
      <c r="Q40" s="21" t="s">
        <v>4458</v>
      </c>
      <c r="R40" s="21" t="s">
        <v>576</v>
      </c>
      <c r="S40" s="21" t="s">
        <v>373</v>
      </c>
      <c r="T40" s="21" t="s">
        <v>4016</v>
      </c>
      <c r="U40" s="21" t="s">
        <v>4705</v>
      </c>
      <c r="W40" s="21" t="s">
        <v>1174</v>
      </c>
      <c r="X40" s="21" t="s">
        <v>2889</v>
      </c>
      <c r="Y40" s="21" t="s">
        <v>2333</v>
      </c>
      <c r="Z40" s="21" t="s">
        <v>3840</v>
      </c>
      <c r="AA40" s="21" t="s">
        <v>4246</v>
      </c>
    </row>
    <row r="41" spans="2:27" x14ac:dyDescent="0.25">
      <c r="B41" s="21" t="s">
        <v>5209</v>
      </c>
      <c r="C41" s="21" t="s">
        <v>4049</v>
      </c>
      <c r="E41" s="21" t="s">
        <v>1861</v>
      </c>
      <c r="F41" s="21" t="s">
        <v>4173</v>
      </c>
      <c r="H41" s="21" t="s">
        <v>3236</v>
      </c>
      <c r="I41" s="21" t="s">
        <v>4546</v>
      </c>
      <c r="J41" s="21" t="s">
        <v>4737</v>
      </c>
      <c r="K41" s="21" t="s">
        <v>3136</v>
      </c>
      <c r="L41" s="21" t="s">
        <v>3348</v>
      </c>
      <c r="M41" s="21" t="s">
        <v>5460</v>
      </c>
      <c r="N41" s="21" t="s">
        <v>4180</v>
      </c>
      <c r="O41" s="21" t="s">
        <v>3887</v>
      </c>
      <c r="P41" s="21" t="s">
        <v>2275</v>
      </c>
      <c r="Q41" s="21" t="s">
        <v>5475</v>
      </c>
      <c r="R41" s="21" t="s">
        <v>2935</v>
      </c>
      <c r="S41" s="21" t="s">
        <v>1787</v>
      </c>
      <c r="T41" s="21" t="s">
        <v>5124</v>
      </c>
      <c r="U41" s="21" t="s">
        <v>4759</v>
      </c>
      <c r="W41" s="21" t="s">
        <v>1195</v>
      </c>
      <c r="X41" s="21" t="s">
        <v>1029</v>
      </c>
      <c r="Y41" s="21" t="s">
        <v>2351</v>
      </c>
      <c r="Z41" s="21" t="s">
        <v>3356</v>
      </c>
      <c r="AA41" s="21" t="s">
        <v>4324</v>
      </c>
    </row>
    <row r="42" spans="2:27" x14ac:dyDescent="0.25">
      <c r="B42" s="21" t="s">
        <v>4853</v>
      </c>
      <c r="C42" s="21" t="s">
        <v>4271</v>
      </c>
      <c r="E42" s="21" t="s">
        <v>3303</v>
      </c>
      <c r="F42" s="21" t="s">
        <v>284</v>
      </c>
      <c r="H42" s="21" t="s">
        <v>1627</v>
      </c>
      <c r="I42" s="21" t="s">
        <v>2515</v>
      </c>
      <c r="J42" s="21" t="s">
        <v>4225</v>
      </c>
      <c r="K42" s="21" t="s">
        <v>2794</v>
      </c>
      <c r="L42" s="21" t="s">
        <v>3449</v>
      </c>
      <c r="M42" s="21" t="s">
        <v>5443</v>
      </c>
      <c r="N42" s="21" t="s">
        <v>5075</v>
      </c>
      <c r="O42" s="21" t="s">
        <v>5251</v>
      </c>
      <c r="P42" s="21" t="s">
        <v>287</v>
      </c>
      <c r="Q42" s="21" t="s">
        <v>4509</v>
      </c>
      <c r="R42" s="21" t="s">
        <v>241</v>
      </c>
      <c r="S42" s="21" t="s">
        <v>1675</v>
      </c>
      <c r="T42" s="21" t="s">
        <v>4051</v>
      </c>
      <c r="U42" s="21" t="s">
        <v>4641</v>
      </c>
      <c r="W42" s="21" t="s">
        <v>1402</v>
      </c>
      <c r="X42" s="21" t="s">
        <v>251</v>
      </c>
      <c r="Y42" s="21" t="s">
        <v>4867</v>
      </c>
      <c r="Z42" s="21" t="s">
        <v>695</v>
      </c>
      <c r="AA42" s="21" t="s">
        <v>4444</v>
      </c>
    </row>
    <row r="43" spans="2:27" x14ac:dyDescent="0.25">
      <c r="B43" s="21" t="s">
        <v>2421</v>
      </c>
      <c r="C43" s="21" t="s">
        <v>4965</v>
      </c>
      <c r="E43" s="21" t="s">
        <v>1217</v>
      </c>
      <c r="F43" s="21" t="s">
        <v>5022</v>
      </c>
      <c r="H43" s="21" t="s">
        <v>3461</v>
      </c>
      <c r="I43" s="21" t="s">
        <v>2179</v>
      </c>
      <c r="J43" s="21" t="s">
        <v>4664</v>
      </c>
      <c r="K43" s="21" t="s">
        <v>1858</v>
      </c>
      <c r="L43" s="21" t="s">
        <v>3230</v>
      </c>
      <c r="M43" s="21" t="s">
        <v>2227</v>
      </c>
      <c r="N43" s="21" t="s">
        <v>4255</v>
      </c>
      <c r="O43" s="21" t="s">
        <v>4971</v>
      </c>
      <c r="P43" s="21" t="s">
        <v>5216</v>
      </c>
      <c r="Q43" s="21" t="s">
        <v>5277</v>
      </c>
      <c r="R43" s="21" t="s">
        <v>1063</v>
      </c>
      <c r="S43" s="21" t="s">
        <v>3056</v>
      </c>
      <c r="T43" s="21" t="s">
        <v>4366</v>
      </c>
      <c r="U43" s="21" t="s">
        <v>5933</v>
      </c>
      <c r="W43" s="21" t="s">
        <v>1475</v>
      </c>
      <c r="X43" s="21" t="s">
        <v>1343</v>
      </c>
      <c r="Y43" s="21" t="s">
        <v>5161</v>
      </c>
      <c r="Z43" s="21" t="s">
        <v>847</v>
      </c>
      <c r="AA43" s="21" t="s">
        <v>5903</v>
      </c>
    </row>
    <row r="44" spans="2:27" x14ac:dyDescent="0.25">
      <c r="B44" s="21" t="s">
        <v>4897</v>
      </c>
      <c r="C44" s="21" t="s">
        <v>4197</v>
      </c>
      <c r="E44" s="21" t="s">
        <v>2388</v>
      </c>
      <c r="F44" s="21" t="s">
        <v>4475</v>
      </c>
      <c r="H44" s="21" t="s">
        <v>1702</v>
      </c>
      <c r="I44" s="21" t="s">
        <v>2752</v>
      </c>
      <c r="J44" s="21" t="s">
        <v>3993</v>
      </c>
      <c r="K44" s="21" t="s">
        <v>3735</v>
      </c>
      <c r="L44" s="21" t="s">
        <v>2897</v>
      </c>
      <c r="M44" s="21" t="s">
        <v>4792</v>
      </c>
      <c r="N44" s="21" t="s">
        <v>4948</v>
      </c>
      <c r="O44" s="21" t="s">
        <v>2093</v>
      </c>
      <c r="P44" s="21" t="s">
        <v>2337</v>
      </c>
      <c r="Q44" s="21" t="s">
        <v>4573</v>
      </c>
      <c r="R44" s="21" t="s">
        <v>423</v>
      </c>
      <c r="S44" s="21" t="s">
        <v>2361</v>
      </c>
      <c r="T44" s="21" t="s">
        <v>4382</v>
      </c>
      <c r="U44" s="21" t="s">
        <v>5934</v>
      </c>
      <c r="W44" s="21" t="s">
        <v>1147</v>
      </c>
      <c r="X44" s="21" t="s">
        <v>969</v>
      </c>
      <c r="Y44" s="21" t="s">
        <v>2329</v>
      </c>
      <c r="Z44" s="21" t="s">
        <v>3768</v>
      </c>
      <c r="AA44" s="21" t="s">
        <v>4634</v>
      </c>
    </row>
    <row r="45" spans="2:27" x14ac:dyDescent="0.25">
      <c r="B45" s="21" t="s">
        <v>2513</v>
      </c>
      <c r="C45" s="21" t="s">
        <v>4097</v>
      </c>
      <c r="E45" s="21" t="s">
        <v>1995</v>
      </c>
      <c r="F45" s="21" t="s">
        <v>3965</v>
      </c>
      <c r="H45" s="21" t="s">
        <v>1733</v>
      </c>
      <c r="I45" s="21" t="s">
        <v>2787</v>
      </c>
      <c r="J45" s="21" t="s">
        <v>4119</v>
      </c>
      <c r="K45" s="21" t="s">
        <v>2026</v>
      </c>
      <c r="L45" s="21" t="s">
        <v>2143</v>
      </c>
      <c r="M45" s="21" t="s">
        <v>5935</v>
      </c>
      <c r="N45" s="21" t="s">
        <v>4037</v>
      </c>
      <c r="O45" s="21" t="s">
        <v>1953</v>
      </c>
      <c r="P45" s="21" t="s">
        <v>1666</v>
      </c>
      <c r="Q45" s="21" t="s">
        <v>4296</v>
      </c>
      <c r="R45" s="21" t="s">
        <v>630</v>
      </c>
      <c r="S45" s="21" t="s">
        <v>2931</v>
      </c>
      <c r="T45" s="21" t="s">
        <v>4349</v>
      </c>
      <c r="U45" s="21" t="s">
        <v>5111</v>
      </c>
      <c r="W45" s="21" t="s">
        <v>1175</v>
      </c>
      <c r="X45" s="21" t="s">
        <v>981</v>
      </c>
      <c r="Y45" s="21" t="s">
        <v>2313</v>
      </c>
      <c r="Z45" s="21" t="s">
        <v>3537</v>
      </c>
      <c r="AA45" s="21" t="s">
        <v>4797</v>
      </c>
    </row>
    <row r="46" spans="2:27" x14ac:dyDescent="0.25">
      <c r="B46" s="21" t="s">
        <v>2435</v>
      </c>
      <c r="C46" s="21" t="s">
        <v>4970</v>
      </c>
      <c r="E46" s="21" t="s">
        <v>2432</v>
      </c>
      <c r="F46" s="21" t="s">
        <v>4410</v>
      </c>
      <c r="H46" s="21" t="s">
        <v>5936</v>
      </c>
      <c r="I46" s="21" t="s">
        <v>2594</v>
      </c>
      <c r="J46" s="21" t="s">
        <v>4477</v>
      </c>
      <c r="K46" s="21" t="s">
        <v>892</v>
      </c>
      <c r="L46" s="21" t="s">
        <v>3264</v>
      </c>
      <c r="M46" s="21" t="s">
        <v>4753</v>
      </c>
      <c r="N46" s="21" t="s">
        <v>3881</v>
      </c>
      <c r="O46" s="21" t="s">
        <v>1501</v>
      </c>
      <c r="P46" s="21" t="s">
        <v>2210</v>
      </c>
      <c r="Q46" s="21" t="s">
        <v>5294</v>
      </c>
      <c r="R46" s="21" t="s">
        <v>2980</v>
      </c>
      <c r="S46" s="21" t="s">
        <v>3064</v>
      </c>
      <c r="T46" s="21" t="s">
        <v>3974</v>
      </c>
      <c r="U46" s="21" t="s">
        <v>5234</v>
      </c>
      <c r="W46" s="21" t="s">
        <v>2965</v>
      </c>
      <c r="X46" s="21" t="s">
        <v>1198</v>
      </c>
      <c r="Y46" s="21" t="s">
        <v>2371</v>
      </c>
      <c r="Z46" s="21" t="s">
        <v>696</v>
      </c>
      <c r="AA46" s="21" t="s">
        <v>4815</v>
      </c>
    </row>
    <row r="47" spans="2:27" x14ac:dyDescent="0.25">
      <c r="B47" s="21" t="s">
        <v>2249</v>
      </c>
      <c r="C47" s="21" t="s">
        <v>4989</v>
      </c>
      <c r="E47" s="21" t="s">
        <v>5184</v>
      </c>
      <c r="F47" s="21" t="s">
        <v>4541</v>
      </c>
      <c r="H47" s="21" t="s">
        <v>2286</v>
      </c>
      <c r="I47" s="21" t="s">
        <v>2804</v>
      </c>
      <c r="J47" s="21" t="s">
        <v>4760</v>
      </c>
      <c r="K47" s="21" t="s">
        <v>2681</v>
      </c>
      <c r="L47" s="21" t="s">
        <v>3083</v>
      </c>
      <c r="M47" s="21" t="s">
        <v>1577</v>
      </c>
      <c r="N47" s="21" t="s">
        <v>4411</v>
      </c>
      <c r="O47" s="21" t="s">
        <v>5256</v>
      </c>
      <c r="P47" s="21" t="s">
        <v>2590</v>
      </c>
      <c r="Q47" s="21" t="s">
        <v>5427</v>
      </c>
      <c r="R47" s="21" t="s">
        <v>578</v>
      </c>
      <c r="S47" s="21" t="s">
        <v>3451</v>
      </c>
      <c r="T47" s="21" t="s">
        <v>3958</v>
      </c>
      <c r="U47" s="21" t="s">
        <v>5008</v>
      </c>
      <c r="W47" s="21" t="s">
        <v>1459</v>
      </c>
      <c r="X47" s="21" t="s">
        <v>1051</v>
      </c>
      <c r="Y47" s="21" t="s">
        <v>2334</v>
      </c>
      <c r="Z47" s="21" t="s">
        <v>3689</v>
      </c>
      <c r="AA47" s="21" t="s">
        <v>1977</v>
      </c>
    </row>
    <row r="48" spans="2:27" x14ac:dyDescent="0.25">
      <c r="B48" s="21" t="s">
        <v>4953</v>
      </c>
      <c r="C48" s="21" t="s">
        <v>4488</v>
      </c>
      <c r="E48" s="21" t="s">
        <v>5369</v>
      </c>
      <c r="F48" s="21" t="s">
        <v>4406</v>
      </c>
      <c r="H48" s="21" t="s">
        <v>2938</v>
      </c>
      <c r="I48" s="21" t="s">
        <v>2230</v>
      </c>
      <c r="J48" s="21" t="s">
        <v>3934</v>
      </c>
      <c r="K48" s="21" t="s">
        <v>414</v>
      </c>
      <c r="L48" s="21" t="s">
        <v>3321</v>
      </c>
      <c r="M48" s="21" t="s">
        <v>5937</v>
      </c>
      <c r="N48" s="21" t="s">
        <v>4695</v>
      </c>
      <c r="O48" s="21" t="s">
        <v>5244</v>
      </c>
      <c r="P48" s="21" t="s">
        <v>4933</v>
      </c>
      <c r="Q48" s="21" t="s">
        <v>5344</v>
      </c>
      <c r="R48" s="21" t="s">
        <v>2950</v>
      </c>
      <c r="S48" s="21" t="s">
        <v>3350</v>
      </c>
      <c r="T48" s="21" t="s">
        <v>4463</v>
      </c>
      <c r="U48" s="21" t="s">
        <v>5293</v>
      </c>
      <c r="W48" s="21" t="s">
        <v>1462</v>
      </c>
      <c r="X48" s="21" t="s">
        <v>1359</v>
      </c>
      <c r="Y48" s="21" t="s">
        <v>5173</v>
      </c>
      <c r="Z48" s="21" t="s">
        <v>1618</v>
      </c>
      <c r="AA48" s="21" t="s">
        <v>5027</v>
      </c>
    </row>
    <row r="49" spans="2:27" x14ac:dyDescent="0.25">
      <c r="B49" s="21" t="s">
        <v>2385</v>
      </c>
      <c r="C49" s="21" t="s">
        <v>4278</v>
      </c>
      <c r="E49" s="21" t="s">
        <v>2318</v>
      </c>
      <c r="F49" s="21" t="s">
        <v>4025</v>
      </c>
      <c r="H49" s="21" t="s">
        <v>3127</v>
      </c>
      <c r="I49" s="21" t="s">
        <v>2450</v>
      </c>
      <c r="J49" s="21" t="s">
        <v>4483</v>
      </c>
      <c r="K49" s="21" t="s">
        <v>3472</v>
      </c>
      <c r="L49" s="21" t="s">
        <v>2355</v>
      </c>
      <c r="M49" s="21" t="s">
        <v>4806</v>
      </c>
      <c r="N49" s="21" t="s">
        <v>4966</v>
      </c>
      <c r="O49" s="21" t="s">
        <v>4910</v>
      </c>
      <c r="P49" s="21" t="s">
        <v>4410</v>
      </c>
      <c r="Q49" s="21" t="s">
        <v>5357</v>
      </c>
      <c r="R49" s="21" t="s">
        <v>3477</v>
      </c>
      <c r="S49" s="21" t="s">
        <v>1835</v>
      </c>
      <c r="T49" s="21" t="s">
        <v>4095</v>
      </c>
      <c r="U49" s="21" t="s">
        <v>5361</v>
      </c>
      <c r="W49" s="21" t="s">
        <v>1313</v>
      </c>
      <c r="X49" s="21" t="s">
        <v>1087</v>
      </c>
      <c r="Y49" s="21" t="s">
        <v>3987</v>
      </c>
      <c r="Z49" s="21" t="s">
        <v>903</v>
      </c>
      <c r="AA49" s="21" t="s">
        <v>5067</v>
      </c>
    </row>
    <row r="50" spans="2:27" x14ac:dyDescent="0.25">
      <c r="B50" s="21" t="s">
        <v>2393</v>
      </c>
      <c r="C50" s="21" t="s">
        <v>5179</v>
      </c>
      <c r="E50" s="21" t="s">
        <v>2377</v>
      </c>
      <c r="F50" s="21" t="s">
        <v>4487</v>
      </c>
      <c r="H50" s="21" t="s">
        <v>2304</v>
      </c>
      <c r="I50" s="21" t="s">
        <v>2580</v>
      </c>
      <c r="J50" s="21" t="s">
        <v>4713</v>
      </c>
      <c r="K50" s="21" t="s">
        <v>1905</v>
      </c>
      <c r="L50" s="21" t="s">
        <v>3268</v>
      </c>
      <c r="M50" s="21" t="s">
        <v>5482</v>
      </c>
      <c r="N50" s="21" t="s">
        <v>5072</v>
      </c>
      <c r="O50" s="21" t="s">
        <v>2061</v>
      </c>
      <c r="P50" s="21" t="s">
        <v>4055</v>
      </c>
      <c r="Q50" s="21" t="s">
        <v>4473</v>
      </c>
      <c r="R50" s="21" t="s">
        <v>2998</v>
      </c>
      <c r="S50" s="21" t="s">
        <v>366</v>
      </c>
      <c r="T50" s="21" t="s">
        <v>3992</v>
      </c>
      <c r="U50" s="21" t="s">
        <v>5002</v>
      </c>
      <c r="W50" s="21" t="s">
        <v>1343</v>
      </c>
      <c r="X50" s="21" t="s">
        <v>973</v>
      </c>
      <c r="Y50" s="21" t="s">
        <v>5183</v>
      </c>
      <c r="Z50" s="21" t="s">
        <v>3830</v>
      </c>
      <c r="AA50" s="21" t="s">
        <v>4805</v>
      </c>
    </row>
    <row r="51" spans="2:27" x14ac:dyDescent="0.25">
      <c r="B51" s="21" t="s">
        <v>5231</v>
      </c>
      <c r="C51" s="21" t="s">
        <v>4021</v>
      </c>
      <c r="E51" s="21" t="s">
        <v>1843</v>
      </c>
      <c r="F51" s="21" t="s">
        <v>5093</v>
      </c>
      <c r="H51" s="21" t="s">
        <v>2406</v>
      </c>
      <c r="I51" s="21" t="s">
        <v>2585</v>
      </c>
      <c r="J51" s="21" t="s">
        <v>4740</v>
      </c>
      <c r="K51" s="21" t="s">
        <v>5397</v>
      </c>
      <c r="L51" s="21" t="s">
        <v>3233</v>
      </c>
      <c r="M51" s="21" t="s">
        <v>5375</v>
      </c>
      <c r="N51" s="21" t="s">
        <v>4109</v>
      </c>
      <c r="O51" s="21" t="s">
        <v>2131</v>
      </c>
      <c r="P51" s="21" t="s">
        <v>2263</v>
      </c>
      <c r="Q51" s="21" t="s">
        <v>4668</v>
      </c>
      <c r="R51" s="21" t="s">
        <v>3415</v>
      </c>
      <c r="S51" s="21" t="s">
        <v>3134</v>
      </c>
      <c r="T51" s="21" t="s">
        <v>4860</v>
      </c>
      <c r="U51" s="21" t="s">
        <v>5351</v>
      </c>
      <c r="W51" s="21" t="s">
        <v>1000</v>
      </c>
      <c r="X51" s="21" t="s">
        <v>1043</v>
      </c>
      <c r="Y51" s="21" t="s">
        <v>2356</v>
      </c>
      <c r="Z51" s="21" t="s">
        <v>3680</v>
      </c>
      <c r="AA51" s="21" t="s">
        <v>4555</v>
      </c>
    </row>
    <row r="52" spans="2:27" x14ac:dyDescent="0.25">
      <c r="B52" s="21" t="s">
        <v>1060</v>
      </c>
      <c r="C52" s="21" t="s">
        <v>4085</v>
      </c>
      <c r="E52" s="21" t="s">
        <v>2556</v>
      </c>
      <c r="F52" s="21" t="s">
        <v>5077</v>
      </c>
      <c r="H52" s="21" t="s">
        <v>1904</v>
      </c>
      <c r="I52" s="21" t="s">
        <v>2648</v>
      </c>
      <c r="J52" s="21" t="s">
        <v>3897</v>
      </c>
      <c r="K52" s="21" t="s">
        <v>3506</v>
      </c>
      <c r="L52" s="21" t="s">
        <v>5484</v>
      </c>
      <c r="M52" s="21" t="s">
        <v>2222</v>
      </c>
      <c r="N52" s="21" t="s">
        <v>4060</v>
      </c>
      <c r="O52" s="21" t="s">
        <v>4000</v>
      </c>
      <c r="P52" s="21" t="s">
        <v>4325</v>
      </c>
      <c r="Q52" s="21" t="s">
        <v>4292</v>
      </c>
      <c r="R52" s="21" t="s">
        <v>3069</v>
      </c>
      <c r="S52" s="21" t="s">
        <v>3017</v>
      </c>
      <c r="T52" s="21" t="s">
        <v>4137</v>
      </c>
      <c r="U52" s="21" t="s">
        <v>5325</v>
      </c>
      <c r="W52" s="21" t="s">
        <v>1494</v>
      </c>
      <c r="X52" s="21" t="s">
        <v>1479</v>
      </c>
      <c r="Y52" s="21" t="s">
        <v>653</v>
      </c>
      <c r="Z52" s="21" t="s">
        <v>3755</v>
      </c>
      <c r="AA52" s="21" t="s">
        <v>3331</v>
      </c>
    </row>
    <row r="53" spans="2:27" x14ac:dyDescent="0.25">
      <c r="B53" s="21" t="s">
        <v>1780</v>
      </c>
      <c r="C53" s="21" t="s">
        <v>3952</v>
      </c>
      <c r="E53" s="21" t="s">
        <v>2497</v>
      </c>
      <c r="F53" s="21" t="s">
        <v>4449</v>
      </c>
      <c r="H53" s="21" t="s">
        <v>3124</v>
      </c>
      <c r="I53" s="21" t="s">
        <v>2483</v>
      </c>
      <c r="J53" s="21" t="s">
        <v>4728</v>
      </c>
      <c r="K53" s="21" t="s">
        <v>1810</v>
      </c>
      <c r="L53" s="21" t="s">
        <v>2008</v>
      </c>
      <c r="M53" s="21" t="s">
        <v>5938</v>
      </c>
      <c r="N53" s="21" t="s">
        <v>4082</v>
      </c>
      <c r="O53" s="21" t="s">
        <v>2010</v>
      </c>
      <c r="P53" s="21" t="s">
        <v>2274</v>
      </c>
      <c r="Q53" s="21" t="s">
        <v>3116</v>
      </c>
      <c r="R53" s="21" t="s">
        <v>2418</v>
      </c>
      <c r="S53" s="21" t="s">
        <v>546</v>
      </c>
      <c r="T53" s="21" t="s">
        <v>5295</v>
      </c>
      <c r="U53" s="21" t="s">
        <v>2199</v>
      </c>
      <c r="W53" s="21" t="s">
        <v>567</v>
      </c>
      <c r="X53" s="21" t="s">
        <v>1422</v>
      </c>
      <c r="Y53" s="21" t="s">
        <v>4828</v>
      </c>
      <c r="Z53" s="21" t="s">
        <v>554</v>
      </c>
      <c r="AA53" s="21" t="s">
        <v>4810</v>
      </c>
    </row>
    <row r="54" spans="2:27" x14ac:dyDescent="0.25">
      <c r="B54" s="21" t="s">
        <v>2232</v>
      </c>
      <c r="C54" s="21" t="s">
        <v>4073</v>
      </c>
      <c r="E54" s="21" t="s">
        <v>1647</v>
      </c>
      <c r="F54" s="21" t="s">
        <v>4111</v>
      </c>
      <c r="H54" s="21" t="s">
        <v>4928</v>
      </c>
      <c r="I54" s="21" t="s">
        <v>2485</v>
      </c>
      <c r="J54" s="21" t="s">
        <v>3578</v>
      </c>
      <c r="K54" s="21" t="s">
        <v>3195</v>
      </c>
      <c r="L54" s="21" t="s">
        <v>2946</v>
      </c>
      <c r="M54" s="21" t="s">
        <v>4710</v>
      </c>
      <c r="N54" s="21" t="s">
        <v>4032</v>
      </c>
      <c r="O54" s="21" t="s">
        <v>5236</v>
      </c>
      <c r="P54" s="21" t="s">
        <v>4944</v>
      </c>
      <c r="Q54" s="21" t="s">
        <v>4559</v>
      </c>
      <c r="R54" s="21" t="s">
        <v>3572</v>
      </c>
      <c r="S54" s="21" t="s">
        <v>5897</v>
      </c>
      <c r="T54" s="21" t="s">
        <v>2849</v>
      </c>
      <c r="W54" s="21" t="s">
        <v>1324</v>
      </c>
      <c r="X54" s="21" t="s">
        <v>295</v>
      </c>
      <c r="Y54" s="21" t="s">
        <v>2338</v>
      </c>
      <c r="Z54" s="21" t="s">
        <v>3628</v>
      </c>
      <c r="AA54" s="21" t="s">
        <v>2168</v>
      </c>
    </row>
    <row r="55" spans="2:27" x14ac:dyDescent="0.25">
      <c r="B55" s="21" t="s">
        <v>2683</v>
      </c>
      <c r="C55" s="21" t="s">
        <v>5066</v>
      </c>
      <c r="E55" s="21" t="s">
        <v>5249</v>
      </c>
      <c r="F55" s="21" t="s">
        <v>4206</v>
      </c>
      <c r="H55" s="21" t="s">
        <v>5140</v>
      </c>
      <c r="I55" s="21" t="s">
        <v>2588</v>
      </c>
      <c r="J55" s="21" t="s">
        <v>4068</v>
      </c>
      <c r="K55" s="21" t="s">
        <v>774</v>
      </c>
      <c r="L55" s="21" t="s">
        <v>3312</v>
      </c>
      <c r="M55" s="21" t="s">
        <v>2207</v>
      </c>
      <c r="N55" s="21" t="s">
        <v>4001</v>
      </c>
      <c r="O55" s="21" t="s">
        <v>2104</v>
      </c>
      <c r="P55" s="21" t="s">
        <v>1681</v>
      </c>
      <c r="Q55" s="21" t="s">
        <v>5240</v>
      </c>
      <c r="R55" s="21" t="s">
        <v>2997</v>
      </c>
      <c r="S55" s="21" t="s">
        <v>2932</v>
      </c>
      <c r="T55" s="21" t="s">
        <v>4347</v>
      </c>
      <c r="W55" s="21" t="s">
        <v>1500</v>
      </c>
      <c r="X55" s="21" t="s">
        <v>1183</v>
      </c>
      <c r="Y55" s="21" t="s">
        <v>3327</v>
      </c>
      <c r="Z55" s="21" t="s">
        <v>3378</v>
      </c>
      <c r="AA55" s="21" t="s">
        <v>5503</v>
      </c>
    </row>
    <row r="56" spans="2:27" x14ac:dyDescent="0.25">
      <c r="B56" s="21" t="s">
        <v>5207</v>
      </c>
      <c r="C56" s="21" t="s">
        <v>4178</v>
      </c>
      <c r="E56" s="21" t="s">
        <v>2574</v>
      </c>
      <c r="F56" s="21" t="s">
        <v>4419</v>
      </c>
      <c r="H56" s="21" t="s">
        <v>1683</v>
      </c>
      <c r="I56" s="21" t="s">
        <v>4393</v>
      </c>
      <c r="J56" s="21" t="s">
        <v>4139</v>
      </c>
      <c r="K56" s="21" t="s">
        <v>2605</v>
      </c>
      <c r="L56" s="21" t="s">
        <v>3526</v>
      </c>
      <c r="M56" s="21" t="s">
        <v>2228</v>
      </c>
      <c r="N56" s="21" t="s">
        <v>4136</v>
      </c>
      <c r="O56" s="21" t="s">
        <v>5228</v>
      </c>
      <c r="P56" s="21" t="s">
        <v>2024</v>
      </c>
      <c r="Q56" s="21" t="s">
        <v>5504</v>
      </c>
      <c r="R56" s="21" t="s">
        <v>572</v>
      </c>
      <c r="S56" s="21" t="s">
        <v>671</v>
      </c>
      <c r="T56" s="21" t="s">
        <v>2042</v>
      </c>
      <c r="W56" s="21" t="s">
        <v>2937</v>
      </c>
      <c r="X56" s="21" t="s">
        <v>551</v>
      </c>
      <c r="Y56" s="21" t="s">
        <v>5162</v>
      </c>
      <c r="Z56" s="21" t="s">
        <v>3823</v>
      </c>
      <c r="AA56" s="21" t="s">
        <v>4654</v>
      </c>
    </row>
    <row r="57" spans="2:27" x14ac:dyDescent="0.25">
      <c r="B57" s="21" t="s">
        <v>5196</v>
      </c>
      <c r="C57" s="21" t="s">
        <v>3649</v>
      </c>
      <c r="E57" s="21" t="s">
        <v>2216</v>
      </c>
      <c r="F57" s="21" t="s">
        <v>3931</v>
      </c>
      <c r="H57" s="21" t="s">
        <v>2234</v>
      </c>
      <c r="I57" s="21" t="s">
        <v>2417</v>
      </c>
      <c r="J57" s="21" t="s">
        <v>4098</v>
      </c>
      <c r="K57" s="21" t="s">
        <v>2478</v>
      </c>
      <c r="L57" s="21" t="s">
        <v>3237</v>
      </c>
      <c r="M57" s="21" t="s">
        <v>5468</v>
      </c>
      <c r="N57" s="21" t="s">
        <v>4226</v>
      </c>
      <c r="O57" s="21" t="s">
        <v>4328</v>
      </c>
      <c r="P57" s="21" t="s">
        <v>2401</v>
      </c>
      <c r="Q57" s="21" t="s">
        <v>4563</v>
      </c>
      <c r="R57" s="21" t="s">
        <v>579</v>
      </c>
      <c r="S57" s="21" t="s">
        <v>3496</v>
      </c>
      <c r="T57" s="21" t="s">
        <v>1649</v>
      </c>
      <c r="W57" s="21" t="s">
        <v>1540</v>
      </c>
      <c r="X57" s="21" t="s">
        <v>1293</v>
      </c>
      <c r="Y57" s="21" t="s">
        <v>4983</v>
      </c>
      <c r="Z57" s="21" t="s">
        <v>3518</v>
      </c>
      <c r="AA57" s="21" t="s">
        <v>5083</v>
      </c>
    </row>
    <row r="58" spans="2:27" x14ac:dyDescent="0.25">
      <c r="B58" s="21" t="s">
        <v>2255</v>
      </c>
      <c r="C58" s="21" t="s">
        <v>4960</v>
      </c>
      <c r="E58" s="21" t="s">
        <v>1753</v>
      </c>
      <c r="F58" s="21" t="s">
        <v>5026</v>
      </c>
      <c r="H58" s="21" t="s">
        <v>1781</v>
      </c>
      <c r="I58" s="21" t="s">
        <v>4591</v>
      </c>
      <c r="J58" s="21" t="s">
        <v>5120</v>
      </c>
      <c r="K58" s="21" t="s">
        <v>4931</v>
      </c>
      <c r="L58" s="21" t="s">
        <v>3028</v>
      </c>
      <c r="M58" s="21" t="s">
        <v>5096</v>
      </c>
      <c r="N58" s="21" t="s">
        <v>4155</v>
      </c>
      <c r="O58" s="21" t="s">
        <v>2280</v>
      </c>
      <c r="P58" s="21" t="s">
        <v>2311</v>
      </c>
      <c r="Q58" s="21" t="s">
        <v>4521</v>
      </c>
      <c r="R58" s="21" t="s">
        <v>278</v>
      </c>
      <c r="S58" s="21" t="s">
        <v>3210</v>
      </c>
      <c r="T58" s="21" t="s">
        <v>4327</v>
      </c>
      <c r="W58" s="21" t="s">
        <v>1282</v>
      </c>
      <c r="X58" s="21" t="s">
        <v>286</v>
      </c>
      <c r="Y58" s="21" t="s">
        <v>2365</v>
      </c>
      <c r="Z58" s="21" t="s">
        <v>839</v>
      </c>
      <c r="AA58" s="21" t="s">
        <v>4524</v>
      </c>
    </row>
    <row r="59" spans="2:27" x14ac:dyDescent="0.25">
      <c r="B59" s="21" t="s">
        <v>5226</v>
      </c>
      <c r="C59" s="21" t="s">
        <v>3979</v>
      </c>
      <c r="E59" s="21" t="s">
        <v>5412</v>
      </c>
      <c r="F59" s="21" t="s">
        <v>4614</v>
      </c>
      <c r="H59" s="21" t="s">
        <v>2350</v>
      </c>
      <c r="I59" s="21" t="s">
        <v>2508</v>
      </c>
      <c r="J59" s="21" t="s">
        <v>4608</v>
      </c>
      <c r="K59" s="21" t="s">
        <v>415</v>
      </c>
      <c r="L59" s="21" t="s">
        <v>5939</v>
      </c>
      <c r="M59" s="21" t="s">
        <v>4822</v>
      </c>
      <c r="N59" s="21" t="s">
        <v>4216</v>
      </c>
      <c r="O59" s="21" t="s">
        <v>4968</v>
      </c>
      <c r="P59" s="21" t="s">
        <v>4847</v>
      </c>
      <c r="Q59" s="21" t="s">
        <v>5404</v>
      </c>
      <c r="R59" s="21" t="s">
        <v>580</v>
      </c>
      <c r="S59" s="21" t="s">
        <v>3171</v>
      </c>
      <c r="T59" s="21" t="s">
        <v>4866</v>
      </c>
      <c r="W59" s="21" t="s">
        <v>965</v>
      </c>
      <c r="X59" s="21" t="s">
        <v>1356</v>
      </c>
      <c r="Y59" s="21" t="s">
        <v>3977</v>
      </c>
      <c r="Z59" s="21" t="s">
        <v>3694</v>
      </c>
      <c r="AA59" s="21" t="s">
        <v>4649</v>
      </c>
    </row>
    <row r="60" spans="2:27" x14ac:dyDescent="0.25">
      <c r="B60" s="21" t="s">
        <v>5222</v>
      </c>
      <c r="C60" s="21" t="s">
        <v>4087</v>
      </c>
      <c r="E60" s="21" t="s">
        <v>2101</v>
      </c>
      <c r="F60" s="21" t="s">
        <v>3927</v>
      </c>
      <c r="H60" s="21" t="s">
        <v>2987</v>
      </c>
      <c r="I60" s="21" t="s">
        <v>2138</v>
      </c>
      <c r="J60" s="21" t="s">
        <v>4684</v>
      </c>
      <c r="K60" s="21" t="s">
        <v>2095</v>
      </c>
      <c r="L60" s="21" t="s">
        <v>5368</v>
      </c>
      <c r="M60" s="21" t="s">
        <v>4282</v>
      </c>
      <c r="N60" s="21" t="s">
        <v>4215</v>
      </c>
      <c r="O60" s="21" t="s">
        <v>4325</v>
      </c>
      <c r="P60" s="21" t="s">
        <v>5291</v>
      </c>
      <c r="Q60" s="21" t="s">
        <v>4494</v>
      </c>
      <c r="R60" s="21" t="s">
        <v>1562</v>
      </c>
      <c r="S60" s="21" t="s">
        <v>3302</v>
      </c>
      <c r="T60" s="21" t="s">
        <v>1911</v>
      </c>
      <c r="W60" s="21" t="s">
        <v>1242</v>
      </c>
      <c r="X60" s="21" t="s">
        <v>1125</v>
      </c>
      <c r="Y60" s="21" t="s">
        <v>2331</v>
      </c>
      <c r="Z60" s="21" t="s">
        <v>3349</v>
      </c>
      <c r="AA60" s="21" t="s">
        <v>5512</v>
      </c>
    </row>
    <row r="61" spans="2:27" x14ac:dyDescent="0.25">
      <c r="B61" s="21" t="s">
        <v>5189</v>
      </c>
      <c r="C61" s="21" t="s">
        <v>3989</v>
      </c>
      <c r="E61" s="21" t="s">
        <v>1994</v>
      </c>
      <c r="F61" s="21" t="s">
        <v>4056</v>
      </c>
      <c r="H61" s="21" t="s">
        <v>2233</v>
      </c>
      <c r="I61" s="21" t="s">
        <v>2597</v>
      </c>
      <c r="J61" s="21" t="s">
        <v>5386</v>
      </c>
      <c r="K61" s="21" t="s">
        <v>3030</v>
      </c>
      <c r="L61" s="21" t="s">
        <v>3078</v>
      </c>
      <c r="M61" s="21" t="s">
        <v>4811</v>
      </c>
      <c r="N61" s="21" t="s">
        <v>5248</v>
      </c>
      <c r="O61" s="21" t="s">
        <v>4831</v>
      </c>
      <c r="P61" s="21" t="s">
        <v>2370</v>
      </c>
      <c r="Q61" s="21" t="s">
        <v>4560</v>
      </c>
      <c r="R61" s="21" t="s">
        <v>313</v>
      </c>
      <c r="S61" s="21" t="s">
        <v>3286</v>
      </c>
      <c r="T61" s="21" t="s">
        <v>3966</v>
      </c>
      <c r="W61" s="21" t="s">
        <v>1552</v>
      </c>
      <c r="X61" s="21" t="s">
        <v>1518</v>
      </c>
      <c r="Y61" s="21" t="s">
        <v>5164</v>
      </c>
      <c r="Z61" s="21" t="s">
        <v>1194</v>
      </c>
      <c r="AA61" s="21" t="s">
        <v>4447</v>
      </c>
    </row>
    <row r="62" spans="2:27" x14ac:dyDescent="0.25">
      <c r="B62" s="21" t="s">
        <v>5940</v>
      </c>
      <c r="C62" s="21" t="s">
        <v>5079</v>
      </c>
      <c r="E62" s="21" t="s">
        <v>4954</v>
      </c>
      <c r="F62" s="21" t="s">
        <v>4427</v>
      </c>
      <c r="H62" s="21" t="s">
        <v>1670</v>
      </c>
      <c r="I62" s="21" t="s">
        <v>2200</v>
      </c>
      <c r="J62" s="21" t="s">
        <v>1264</v>
      </c>
      <c r="K62" s="21" t="s">
        <v>416</v>
      </c>
      <c r="L62" s="21" t="s">
        <v>5506</v>
      </c>
      <c r="M62" s="21" t="s">
        <v>5136</v>
      </c>
      <c r="N62" s="21" t="s">
        <v>4151</v>
      </c>
      <c r="O62" s="21" t="s">
        <v>2046</v>
      </c>
      <c r="P62" s="21" t="s">
        <v>5941</v>
      </c>
      <c r="Q62" s="21" t="s">
        <v>4545</v>
      </c>
      <c r="R62" s="21" t="s">
        <v>361</v>
      </c>
      <c r="S62" s="21" t="s">
        <v>2956</v>
      </c>
      <c r="T62" s="21" t="s">
        <v>4978</v>
      </c>
      <c r="W62" s="21" t="s">
        <v>1558</v>
      </c>
      <c r="X62" s="21" t="s">
        <v>1300</v>
      </c>
      <c r="Y62" s="21" t="s">
        <v>2325</v>
      </c>
      <c r="Z62" s="21" t="s">
        <v>818</v>
      </c>
      <c r="AA62" s="21" t="s">
        <v>4218</v>
      </c>
    </row>
    <row r="63" spans="2:27" x14ac:dyDescent="0.25">
      <c r="B63" s="21" t="s">
        <v>5942</v>
      </c>
      <c r="C63" s="21" t="s">
        <v>4196</v>
      </c>
      <c r="E63" s="21" t="s">
        <v>1795</v>
      </c>
      <c r="F63" s="21" t="s">
        <v>4191</v>
      </c>
      <c r="H63" s="21" t="s">
        <v>245</v>
      </c>
      <c r="I63" s="21" t="s">
        <v>4589</v>
      </c>
      <c r="J63" s="21" t="s">
        <v>4575</v>
      </c>
      <c r="K63" s="21" t="s">
        <v>355</v>
      </c>
      <c r="L63" s="21" t="s">
        <v>3338</v>
      </c>
      <c r="M63" s="21" t="s">
        <v>5943</v>
      </c>
      <c r="N63" s="21" t="s">
        <v>4092</v>
      </c>
      <c r="O63" s="21" t="s">
        <v>5257</v>
      </c>
      <c r="P63" s="21" t="s">
        <v>3898</v>
      </c>
      <c r="Q63" s="21" t="s">
        <v>5477</v>
      </c>
      <c r="R63" s="21" t="s">
        <v>631</v>
      </c>
      <c r="S63" s="21" t="s">
        <v>1656</v>
      </c>
      <c r="T63" s="21" t="s">
        <v>4403</v>
      </c>
      <c r="W63" s="21" t="s">
        <v>1092</v>
      </c>
      <c r="X63" s="21" t="s">
        <v>264</v>
      </c>
      <c r="Y63" s="21" t="s">
        <v>5211</v>
      </c>
      <c r="Z63" s="21" t="s">
        <v>3517</v>
      </c>
      <c r="AA63" s="21" t="s">
        <v>4726</v>
      </c>
    </row>
    <row r="64" spans="2:27" x14ac:dyDescent="0.25">
      <c r="B64" s="21" t="s">
        <v>5944</v>
      </c>
      <c r="E64" s="21" t="s">
        <v>2146</v>
      </c>
      <c r="F64" s="21" t="s">
        <v>4190</v>
      </c>
      <c r="H64" s="21" t="s">
        <v>246</v>
      </c>
      <c r="I64" s="21" t="s">
        <v>2612</v>
      </c>
      <c r="J64" s="21" t="s">
        <v>4644</v>
      </c>
      <c r="K64" s="21" t="s">
        <v>417</v>
      </c>
      <c r="L64" s="21" t="s">
        <v>5353</v>
      </c>
      <c r="M64" s="21" t="s">
        <v>4767</v>
      </c>
      <c r="N64" s="21" t="s">
        <v>3940</v>
      </c>
      <c r="O64" s="21" t="s">
        <v>2109</v>
      </c>
      <c r="P64" s="21" t="s">
        <v>2347</v>
      </c>
      <c r="Q64" s="21" t="s">
        <v>4414</v>
      </c>
      <c r="R64" s="21" t="s">
        <v>3122</v>
      </c>
      <c r="S64" s="21" t="s">
        <v>2165</v>
      </c>
      <c r="T64" s="21" t="s">
        <v>3910</v>
      </c>
      <c r="W64" s="21" t="s">
        <v>1448</v>
      </c>
      <c r="X64" s="21" t="s">
        <v>946</v>
      </c>
      <c r="Y64" s="21" t="s">
        <v>926</v>
      </c>
      <c r="Z64" s="21" t="s">
        <v>2606</v>
      </c>
      <c r="AA64" s="21" t="s">
        <v>4239</v>
      </c>
    </row>
    <row r="65" spans="2:27" x14ac:dyDescent="0.25">
      <c r="B65" s="21" t="s">
        <v>2437</v>
      </c>
      <c r="E65" s="21" t="s">
        <v>2254</v>
      </c>
      <c r="F65" s="21" t="s">
        <v>4436</v>
      </c>
      <c r="H65" s="21" t="s">
        <v>248</v>
      </c>
      <c r="I65" s="21" t="s">
        <v>2555</v>
      </c>
      <c r="J65" s="21" t="s">
        <v>3959</v>
      </c>
      <c r="K65" s="21" t="s">
        <v>275</v>
      </c>
      <c r="L65" s="21" t="s">
        <v>1979</v>
      </c>
      <c r="M65" s="21" t="s">
        <v>5945</v>
      </c>
      <c r="N65" s="21" t="s">
        <v>4186</v>
      </c>
      <c r="O65" s="21" t="s">
        <v>4862</v>
      </c>
      <c r="P65" s="21" t="s">
        <v>3125</v>
      </c>
      <c r="Q65" s="21" t="s">
        <v>4571</v>
      </c>
      <c r="R65" s="21" t="s">
        <v>624</v>
      </c>
      <c r="S65" s="21" t="s">
        <v>1707</v>
      </c>
      <c r="T65" s="21" t="s">
        <v>4338</v>
      </c>
      <c r="W65" s="21" t="s">
        <v>2940</v>
      </c>
      <c r="X65" s="21" t="s">
        <v>283</v>
      </c>
      <c r="Y65" s="21" t="s">
        <v>5157</v>
      </c>
      <c r="Z65" s="21" t="s">
        <v>3561</v>
      </c>
      <c r="AA65" s="21" t="s">
        <v>4253</v>
      </c>
    </row>
    <row r="66" spans="2:27" x14ac:dyDescent="0.25">
      <c r="B66" s="21" t="s">
        <v>372</v>
      </c>
      <c r="E66" s="21" t="s">
        <v>1845</v>
      </c>
      <c r="F66" s="21" t="s">
        <v>5308</v>
      </c>
      <c r="H66" s="21" t="s">
        <v>2243</v>
      </c>
      <c r="I66" s="21" t="s">
        <v>2608</v>
      </c>
      <c r="J66" s="21" t="s">
        <v>2405</v>
      </c>
      <c r="K66" s="21" t="s">
        <v>377</v>
      </c>
      <c r="L66" s="21" t="s">
        <v>3670</v>
      </c>
      <c r="M66" s="21" t="s">
        <v>4685</v>
      </c>
      <c r="N66" s="21" t="s">
        <v>3885</v>
      </c>
      <c r="O66" s="21" t="s">
        <v>1950</v>
      </c>
      <c r="P66" s="21" t="s">
        <v>2314</v>
      </c>
      <c r="Q66" s="21" t="s">
        <v>5319</v>
      </c>
      <c r="R66" s="21" t="s">
        <v>625</v>
      </c>
      <c r="S66" s="21" t="s">
        <v>3467</v>
      </c>
      <c r="T66" s="21" t="s">
        <v>4373</v>
      </c>
      <c r="W66" s="21" t="s">
        <v>1501</v>
      </c>
      <c r="X66" s="21" t="s">
        <v>1401</v>
      </c>
      <c r="Y66" s="21" t="s">
        <v>5181</v>
      </c>
      <c r="Z66" s="21" t="s">
        <v>555</v>
      </c>
      <c r="AA66" s="21" t="s">
        <v>4774</v>
      </c>
    </row>
    <row r="67" spans="2:27" x14ac:dyDescent="0.25">
      <c r="B67" s="21" t="s">
        <v>3724</v>
      </c>
      <c r="E67" s="21" t="s">
        <v>1844</v>
      </c>
      <c r="F67" s="21" t="s">
        <v>4568</v>
      </c>
      <c r="H67" s="21" t="s">
        <v>2240</v>
      </c>
      <c r="I67" s="21" t="s">
        <v>2815</v>
      </c>
      <c r="J67" s="21" t="s">
        <v>4741</v>
      </c>
      <c r="K67" s="21" t="s">
        <v>2082</v>
      </c>
      <c r="L67" s="21" t="s">
        <v>1485</v>
      </c>
      <c r="M67" s="21" t="s">
        <v>4802</v>
      </c>
      <c r="N67" s="21" t="s">
        <v>4238</v>
      </c>
      <c r="O67" s="21" t="s">
        <v>2059</v>
      </c>
      <c r="P67" s="21" t="s">
        <v>5152</v>
      </c>
      <c r="Q67" s="21" t="s">
        <v>4480</v>
      </c>
      <c r="R67" s="21" t="s">
        <v>3131</v>
      </c>
      <c r="S67" s="21" t="s">
        <v>3311</v>
      </c>
      <c r="T67" s="21" t="s">
        <v>4315</v>
      </c>
      <c r="W67" s="21" t="s">
        <v>1206</v>
      </c>
      <c r="X67" s="21" t="s">
        <v>1366</v>
      </c>
      <c r="Y67" s="21" t="s">
        <v>5206</v>
      </c>
      <c r="Z67" s="21" t="s">
        <v>3852</v>
      </c>
      <c r="AA67" s="21" t="s">
        <v>5076</v>
      </c>
    </row>
    <row r="68" spans="2:27" x14ac:dyDescent="0.25">
      <c r="B68" s="21" t="s">
        <v>5128</v>
      </c>
      <c r="E68" s="21" t="s">
        <v>1922</v>
      </c>
      <c r="F68" s="21" t="s">
        <v>3996</v>
      </c>
      <c r="H68" s="21" t="s">
        <v>3258</v>
      </c>
      <c r="I68" s="21" t="s">
        <v>2197</v>
      </c>
      <c r="J68" s="21" t="s">
        <v>5382</v>
      </c>
      <c r="K68" s="21" t="s">
        <v>2306</v>
      </c>
      <c r="L68" s="21" t="s">
        <v>2850</v>
      </c>
      <c r="M68" s="21" t="s">
        <v>5946</v>
      </c>
      <c r="N68" s="21" t="s">
        <v>3890</v>
      </c>
      <c r="O68" s="21" t="s">
        <v>4053</v>
      </c>
      <c r="P68" s="21" t="s">
        <v>2224</v>
      </c>
      <c r="Q68" s="21" t="s">
        <v>5117</v>
      </c>
      <c r="R68" s="21" t="s">
        <v>3026</v>
      </c>
      <c r="S68" s="21" t="s">
        <v>2905</v>
      </c>
      <c r="T68" s="21" t="s">
        <v>4897</v>
      </c>
      <c r="W68" s="21" t="s">
        <v>1355</v>
      </c>
      <c r="X68" s="21" t="s">
        <v>1284</v>
      </c>
      <c r="Y68" s="21" t="s">
        <v>1312</v>
      </c>
      <c r="Z68" s="21" t="s">
        <v>3646</v>
      </c>
      <c r="AA68" s="21" t="s">
        <v>5109</v>
      </c>
    </row>
    <row r="69" spans="2:27" x14ac:dyDescent="0.25">
      <c r="B69" s="21" t="s">
        <v>5346</v>
      </c>
      <c r="E69" s="21" t="s">
        <v>2119</v>
      </c>
      <c r="F69" s="21" t="s">
        <v>4430</v>
      </c>
      <c r="H69" s="21" t="s">
        <v>3183</v>
      </c>
      <c r="I69" s="21" t="s">
        <v>5366</v>
      </c>
      <c r="J69" s="21" t="s">
        <v>4698</v>
      </c>
      <c r="K69" s="21" t="s">
        <v>395</v>
      </c>
      <c r="L69" s="21" t="s">
        <v>2722</v>
      </c>
      <c r="M69" s="21" t="s">
        <v>5421</v>
      </c>
      <c r="N69" s="21" t="s">
        <v>3878</v>
      </c>
      <c r="O69" s="21" t="s">
        <v>4995</v>
      </c>
      <c r="P69" s="21" t="s">
        <v>4874</v>
      </c>
      <c r="Q69" s="21" t="s">
        <v>4289</v>
      </c>
      <c r="R69" s="21" t="s">
        <v>675</v>
      </c>
      <c r="S69" s="21" t="s">
        <v>2891</v>
      </c>
      <c r="T69" s="21" t="s">
        <v>5947</v>
      </c>
      <c r="W69" s="21" t="s">
        <v>1031</v>
      </c>
      <c r="X69" s="21" t="s">
        <v>1113</v>
      </c>
      <c r="Y69" s="21" t="s">
        <v>2761</v>
      </c>
      <c r="Z69" s="21" t="s">
        <v>2598</v>
      </c>
      <c r="AA69" s="21" t="s">
        <v>4201</v>
      </c>
    </row>
    <row r="70" spans="2:27" x14ac:dyDescent="0.25">
      <c r="B70" s="21" t="s">
        <v>1793</v>
      </c>
      <c r="E70" s="21" t="s">
        <v>1712</v>
      </c>
      <c r="F70" s="21" t="s">
        <v>2157</v>
      </c>
      <c r="H70" s="21" t="s">
        <v>1644</v>
      </c>
      <c r="I70" s="21" t="s">
        <v>2771</v>
      </c>
      <c r="J70" s="21" t="s">
        <v>4818</v>
      </c>
      <c r="K70" s="21" t="s">
        <v>2521</v>
      </c>
      <c r="L70" s="21" t="s">
        <v>3344</v>
      </c>
      <c r="M70" s="21" t="s">
        <v>5452</v>
      </c>
      <c r="N70" s="21" t="s">
        <v>3943</v>
      </c>
      <c r="O70" s="21" t="s">
        <v>4059</v>
      </c>
      <c r="P70" s="21" t="s">
        <v>4887</v>
      </c>
      <c r="Q70" s="21" t="s">
        <v>5448</v>
      </c>
      <c r="R70" s="21" t="s">
        <v>827</v>
      </c>
      <c r="S70" s="21" t="s">
        <v>260</v>
      </c>
      <c r="T70" s="21" t="s">
        <v>4863</v>
      </c>
      <c r="W70" s="21" t="s">
        <v>989</v>
      </c>
      <c r="X70" s="21" t="s">
        <v>1393</v>
      </c>
      <c r="Y70" s="21" t="s">
        <v>5178</v>
      </c>
      <c r="Z70" s="21" t="s">
        <v>3810</v>
      </c>
      <c r="AA70" s="21" t="s">
        <v>1253</v>
      </c>
    </row>
    <row r="71" spans="2:27" x14ac:dyDescent="0.25">
      <c r="B71" s="21" t="s">
        <v>4936</v>
      </c>
      <c r="E71" s="21" t="s">
        <v>4126</v>
      </c>
      <c r="F71" s="21" t="s">
        <v>1818</v>
      </c>
      <c r="H71" s="21" t="s">
        <v>1701</v>
      </c>
      <c r="I71" s="21" t="s">
        <v>2610</v>
      </c>
      <c r="J71" s="21" t="s">
        <v>4770</v>
      </c>
      <c r="K71" s="21" t="s">
        <v>2570</v>
      </c>
      <c r="L71" s="21" t="s">
        <v>2777</v>
      </c>
      <c r="M71" s="21" t="s">
        <v>5479</v>
      </c>
      <c r="N71" s="21" t="s">
        <v>4162</v>
      </c>
      <c r="O71" s="21" t="s">
        <v>5262</v>
      </c>
      <c r="P71" s="21" t="s">
        <v>2315</v>
      </c>
      <c r="Q71" s="21" t="s">
        <v>5217</v>
      </c>
      <c r="R71" s="21" t="s">
        <v>284</v>
      </c>
      <c r="S71" s="21" t="s">
        <v>3092</v>
      </c>
      <c r="T71" s="21" t="s">
        <v>4923</v>
      </c>
      <c r="W71" s="21" t="s">
        <v>2954</v>
      </c>
      <c r="X71" s="21" t="s">
        <v>1230</v>
      </c>
      <c r="Y71" s="21" t="s">
        <v>2395</v>
      </c>
      <c r="Z71" s="21" t="s">
        <v>3650</v>
      </c>
      <c r="AA71" s="21" t="s">
        <v>4313</v>
      </c>
    </row>
    <row r="72" spans="2:27" x14ac:dyDescent="0.25">
      <c r="B72" s="21" t="s">
        <v>2397</v>
      </c>
      <c r="E72" s="21" t="s">
        <v>4878</v>
      </c>
      <c r="F72" s="21" t="s">
        <v>3971</v>
      </c>
      <c r="H72" s="21" t="s">
        <v>1632</v>
      </c>
      <c r="I72" s="21" t="s">
        <v>1827</v>
      </c>
      <c r="J72" s="21" t="s">
        <v>4628</v>
      </c>
      <c r="K72" s="21" t="s">
        <v>1664</v>
      </c>
      <c r="L72" s="21" t="s">
        <v>3587</v>
      </c>
      <c r="M72" s="21" t="s">
        <v>4823</v>
      </c>
      <c r="N72" s="21" t="s">
        <v>4040</v>
      </c>
      <c r="O72" s="21" t="s">
        <v>2018</v>
      </c>
      <c r="P72" s="21" t="s">
        <v>2246</v>
      </c>
      <c r="Q72" s="21" t="s">
        <v>4640</v>
      </c>
      <c r="R72" s="21" t="s">
        <v>538</v>
      </c>
      <c r="S72" s="21" t="s">
        <v>2976</v>
      </c>
      <c r="T72" s="21" t="s">
        <v>4167</v>
      </c>
      <c r="W72" s="21" t="s">
        <v>1533</v>
      </c>
      <c r="X72" s="21" t="s">
        <v>617</v>
      </c>
      <c r="Y72" s="21" t="s">
        <v>5182</v>
      </c>
      <c r="Z72" s="21" t="s">
        <v>1608</v>
      </c>
      <c r="AA72" s="21" t="s">
        <v>4121</v>
      </c>
    </row>
    <row r="73" spans="2:27" x14ac:dyDescent="0.25">
      <c r="B73" s="21" t="s">
        <v>2411</v>
      </c>
      <c r="E73" s="21" t="s">
        <v>5388</v>
      </c>
      <c r="F73" s="21" t="s">
        <v>4416</v>
      </c>
      <c r="H73" s="21" t="s">
        <v>1760</v>
      </c>
      <c r="I73" s="21" t="s">
        <v>2657</v>
      </c>
      <c r="J73" s="21" t="s">
        <v>4702</v>
      </c>
      <c r="K73" s="21" t="s">
        <v>3209</v>
      </c>
      <c r="L73" s="21" t="s">
        <v>3137</v>
      </c>
      <c r="M73" s="21" t="s">
        <v>2819</v>
      </c>
      <c r="N73" s="21" t="s">
        <v>4033</v>
      </c>
      <c r="O73" s="21" t="s">
        <v>1937</v>
      </c>
      <c r="P73" s="21" t="s">
        <v>2248</v>
      </c>
      <c r="Q73" s="21" t="s">
        <v>4676</v>
      </c>
      <c r="R73" s="21" t="s">
        <v>283</v>
      </c>
      <c r="S73" s="21" t="s">
        <v>1894</v>
      </c>
      <c r="T73" s="21" t="s">
        <v>4854</v>
      </c>
      <c r="W73" s="21" t="s">
        <v>2953</v>
      </c>
      <c r="X73" s="21" t="s">
        <v>1049</v>
      </c>
      <c r="Y73" s="21" t="s">
        <v>4929</v>
      </c>
      <c r="Z73" s="21" t="s">
        <v>3062</v>
      </c>
      <c r="AA73" s="21" t="s">
        <v>4766</v>
      </c>
    </row>
    <row r="74" spans="2:27" x14ac:dyDescent="0.25">
      <c r="B74" s="21" t="s">
        <v>5156</v>
      </c>
      <c r="E74" s="21" t="s">
        <v>2177</v>
      </c>
      <c r="F74" s="21" t="s">
        <v>4158</v>
      </c>
      <c r="H74" s="21" t="s">
        <v>721</v>
      </c>
      <c r="I74" s="21" t="s">
        <v>2332</v>
      </c>
      <c r="J74" s="21" t="s">
        <v>4725</v>
      </c>
      <c r="K74" s="21" t="s">
        <v>418</v>
      </c>
      <c r="L74" s="21" t="s">
        <v>3217</v>
      </c>
      <c r="M74" s="21" t="s">
        <v>4663</v>
      </c>
      <c r="N74" s="21" t="s">
        <v>4003</v>
      </c>
      <c r="O74" s="21" t="s">
        <v>5212</v>
      </c>
      <c r="P74" s="21" t="s">
        <v>5419</v>
      </c>
      <c r="Q74" s="21" t="s">
        <v>4478</v>
      </c>
      <c r="R74" s="21" t="s">
        <v>3491</v>
      </c>
      <c r="S74" s="21" t="s">
        <v>1808</v>
      </c>
      <c r="T74" s="21" t="s">
        <v>4015</v>
      </c>
      <c r="W74" s="21" t="s">
        <v>1557</v>
      </c>
      <c r="X74" s="21" t="s">
        <v>1015</v>
      </c>
      <c r="Y74" s="21" t="s">
        <v>1684</v>
      </c>
      <c r="Z74" s="21" t="s">
        <v>3721</v>
      </c>
      <c r="AA74" s="21" t="s">
        <v>5057</v>
      </c>
    </row>
    <row r="75" spans="2:27" x14ac:dyDescent="0.25">
      <c r="B75" s="21" t="s">
        <v>4843</v>
      </c>
      <c r="E75" s="21" t="s">
        <v>2818</v>
      </c>
      <c r="F75" s="21" t="s">
        <v>4499</v>
      </c>
      <c r="H75" s="21" t="s">
        <v>3408</v>
      </c>
      <c r="I75" s="21" t="s">
        <v>2535</v>
      </c>
      <c r="J75" s="21" t="s">
        <v>4783</v>
      </c>
      <c r="K75" s="21" t="s">
        <v>3272</v>
      </c>
      <c r="L75" s="21" t="s">
        <v>2221</v>
      </c>
      <c r="M75" s="21" t="s">
        <v>4745</v>
      </c>
      <c r="N75" s="21" t="s">
        <v>5948</v>
      </c>
      <c r="O75" s="21" t="s">
        <v>1888</v>
      </c>
      <c r="P75" s="21" t="s">
        <v>2127</v>
      </c>
      <c r="Q75" s="21" t="s">
        <v>5374</v>
      </c>
      <c r="R75" s="21" t="s">
        <v>3110</v>
      </c>
      <c r="S75" s="21" t="s">
        <v>1767</v>
      </c>
      <c r="T75" s="21" t="s">
        <v>4990</v>
      </c>
      <c r="W75" s="21" t="s">
        <v>1385</v>
      </c>
      <c r="X75" s="21" t="s">
        <v>927</v>
      </c>
      <c r="Y75" s="21" t="s">
        <v>2330</v>
      </c>
      <c r="Z75" s="21" t="s">
        <v>3686</v>
      </c>
      <c r="AA75" s="21" t="s">
        <v>3954</v>
      </c>
    </row>
    <row r="76" spans="2:27" x14ac:dyDescent="0.25">
      <c r="B76" s="21" t="s">
        <v>2050</v>
      </c>
      <c r="E76" s="21" t="s">
        <v>2375</v>
      </c>
      <c r="F76" s="21" t="s">
        <v>4134</v>
      </c>
      <c r="H76" s="21" t="s">
        <v>1679</v>
      </c>
      <c r="I76" s="21" t="s">
        <v>2140</v>
      </c>
      <c r="J76" s="21" t="s">
        <v>3922</v>
      </c>
      <c r="K76" s="21" t="s">
        <v>2433</v>
      </c>
      <c r="L76" s="21" t="s">
        <v>3133</v>
      </c>
      <c r="M76" s="21" t="s">
        <v>5474</v>
      </c>
      <c r="N76" s="21" t="s">
        <v>4012</v>
      </c>
      <c r="O76" s="21" t="s">
        <v>1965</v>
      </c>
      <c r="P76" s="21" t="s">
        <v>5174</v>
      </c>
      <c r="Q76" s="21" t="s">
        <v>4297</v>
      </c>
      <c r="R76" s="21" t="s">
        <v>646</v>
      </c>
      <c r="S76" s="21" t="s">
        <v>3239</v>
      </c>
      <c r="T76" s="21" t="s">
        <v>4359</v>
      </c>
      <c r="W76" s="21" t="s">
        <v>1470</v>
      </c>
      <c r="X76" s="21" t="s">
        <v>951</v>
      </c>
      <c r="Y76" s="21" t="s">
        <v>2374</v>
      </c>
      <c r="Z76" s="21" t="s">
        <v>644</v>
      </c>
      <c r="AA76" s="21" t="s">
        <v>4734</v>
      </c>
    </row>
    <row r="77" spans="2:27" x14ac:dyDescent="0.25">
      <c r="B77" s="21" t="s">
        <v>2260</v>
      </c>
      <c r="E77" s="21" t="s">
        <v>1674</v>
      </c>
      <c r="F77" s="21" t="s">
        <v>4979</v>
      </c>
      <c r="H77" s="21" t="s">
        <v>2237</v>
      </c>
      <c r="I77" s="21" t="s">
        <v>2490</v>
      </c>
      <c r="J77" s="21" t="s">
        <v>4764</v>
      </c>
      <c r="K77" s="21" t="s">
        <v>419</v>
      </c>
      <c r="L77" s="21" t="s">
        <v>3148</v>
      </c>
      <c r="M77" s="21" t="s">
        <v>4723</v>
      </c>
      <c r="N77" s="21" t="s">
        <v>3893</v>
      </c>
      <c r="O77" s="21" t="s">
        <v>5224</v>
      </c>
      <c r="P77" s="21" t="s">
        <v>2343</v>
      </c>
      <c r="Q77" s="21" t="s">
        <v>4515</v>
      </c>
      <c r="R77" s="21" t="s">
        <v>602</v>
      </c>
      <c r="S77" s="21" t="s">
        <v>3177</v>
      </c>
      <c r="T77" s="21" t="s">
        <v>4361</v>
      </c>
      <c r="W77" s="21" t="s">
        <v>2911</v>
      </c>
      <c r="X77" s="21" t="s">
        <v>362</v>
      </c>
      <c r="Z77" s="21" t="s">
        <v>3563</v>
      </c>
      <c r="AA77" s="21" t="s">
        <v>4259</v>
      </c>
    </row>
    <row r="78" spans="2:27" x14ac:dyDescent="0.25">
      <c r="B78" s="21" t="s">
        <v>2844</v>
      </c>
      <c r="E78" s="21" t="s">
        <v>3285</v>
      </c>
      <c r="F78" s="21" t="s">
        <v>586</v>
      </c>
      <c r="H78" s="21" t="s">
        <v>1877</v>
      </c>
      <c r="I78" s="21" t="s">
        <v>2613</v>
      </c>
      <c r="J78" s="21" t="s">
        <v>4747</v>
      </c>
      <c r="K78" s="21" t="s">
        <v>420</v>
      </c>
      <c r="L78" s="21" t="s">
        <v>2159</v>
      </c>
      <c r="M78" s="21" t="s">
        <v>5483</v>
      </c>
      <c r="N78" s="21" t="s">
        <v>4149</v>
      </c>
      <c r="O78" s="21" t="s">
        <v>2114</v>
      </c>
      <c r="P78" s="21" t="s">
        <v>3876</v>
      </c>
      <c r="Q78" s="21" t="s">
        <v>5400</v>
      </c>
      <c r="R78" s="21" t="s">
        <v>632</v>
      </c>
      <c r="S78" s="21" t="s">
        <v>547</v>
      </c>
      <c r="T78" s="21" t="s">
        <v>4367</v>
      </c>
      <c r="W78" s="21" t="s">
        <v>1238</v>
      </c>
      <c r="X78" s="21" t="s">
        <v>1155</v>
      </c>
      <c r="Z78" s="21" t="s">
        <v>3524</v>
      </c>
      <c r="AA78" s="21" t="s">
        <v>4235</v>
      </c>
    </row>
    <row r="79" spans="2:27" x14ac:dyDescent="0.25">
      <c r="B79" s="21" t="s">
        <v>2415</v>
      </c>
      <c r="E79" s="21" t="s">
        <v>2176</v>
      </c>
      <c r="F79" s="21" t="s">
        <v>2944</v>
      </c>
      <c r="H79" s="21" t="s">
        <v>3175</v>
      </c>
      <c r="I79" s="21" t="s">
        <v>2405</v>
      </c>
      <c r="J79" s="21" t="s">
        <v>4721</v>
      </c>
      <c r="K79" s="21" t="s">
        <v>1983</v>
      </c>
      <c r="L79" s="21" t="s">
        <v>3371</v>
      </c>
      <c r="M79" s="21" t="s">
        <v>4817</v>
      </c>
      <c r="N79" s="21" t="s">
        <v>4213</v>
      </c>
      <c r="O79" s="21" t="s">
        <v>2056</v>
      </c>
      <c r="P79" s="21" t="s">
        <v>2264</v>
      </c>
      <c r="Q79" s="21" t="s">
        <v>4581</v>
      </c>
      <c r="R79" s="21" t="s">
        <v>3070</v>
      </c>
      <c r="S79" s="21" t="s">
        <v>2909</v>
      </c>
      <c r="T79" s="21" t="s">
        <v>4144</v>
      </c>
      <c r="W79" s="21" t="s">
        <v>1130</v>
      </c>
      <c r="X79" s="21" t="s">
        <v>1416</v>
      </c>
      <c r="Z79" s="21" t="s">
        <v>691</v>
      </c>
      <c r="AA79" s="21" t="s">
        <v>4706</v>
      </c>
    </row>
    <row r="80" spans="2:27" x14ac:dyDescent="0.25">
      <c r="B80" s="21" t="s">
        <v>4899</v>
      </c>
      <c r="E80" s="21" t="s">
        <v>4957</v>
      </c>
      <c r="F80" s="21" t="s">
        <v>4500</v>
      </c>
      <c r="I80" s="21" t="s">
        <v>5431</v>
      </c>
      <c r="J80" s="21" t="s">
        <v>4780</v>
      </c>
      <c r="K80" s="21" t="s">
        <v>3731</v>
      </c>
      <c r="L80" s="21" t="s">
        <v>3158</v>
      </c>
      <c r="M80" s="21" t="s">
        <v>4752</v>
      </c>
      <c r="N80" s="21" t="s">
        <v>4099</v>
      </c>
      <c r="O80" s="21" t="s">
        <v>4335</v>
      </c>
      <c r="P80" s="21" t="s">
        <v>2482</v>
      </c>
      <c r="Q80" s="21" t="s">
        <v>4555</v>
      </c>
      <c r="R80" s="21" t="s">
        <v>1377</v>
      </c>
      <c r="S80" s="21" t="s">
        <v>272</v>
      </c>
      <c r="T80" s="21" t="s">
        <v>4355</v>
      </c>
      <c r="W80" s="21" t="s">
        <v>1126</v>
      </c>
      <c r="X80" s="21" t="s">
        <v>1390</v>
      </c>
      <c r="Z80" s="21" t="s">
        <v>1589</v>
      </c>
      <c r="AA80" s="21" t="s">
        <v>5004</v>
      </c>
    </row>
    <row r="81" spans="2:27" x14ac:dyDescent="0.25">
      <c r="B81" s="21" t="s">
        <v>4903</v>
      </c>
      <c r="E81" s="21" t="s">
        <v>2530</v>
      </c>
      <c r="F81" s="21" t="s">
        <v>5253</v>
      </c>
      <c r="I81" s="21" t="s">
        <v>4052</v>
      </c>
      <c r="J81" s="21" t="s">
        <v>4771</v>
      </c>
      <c r="K81" s="21" t="s">
        <v>421</v>
      </c>
      <c r="M81" s="21" t="s">
        <v>4660</v>
      </c>
      <c r="N81" s="21" t="s">
        <v>4497</v>
      </c>
      <c r="O81" s="21" t="s">
        <v>2098</v>
      </c>
      <c r="P81" s="21" t="s">
        <v>3869</v>
      </c>
      <c r="Q81" s="21" t="s">
        <v>5365</v>
      </c>
      <c r="R81" s="21" t="s">
        <v>277</v>
      </c>
      <c r="S81" s="21" t="s">
        <v>548</v>
      </c>
      <c r="T81" s="21" t="s">
        <v>4372</v>
      </c>
      <c r="W81" s="21" t="s">
        <v>1453</v>
      </c>
      <c r="X81" s="21" t="s">
        <v>1200</v>
      </c>
      <c r="Z81" s="21" t="s">
        <v>883</v>
      </c>
      <c r="AA81" s="21" t="s">
        <v>4656</v>
      </c>
    </row>
    <row r="82" spans="2:27" x14ac:dyDescent="0.25">
      <c r="B82" s="21" t="s">
        <v>4871</v>
      </c>
      <c r="E82" s="21" t="s">
        <v>5033</v>
      </c>
      <c r="F82" s="21" t="s">
        <v>4433</v>
      </c>
      <c r="I82" s="21" t="s">
        <v>2853</v>
      </c>
      <c r="J82" s="21" t="s">
        <v>4439</v>
      </c>
      <c r="K82" s="21" t="s">
        <v>422</v>
      </c>
      <c r="M82" s="21" t="s">
        <v>3001</v>
      </c>
      <c r="N82" s="21" t="s">
        <v>4175</v>
      </c>
      <c r="O82" s="21" t="s">
        <v>5015</v>
      </c>
      <c r="P82" s="21" t="s">
        <v>2357</v>
      </c>
      <c r="Q82" s="21" t="s">
        <v>4495</v>
      </c>
      <c r="R82" s="21" t="s">
        <v>1407</v>
      </c>
      <c r="S82" s="21" t="s">
        <v>1659</v>
      </c>
      <c r="T82" s="21" t="s">
        <v>4371</v>
      </c>
      <c r="W82" s="21" t="s">
        <v>1273</v>
      </c>
      <c r="X82" s="21" t="s">
        <v>1215</v>
      </c>
      <c r="Z82" s="21" t="s">
        <v>738</v>
      </c>
      <c r="AA82" s="21" t="s">
        <v>3451</v>
      </c>
    </row>
    <row r="83" spans="2:27" x14ac:dyDescent="0.25">
      <c r="B83" s="21" t="s">
        <v>2354</v>
      </c>
      <c r="E83" s="21" t="s">
        <v>2007</v>
      </c>
      <c r="F83" s="21" t="s">
        <v>4447</v>
      </c>
      <c r="I83" s="21" t="s">
        <v>2586</v>
      </c>
      <c r="J83" s="21" t="s">
        <v>4094</v>
      </c>
      <c r="K83" s="21" t="s">
        <v>2505</v>
      </c>
      <c r="M83" s="21" t="s">
        <v>4697</v>
      </c>
      <c r="N83" s="21" t="s">
        <v>4050</v>
      </c>
      <c r="O83" s="21" t="s">
        <v>4937</v>
      </c>
      <c r="P83" s="21" t="s">
        <v>2253</v>
      </c>
      <c r="Q83" s="21" t="s">
        <v>5376</v>
      </c>
      <c r="R83" s="21" t="s">
        <v>1971</v>
      </c>
      <c r="S83" s="21" t="s">
        <v>2964</v>
      </c>
      <c r="T83" s="21" t="s">
        <v>3953</v>
      </c>
      <c r="W83" s="21" t="s">
        <v>1036</v>
      </c>
      <c r="X83" s="21" t="s">
        <v>1163</v>
      </c>
      <c r="Z83" s="21" t="s">
        <v>3860</v>
      </c>
      <c r="AA83" s="21" t="s">
        <v>1874</v>
      </c>
    </row>
    <row r="84" spans="2:27" x14ac:dyDescent="0.25">
      <c r="B84" s="21" t="s">
        <v>5197</v>
      </c>
      <c r="E84" s="21" t="s">
        <v>2070</v>
      </c>
      <c r="F84" s="21" t="s">
        <v>4026</v>
      </c>
      <c r="I84" s="21" t="s">
        <v>2621</v>
      </c>
      <c r="J84" s="21" t="s">
        <v>4788</v>
      </c>
      <c r="K84" s="21" t="s">
        <v>1903</v>
      </c>
      <c r="M84" s="21" t="s">
        <v>5507</v>
      </c>
      <c r="N84" s="21" t="s">
        <v>4902</v>
      </c>
      <c r="O84" s="21" t="s">
        <v>1987</v>
      </c>
      <c r="P84" s="21" t="s">
        <v>5473</v>
      </c>
      <c r="Q84" s="21" t="s">
        <v>5088</v>
      </c>
      <c r="R84" s="21" t="s">
        <v>3128</v>
      </c>
      <c r="S84" s="21" t="s">
        <v>2927</v>
      </c>
      <c r="T84" s="21" t="s">
        <v>4326</v>
      </c>
      <c r="W84" s="21" t="s">
        <v>996</v>
      </c>
      <c r="X84" s="21" t="s">
        <v>1032</v>
      </c>
      <c r="Z84" s="21" t="s">
        <v>3330</v>
      </c>
      <c r="AA84" s="21" t="s">
        <v>4264</v>
      </c>
    </row>
    <row r="85" spans="2:27" x14ac:dyDescent="0.25">
      <c r="B85" s="21" t="s">
        <v>4838</v>
      </c>
      <c r="E85" s="21" t="s">
        <v>5014</v>
      </c>
      <c r="F85" s="21" t="s">
        <v>4187</v>
      </c>
      <c r="I85" s="21" t="s">
        <v>2461</v>
      </c>
      <c r="J85" s="21" t="s">
        <v>4662</v>
      </c>
      <c r="K85" s="21" t="s">
        <v>718</v>
      </c>
      <c r="M85" s="21" t="s">
        <v>5511</v>
      </c>
      <c r="N85" s="21" t="s">
        <v>4088</v>
      </c>
      <c r="O85" s="21" t="s">
        <v>5210</v>
      </c>
      <c r="P85" s="21" t="s">
        <v>2113</v>
      </c>
      <c r="Q85" s="21" t="s">
        <v>5418</v>
      </c>
      <c r="R85" s="21" t="s">
        <v>299</v>
      </c>
      <c r="S85" s="21" t="s">
        <v>3150</v>
      </c>
      <c r="T85" s="21" t="s">
        <v>4925</v>
      </c>
      <c r="W85" s="21" t="s">
        <v>1294</v>
      </c>
      <c r="X85" s="21" t="s">
        <v>1201</v>
      </c>
      <c r="Z85" s="21" t="s">
        <v>2100</v>
      </c>
      <c r="AA85" s="21" t="s">
        <v>4666</v>
      </c>
    </row>
    <row r="86" spans="2:27" x14ac:dyDescent="0.25">
      <c r="B86" s="21" t="s">
        <v>1717</v>
      </c>
      <c r="E86" s="21" t="s">
        <v>2292</v>
      </c>
      <c r="F86" s="21" t="s">
        <v>4181</v>
      </c>
      <c r="I86" s="21" t="s">
        <v>2428</v>
      </c>
      <c r="J86" s="21" t="s">
        <v>3956</v>
      </c>
      <c r="K86" s="21" t="s">
        <v>423</v>
      </c>
      <c r="M86" s="21" t="s">
        <v>5462</v>
      </c>
      <c r="N86" s="21" t="s">
        <v>4133</v>
      </c>
      <c r="O86" s="21" t="s">
        <v>4962</v>
      </c>
      <c r="P86" s="21" t="s">
        <v>2376</v>
      </c>
      <c r="Q86" s="21" t="s">
        <v>5393</v>
      </c>
      <c r="R86" s="21" t="s">
        <v>301</v>
      </c>
      <c r="S86" s="21" t="s">
        <v>288</v>
      </c>
      <c r="T86" s="21" t="s">
        <v>4012</v>
      </c>
      <c r="W86" s="21" t="s">
        <v>966</v>
      </c>
      <c r="X86" s="21" t="s">
        <v>1005</v>
      </c>
      <c r="Z86" s="21" t="s">
        <v>842</v>
      </c>
      <c r="AA86" s="21" t="s">
        <v>4211</v>
      </c>
    </row>
    <row r="87" spans="2:27" x14ac:dyDescent="0.25">
      <c r="B87" s="21" t="s">
        <v>2439</v>
      </c>
      <c r="E87" s="21" t="s">
        <v>4850</v>
      </c>
      <c r="F87" s="21" t="s">
        <v>3949</v>
      </c>
      <c r="I87" s="21" t="s">
        <v>5372</v>
      </c>
      <c r="J87" s="21" t="s">
        <v>5141</v>
      </c>
      <c r="K87" s="21" t="s">
        <v>390</v>
      </c>
      <c r="M87" s="21" t="s">
        <v>4795</v>
      </c>
      <c r="N87" s="21" t="s">
        <v>5044</v>
      </c>
      <c r="O87" s="21" t="s">
        <v>1859</v>
      </c>
      <c r="P87" s="21" t="s">
        <v>4916</v>
      </c>
      <c r="Q87" s="21" t="s">
        <v>5267</v>
      </c>
      <c r="R87" s="21" t="s">
        <v>3094</v>
      </c>
      <c r="S87" s="21" t="s">
        <v>549</v>
      </c>
      <c r="T87" s="21" t="s">
        <v>1715</v>
      </c>
      <c r="W87" s="21" t="s">
        <v>990</v>
      </c>
      <c r="X87" s="21" t="s">
        <v>1240</v>
      </c>
      <c r="Z87" s="21" t="s">
        <v>2557</v>
      </c>
      <c r="AA87" s="21" t="s">
        <v>4311</v>
      </c>
    </row>
    <row r="88" spans="2:27" x14ac:dyDescent="0.25">
      <c r="B88" s="21" t="s">
        <v>2416</v>
      </c>
      <c r="E88" s="21" t="s">
        <v>1709</v>
      </c>
      <c r="F88" s="21" t="s">
        <v>5949</v>
      </c>
      <c r="I88" s="21" t="s">
        <v>2753</v>
      </c>
      <c r="J88" s="21" t="s">
        <v>3933</v>
      </c>
      <c r="K88" s="21" t="s">
        <v>2494</v>
      </c>
      <c r="M88" s="21" t="s">
        <v>4567</v>
      </c>
      <c r="N88" s="21" t="s">
        <v>4241</v>
      </c>
      <c r="O88" s="21" t="s">
        <v>4334</v>
      </c>
      <c r="P88" s="21" t="s">
        <v>4834</v>
      </c>
      <c r="Q88" s="21" t="s">
        <v>5296</v>
      </c>
      <c r="R88" s="21" t="s">
        <v>577</v>
      </c>
      <c r="S88" s="21" t="s">
        <v>253</v>
      </c>
      <c r="T88" s="21" t="s">
        <v>4991</v>
      </c>
      <c r="W88" s="21" t="s">
        <v>1263</v>
      </c>
      <c r="X88" s="21" t="s">
        <v>256</v>
      </c>
      <c r="Z88" s="21" t="s">
        <v>893</v>
      </c>
      <c r="AA88" s="21" t="s">
        <v>2000</v>
      </c>
    </row>
    <row r="89" spans="2:27" x14ac:dyDescent="0.25">
      <c r="B89" s="21" t="s">
        <v>4967</v>
      </c>
      <c r="E89" s="21" t="s">
        <v>5371</v>
      </c>
      <c r="F89" s="21" t="s">
        <v>4945</v>
      </c>
      <c r="I89" s="21" t="s">
        <v>2150</v>
      </c>
      <c r="J89" s="21" t="s">
        <v>4549</v>
      </c>
      <c r="K89" s="21" t="s">
        <v>2558</v>
      </c>
      <c r="M89" s="21" t="s">
        <v>5505</v>
      </c>
      <c r="N89" s="21" t="s">
        <v>4638</v>
      </c>
      <c r="O89" s="21" t="s">
        <v>4845</v>
      </c>
      <c r="P89" s="21" t="s">
        <v>5172</v>
      </c>
      <c r="Q89" s="21" t="s">
        <v>5302</v>
      </c>
      <c r="R89" s="21" t="s">
        <v>614</v>
      </c>
      <c r="S89" s="21" t="s">
        <v>550</v>
      </c>
      <c r="T89" s="21" t="s">
        <v>4145</v>
      </c>
      <c r="W89" s="21" t="s">
        <v>949</v>
      </c>
      <c r="X89" s="21" t="s">
        <v>270</v>
      </c>
      <c r="Z89" s="21" t="s">
        <v>3781</v>
      </c>
      <c r="AA89" s="21" t="s">
        <v>4718</v>
      </c>
    </row>
    <row r="90" spans="2:27" x14ac:dyDescent="0.25">
      <c r="B90" s="21" t="s">
        <v>2382</v>
      </c>
      <c r="E90" s="21" t="s">
        <v>5139</v>
      </c>
      <c r="F90" s="21" t="s">
        <v>4203</v>
      </c>
      <c r="I90" s="21" t="s">
        <v>2188</v>
      </c>
      <c r="J90" s="21" t="s">
        <v>4665</v>
      </c>
      <c r="K90" s="21" t="s">
        <v>754</v>
      </c>
      <c r="M90" s="21" t="s">
        <v>4643</v>
      </c>
      <c r="N90" s="21" t="s">
        <v>4570</v>
      </c>
      <c r="O90" s="21" t="s">
        <v>1591</v>
      </c>
      <c r="P90" s="21" t="s">
        <v>4839</v>
      </c>
      <c r="Q90" s="21" t="s">
        <v>5328</v>
      </c>
      <c r="R90" s="21" t="s">
        <v>2994</v>
      </c>
      <c r="S90" s="21" t="s">
        <v>2106</v>
      </c>
      <c r="T90" s="21" t="s">
        <v>3903</v>
      </c>
      <c r="W90" s="21" t="s">
        <v>5950</v>
      </c>
      <c r="X90" s="21" t="s">
        <v>1159</v>
      </c>
      <c r="Z90" s="21" t="s">
        <v>3766</v>
      </c>
      <c r="AA90" s="21" t="s">
        <v>1463</v>
      </c>
    </row>
    <row r="91" spans="2:27" x14ac:dyDescent="0.25">
      <c r="B91" s="21" t="s">
        <v>5227</v>
      </c>
      <c r="E91" s="21" t="s">
        <v>1863</v>
      </c>
      <c r="F91" s="21" t="s">
        <v>4061</v>
      </c>
      <c r="I91" s="21" t="s">
        <v>2658</v>
      </c>
      <c r="J91" s="21" t="s">
        <v>4709</v>
      </c>
      <c r="K91" s="21" t="s">
        <v>424</v>
      </c>
      <c r="M91" s="21" t="s">
        <v>2880</v>
      </c>
      <c r="N91" s="21" t="s">
        <v>4116</v>
      </c>
      <c r="O91" s="21" t="s">
        <v>4028</v>
      </c>
      <c r="P91" s="21" t="s">
        <v>2654</v>
      </c>
      <c r="Q91" s="21" t="s">
        <v>5035</v>
      </c>
      <c r="R91" s="21" t="s">
        <v>306</v>
      </c>
      <c r="S91" s="21" t="s">
        <v>3226</v>
      </c>
      <c r="T91" s="21" t="s">
        <v>5327</v>
      </c>
      <c r="W91" s="21" t="s">
        <v>1123</v>
      </c>
      <c r="X91" s="21" t="s">
        <v>26</v>
      </c>
      <c r="Z91" s="21" t="s">
        <v>3643</v>
      </c>
      <c r="AA91" s="21" t="s">
        <v>4227</v>
      </c>
    </row>
    <row r="92" spans="2:27" x14ac:dyDescent="0.25">
      <c r="B92" s="21" t="s">
        <v>4952</v>
      </c>
      <c r="E92" s="21" t="s">
        <v>2841</v>
      </c>
      <c r="F92" s="21" t="s">
        <v>4476</v>
      </c>
      <c r="I92" s="21" t="s">
        <v>2739</v>
      </c>
      <c r="J92" s="21" t="s">
        <v>4222</v>
      </c>
      <c r="K92" s="21" t="s">
        <v>2514</v>
      </c>
      <c r="M92" s="21" t="s">
        <v>3947</v>
      </c>
      <c r="N92" s="21" t="s">
        <v>5951</v>
      </c>
      <c r="O92" s="21" t="s">
        <v>1939</v>
      </c>
      <c r="P92" s="21" t="s">
        <v>4775</v>
      </c>
      <c r="Q92" s="21" t="s">
        <v>4577</v>
      </c>
      <c r="R92" s="21" t="s">
        <v>1542</v>
      </c>
      <c r="S92" s="21" t="s">
        <v>3059</v>
      </c>
      <c r="T92" s="21" t="s">
        <v>5952</v>
      </c>
      <c r="W92" s="21" t="s">
        <v>1354</v>
      </c>
      <c r="X92" s="21" t="s">
        <v>943</v>
      </c>
      <c r="Z92" s="21" t="s">
        <v>3637</v>
      </c>
      <c r="AA92" s="21" t="s">
        <v>4824</v>
      </c>
    </row>
    <row r="93" spans="2:27" x14ac:dyDescent="0.25">
      <c r="B93" s="21" t="s">
        <v>5208</v>
      </c>
      <c r="E93" s="21" t="s">
        <v>1738</v>
      </c>
      <c r="F93" s="21" t="s">
        <v>5100</v>
      </c>
      <c r="I93" s="21" t="s">
        <v>2531</v>
      </c>
      <c r="J93" s="21" t="s">
        <v>4418</v>
      </c>
      <c r="K93" s="21" t="s">
        <v>425</v>
      </c>
      <c r="M93" s="21" t="s">
        <v>4794</v>
      </c>
      <c r="N93" s="21" t="s">
        <v>4089</v>
      </c>
      <c r="O93" s="21" t="s">
        <v>4057</v>
      </c>
      <c r="P93" s="21" t="s">
        <v>1658</v>
      </c>
      <c r="Q93" s="21" t="s">
        <v>5345</v>
      </c>
      <c r="R93" s="21" t="s">
        <v>3018</v>
      </c>
      <c r="S93" s="21" t="s">
        <v>3318</v>
      </c>
      <c r="T93" s="21" t="s">
        <v>372</v>
      </c>
      <c r="W93" s="21" t="s">
        <v>1469</v>
      </c>
      <c r="X93" s="21" t="s">
        <v>3044</v>
      </c>
      <c r="Z93" s="21" t="s">
        <v>823</v>
      </c>
      <c r="AA93" s="21" t="s">
        <v>5478</v>
      </c>
    </row>
    <row r="94" spans="2:27" x14ac:dyDescent="0.25">
      <c r="B94" s="21" t="s">
        <v>5230</v>
      </c>
      <c r="E94" s="21" t="s">
        <v>2468</v>
      </c>
      <c r="F94" s="21" t="s">
        <v>5123</v>
      </c>
      <c r="I94" s="21" t="s">
        <v>2155</v>
      </c>
      <c r="J94" s="21" t="s">
        <v>4424</v>
      </c>
      <c r="K94" s="21" t="s">
        <v>1703</v>
      </c>
      <c r="M94" s="21" t="s">
        <v>2840</v>
      </c>
      <c r="N94" s="21" t="s">
        <v>4700</v>
      </c>
      <c r="O94" s="21" t="s">
        <v>4341</v>
      </c>
      <c r="P94" s="21" t="s">
        <v>2303</v>
      </c>
      <c r="Q94" s="21" t="s">
        <v>4530</v>
      </c>
      <c r="R94" s="21" t="s">
        <v>1251</v>
      </c>
      <c r="T94" s="21" t="s">
        <v>4353</v>
      </c>
      <c r="W94" s="21" t="s">
        <v>1360</v>
      </c>
      <c r="X94" s="21" t="s">
        <v>1450</v>
      </c>
      <c r="Z94" s="21" t="s">
        <v>3831</v>
      </c>
      <c r="AA94" s="21" t="s">
        <v>5056</v>
      </c>
    </row>
    <row r="95" spans="2:27" x14ac:dyDescent="0.25">
      <c r="B95" s="21" t="s">
        <v>2601</v>
      </c>
      <c r="E95" s="21" t="s">
        <v>2431</v>
      </c>
      <c r="F95" s="21" t="s">
        <v>5127</v>
      </c>
      <c r="I95" s="21" t="s">
        <v>5377</v>
      </c>
      <c r="J95" s="21" t="s">
        <v>4775</v>
      </c>
      <c r="K95" s="21" t="s">
        <v>2852</v>
      </c>
      <c r="M95" s="21" t="s">
        <v>5467</v>
      </c>
      <c r="N95" s="21" t="s">
        <v>4274</v>
      </c>
      <c r="O95" s="21" t="s">
        <v>4833</v>
      </c>
      <c r="P95" s="21" t="s">
        <v>294</v>
      </c>
      <c r="Q95" s="21" t="s">
        <v>4169</v>
      </c>
      <c r="R95" s="21" t="s">
        <v>3016</v>
      </c>
      <c r="T95" s="21" t="s">
        <v>4299</v>
      </c>
      <c r="W95" s="21" t="s">
        <v>1118</v>
      </c>
      <c r="X95" s="21" t="s">
        <v>1140</v>
      </c>
      <c r="Z95" s="21" t="s">
        <v>3746</v>
      </c>
      <c r="AA95" s="21" t="s">
        <v>4826</v>
      </c>
    </row>
    <row r="96" spans="2:27" x14ac:dyDescent="0.25">
      <c r="B96" s="21" t="s">
        <v>4827</v>
      </c>
      <c r="E96" s="21" t="s">
        <v>5147</v>
      </c>
      <c r="F96" s="21" t="s">
        <v>4250</v>
      </c>
      <c r="I96" s="21" t="s">
        <v>2611</v>
      </c>
      <c r="J96" s="21" t="s">
        <v>4242</v>
      </c>
      <c r="K96" s="21" t="s">
        <v>720</v>
      </c>
      <c r="M96" s="21" t="s">
        <v>5501</v>
      </c>
      <c r="N96" s="21" t="s">
        <v>3874</v>
      </c>
      <c r="O96" s="21" t="s">
        <v>5953</v>
      </c>
      <c r="P96" s="21" t="s">
        <v>1741</v>
      </c>
      <c r="Q96" s="21" t="s">
        <v>5373</v>
      </c>
      <c r="R96" s="21" t="s">
        <v>539</v>
      </c>
      <c r="T96" s="21" t="s">
        <v>3875</v>
      </c>
      <c r="W96" s="21" t="s">
        <v>2912</v>
      </c>
      <c r="X96" s="21" t="s">
        <v>924</v>
      </c>
      <c r="Z96" s="21" t="s">
        <v>3759</v>
      </c>
      <c r="AA96" s="21" t="s">
        <v>5951</v>
      </c>
    </row>
    <row r="97" spans="2:27" x14ac:dyDescent="0.25">
      <c r="B97" s="21" t="s">
        <v>2424</v>
      </c>
      <c r="E97" s="21" t="s">
        <v>3337</v>
      </c>
      <c r="F97" s="21" t="s">
        <v>3264</v>
      </c>
      <c r="I97" s="21" t="s">
        <v>2645</v>
      </c>
      <c r="J97" s="21" t="s">
        <v>4683</v>
      </c>
      <c r="K97" s="21" t="s">
        <v>2436</v>
      </c>
      <c r="M97" s="21" t="s">
        <v>2821</v>
      </c>
      <c r="N97" s="21" t="s">
        <v>4031</v>
      </c>
      <c r="O97" s="21" t="s">
        <v>1967</v>
      </c>
      <c r="P97" s="21" t="s">
        <v>1737</v>
      </c>
      <c r="Q97" s="21" t="s">
        <v>5395</v>
      </c>
      <c r="R97" s="21" t="s">
        <v>357</v>
      </c>
      <c r="T97" s="21" t="s">
        <v>4389</v>
      </c>
      <c r="W97" s="21" t="s">
        <v>1102</v>
      </c>
      <c r="X97" s="21" t="s">
        <v>247</v>
      </c>
      <c r="Z97" s="21" t="s">
        <v>880</v>
      </c>
      <c r="AA97" s="21" t="s">
        <v>4785</v>
      </c>
    </row>
    <row r="98" spans="2:27" x14ac:dyDescent="0.25">
      <c r="B98" s="21" t="s">
        <v>5954</v>
      </c>
      <c r="E98" s="21" t="s">
        <v>5285</v>
      </c>
      <c r="F98" s="21" t="s">
        <v>5288</v>
      </c>
      <c r="I98" s="21" t="s">
        <v>4520</v>
      </c>
      <c r="J98" s="21" t="s">
        <v>4707</v>
      </c>
      <c r="K98" s="21" t="s">
        <v>426</v>
      </c>
      <c r="M98" s="21" t="s">
        <v>5354</v>
      </c>
      <c r="N98" s="21" t="s">
        <v>4064</v>
      </c>
      <c r="O98" s="21" t="s">
        <v>1955</v>
      </c>
      <c r="P98" s="21" t="s">
        <v>4844</v>
      </c>
      <c r="Q98" s="21" t="s">
        <v>4482</v>
      </c>
      <c r="R98" s="21" t="s">
        <v>3228</v>
      </c>
      <c r="T98" s="21" t="s">
        <v>2324</v>
      </c>
      <c r="W98" s="21" t="s">
        <v>1511</v>
      </c>
      <c r="X98" s="21" t="s">
        <v>297</v>
      </c>
      <c r="Z98" s="21" t="s">
        <v>742</v>
      </c>
      <c r="AA98" s="21" t="s">
        <v>4769</v>
      </c>
    </row>
    <row r="99" spans="2:27" x14ac:dyDescent="0.25">
      <c r="B99" s="21" t="s">
        <v>2239</v>
      </c>
      <c r="E99" s="21" t="s">
        <v>1997</v>
      </c>
      <c r="F99" s="21" t="s">
        <v>4063</v>
      </c>
      <c r="I99" s="21" t="s">
        <v>2527</v>
      </c>
      <c r="J99" s="21" t="s">
        <v>4046</v>
      </c>
      <c r="K99" s="21" t="s">
        <v>722</v>
      </c>
      <c r="M99" s="21" t="s">
        <v>4711</v>
      </c>
      <c r="N99" s="21" t="s">
        <v>4080</v>
      </c>
      <c r="O99" s="21" t="s">
        <v>1991</v>
      </c>
      <c r="P99" s="21" t="s">
        <v>4857</v>
      </c>
      <c r="Q99" s="21" t="s">
        <v>5329</v>
      </c>
      <c r="R99" s="21" t="s">
        <v>600</v>
      </c>
      <c r="T99" s="21" t="s">
        <v>1678</v>
      </c>
      <c r="W99" s="21" t="s">
        <v>1095</v>
      </c>
      <c r="X99" s="21" t="s">
        <v>2888</v>
      </c>
      <c r="Z99" s="21" t="s">
        <v>3469</v>
      </c>
      <c r="AA99" s="21" t="s">
        <v>5086</v>
      </c>
    </row>
    <row r="100" spans="2:27" x14ac:dyDescent="0.25">
      <c r="B100" s="21" t="s">
        <v>2380</v>
      </c>
      <c r="E100" s="21" t="s">
        <v>2719</v>
      </c>
      <c r="F100" s="21" t="s">
        <v>5095</v>
      </c>
      <c r="I100" s="21" t="s">
        <v>2528</v>
      </c>
      <c r="J100" s="21" t="s">
        <v>4597</v>
      </c>
      <c r="K100" s="21" t="s">
        <v>1885</v>
      </c>
      <c r="M100" s="21" t="s">
        <v>2600</v>
      </c>
      <c r="N100" s="21" t="s">
        <v>4035</v>
      </c>
      <c r="O100" s="21" t="s">
        <v>4829</v>
      </c>
      <c r="P100" s="21" t="s">
        <v>2235</v>
      </c>
      <c r="Q100" s="21" t="s">
        <v>4518</v>
      </c>
      <c r="R100" s="21" t="s">
        <v>5955</v>
      </c>
      <c r="T100" s="21" t="s">
        <v>4316</v>
      </c>
      <c r="W100" s="21" t="s">
        <v>1472</v>
      </c>
      <c r="X100" s="21" t="s">
        <v>1134</v>
      </c>
      <c r="Z100" s="21" t="s">
        <v>764</v>
      </c>
      <c r="AA100" s="21" t="s">
        <v>4502</v>
      </c>
    </row>
    <row r="101" spans="2:27" x14ac:dyDescent="0.25">
      <c r="B101" s="21" t="s">
        <v>5235</v>
      </c>
      <c r="E101" s="21" t="s">
        <v>1949</v>
      </c>
      <c r="F101" s="21" t="s">
        <v>5000</v>
      </c>
      <c r="I101" s="21" t="s">
        <v>2504</v>
      </c>
      <c r="J101" s="21" t="s">
        <v>4624</v>
      </c>
      <c r="K101" s="21" t="s">
        <v>2321</v>
      </c>
      <c r="M101" s="21" t="s">
        <v>5399</v>
      </c>
      <c r="N101" s="21" t="s">
        <v>4038</v>
      </c>
      <c r="O101" s="21" t="s">
        <v>5301</v>
      </c>
      <c r="P101" s="21" t="s">
        <v>1766</v>
      </c>
      <c r="Q101" s="21" t="s">
        <v>4949</v>
      </c>
      <c r="R101" s="21" t="s">
        <v>1555</v>
      </c>
      <c r="T101" s="21" t="s">
        <v>4331</v>
      </c>
      <c r="W101" s="21" t="s">
        <v>1527</v>
      </c>
      <c r="X101" s="21" t="s">
        <v>942</v>
      </c>
      <c r="Z101" s="21" t="s">
        <v>2998</v>
      </c>
      <c r="AA101" s="21" t="s">
        <v>4784</v>
      </c>
    </row>
    <row r="102" spans="2:27" x14ac:dyDescent="0.25">
      <c r="B102" s="21" t="s">
        <v>5239</v>
      </c>
      <c r="E102" s="21" t="s">
        <v>1908</v>
      </c>
      <c r="F102" s="21" t="s">
        <v>5282</v>
      </c>
      <c r="I102" s="21" t="s">
        <v>2616</v>
      </c>
      <c r="J102" s="21" t="s">
        <v>4632</v>
      </c>
      <c r="K102" s="21" t="s">
        <v>2067</v>
      </c>
      <c r="M102" s="21" t="s">
        <v>5510</v>
      </c>
      <c r="N102" s="21" t="s">
        <v>4107</v>
      </c>
      <c r="O102" s="21" t="s">
        <v>4345</v>
      </c>
      <c r="P102" s="21" t="s">
        <v>1946</v>
      </c>
      <c r="Q102" s="21" t="s">
        <v>5292</v>
      </c>
      <c r="R102" s="21" t="s">
        <v>3014</v>
      </c>
      <c r="T102" s="21" t="s">
        <v>4385</v>
      </c>
      <c r="W102" s="21" t="s">
        <v>1052</v>
      </c>
      <c r="X102" s="21" t="s">
        <v>987</v>
      </c>
      <c r="Z102" s="21" t="s">
        <v>3636</v>
      </c>
      <c r="AA102" s="21" t="s">
        <v>5104</v>
      </c>
    </row>
    <row r="103" spans="2:27" x14ac:dyDescent="0.25">
      <c r="B103" s="21" t="s">
        <v>537</v>
      </c>
      <c r="E103" s="21" t="s">
        <v>2116</v>
      </c>
      <c r="F103" s="21" t="s">
        <v>4601</v>
      </c>
      <c r="I103" s="21" t="s">
        <v>1915</v>
      </c>
      <c r="J103" s="21" t="s">
        <v>4604</v>
      </c>
      <c r="K103" s="21" t="s">
        <v>2772</v>
      </c>
      <c r="M103" s="21" t="s">
        <v>5509</v>
      </c>
      <c r="N103" s="21" t="s">
        <v>5054</v>
      </c>
      <c r="O103" s="21" t="s">
        <v>4114</v>
      </c>
      <c r="P103" s="21" t="s">
        <v>1752</v>
      </c>
      <c r="Q103" s="21" t="s">
        <v>4526</v>
      </c>
      <c r="R103" s="21" t="s">
        <v>3120</v>
      </c>
      <c r="T103" s="21" t="s">
        <v>3886</v>
      </c>
      <c r="W103" s="21" t="s">
        <v>2962</v>
      </c>
      <c r="X103" s="21" t="s">
        <v>995</v>
      </c>
      <c r="Z103" s="21" t="s">
        <v>556</v>
      </c>
      <c r="AA103" s="21" t="s">
        <v>4378</v>
      </c>
    </row>
    <row r="104" spans="2:27" x14ac:dyDescent="0.25">
      <c r="E104" s="21" t="s">
        <v>2103</v>
      </c>
      <c r="F104" s="21" t="s">
        <v>4465</v>
      </c>
      <c r="I104" s="21" t="s">
        <v>2816</v>
      </c>
      <c r="J104" s="21" t="s">
        <v>4659</v>
      </c>
      <c r="K104" s="21" t="s">
        <v>2682</v>
      </c>
      <c r="M104" s="21" t="s">
        <v>2876</v>
      </c>
      <c r="N104" s="21" t="s">
        <v>4572</v>
      </c>
      <c r="O104" s="21" t="s">
        <v>2090</v>
      </c>
      <c r="P104" s="21" t="s">
        <v>1645</v>
      </c>
      <c r="Q104" s="21" t="s">
        <v>5430</v>
      </c>
      <c r="R104" s="21" t="s">
        <v>685</v>
      </c>
      <c r="T104" s="21" t="s">
        <v>3947</v>
      </c>
      <c r="W104" s="21" t="s">
        <v>1170</v>
      </c>
      <c r="X104" s="21" t="s">
        <v>387</v>
      </c>
      <c r="Z104" s="21" t="s">
        <v>3727</v>
      </c>
      <c r="AA104" s="21" t="s">
        <v>4217</v>
      </c>
    </row>
    <row r="105" spans="2:27" x14ac:dyDescent="0.25">
      <c r="E105" s="21" t="s">
        <v>4831</v>
      </c>
      <c r="F105" s="21" t="s">
        <v>3968</v>
      </c>
      <c r="I105" s="21" t="s">
        <v>2685</v>
      </c>
      <c r="J105" s="21" t="s">
        <v>4248</v>
      </c>
      <c r="K105" s="21" t="s">
        <v>719</v>
      </c>
      <c r="M105" s="21" t="s">
        <v>4749</v>
      </c>
      <c r="N105" s="21" t="s">
        <v>5029</v>
      </c>
      <c r="O105" s="21" t="s">
        <v>4383</v>
      </c>
      <c r="P105" s="21" t="s">
        <v>4870</v>
      </c>
      <c r="Q105" s="21" t="s">
        <v>5105</v>
      </c>
      <c r="R105" s="21" t="s">
        <v>1498</v>
      </c>
      <c r="T105" s="21" t="s">
        <v>3976</v>
      </c>
      <c r="W105" s="21" t="s">
        <v>1303</v>
      </c>
      <c r="X105" s="21" t="s">
        <v>2948</v>
      </c>
      <c r="Z105" s="21" t="s">
        <v>831</v>
      </c>
      <c r="AA105" s="21" t="s">
        <v>4159</v>
      </c>
    </row>
    <row r="106" spans="2:27" x14ac:dyDescent="0.25">
      <c r="E106" s="21" t="s">
        <v>1673</v>
      </c>
      <c r="F106" s="21" t="s">
        <v>3994</v>
      </c>
      <c r="I106" s="21" t="s">
        <v>1818</v>
      </c>
      <c r="J106" s="21" t="s">
        <v>4761</v>
      </c>
      <c r="K106" s="21" t="s">
        <v>2749</v>
      </c>
      <c r="M106" s="21" t="s">
        <v>5383</v>
      </c>
      <c r="N106" s="21" t="s">
        <v>3919</v>
      </c>
      <c r="O106" s="21" t="s">
        <v>1878</v>
      </c>
      <c r="P106" s="21" t="s">
        <v>4882</v>
      </c>
      <c r="Q106" s="21" t="s">
        <v>4308</v>
      </c>
      <c r="R106" s="21" t="s">
        <v>3036</v>
      </c>
      <c r="T106" s="21" t="s">
        <v>4904</v>
      </c>
      <c r="W106" s="21" t="s">
        <v>1503</v>
      </c>
      <c r="X106" s="21" t="s">
        <v>1142</v>
      </c>
      <c r="Z106" s="21" t="s">
        <v>3617</v>
      </c>
      <c r="AA106" s="21" t="s">
        <v>4762</v>
      </c>
    </row>
    <row r="107" spans="2:27" x14ac:dyDescent="0.25">
      <c r="E107" s="21" t="s">
        <v>2277</v>
      </c>
      <c r="F107" s="21" t="s">
        <v>4163</v>
      </c>
      <c r="I107" s="21" t="s">
        <v>2854</v>
      </c>
      <c r="J107" s="21" t="s">
        <v>4693</v>
      </c>
      <c r="K107" s="21" t="s">
        <v>766</v>
      </c>
      <c r="M107" s="21" t="s">
        <v>4675</v>
      </c>
      <c r="N107" s="21" t="s">
        <v>3946</v>
      </c>
      <c r="O107" s="21" t="s">
        <v>1980</v>
      </c>
      <c r="P107" s="21" t="s">
        <v>2552</v>
      </c>
      <c r="Q107" s="21" t="s">
        <v>5423</v>
      </c>
      <c r="R107" s="21" t="s">
        <v>3021</v>
      </c>
      <c r="T107" s="21" t="s">
        <v>3961</v>
      </c>
      <c r="W107" s="21" t="s">
        <v>1531</v>
      </c>
      <c r="X107" s="21" t="s">
        <v>5956</v>
      </c>
      <c r="Z107" s="21" t="s">
        <v>3647</v>
      </c>
      <c r="AA107" s="21" t="s">
        <v>4650</v>
      </c>
    </row>
    <row r="108" spans="2:27" x14ac:dyDescent="0.25">
      <c r="E108" s="21" t="s">
        <v>2025</v>
      </c>
      <c r="F108" s="21" t="s">
        <v>4450</v>
      </c>
      <c r="I108" s="21" t="s">
        <v>1985</v>
      </c>
      <c r="J108" s="21" t="s">
        <v>4132</v>
      </c>
      <c r="K108" s="21" t="s">
        <v>2481</v>
      </c>
      <c r="M108" s="21" t="s">
        <v>2858</v>
      </c>
      <c r="N108" s="21" t="s">
        <v>3935</v>
      </c>
      <c r="O108" s="21" t="s">
        <v>3883</v>
      </c>
      <c r="P108" s="21" t="s">
        <v>2271</v>
      </c>
      <c r="Q108" s="21" t="s">
        <v>5415</v>
      </c>
      <c r="R108" s="21" t="s">
        <v>3409</v>
      </c>
      <c r="T108" s="21" t="s">
        <v>2105</v>
      </c>
      <c r="W108" s="21" t="s">
        <v>1131</v>
      </c>
      <c r="X108" s="21" t="s">
        <v>5957</v>
      </c>
      <c r="Z108" s="21" t="s">
        <v>915</v>
      </c>
      <c r="AA108" s="21" t="s">
        <v>2987</v>
      </c>
    </row>
    <row r="109" spans="2:27" x14ac:dyDescent="0.25">
      <c r="E109" s="21" t="s">
        <v>1676</v>
      </c>
      <c r="F109" s="21" t="s">
        <v>4508</v>
      </c>
      <c r="I109" s="21" t="s">
        <v>2487</v>
      </c>
      <c r="J109" s="21" t="s">
        <v>3907</v>
      </c>
      <c r="K109" s="21" t="s">
        <v>2594</v>
      </c>
      <c r="M109" s="21" t="s">
        <v>4594</v>
      </c>
      <c r="N109" s="21" t="s">
        <v>3866</v>
      </c>
      <c r="O109" s="21" t="s">
        <v>5958</v>
      </c>
      <c r="P109" s="21" t="s">
        <v>2398</v>
      </c>
      <c r="Q109" s="21" t="s">
        <v>5186</v>
      </c>
      <c r="R109" s="21" t="s">
        <v>3033</v>
      </c>
      <c r="T109" s="21" t="s">
        <v>3924</v>
      </c>
      <c r="W109" s="21" t="s">
        <v>1167</v>
      </c>
      <c r="X109" s="21" t="s">
        <v>1281</v>
      </c>
      <c r="Z109" s="21" t="s">
        <v>861</v>
      </c>
      <c r="AA109" s="21" t="s">
        <v>4603</v>
      </c>
    </row>
    <row r="110" spans="2:27" x14ac:dyDescent="0.25">
      <c r="E110" s="21" t="s">
        <v>2730</v>
      </c>
      <c r="F110" s="21" t="s">
        <v>1962</v>
      </c>
      <c r="I110" s="21" t="s">
        <v>2666</v>
      </c>
      <c r="J110" s="21" t="s">
        <v>5406</v>
      </c>
      <c r="K110" s="21" t="s">
        <v>2703</v>
      </c>
      <c r="M110" s="21" t="s">
        <v>4592</v>
      </c>
      <c r="N110" s="21" t="s">
        <v>5959</v>
      </c>
      <c r="O110" s="21" t="s">
        <v>4613</v>
      </c>
      <c r="P110" s="21" t="s">
        <v>2323</v>
      </c>
      <c r="Q110" s="21" t="s">
        <v>5481</v>
      </c>
      <c r="R110" s="21" t="s">
        <v>2988</v>
      </c>
      <c r="T110" s="21" t="s">
        <v>4388</v>
      </c>
      <c r="W110" s="21" t="s">
        <v>1103</v>
      </c>
      <c r="X110" s="21" t="s">
        <v>1337</v>
      </c>
      <c r="Z110" s="21" t="s">
        <v>3501</v>
      </c>
      <c r="AA110" s="21" t="s">
        <v>4106</v>
      </c>
    </row>
    <row r="111" spans="2:27" x14ac:dyDescent="0.25">
      <c r="E111" s="21" t="s">
        <v>3231</v>
      </c>
      <c r="F111" s="21" t="s">
        <v>4533</v>
      </c>
      <c r="I111" s="21" t="s">
        <v>2551</v>
      </c>
      <c r="J111" s="21" t="s">
        <v>4091</v>
      </c>
      <c r="K111" s="21" t="s">
        <v>1968</v>
      </c>
      <c r="M111" s="21" t="s">
        <v>5500</v>
      </c>
      <c r="N111" s="21" t="s">
        <v>4125</v>
      </c>
      <c r="O111" s="21" t="s">
        <v>3981</v>
      </c>
      <c r="P111" s="21" t="s">
        <v>4873</v>
      </c>
      <c r="Q111" s="21" t="s">
        <v>4307</v>
      </c>
      <c r="R111" s="21" t="s">
        <v>3046</v>
      </c>
      <c r="T111" s="21" t="s">
        <v>4006</v>
      </c>
      <c r="W111" s="21" t="s">
        <v>1452</v>
      </c>
      <c r="X111" s="21" t="s">
        <v>1145</v>
      </c>
      <c r="Z111" s="21" t="s">
        <v>886</v>
      </c>
      <c r="AA111" s="21" t="s">
        <v>4793</v>
      </c>
    </row>
    <row r="112" spans="2:27" x14ac:dyDescent="0.25">
      <c r="E112" s="21" t="s">
        <v>2877</v>
      </c>
      <c r="F112" s="21" t="s">
        <v>2256</v>
      </c>
      <c r="I112" s="21" t="s">
        <v>2790</v>
      </c>
      <c r="J112" s="21" t="s">
        <v>4224</v>
      </c>
      <c r="K112" s="21" t="s">
        <v>3282</v>
      </c>
      <c r="M112" s="21" t="s">
        <v>5446</v>
      </c>
      <c r="N112" s="21" t="s">
        <v>4249</v>
      </c>
      <c r="O112" s="21" t="s">
        <v>2129</v>
      </c>
      <c r="P112" s="21" t="s">
        <v>4906</v>
      </c>
      <c r="Q112" s="21" t="s">
        <v>1737</v>
      </c>
      <c r="R112" s="21" t="s">
        <v>337</v>
      </c>
      <c r="T112" s="21" t="s">
        <v>3868</v>
      </c>
      <c r="W112" s="21" t="s">
        <v>1264</v>
      </c>
      <c r="X112" s="21" t="s">
        <v>1223</v>
      </c>
      <c r="Z112" s="21" t="s">
        <v>557</v>
      </c>
      <c r="AA112" s="21" t="s">
        <v>4102</v>
      </c>
    </row>
    <row r="113" spans="5:27" x14ac:dyDescent="0.25">
      <c r="E113" s="21" t="s">
        <v>4298</v>
      </c>
      <c r="F113" s="21" t="s">
        <v>4200</v>
      </c>
      <c r="I113" s="21" t="s">
        <v>2855</v>
      </c>
      <c r="J113" s="21" t="s">
        <v>4120</v>
      </c>
      <c r="K113" s="21" t="s">
        <v>3184</v>
      </c>
      <c r="M113" s="21" t="s">
        <v>5442</v>
      </c>
      <c r="N113" s="21" t="s">
        <v>4115</v>
      </c>
      <c r="O113" s="21" t="s">
        <v>3936</v>
      </c>
      <c r="P113" s="21" t="s">
        <v>4837</v>
      </c>
      <c r="Q113" s="21" t="s">
        <v>5320</v>
      </c>
      <c r="R113" s="21" t="s">
        <v>3009</v>
      </c>
      <c r="T113" s="21" t="s">
        <v>4370</v>
      </c>
      <c r="W113" s="21" t="s">
        <v>1407</v>
      </c>
      <c r="X113" s="21" t="s">
        <v>2957</v>
      </c>
      <c r="Z113" s="21" t="s">
        <v>3623</v>
      </c>
      <c r="AA113" s="21" t="s">
        <v>4639</v>
      </c>
    </row>
    <row r="114" spans="5:27" x14ac:dyDescent="0.25">
      <c r="E114" s="21" t="s">
        <v>1677</v>
      </c>
      <c r="F114" s="21" t="s">
        <v>4198</v>
      </c>
      <c r="I114" s="21" t="s">
        <v>2793</v>
      </c>
      <c r="J114" s="21" t="s">
        <v>5082</v>
      </c>
      <c r="K114" s="21" t="s">
        <v>909</v>
      </c>
      <c r="M114" s="21" t="s">
        <v>4804</v>
      </c>
      <c r="N114" s="21" t="s">
        <v>4623</v>
      </c>
      <c r="O114" s="21" t="s">
        <v>4917</v>
      </c>
      <c r="P114" s="21" t="s">
        <v>2491</v>
      </c>
      <c r="Q114" s="21" t="s">
        <v>5433</v>
      </c>
      <c r="R114" s="21" t="s">
        <v>636</v>
      </c>
      <c r="T114" s="21" t="s">
        <v>4350</v>
      </c>
      <c r="W114" s="21" t="s">
        <v>1526</v>
      </c>
      <c r="X114" s="21" t="s">
        <v>921</v>
      </c>
      <c r="Z114" s="21" t="s">
        <v>3711</v>
      </c>
      <c r="AA114" s="21" t="s">
        <v>4600</v>
      </c>
    </row>
    <row r="115" spans="5:27" x14ac:dyDescent="0.25">
      <c r="E115" s="21" t="s">
        <v>1906</v>
      </c>
      <c r="F115" s="21" t="s">
        <v>5061</v>
      </c>
      <c r="I115" s="21" t="s">
        <v>5390</v>
      </c>
      <c r="J115" s="21" t="s">
        <v>4443</v>
      </c>
      <c r="K115" s="21" t="s">
        <v>2691</v>
      </c>
      <c r="M115" s="21" t="s">
        <v>5098</v>
      </c>
      <c r="N115" s="21" t="s">
        <v>4034</v>
      </c>
      <c r="O115" s="21" t="s">
        <v>5306</v>
      </c>
      <c r="P115" s="21" t="s">
        <v>4932</v>
      </c>
      <c r="Q115" s="21" t="s">
        <v>4290</v>
      </c>
      <c r="R115" s="21" t="s">
        <v>388</v>
      </c>
      <c r="T115" s="21" t="s">
        <v>4374</v>
      </c>
      <c r="W115" s="21" t="s">
        <v>1538</v>
      </c>
      <c r="X115" s="21" t="s">
        <v>235</v>
      </c>
      <c r="Z115" s="21" t="s">
        <v>3471</v>
      </c>
      <c r="AA115" s="21" t="s">
        <v>4631</v>
      </c>
    </row>
    <row r="116" spans="5:27" x14ac:dyDescent="0.25">
      <c r="E116" s="21" t="s">
        <v>4442</v>
      </c>
      <c r="F116" s="21" t="s">
        <v>4177</v>
      </c>
      <c r="I116" s="21" t="s">
        <v>2758</v>
      </c>
      <c r="J116" s="21" t="s">
        <v>4701</v>
      </c>
      <c r="K116" s="21" t="s">
        <v>673</v>
      </c>
      <c r="M116" s="21" t="s">
        <v>4616</v>
      </c>
      <c r="N116" s="21" t="s">
        <v>3960</v>
      </c>
      <c r="O116" s="21" t="s">
        <v>2085</v>
      </c>
      <c r="P116" s="21" t="s">
        <v>4961</v>
      </c>
      <c r="Q116" s="21" t="s">
        <v>4673</v>
      </c>
      <c r="R116" s="21" t="s">
        <v>963</v>
      </c>
      <c r="T116" s="21" t="s">
        <v>4363</v>
      </c>
      <c r="W116" s="21" t="s">
        <v>1262</v>
      </c>
      <c r="X116" s="21" t="s">
        <v>1097</v>
      </c>
      <c r="Z116" s="21" t="s">
        <v>3466</v>
      </c>
      <c r="AA116" s="21" t="s">
        <v>5069</v>
      </c>
    </row>
    <row r="117" spans="5:27" x14ac:dyDescent="0.25">
      <c r="E117" s="21" t="s">
        <v>2038</v>
      </c>
      <c r="F117" s="21" t="s">
        <v>4474</v>
      </c>
      <c r="I117" s="21" t="s">
        <v>2707</v>
      </c>
      <c r="J117" s="21" t="s">
        <v>4504</v>
      </c>
      <c r="K117" s="21" t="s">
        <v>427</v>
      </c>
      <c r="M117" s="21" t="s">
        <v>1314</v>
      </c>
      <c r="N117" s="21" t="s">
        <v>3997</v>
      </c>
      <c r="O117" s="21" t="s">
        <v>3973</v>
      </c>
      <c r="P117" s="21" t="s">
        <v>4908</v>
      </c>
      <c r="Q117" s="21" t="s">
        <v>5350</v>
      </c>
      <c r="R117" s="21" t="s">
        <v>3113</v>
      </c>
      <c r="T117" s="21" t="s">
        <v>3977</v>
      </c>
      <c r="W117" s="21" t="s">
        <v>1152</v>
      </c>
      <c r="X117" s="21" t="s">
        <v>1203</v>
      </c>
      <c r="Z117" s="21" t="s">
        <v>3664</v>
      </c>
      <c r="AA117" s="21" t="s">
        <v>4263</v>
      </c>
    </row>
    <row r="118" spans="5:27" x14ac:dyDescent="0.25">
      <c r="E118" s="21" t="s">
        <v>2267</v>
      </c>
      <c r="F118" s="21" t="s">
        <v>5132</v>
      </c>
      <c r="I118" s="21" t="s">
        <v>2715</v>
      </c>
      <c r="J118" s="21" t="s">
        <v>5396</v>
      </c>
      <c r="K118" s="21" t="s">
        <v>703</v>
      </c>
      <c r="M118" s="21" t="s">
        <v>5450</v>
      </c>
      <c r="N118" s="21" t="s">
        <v>3888</v>
      </c>
      <c r="O118" s="21" t="s">
        <v>2092</v>
      </c>
      <c r="P118" s="21" t="s">
        <v>1811</v>
      </c>
      <c r="Q118" s="21" t="s">
        <v>4527</v>
      </c>
      <c r="R118" s="21" t="s">
        <v>3125</v>
      </c>
      <c r="T118" s="21" t="s">
        <v>3930</v>
      </c>
      <c r="W118" s="21" t="s">
        <v>3404</v>
      </c>
      <c r="X118" s="21" t="s">
        <v>1304</v>
      </c>
      <c r="Z118" s="21" t="s">
        <v>3585</v>
      </c>
      <c r="AA118" s="21" t="s">
        <v>4554</v>
      </c>
    </row>
    <row r="119" spans="5:27" x14ac:dyDescent="0.25">
      <c r="E119" s="21" t="s">
        <v>5028</v>
      </c>
      <c r="F119" s="21" t="s">
        <v>4471</v>
      </c>
      <c r="I119" s="21" t="s">
        <v>2849</v>
      </c>
      <c r="J119" s="21" t="s">
        <v>3011</v>
      </c>
      <c r="K119" s="21" t="s">
        <v>1761</v>
      </c>
      <c r="M119" s="21" t="s">
        <v>2863</v>
      </c>
      <c r="N119" s="21" t="s">
        <v>4606</v>
      </c>
      <c r="O119" s="21" t="s">
        <v>4319</v>
      </c>
      <c r="P119" s="21" t="s">
        <v>1907</v>
      </c>
      <c r="Q119" s="21" t="s">
        <v>5122</v>
      </c>
      <c r="R119" s="21" t="s">
        <v>3604</v>
      </c>
      <c r="T119" s="21" t="s">
        <v>4429</v>
      </c>
      <c r="W119" s="21" t="s">
        <v>1212</v>
      </c>
      <c r="X119" s="21" t="s">
        <v>319</v>
      </c>
      <c r="Z119" s="21" t="s">
        <v>860</v>
      </c>
      <c r="AA119" s="21" t="s">
        <v>4750</v>
      </c>
    </row>
    <row r="120" spans="5:27" x14ac:dyDescent="0.25">
      <c r="E120" s="21" t="s">
        <v>5960</v>
      </c>
      <c r="F120" s="21" t="s">
        <v>2875</v>
      </c>
      <c r="I120" s="21" t="s">
        <v>2881</v>
      </c>
      <c r="J120" s="21" t="s">
        <v>4493</v>
      </c>
      <c r="K120" s="21" t="s">
        <v>798</v>
      </c>
      <c r="M120" s="21" t="s">
        <v>5493</v>
      </c>
      <c r="N120" s="21" t="s">
        <v>4160</v>
      </c>
      <c r="O120" s="21" t="s">
        <v>2488</v>
      </c>
      <c r="P120" s="21" t="s">
        <v>1680</v>
      </c>
      <c r="Q120" s="21" t="s">
        <v>4421</v>
      </c>
      <c r="R120" s="21" t="s">
        <v>3149</v>
      </c>
      <c r="T120" s="21" t="s">
        <v>2074</v>
      </c>
      <c r="W120" s="21" t="s">
        <v>1331</v>
      </c>
      <c r="X120" s="21" t="s">
        <v>1523</v>
      </c>
      <c r="Z120" s="21" t="s">
        <v>1582</v>
      </c>
      <c r="AA120" s="21" t="s">
        <v>4724</v>
      </c>
    </row>
    <row r="121" spans="5:27" x14ac:dyDescent="0.25">
      <c r="E121" s="21" t="s">
        <v>2467</v>
      </c>
      <c r="F121" s="21" t="s">
        <v>4441</v>
      </c>
      <c r="I121" s="21" t="s">
        <v>5335</v>
      </c>
      <c r="J121" s="21" t="s">
        <v>3999</v>
      </c>
      <c r="K121" s="21" t="s">
        <v>828</v>
      </c>
      <c r="M121" s="21" t="s">
        <v>4615</v>
      </c>
      <c r="N121" s="21" t="s">
        <v>5137</v>
      </c>
      <c r="O121" s="21" t="s">
        <v>4919</v>
      </c>
      <c r="P121" s="21" t="s">
        <v>2324</v>
      </c>
      <c r="Q121" s="21" t="s">
        <v>5408</v>
      </c>
      <c r="R121" s="21" t="s">
        <v>3038</v>
      </c>
      <c r="T121" s="21" t="s">
        <v>2316</v>
      </c>
      <c r="W121" s="21" t="s">
        <v>1345</v>
      </c>
      <c r="X121" s="21" t="s">
        <v>1369</v>
      </c>
      <c r="Z121" s="21" t="s">
        <v>3744</v>
      </c>
      <c r="AA121" s="21" t="s">
        <v>4525</v>
      </c>
    </row>
    <row r="122" spans="5:27" x14ac:dyDescent="0.25">
      <c r="E122" s="21" t="s">
        <v>1884</v>
      </c>
      <c r="F122" s="21" t="s">
        <v>2158</v>
      </c>
      <c r="I122" s="21" t="s">
        <v>2640</v>
      </c>
      <c r="J122" s="21" t="s">
        <v>4512</v>
      </c>
      <c r="K122" s="21" t="s">
        <v>2817</v>
      </c>
      <c r="M122" s="21" t="s">
        <v>5488</v>
      </c>
      <c r="N122" s="21" t="s">
        <v>4075</v>
      </c>
      <c r="O122" s="21" t="s">
        <v>2036</v>
      </c>
      <c r="P122" s="21" t="s">
        <v>5151</v>
      </c>
      <c r="Q122" s="21" t="s">
        <v>5403</v>
      </c>
      <c r="R122" s="21" t="s">
        <v>3405</v>
      </c>
      <c r="T122" s="21" t="s">
        <v>1576</v>
      </c>
      <c r="W122" s="21" t="s">
        <v>1171</v>
      </c>
      <c r="X122" s="21" t="s">
        <v>281</v>
      </c>
      <c r="Z122" s="21" t="s">
        <v>3442</v>
      </c>
      <c r="AA122" s="21" t="s">
        <v>4808</v>
      </c>
    </row>
    <row r="123" spans="5:27" x14ac:dyDescent="0.25">
      <c r="E123" s="21" t="s">
        <v>1804</v>
      </c>
      <c r="F123" s="21" t="s">
        <v>4264</v>
      </c>
      <c r="I123" s="21" t="s">
        <v>2839</v>
      </c>
      <c r="J123" s="21" t="s">
        <v>4708</v>
      </c>
      <c r="K123" s="21" t="s">
        <v>2867</v>
      </c>
      <c r="M123" s="21" t="s">
        <v>5508</v>
      </c>
      <c r="N123" s="21" t="s">
        <v>4731</v>
      </c>
      <c r="O123" s="21" t="s">
        <v>2400</v>
      </c>
      <c r="P123" s="21" t="s">
        <v>4891</v>
      </c>
      <c r="Q123" s="21" t="s">
        <v>5343</v>
      </c>
      <c r="R123" s="21" t="s">
        <v>619</v>
      </c>
      <c r="T123" s="21" t="s">
        <v>4303</v>
      </c>
      <c r="W123" s="21" t="s">
        <v>2949</v>
      </c>
      <c r="X123" s="21" t="s">
        <v>1482</v>
      </c>
      <c r="Z123" s="21" t="s">
        <v>380</v>
      </c>
      <c r="AA123" s="21" t="s">
        <v>4692</v>
      </c>
    </row>
    <row r="124" spans="5:27" x14ac:dyDescent="0.25">
      <c r="E124" s="21" t="s">
        <v>1973</v>
      </c>
      <c r="F124" s="21" t="s">
        <v>4425</v>
      </c>
      <c r="I124" s="21" t="s">
        <v>2622</v>
      </c>
      <c r="J124" s="21" t="s">
        <v>3978</v>
      </c>
      <c r="K124" s="21" t="s">
        <v>2139</v>
      </c>
      <c r="M124" s="21" t="s">
        <v>5116</v>
      </c>
      <c r="N124" s="21" t="s">
        <v>3896</v>
      </c>
      <c r="O124" s="21" t="s">
        <v>2209</v>
      </c>
      <c r="P124" s="21" t="s">
        <v>4312</v>
      </c>
      <c r="Q124" s="21" t="s">
        <v>5261</v>
      </c>
      <c r="R124" s="21" t="s">
        <v>3414</v>
      </c>
      <c r="T124" s="21" t="s">
        <v>4362</v>
      </c>
      <c r="W124" s="21" t="s">
        <v>1128</v>
      </c>
      <c r="X124" s="21" t="s">
        <v>610</v>
      </c>
      <c r="Z124" s="21" t="s">
        <v>3394</v>
      </c>
      <c r="AA124" s="21" t="s">
        <v>4009</v>
      </c>
    </row>
    <row r="125" spans="5:27" x14ac:dyDescent="0.25">
      <c r="E125" s="21" t="s">
        <v>1005</v>
      </c>
      <c r="F125" s="21" t="s">
        <v>5115</v>
      </c>
      <c r="I125" s="21" t="s">
        <v>2767</v>
      </c>
      <c r="J125" s="21" t="s">
        <v>4404</v>
      </c>
      <c r="K125" s="21" t="s">
        <v>428</v>
      </c>
      <c r="M125" s="21" t="s">
        <v>5436</v>
      </c>
      <c r="N125" s="21" t="s">
        <v>3906</v>
      </c>
      <c r="O125" s="21" t="s">
        <v>2158</v>
      </c>
      <c r="P125" s="21" t="s">
        <v>2308</v>
      </c>
      <c r="Q125" s="21" t="s">
        <v>5119</v>
      </c>
      <c r="R125" s="21" t="s">
        <v>622</v>
      </c>
      <c r="T125" s="21" t="s">
        <v>4918</v>
      </c>
      <c r="W125" s="21" t="s">
        <v>1496</v>
      </c>
      <c r="X125" s="21" t="s">
        <v>932</v>
      </c>
      <c r="Z125" s="21" t="s">
        <v>2153</v>
      </c>
      <c r="AA125" s="21" t="s">
        <v>4712</v>
      </c>
    </row>
    <row r="126" spans="5:27" x14ac:dyDescent="0.25">
      <c r="E126" s="21" t="s">
        <v>2451</v>
      </c>
      <c r="F126" s="21" t="s">
        <v>4141</v>
      </c>
      <c r="I126" s="21" t="s">
        <v>2776</v>
      </c>
      <c r="J126" s="21" t="s">
        <v>4751</v>
      </c>
      <c r="K126" s="21" t="s">
        <v>2577</v>
      </c>
      <c r="M126" s="21" t="s">
        <v>2229</v>
      </c>
      <c r="N126" s="21" t="s">
        <v>4244</v>
      </c>
      <c r="O126" s="21" t="s">
        <v>4911</v>
      </c>
      <c r="P126" s="21" t="s">
        <v>2032</v>
      </c>
      <c r="Q126" s="21" t="s">
        <v>5284</v>
      </c>
      <c r="R126" s="21" t="s">
        <v>1577</v>
      </c>
      <c r="T126" s="21" t="s">
        <v>3901</v>
      </c>
      <c r="W126" s="21" t="s">
        <v>1564</v>
      </c>
      <c r="X126" s="21" t="s">
        <v>1508</v>
      </c>
      <c r="Z126" s="21" t="s">
        <v>910</v>
      </c>
      <c r="AA126" s="21" t="s">
        <v>4812</v>
      </c>
    </row>
    <row r="127" spans="5:27" x14ac:dyDescent="0.25">
      <c r="E127" s="21" t="s">
        <v>1770</v>
      </c>
      <c r="F127" s="21" t="s">
        <v>4988</v>
      </c>
      <c r="I127" s="21" t="s">
        <v>2733</v>
      </c>
      <c r="J127" s="21" t="s">
        <v>4625</v>
      </c>
      <c r="K127" s="21" t="s">
        <v>1956</v>
      </c>
      <c r="M127" s="21" t="s">
        <v>4258</v>
      </c>
      <c r="N127" s="21" t="s">
        <v>4157</v>
      </c>
      <c r="O127" s="21" t="s">
        <v>5242</v>
      </c>
      <c r="P127" s="21" t="s">
        <v>1157</v>
      </c>
      <c r="Q127" s="21" t="s">
        <v>5440</v>
      </c>
      <c r="R127" s="21" t="s">
        <v>2961</v>
      </c>
      <c r="T127" s="21" t="s">
        <v>2043</v>
      </c>
      <c r="W127" s="21" t="s">
        <v>1516</v>
      </c>
      <c r="X127" s="21" t="s">
        <v>2963</v>
      </c>
      <c r="Z127" s="21" t="s">
        <v>3753</v>
      </c>
      <c r="AA127" s="21" t="s">
        <v>4588</v>
      </c>
    </row>
    <row r="128" spans="5:27" x14ac:dyDescent="0.25">
      <c r="E128" s="21" t="s">
        <v>3366</v>
      </c>
      <c r="F128" s="21" t="s">
        <v>3969</v>
      </c>
      <c r="I128" s="21" t="s">
        <v>2741</v>
      </c>
      <c r="J128" s="21" t="s">
        <v>4405</v>
      </c>
      <c r="K128" s="21" t="s">
        <v>429</v>
      </c>
      <c r="M128" s="21" t="s">
        <v>4670</v>
      </c>
      <c r="N128" s="21" t="s">
        <v>4905</v>
      </c>
      <c r="O128" s="21" t="s">
        <v>2041</v>
      </c>
      <c r="P128" s="21" t="s">
        <v>5024</v>
      </c>
      <c r="Q128" s="21" t="s">
        <v>5380</v>
      </c>
      <c r="R128" s="21" t="s">
        <v>3088</v>
      </c>
      <c r="T128" s="21" t="s">
        <v>5326</v>
      </c>
      <c r="W128" s="21" t="s">
        <v>1251</v>
      </c>
      <c r="X128" s="21" t="s">
        <v>1414</v>
      </c>
      <c r="Z128" s="21" t="s">
        <v>3323</v>
      </c>
      <c r="AA128" s="21" t="s">
        <v>4736</v>
      </c>
    </row>
    <row r="129" spans="5:27" x14ac:dyDescent="0.25">
      <c r="E129" s="21" t="s">
        <v>3052</v>
      </c>
      <c r="F129" s="21" t="s">
        <v>3987</v>
      </c>
      <c r="I129" s="21" t="s">
        <v>2878</v>
      </c>
      <c r="J129" s="21" t="s">
        <v>5961</v>
      </c>
      <c r="K129" s="21" t="s">
        <v>2072</v>
      </c>
      <c r="M129" s="21" t="s">
        <v>4813</v>
      </c>
      <c r="N129" s="21" t="s">
        <v>548</v>
      </c>
      <c r="O129" s="21" t="s">
        <v>4264</v>
      </c>
      <c r="P129" s="21" t="s">
        <v>1945</v>
      </c>
      <c r="Q129" s="21" t="s">
        <v>4586</v>
      </c>
      <c r="R129" s="21" t="s">
        <v>599</v>
      </c>
      <c r="T129" s="21" t="s">
        <v>4392</v>
      </c>
      <c r="W129" s="21" t="s">
        <v>1084</v>
      </c>
      <c r="X129" s="21" t="s">
        <v>3041</v>
      </c>
      <c r="Z129" s="21" t="s">
        <v>3487</v>
      </c>
      <c r="AA129" s="21" t="s">
        <v>4733</v>
      </c>
    </row>
    <row r="130" spans="5:27" x14ac:dyDescent="0.25">
      <c r="E130" s="21" t="s">
        <v>3331</v>
      </c>
      <c r="F130" s="21" t="s">
        <v>2173</v>
      </c>
      <c r="I130" s="21" t="s">
        <v>5392</v>
      </c>
      <c r="J130" s="21" t="s">
        <v>4432</v>
      </c>
      <c r="K130" s="21" t="s">
        <v>3145</v>
      </c>
      <c r="M130" s="21" t="s">
        <v>4791</v>
      </c>
      <c r="N130" s="21" t="s">
        <v>4113</v>
      </c>
      <c r="O130" s="21" t="s">
        <v>2012</v>
      </c>
      <c r="P130" s="21" t="s">
        <v>2287</v>
      </c>
      <c r="Q130" s="21" t="s">
        <v>5435</v>
      </c>
      <c r="R130" s="21" t="s">
        <v>3426</v>
      </c>
      <c r="T130" s="21" t="s">
        <v>4043</v>
      </c>
      <c r="W130" s="21" t="s">
        <v>3417</v>
      </c>
      <c r="X130" s="21" t="s">
        <v>1196</v>
      </c>
      <c r="Z130" s="21" t="s">
        <v>3578</v>
      </c>
      <c r="AA130" s="21" t="s">
        <v>4717</v>
      </c>
    </row>
    <row r="131" spans="5:27" x14ac:dyDescent="0.25">
      <c r="E131" s="21" t="s">
        <v>2814</v>
      </c>
      <c r="F131" s="21" t="s">
        <v>4428</v>
      </c>
      <c r="I131" s="21" t="s">
        <v>2710</v>
      </c>
      <c r="J131" s="21" t="s">
        <v>3891</v>
      </c>
      <c r="K131" s="21" t="s">
        <v>2818</v>
      </c>
      <c r="M131" s="21" t="s">
        <v>4719</v>
      </c>
      <c r="N131" s="21" t="s">
        <v>3939</v>
      </c>
      <c r="O131" s="21" t="s">
        <v>5962</v>
      </c>
      <c r="P131" s="21" t="s">
        <v>4035</v>
      </c>
      <c r="Q131" s="21" t="s">
        <v>4617</v>
      </c>
      <c r="R131" s="21" t="s">
        <v>2926</v>
      </c>
      <c r="T131" s="21" t="s">
        <v>4977</v>
      </c>
      <c r="W131" s="21" t="s">
        <v>3218</v>
      </c>
      <c r="X131" s="21" t="s">
        <v>3422</v>
      </c>
      <c r="Z131" s="21" t="s">
        <v>864</v>
      </c>
      <c r="AA131" s="21" t="s">
        <v>4816</v>
      </c>
    </row>
    <row r="132" spans="5:27" x14ac:dyDescent="0.25">
      <c r="E132" s="21" t="s">
        <v>5113</v>
      </c>
      <c r="F132" s="21" t="s">
        <v>4086</v>
      </c>
      <c r="I132" s="21" t="s">
        <v>2595</v>
      </c>
      <c r="J132" s="21" t="s">
        <v>4172</v>
      </c>
      <c r="K132" s="21" t="s">
        <v>2176</v>
      </c>
      <c r="M132" s="21" t="s">
        <v>5101</v>
      </c>
      <c r="N132" s="21" t="s">
        <v>4117</v>
      </c>
      <c r="O132" s="21" t="s">
        <v>2039</v>
      </c>
      <c r="P132" s="21" t="s">
        <v>2276</v>
      </c>
      <c r="Q132" s="21" t="s">
        <v>5290</v>
      </c>
      <c r="R132" s="21" t="s">
        <v>3037</v>
      </c>
      <c r="T132" s="21" t="s">
        <v>3915</v>
      </c>
      <c r="W132" s="21" t="s">
        <v>1546</v>
      </c>
      <c r="X132" s="21" t="s">
        <v>552</v>
      </c>
      <c r="Z132" s="21" t="s">
        <v>1596</v>
      </c>
      <c r="AA132" s="21" t="s">
        <v>4342</v>
      </c>
    </row>
    <row r="133" spans="5:27" x14ac:dyDescent="0.25">
      <c r="E133" s="21" t="s">
        <v>2168</v>
      </c>
      <c r="F133" s="21" t="s">
        <v>2151</v>
      </c>
      <c r="I133" s="21" t="s">
        <v>2409</v>
      </c>
      <c r="J133" s="21" t="s">
        <v>4672</v>
      </c>
      <c r="K133" s="21" t="s">
        <v>625</v>
      </c>
      <c r="M133" s="21" t="s">
        <v>2186</v>
      </c>
      <c r="N133" s="21" t="s">
        <v>4008</v>
      </c>
      <c r="O133" s="21" t="s">
        <v>2457</v>
      </c>
      <c r="P133" s="21" t="s">
        <v>5305</v>
      </c>
      <c r="Q133" s="21" t="s">
        <v>5053</v>
      </c>
      <c r="R133" s="21" t="s">
        <v>1532</v>
      </c>
      <c r="T133" s="21" t="s">
        <v>1719</v>
      </c>
      <c r="W133" s="21" t="s">
        <v>1075</v>
      </c>
      <c r="X133" s="21" t="s">
        <v>1169</v>
      </c>
      <c r="Z133" s="21" t="s">
        <v>1585</v>
      </c>
      <c r="AA133" s="21" t="s">
        <v>4401</v>
      </c>
    </row>
    <row r="134" spans="5:27" x14ac:dyDescent="0.25">
      <c r="E134" s="21" t="s">
        <v>4969</v>
      </c>
      <c r="F134" s="21" t="s">
        <v>3944</v>
      </c>
      <c r="I134" s="21" t="s">
        <v>2016</v>
      </c>
      <c r="J134" s="21" t="s">
        <v>4648</v>
      </c>
      <c r="K134" s="21" t="s">
        <v>771</v>
      </c>
      <c r="M134" s="21" t="s">
        <v>4739</v>
      </c>
      <c r="N134" s="21" t="s">
        <v>4956</v>
      </c>
      <c r="O134" s="21" t="s">
        <v>2028</v>
      </c>
      <c r="P134" s="21" t="s">
        <v>3928</v>
      </c>
      <c r="Q134" s="21" t="s">
        <v>4894</v>
      </c>
      <c r="R134" s="21" t="s">
        <v>3212</v>
      </c>
      <c r="T134" s="21" t="s">
        <v>4336</v>
      </c>
      <c r="W134" s="21" t="s">
        <v>1185</v>
      </c>
      <c r="X134" s="21" t="s">
        <v>257</v>
      </c>
      <c r="Z134" s="21" t="s">
        <v>876</v>
      </c>
      <c r="AA134" s="21" t="s">
        <v>4646</v>
      </c>
    </row>
    <row r="135" spans="5:27" x14ac:dyDescent="0.25">
      <c r="E135" s="21" t="s">
        <v>1981</v>
      </c>
      <c r="F135" s="21" t="s">
        <v>3982</v>
      </c>
      <c r="I135" s="21" t="s">
        <v>2796</v>
      </c>
      <c r="J135" s="21" t="s">
        <v>4694</v>
      </c>
      <c r="K135" s="21" t="s">
        <v>430</v>
      </c>
      <c r="M135" s="21" t="s">
        <v>2872</v>
      </c>
      <c r="N135" s="21" t="s">
        <v>4484</v>
      </c>
      <c r="O135" s="21" t="s">
        <v>4316</v>
      </c>
      <c r="P135" s="21" t="s">
        <v>2281</v>
      </c>
      <c r="Q135" s="21" t="s">
        <v>5461</v>
      </c>
      <c r="R135" s="21" t="s">
        <v>3005</v>
      </c>
      <c r="T135" s="21" t="s">
        <v>4400</v>
      </c>
      <c r="W135" s="21" t="s">
        <v>1278</v>
      </c>
      <c r="X135" s="21" t="s">
        <v>1216</v>
      </c>
      <c r="Z135" s="21" t="s">
        <v>3683</v>
      </c>
      <c r="AA135" s="21" t="s">
        <v>4260</v>
      </c>
    </row>
    <row r="136" spans="5:27" x14ac:dyDescent="0.25">
      <c r="E136" s="21" t="s">
        <v>4580</v>
      </c>
      <c r="F136" s="21" t="s">
        <v>2096</v>
      </c>
      <c r="I136" s="21" t="s">
        <v>1913</v>
      </c>
      <c r="J136" s="21" t="s">
        <v>4642</v>
      </c>
      <c r="K136" s="21" t="s">
        <v>431</v>
      </c>
      <c r="M136" s="21" t="s">
        <v>5496</v>
      </c>
      <c r="N136" s="21" t="s">
        <v>4448</v>
      </c>
      <c r="O136" s="21" t="s">
        <v>5108</v>
      </c>
      <c r="P136" s="21" t="s">
        <v>5153</v>
      </c>
      <c r="Q136" s="21" t="s">
        <v>5367</v>
      </c>
      <c r="R136" s="21" t="s">
        <v>2700</v>
      </c>
      <c r="T136" s="21" t="s">
        <v>3937</v>
      </c>
      <c r="W136" s="21" t="s">
        <v>1160</v>
      </c>
      <c r="X136" s="21" t="s">
        <v>1116</v>
      </c>
      <c r="Z136" s="21" t="s">
        <v>3818</v>
      </c>
      <c r="AA136" s="21" t="s">
        <v>4779</v>
      </c>
    </row>
    <row r="137" spans="5:27" x14ac:dyDescent="0.25">
      <c r="E137" s="21" t="s">
        <v>1961</v>
      </c>
      <c r="F137" s="21" t="s">
        <v>4171</v>
      </c>
      <c r="I137" s="21" t="s">
        <v>2534</v>
      </c>
      <c r="J137" s="21" t="s">
        <v>3895</v>
      </c>
      <c r="K137" s="21" t="s">
        <v>2705</v>
      </c>
      <c r="M137" s="21" t="s">
        <v>4720</v>
      </c>
      <c r="N137" s="21" t="s">
        <v>4209</v>
      </c>
      <c r="O137" s="21" t="s">
        <v>4312</v>
      </c>
      <c r="P137" s="21" t="s">
        <v>4861</v>
      </c>
      <c r="Q137" s="21" t="s">
        <v>5424</v>
      </c>
      <c r="R137" s="21" t="s">
        <v>587</v>
      </c>
      <c r="T137" s="21" t="s">
        <v>4884</v>
      </c>
      <c r="W137" s="21" t="s">
        <v>1588</v>
      </c>
      <c r="X137" s="21" t="s">
        <v>2955</v>
      </c>
      <c r="Z137" s="21" t="s">
        <v>3575</v>
      </c>
      <c r="AA137" s="21" t="s">
        <v>4772</v>
      </c>
    </row>
    <row r="138" spans="5:27" x14ac:dyDescent="0.25">
      <c r="E138" s="21" t="s">
        <v>5013</v>
      </c>
      <c r="F138" s="21" t="s">
        <v>5017</v>
      </c>
      <c r="I138" s="21" t="s">
        <v>1927</v>
      </c>
      <c r="J138" s="21" t="s">
        <v>4566</v>
      </c>
      <c r="K138" s="21" t="s">
        <v>2591</v>
      </c>
      <c r="M138" s="21" t="s">
        <v>5090</v>
      </c>
      <c r="N138" s="21" t="s">
        <v>5058</v>
      </c>
      <c r="O138" s="21" t="s">
        <v>5017</v>
      </c>
      <c r="P138" s="21" t="s">
        <v>1925</v>
      </c>
      <c r="Q138" s="21" t="s">
        <v>4757</v>
      </c>
      <c r="R138" s="21" t="s">
        <v>255</v>
      </c>
      <c r="T138" s="21" t="s">
        <v>914</v>
      </c>
      <c r="W138" s="21" t="s">
        <v>1190</v>
      </c>
      <c r="X138" s="21" t="s">
        <v>947</v>
      </c>
      <c r="Z138" s="21" t="s">
        <v>2578</v>
      </c>
      <c r="AA138" s="21" t="s">
        <v>4240</v>
      </c>
    </row>
    <row r="139" spans="5:27" x14ac:dyDescent="0.25">
      <c r="E139" s="21" t="s">
        <v>2523</v>
      </c>
      <c r="F139" s="21" t="s">
        <v>2404</v>
      </c>
      <c r="I139" s="21" t="s">
        <v>2447</v>
      </c>
      <c r="J139" s="21" t="s">
        <v>4680</v>
      </c>
      <c r="K139" s="21" t="s">
        <v>2655</v>
      </c>
      <c r="M139" s="21" t="s">
        <v>5432</v>
      </c>
      <c r="N139" s="21" t="s">
        <v>4048</v>
      </c>
      <c r="O139" s="21" t="s">
        <v>2006</v>
      </c>
      <c r="P139" s="21" t="s">
        <v>1791</v>
      </c>
      <c r="Q139" s="21" t="s">
        <v>5340</v>
      </c>
      <c r="R139" s="21" t="s">
        <v>2886</v>
      </c>
      <c r="T139" s="21" t="s">
        <v>3985</v>
      </c>
      <c r="W139" s="21" t="s">
        <v>1502</v>
      </c>
      <c r="X139" s="21" t="s">
        <v>1525</v>
      </c>
      <c r="Z139" s="21" t="s">
        <v>3569</v>
      </c>
      <c r="AA139" s="21" t="s">
        <v>4809</v>
      </c>
    </row>
    <row r="140" spans="5:27" x14ac:dyDescent="0.25">
      <c r="E140" s="21" t="s">
        <v>5043</v>
      </c>
      <c r="F140" s="21" t="s">
        <v>4777</v>
      </c>
      <c r="I140" s="21" t="s">
        <v>2566</v>
      </c>
      <c r="J140" s="21" t="s">
        <v>4438</v>
      </c>
      <c r="K140" s="21" t="s">
        <v>1816</v>
      </c>
      <c r="M140" s="21" t="s">
        <v>5485</v>
      </c>
      <c r="N140" s="21" t="s">
        <v>5279</v>
      </c>
      <c r="O140" s="21" t="s">
        <v>5158</v>
      </c>
      <c r="P140" s="21" t="s">
        <v>2345</v>
      </c>
      <c r="Q140" s="21" t="s">
        <v>5416</v>
      </c>
      <c r="R140" s="21" t="s">
        <v>2943</v>
      </c>
      <c r="T140" s="21" t="s">
        <v>3429</v>
      </c>
      <c r="W140" s="21" t="s">
        <v>2919</v>
      </c>
      <c r="X140" s="21" t="s">
        <v>1778</v>
      </c>
      <c r="Z140" s="21" t="s">
        <v>758</v>
      </c>
      <c r="AA140" s="21" t="s">
        <v>4732</v>
      </c>
    </row>
    <row r="141" spans="5:27" x14ac:dyDescent="0.25">
      <c r="E141" s="21" t="s">
        <v>4999</v>
      </c>
      <c r="F141" s="21" t="s">
        <v>5034</v>
      </c>
      <c r="I141" s="21" t="s">
        <v>2656</v>
      </c>
      <c r="J141" s="21" t="s">
        <v>4467</v>
      </c>
      <c r="K141" s="21" t="s">
        <v>2629</v>
      </c>
      <c r="M141" s="21" t="s">
        <v>5494</v>
      </c>
      <c r="N141" s="21" t="s">
        <v>4234</v>
      </c>
      <c r="O141" s="21" t="s">
        <v>4058</v>
      </c>
      <c r="P141" s="21" t="s">
        <v>1648</v>
      </c>
      <c r="Q141" s="21" t="s">
        <v>1030</v>
      </c>
      <c r="R141" s="21" t="s">
        <v>573</v>
      </c>
      <c r="T141" s="21" t="s">
        <v>2917</v>
      </c>
      <c r="W141" s="21" t="s">
        <v>1260</v>
      </c>
      <c r="X141" s="21" t="s">
        <v>1122</v>
      </c>
      <c r="Z141" s="21" t="s">
        <v>3490</v>
      </c>
    </row>
    <row r="142" spans="5:27" x14ac:dyDescent="0.25">
      <c r="E142" s="21" t="s">
        <v>4947</v>
      </c>
      <c r="F142" s="21" t="s">
        <v>3909</v>
      </c>
      <c r="I142" s="21" t="s">
        <v>2575</v>
      </c>
      <c r="J142" s="21" t="s">
        <v>4150</v>
      </c>
      <c r="K142" s="21" t="s">
        <v>3269</v>
      </c>
      <c r="M142" s="21" t="s">
        <v>5074</v>
      </c>
      <c r="N142" s="21" t="s">
        <v>3884</v>
      </c>
      <c r="O142" s="21" t="s">
        <v>4959</v>
      </c>
      <c r="P142" s="21" t="s">
        <v>2310</v>
      </c>
      <c r="Q142" s="21" t="s">
        <v>5410</v>
      </c>
      <c r="R142" s="21" t="s">
        <v>540</v>
      </c>
      <c r="T142" s="21" t="s">
        <v>4851</v>
      </c>
      <c r="W142" s="21" t="s">
        <v>954</v>
      </c>
      <c r="X142" s="21" t="s">
        <v>922</v>
      </c>
      <c r="Z142" s="21" t="s">
        <v>3734</v>
      </c>
    </row>
    <row r="143" spans="5:27" x14ac:dyDescent="0.25">
      <c r="E143" s="21" t="s">
        <v>1831</v>
      </c>
      <c r="F143" s="21" t="s">
        <v>4164</v>
      </c>
      <c r="I143" s="21" t="s">
        <v>2714</v>
      </c>
      <c r="J143" s="21" t="s">
        <v>4682</v>
      </c>
      <c r="K143" s="21" t="s">
        <v>432</v>
      </c>
      <c r="N143" s="21" t="s">
        <v>3914</v>
      </c>
      <c r="O143" s="21" t="s">
        <v>2020</v>
      </c>
      <c r="P143" s="21" t="s">
        <v>2316</v>
      </c>
      <c r="Q143" s="21" t="s">
        <v>4567</v>
      </c>
      <c r="R143" s="21" t="s">
        <v>290</v>
      </c>
      <c r="T143" s="21" t="s">
        <v>3904</v>
      </c>
      <c r="W143" s="21" t="s">
        <v>1272</v>
      </c>
      <c r="X143" s="21" t="s">
        <v>273</v>
      </c>
      <c r="Z143" s="21" t="s">
        <v>1597</v>
      </c>
    </row>
    <row r="144" spans="5:27" x14ac:dyDescent="0.25">
      <c r="E144" s="21" t="s">
        <v>4975</v>
      </c>
      <c r="F144" s="21" t="s">
        <v>4437</v>
      </c>
      <c r="I144" s="21" t="s">
        <v>2784</v>
      </c>
      <c r="J144" s="21" t="s">
        <v>4543</v>
      </c>
      <c r="K144" s="21" t="s">
        <v>2420</v>
      </c>
      <c r="N144" s="21" t="s">
        <v>4130</v>
      </c>
      <c r="O144" s="21" t="s">
        <v>2050</v>
      </c>
      <c r="P144" s="21" t="s">
        <v>2581</v>
      </c>
      <c r="Q144" s="21" t="s">
        <v>5502</v>
      </c>
      <c r="R144" s="21" t="s">
        <v>3842</v>
      </c>
      <c r="T144" s="21" t="s">
        <v>5963</v>
      </c>
      <c r="W144" s="21" t="s">
        <v>1224</v>
      </c>
      <c r="X144" s="21" t="s">
        <v>979</v>
      </c>
      <c r="Z144" s="21" t="s">
        <v>3567</v>
      </c>
    </row>
    <row r="145" spans="5:26" x14ac:dyDescent="0.25">
      <c r="E145" s="21" t="s">
        <v>1635</v>
      </c>
      <c r="F145" s="21" t="s">
        <v>4522</v>
      </c>
      <c r="I145" s="21" t="s">
        <v>2874</v>
      </c>
      <c r="J145" s="21" t="s">
        <v>4470</v>
      </c>
      <c r="K145" s="21" t="s">
        <v>433</v>
      </c>
      <c r="N145" s="21" t="s">
        <v>5041</v>
      </c>
      <c r="O145" s="21" t="s">
        <v>2105</v>
      </c>
      <c r="P145" s="21" t="s">
        <v>2247</v>
      </c>
      <c r="Q145" s="21" t="s">
        <v>5964</v>
      </c>
      <c r="R145" s="21" t="s">
        <v>3192</v>
      </c>
      <c r="T145" s="21" t="s">
        <v>1668</v>
      </c>
      <c r="W145" s="21" t="s">
        <v>1529</v>
      </c>
      <c r="X145" s="21" t="s">
        <v>917</v>
      </c>
      <c r="Z145" s="21" t="s">
        <v>3559</v>
      </c>
    </row>
    <row r="146" spans="5:26" x14ac:dyDescent="0.25">
      <c r="E146" s="21" t="s">
        <v>3333</v>
      </c>
      <c r="F146" s="21" t="s">
        <v>5303</v>
      </c>
      <c r="I146" s="21" t="s">
        <v>2780</v>
      </c>
      <c r="J146" s="21" t="s">
        <v>4579</v>
      </c>
      <c r="K146" s="21" t="s">
        <v>434</v>
      </c>
      <c r="O146" s="21" t="s">
        <v>2049</v>
      </c>
      <c r="P146" s="21" t="s">
        <v>4800</v>
      </c>
      <c r="Q146" s="21" t="s">
        <v>5273</v>
      </c>
      <c r="R146" s="21" t="s">
        <v>3178</v>
      </c>
      <c r="T146" s="21" t="s">
        <v>4029</v>
      </c>
      <c r="W146" s="21" t="s">
        <v>1490</v>
      </c>
      <c r="X146" s="21" t="s">
        <v>1027</v>
      </c>
      <c r="Z146" s="21" t="s">
        <v>3385</v>
      </c>
    </row>
    <row r="147" spans="5:26" x14ac:dyDescent="0.25">
      <c r="E147" s="21" t="s">
        <v>1817</v>
      </c>
      <c r="F147" s="21" t="s">
        <v>2097</v>
      </c>
      <c r="I147" s="21" t="s">
        <v>4466</v>
      </c>
      <c r="J147" s="21" t="s">
        <v>4510</v>
      </c>
      <c r="K147" s="21" t="s">
        <v>3275</v>
      </c>
      <c r="O147" s="21" t="s">
        <v>4974</v>
      </c>
      <c r="P147" s="21" t="s">
        <v>2312</v>
      </c>
      <c r="Q147" s="21" t="s">
        <v>4469</v>
      </c>
      <c r="R147" s="21" t="s">
        <v>586</v>
      </c>
      <c r="T147" s="21" t="s">
        <v>4390</v>
      </c>
      <c r="W147" s="21" t="s">
        <v>1316</v>
      </c>
      <c r="X147" s="21" t="s">
        <v>1117</v>
      </c>
      <c r="Z147" s="21" t="s">
        <v>688</v>
      </c>
    </row>
    <row r="148" spans="5:26" x14ac:dyDescent="0.25">
      <c r="E148" s="21" t="s">
        <v>1828</v>
      </c>
      <c r="F148" s="21" t="s">
        <v>5107</v>
      </c>
      <c r="I148" s="21" t="s">
        <v>5449</v>
      </c>
      <c r="J148" s="21" t="s">
        <v>4647</v>
      </c>
      <c r="K148" s="21" t="s">
        <v>1936</v>
      </c>
      <c r="O148" s="21" t="s">
        <v>3899</v>
      </c>
      <c r="P148" s="21" t="s">
        <v>2265</v>
      </c>
      <c r="Q148" s="21" t="s">
        <v>4462</v>
      </c>
      <c r="R148" s="21" t="s">
        <v>667</v>
      </c>
      <c r="T148" s="21" t="s">
        <v>3325</v>
      </c>
      <c r="W148" s="21" t="s">
        <v>1551</v>
      </c>
      <c r="X148" s="21" t="s">
        <v>1428</v>
      </c>
      <c r="Z148" s="21" t="s">
        <v>3607</v>
      </c>
    </row>
    <row r="149" spans="5:26" x14ac:dyDescent="0.25">
      <c r="E149" s="21" t="s">
        <v>1917</v>
      </c>
      <c r="F149" s="21" t="s">
        <v>5085</v>
      </c>
      <c r="I149" s="21" t="s">
        <v>2845</v>
      </c>
      <c r="J149" s="21" t="s">
        <v>4778</v>
      </c>
      <c r="K149" s="21" t="s">
        <v>2664</v>
      </c>
      <c r="O149" s="21" t="s">
        <v>2066</v>
      </c>
      <c r="P149" s="21" t="s">
        <v>1314</v>
      </c>
      <c r="Q149" s="21" t="s">
        <v>5091</v>
      </c>
      <c r="R149" s="21" t="s">
        <v>638</v>
      </c>
      <c r="T149" s="21" t="s">
        <v>4375</v>
      </c>
      <c r="W149" s="21" t="s">
        <v>1560</v>
      </c>
      <c r="X149" s="21" t="s">
        <v>1566</v>
      </c>
      <c r="Z149" s="21" t="s">
        <v>916</v>
      </c>
    </row>
    <row r="150" spans="5:26" x14ac:dyDescent="0.25">
      <c r="E150" s="21" t="s">
        <v>2346</v>
      </c>
      <c r="F150" s="21" t="s">
        <v>4330</v>
      </c>
      <c r="I150" s="21" t="s">
        <v>5438</v>
      </c>
      <c r="J150" s="21" t="s">
        <v>3908</v>
      </c>
      <c r="K150" s="21" t="s">
        <v>809</v>
      </c>
      <c r="O150" s="21" t="s">
        <v>4344</v>
      </c>
      <c r="P150" s="21" t="s">
        <v>2269</v>
      </c>
      <c r="Q150" s="21" t="s">
        <v>4553</v>
      </c>
      <c r="R150" s="21" t="s">
        <v>1226</v>
      </c>
      <c r="T150" s="21" t="s">
        <v>4456</v>
      </c>
      <c r="W150" s="21" t="s">
        <v>1070</v>
      </c>
      <c r="X150" s="21" t="s">
        <v>1035</v>
      </c>
      <c r="Z150" s="21" t="s">
        <v>3862</v>
      </c>
    </row>
    <row r="151" spans="5:26" x14ac:dyDescent="0.25">
      <c r="E151" s="21" t="s">
        <v>2060</v>
      </c>
      <c r="F151" s="21" t="s">
        <v>5106</v>
      </c>
      <c r="I151" s="21" t="s">
        <v>2875</v>
      </c>
      <c r="J151" s="21" t="s">
        <v>2419</v>
      </c>
      <c r="K151" s="21" t="s">
        <v>2283</v>
      </c>
      <c r="O151" s="21" t="s">
        <v>4309</v>
      </c>
      <c r="P151" s="21" t="s">
        <v>2250</v>
      </c>
      <c r="Q151" s="21" t="s">
        <v>5402</v>
      </c>
      <c r="R151" s="21" t="s">
        <v>2264</v>
      </c>
      <c r="T151" s="21" t="s">
        <v>4688</v>
      </c>
      <c r="W151" s="21" t="s">
        <v>1420</v>
      </c>
      <c r="X151" s="21" t="s">
        <v>595</v>
      </c>
      <c r="Z151" s="21" t="s">
        <v>3475</v>
      </c>
    </row>
    <row r="152" spans="5:26" x14ac:dyDescent="0.25">
      <c r="E152" s="21" t="s">
        <v>2379</v>
      </c>
      <c r="F152" s="21" t="s">
        <v>5089</v>
      </c>
      <c r="I152" s="21" t="s">
        <v>2599</v>
      </c>
      <c r="J152" s="21" t="s">
        <v>2525</v>
      </c>
      <c r="K152" s="21" t="s">
        <v>3488</v>
      </c>
      <c r="O152" s="21" t="s">
        <v>4323</v>
      </c>
      <c r="P152" s="21" t="s">
        <v>2684</v>
      </c>
      <c r="Q152" s="21" t="s">
        <v>5297</v>
      </c>
      <c r="R152" s="21" t="s">
        <v>2624</v>
      </c>
      <c r="T152" s="21" t="s">
        <v>4384</v>
      </c>
      <c r="W152" s="21" t="s">
        <v>1158</v>
      </c>
      <c r="X152" s="21" t="s">
        <v>1110</v>
      </c>
      <c r="Z152" s="21" t="s">
        <v>2913</v>
      </c>
    </row>
    <row r="153" spans="5:26" x14ac:dyDescent="0.25">
      <c r="E153" s="21" t="s">
        <v>2511</v>
      </c>
      <c r="F153" s="21" t="s">
        <v>4513</v>
      </c>
      <c r="I153" s="21" t="s">
        <v>4532</v>
      </c>
      <c r="J153" s="21" t="s">
        <v>4147</v>
      </c>
      <c r="K153" s="21" t="s">
        <v>435</v>
      </c>
      <c r="O153" s="21" t="s">
        <v>1990</v>
      </c>
      <c r="P153" s="21" t="s">
        <v>606</v>
      </c>
      <c r="Q153" s="21" t="s">
        <v>5025</v>
      </c>
      <c r="R153" s="21" t="s">
        <v>656</v>
      </c>
      <c r="T153" s="21" t="s">
        <v>3923</v>
      </c>
      <c r="W153" s="21" t="s">
        <v>1305</v>
      </c>
      <c r="X153" s="21" t="s">
        <v>2890</v>
      </c>
      <c r="Z153" s="21" t="s">
        <v>709</v>
      </c>
    </row>
    <row r="154" spans="5:26" x14ac:dyDescent="0.25">
      <c r="E154" s="21" t="s">
        <v>5170</v>
      </c>
      <c r="F154" s="21" t="s">
        <v>4107</v>
      </c>
      <c r="I154" s="21" t="s">
        <v>5299</v>
      </c>
      <c r="J154" s="21" t="s">
        <v>4435</v>
      </c>
      <c r="K154" s="21" t="s">
        <v>741</v>
      </c>
      <c r="O154" s="21" t="s">
        <v>2410</v>
      </c>
      <c r="P154" s="21" t="s">
        <v>1700</v>
      </c>
      <c r="Q154" s="21" t="s">
        <v>4564</v>
      </c>
      <c r="R154" s="21" t="s">
        <v>3428</v>
      </c>
      <c r="T154" s="21" t="s">
        <v>1286</v>
      </c>
      <c r="W154" s="21" t="s">
        <v>2951</v>
      </c>
      <c r="X154" s="21" t="s">
        <v>1433</v>
      </c>
      <c r="Z154" s="21" t="s">
        <v>1604</v>
      </c>
    </row>
    <row r="155" spans="5:26" x14ac:dyDescent="0.25">
      <c r="E155" s="21" t="s">
        <v>4994</v>
      </c>
      <c r="F155" s="21" t="s">
        <v>4472</v>
      </c>
      <c r="I155" s="21" t="s">
        <v>2008</v>
      </c>
      <c r="J155" s="21" t="s">
        <v>4391</v>
      </c>
      <c r="K155" s="21" t="s">
        <v>836</v>
      </c>
      <c r="O155" s="21" t="s">
        <v>2027</v>
      </c>
      <c r="P155" s="21" t="s">
        <v>3900</v>
      </c>
      <c r="Q155" s="21" t="s">
        <v>5275</v>
      </c>
      <c r="R155" s="21" t="s">
        <v>3063</v>
      </c>
      <c r="T155" s="21" t="s">
        <v>4376</v>
      </c>
      <c r="W155" s="21" t="s">
        <v>1050</v>
      </c>
      <c r="X155" s="21" t="s">
        <v>1392</v>
      </c>
      <c r="Z155" s="21" t="s">
        <v>266</v>
      </c>
    </row>
    <row r="156" spans="5:26" x14ac:dyDescent="0.25">
      <c r="E156" s="21" t="s">
        <v>1782</v>
      </c>
      <c r="F156" s="21" t="s">
        <v>4431</v>
      </c>
      <c r="I156" s="21" t="s">
        <v>5200</v>
      </c>
      <c r="J156" s="21" t="s">
        <v>5142</v>
      </c>
      <c r="K156" s="21" t="s">
        <v>3214</v>
      </c>
      <c r="O156" s="21" t="s">
        <v>1948</v>
      </c>
      <c r="P156" s="21" t="s">
        <v>5283</v>
      </c>
      <c r="Q156" s="21" t="s">
        <v>5965</v>
      </c>
      <c r="R156" s="21" t="s">
        <v>932</v>
      </c>
      <c r="T156" s="21" t="s">
        <v>4354</v>
      </c>
      <c r="W156" s="21" t="s">
        <v>1543</v>
      </c>
      <c r="X156" s="21" t="s">
        <v>1486</v>
      </c>
      <c r="Z156" s="21" t="s">
        <v>3659</v>
      </c>
    </row>
    <row r="157" spans="5:26" x14ac:dyDescent="0.25">
      <c r="E157" s="21" t="s">
        <v>2202</v>
      </c>
      <c r="F157" s="21" t="s">
        <v>4409</v>
      </c>
      <c r="I157" s="21" t="s">
        <v>2687</v>
      </c>
      <c r="J157" s="21" t="s">
        <v>3873</v>
      </c>
      <c r="K157" s="21" t="s">
        <v>1933</v>
      </c>
      <c r="O157" s="21" t="s">
        <v>4993</v>
      </c>
      <c r="P157" s="21" t="s">
        <v>2362</v>
      </c>
      <c r="Q157" s="21" t="s">
        <v>4940</v>
      </c>
      <c r="R157" s="21" t="s">
        <v>2973</v>
      </c>
      <c r="T157" s="21" t="s">
        <v>4135</v>
      </c>
      <c r="W157" s="21" t="s">
        <v>1059</v>
      </c>
      <c r="X157" s="21" t="s">
        <v>1044</v>
      </c>
      <c r="Z157" s="21" t="s">
        <v>779</v>
      </c>
    </row>
    <row r="158" spans="5:26" x14ac:dyDescent="0.25">
      <c r="E158" s="21" t="s">
        <v>2473</v>
      </c>
      <c r="F158" s="21" t="s">
        <v>2532</v>
      </c>
      <c r="I158" s="21" t="s">
        <v>2634</v>
      </c>
      <c r="J158" s="21" t="s">
        <v>1765</v>
      </c>
      <c r="K158" s="21" t="s">
        <v>436</v>
      </c>
      <c r="O158" s="21" t="s">
        <v>2107</v>
      </c>
      <c r="P158" s="21" t="s">
        <v>4893</v>
      </c>
      <c r="Q158" s="21" t="s">
        <v>4536</v>
      </c>
      <c r="R158" s="21" t="s">
        <v>3508</v>
      </c>
      <c r="T158" s="21" t="s">
        <v>3905</v>
      </c>
      <c r="W158" s="21" t="s">
        <v>1045</v>
      </c>
      <c r="X158" s="21" t="s">
        <v>1235</v>
      </c>
      <c r="Z158" s="21" t="s">
        <v>3729</v>
      </c>
    </row>
    <row r="159" spans="5:26" x14ac:dyDescent="0.25">
      <c r="E159" s="21" t="s">
        <v>2414</v>
      </c>
      <c r="F159" s="21" t="s">
        <v>4516</v>
      </c>
      <c r="I159" s="21" t="s">
        <v>2206</v>
      </c>
      <c r="J159" s="21" t="s">
        <v>4738</v>
      </c>
      <c r="K159" s="21" t="s">
        <v>437</v>
      </c>
      <c r="O159" s="21" t="s">
        <v>1765</v>
      </c>
      <c r="P159" s="21" t="s">
        <v>4413</v>
      </c>
      <c r="Q159" s="21" t="s">
        <v>4652</v>
      </c>
      <c r="R159" s="21" t="s">
        <v>3413</v>
      </c>
      <c r="T159" s="21" t="s">
        <v>5003</v>
      </c>
      <c r="W159" s="21" t="s">
        <v>1252</v>
      </c>
      <c r="X159" s="21" t="s">
        <v>1239</v>
      </c>
      <c r="Z159" s="21" t="s">
        <v>3557</v>
      </c>
    </row>
    <row r="160" spans="5:26" x14ac:dyDescent="0.25">
      <c r="E160" s="21" t="s">
        <v>5385</v>
      </c>
      <c r="F160" s="21" t="s">
        <v>4461</v>
      </c>
      <c r="I160" s="21" t="s">
        <v>2810</v>
      </c>
      <c r="J160" s="21" t="s">
        <v>4019</v>
      </c>
      <c r="K160" s="21" t="s">
        <v>2806</v>
      </c>
      <c r="O160" s="21" t="s">
        <v>2047</v>
      </c>
      <c r="P160" s="21" t="s">
        <v>5094</v>
      </c>
      <c r="Q160" s="21" t="s">
        <v>4305</v>
      </c>
      <c r="R160" s="21" t="s">
        <v>3513</v>
      </c>
      <c r="T160" s="21" t="s">
        <v>3967</v>
      </c>
      <c r="W160" s="21" t="s">
        <v>1386</v>
      </c>
      <c r="X160" s="21" t="s">
        <v>1060</v>
      </c>
      <c r="Z160" s="21" t="s">
        <v>2827</v>
      </c>
    </row>
    <row r="161" spans="5:26" x14ac:dyDescent="0.25">
      <c r="E161" s="21" t="s">
        <v>2089</v>
      </c>
      <c r="F161" s="21" t="s">
        <v>5001</v>
      </c>
      <c r="I161" s="21" t="s">
        <v>2607</v>
      </c>
      <c r="J161" s="21" t="s">
        <v>4182</v>
      </c>
      <c r="K161" s="21" t="s">
        <v>438</v>
      </c>
      <c r="O161" s="21" t="s">
        <v>4883</v>
      </c>
      <c r="P161" s="21" t="s">
        <v>2305</v>
      </c>
      <c r="Q161" s="21" t="s">
        <v>5341</v>
      </c>
      <c r="R161" s="21" t="s">
        <v>2113</v>
      </c>
      <c r="T161" s="21" t="s">
        <v>4300</v>
      </c>
      <c r="W161" s="21" t="s">
        <v>1298</v>
      </c>
      <c r="X161" s="21" t="s">
        <v>1014</v>
      </c>
      <c r="Z161" s="21" t="s">
        <v>3551</v>
      </c>
    </row>
    <row r="162" spans="5:26" x14ac:dyDescent="0.25">
      <c r="E162" s="21" t="s">
        <v>2475</v>
      </c>
      <c r="F162" s="21" t="s">
        <v>4148</v>
      </c>
      <c r="I162" s="21" t="s">
        <v>4286</v>
      </c>
      <c r="J162" s="21" t="s">
        <v>4773</v>
      </c>
      <c r="K162" s="21" t="s">
        <v>807</v>
      </c>
      <c r="O162" s="21" t="s">
        <v>1893</v>
      </c>
      <c r="P162" s="21" t="s">
        <v>2309</v>
      </c>
      <c r="Q162" s="21" t="s">
        <v>5349</v>
      </c>
      <c r="R162" s="21" t="s">
        <v>5966</v>
      </c>
      <c r="T162" s="21" t="s">
        <v>4386</v>
      </c>
      <c r="W162" s="21" t="s">
        <v>1334</v>
      </c>
      <c r="X162" s="21" t="s">
        <v>2085</v>
      </c>
      <c r="Z162" s="21" t="s">
        <v>3845</v>
      </c>
    </row>
    <row r="163" spans="5:26" x14ac:dyDescent="0.25">
      <c r="E163" s="21" t="s">
        <v>4907</v>
      </c>
      <c r="F163" s="21" t="s">
        <v>4043</v>
      </c>
      <c r="I163" s="21" t="s">
        <v>5487</v>
      </c>
      <c r="J163" s="21" t="s">
        <v>1530</v>
      </c>
      <c r="K163" s="21" t="s">
        <v>439</v>
      </c>
      <c r="O163" s="21" t="s">
        <v>4322</v>
      </c>
      <c r="P163" s="21" t="s">
        <v>4886</v>
      </c>
      <c r="Q163" s="21" t="s">
        <v>5006</v>
      </c>
      <c r="R163" s="21" t="s">
        <v>312</v>
      </c>
      <c r="T163" s="21" t="s">
        <v>4332</v>
      </c>
      <c r="W163" s="21" t="s">
        <v>1127</v>
      </c>
      <c r="X163" s="21" t="s">
        <v>338</v>
      </c>
      <c r="Z163" s="21" t="s">
        <v>3743</v>
      </c>
    </row>
    <row r="164" spans="5:26" x14ac:dyDescent="0.25">
      <c r="E164" s="21" t="s">
        <v>2069</v>
      </c>
      <c r="F164" s="21" t="s">
        <v>5131</v>
      </c>
      <c r="I164" s="21" t="s">
        <v>2479</v>
      </c>
      <c r="J164" s="21" t="s">
        <v>1638</v>
      </c>
      <c r="K164" s="21" t="s">
        <v>440</v>
      </c>
      <c r="O164" s="21" t="s">
        <v>3957</v>
      </c>
      <c r="P164" s="21" t="s">
        <v>5339</v>
      </c>
      <c r="Q164" s="21" t="s">
        <v>4565</v>
      </c>
      <c r="R164" s="21" t="s">
        <v>3205</v>
      </c>
      <c r="T164" s="21" t="s">
        <v>4352</v>
      </c>
      <c r="W164" s="21" t="s">
        <v>1514</v>
      </c>
      <c r="X164" s="21" t="s">
        <v>1227</v>
      </c>
      <c r="Z164" s="21" t="s">
        <v>3579</v>
      </c>
    </row>
    <row r="165" spans="5:26" x14ac:dyDescent="0.25">
      <c r="E165" s="21" t="s">
        <v>1774</v>
      </c>
      <c r="F165" s="21" t="s">
        <v>4176</v>
      </c>
      <c r="I165" s="21" t="s">
        <v>2161</v>
      </c>
      <c r="J165" s="21" t="s">
        <v>1689</v>
      </c>
      <c r="K165" s="21" t="s">
        <v>2495</v>
      </c>
      <c r="O165" s="21" t="s">
        <v>1791</v>
      </c>
      <c r="P165" s="21" t="s">
        <v>5040</v>
      </c>
      <c r="Q165" s="21" t="s">
        <v>5465</v>
      </c>
      <c r="R165" s="21" t="s">
        <v>1573</v>
      </c>
      <c r="T165" s="21" t="s">
        <v>4358</v>
      </c>
      <c r="W165" s="21" t="s">
        <v>1457</v>
      </c>
      <c r="X165" s="21" t="s">
        <v>971</v>
      </c>
      <c r="Z165" s="21" t="s">
        <v>723</v>
      </c>
    </row>
    <row r="166" spans="5:26" x14ac:dyDescent="0.25">
      <c r="E166" s="21" t="s">
        <v>1851</v>
      </c>
      <c r="F166" s="21" t="s">
        <v>4128</v>
      </c>
      <c r="I166" s="21" t="s">
        <v>298</v>
      </c>
      <c r="J166" s="21" t="s">
        <v>4168</v>
      </c>
      <c r="K166" s="21" t="s">
        <v>2727</v>
      </c>
      <c r="O166" s="21" t="s">
        <v>4885</v>
      </c>
      <c r="P166" s="21" t="s">
        <v>2079</v>
      </c>
      <c r="Q166" s="21" t="s">
        <v>5413</v>
      </c>
      <c r="R166" s="21" t="s">
        <v>1466</v>
      </c>
      <c r="T166" s="21" t="s">
        <v>1438</v>
      </c>
      <c r="W166" s="21" t="s">
        <v>233</v>
      </c>
      <c r="X166" s="21" t="s">
        <v>984</v>
      </c>
      <c r="Z166" s="21" t="s">
        <v>2895</v>
      </c>
    </row>
    <row r="167" spans="5:26" x14ac:dyDescent="0.25">
      <c r="E167" s="21" t="s">
        <v>2125</v>
      </c>
      <c r="F167" s="21" t="s">
        <v>4455</v>
      </c>
      <c r="I167" s="21" t="s">
        <v>5358</v>
      </c>
      <c r="J167" s="21" t="s">
        <v>5389</v>
      </c>
      <c r="K167" s="21" t="s">
        <v>3276</v>
      </c>
      <c r="O167" s="21" t="s">
        <v>1391</v>
      </c>
      <c r="P167" s="21" t="s">
        <v>2384</v>
      </c>
      <c r="Q167" s="21" t="s">
        <v>4585</v>
      </c>
      <c r="R167" s="21" t="s">
        <v>3074</v>
      </c>
      <c r="T167" s="21" t="s">
        <v>537</v>
      </c>
      <c r="W167" s="21" t="s">
        <v>1021</v>
      </c>
      <c r="X167" s="21" t="s">
        <v>1442</v>
      </c>
      <c r="Z167" s="21" t="s">
        <v>3702</v>
      </c>
    </row>
    <row r="168" spans="5:26" x14ac:dyDescent="0.25">
      <c r="E168" s="21" t="s">
        <v>5112</v>
      </c>
      <c r="F168" s="21" t="s">
        <v>4569</v>
      </c>
      <c r="I168" s="21" t="s">
        <v>2593</v>
      </c>
      <c r="J168" s="21" t="s">
        <v>3972</v>
      </c>
      <c r="K168" s="21" t="s">
        <v>441</v>
      </c>
      <c r="O168" s="21" t="s">
        <v>2316</v>
      </c>
      <c r="P168" s="21" t="s">
        <v>2297</v>
      </c>
      <c r="Q168" s="21" t="s">
        <v>5398</v>
      </c>
      <c r="R168" s="21" t="s">
        <v>3101</v>
      </c>
      <c r="T168" s="21" t="s">
        <v>3916</v>
      </c>
      <c r="W168" s="21" t="s">
        <v>1074</v>
      </c>
      <c r="X168" s="21" t="s">
        <v>935</v>
      </c>
      <c r="Z168" s="21" t="s">
        <v>3566</v>
      </c>
    </row>
    <row r="169" spans="5:26" x14ac:dyDescent="0.25">
      <c r="E169" s="21" t="s">
        <v>5268</v>
      </c>
      <c r="F169" s="21" t="s">
        <v>5063</v>
      </c>
      <c r="I169" s="21" t="s">
        <v>4310</v>
      </c>
      <c r="J169" s="21" t="s">
        <v>4395</v>
      </c>
      <c r="K169" s="21" t="s">
        <v>391</v>
      </c>
      <c r="O169" s="21" t="s">
        <v>1530</v>
      </c>
      <c r="P169" s="21" t="s">
        <v>3879</v>
      </c>
      <c r="Q169" s="21" t="s">
        <v>4287</v>
      </c>
      <c r="R169" s="21" t="s">
        <v>384</v>
      </c>
      <c r="W169" s="21" t="s">
        <v>1528</v>
      </c>
      <c r="X169" s="21" t="s">
        <v>1202</v>
      </c>
      <c r="Z169" s="21" t="s">
        <v>3376</v>
      </c>
    </row>
    <row r="170" spans="5:26" x14ac:dyDescent="0.25">
      <c r="E170" s="21" t="s">
        <v>2561</v>
      </c>
      <c r="F170" s="21" t="s">
        <v>4629</v>
      </c>
      <c r="I170" s="21" t="s">
        <v>2734</v>
      </c>
      <c r="J170" s="21" t="s">
        <v>4840</v>
      </c>
      <c r="K170" s="21" t="s">
        <v>1833</v>
      </c>
      <c r="O170" s="21" t="s">
        <v>1638</v>
      </c>
      <c r="P170" s="21" t="s">
        <v>2632</v>
      </c>
      <c r="Q170" s="21" t="s">
        <v>5068</v>
      </c>
      <c r="R170" s="21" t="s">
        <v>3452</v>
      </c>
      <c r="W170" s="21" t="s">
        <v>1378</v>
      </c>
      <c r="X170" s="21" t="s">
        <v>1225</v>
      </c>
      <c r="Z170" s="21" t="s">
        <v>5967</v>
      </c>
    </row>
    <row r="171" spans="5:26" x14ac:dyDescent="0.25">
      <c r="E171" s="21" t="s">
        <v>2408</v>
      </c>
      <c r="F171" s="21" t="s">
        <v>4459</v>
      </c>
      <c r="I171" s="21" t="s">
        <v>2623</v>
      </c>
      <c r="J171" s="21" t="s">
        <v>4727</v>
      </c>
      <c r="K171" s="21" t="s">
        <v>5204</v>
      </c>
      <c r="O171" s="21" t="s">
        <v>1689</v>
      </c>
      <c r="P171" s="21" t="s">
        <v>2238</v>
      </c>
      <c r="Q171" s="21" t="s">
        <v>4544</v>
      </c>
      <c r="R171" s="21" t="s">
        <v>3510</v>
      </c>
      <c r="W171" s="21" t="s">
        <v>1218</v>
      </c>
      <c r="X171" s="21" t="s">
        <v>358</v>
      </c>
      <c r="Z171" s="21" t="s">
        <v>558</v>
      </c>
    </row>
    <row r="172" spans="5:26" x14ac:dyDescent="0.25">
      <c r="E172" s="21" t="s">
        <v>2282</v>
      </c>
      <c r="F172" s="21" t="s">
        <v>4998</v>
      </c>
      <c r="I172" s="21" t="s">
        <v>1970</v>
      </c>
      <c r="J172" s="21" t="s">
        <v>5254</v>
      </c>
      <c r="K172" s="21" t="s">
        <v>797</v>
      </c>
      <c r="O172" s="21" t="s">
        <v>3972</v>
      </c>
      <c r="P172" s="21" t="s">
        <v>1855</v>
      </c>
      <c r="Q172" s="21" t="s">
        <v>5310</v>
      </c>
      <c r="R172" s="21" t="s">
        <v>669</v>
      </c>
      <c r="W172" s="21" t="s">
        <v>1259</v>
      </c>
      <c r="X172" s="21" t="s">
        <v>3042</v>
      </c>
      <c r="Z172" s="21" t="s">
        <v>3645</v>
      </c>
    </row>
    <row r="173" spans="5:26" x14ac:dyDescent="0.25">
      <c r="E173" s="21" t="s">
        <v>2272</v>
      </c>
      <c r="F173" s="21" t="s">
        <v>5114</v>
      </c>
      <c r="I173" s="21" t="s">
        <v>2744</v>
      </c>
      <c r="J173" s="21" t="s">
        <v>4161</v>
      </c>
      <c r="K173" s="21" t="s">
        <v>2543</v>
      </c>
      <c r="O173" s="21" t="s">
        <v>1854</v>
      </c>
      <c r="P173" s="21" t="s">
        <v>2317</v>
      </c>
      <c r="Q173" s="21" t="s">
        <v>4505</v>
      </c>
      <c r="R173" s="21" t="s">
        <v>3019</v>
      </c>
      <c r="W173" s="21" t="s">
        <v>1426</v>
      </c>
      <c r="X173" s="21" t="s">
        <v>1001</v>
      </c>
      <c r="Z173" s="21" t="s">
        <v>3521</v>
      </c>
    </row>
    <row r="174" spans="5:26" x14ac:dyDescent="0.25">
      <c r="E174" s="21" t="s">
        <v>1876</v>
      </c>
      <c r="F174" s="21" t="s">
        <v>4183</v>
      </c>
      <c r="I174" s="21" t="s">
        <v>2833</v>
      </c>
      <c r="J174" s="21" t="s">
        <v>5356</v>
      </c>
      <c r="K174" s="21" t="s">
        <v>1713</v>
      </c>
      <c r="O174" s="21" t="s">
        <v>5255</v>
      </c>
      <c r="P174" s="21" t="s">
        <v>2030</v>
      </c>
      <c r="Q174" s="21" t="s">
        <v>4108</v>
      </c>
      <c r="R174" s="21" t="s">
        <v>2982</v>
      </c>
      <c r="W174" s="21" t="s">
        <v>1510</v>
      </c>
      <c r="X174" s="21" t="s">
        <v>1011</v>
      </c>
      <c r="Z174" s="21" t="s">
        <v>891</v>
      </c>
    </row>
    <row r="175" spans="5:26" x14ac:dyDescent="0.25">
      <c r="E175" s="21" t="s">
        <v>2501</v>
      </c>
      <c r="F175" s="21" t="s">
        <v>4420</v>
      </c>
      <c r="I175" s="21" t="s">
        <v>2747</v>
      </c>
      <c r="J175" s="21" t="s">
        <v>4207</v>
      </c>
      <c r="K175" s="21" t="s">
        <v>2798</v>
      </c>
      <c r="O175" s="21" t="s">
        <v>5223</v>
      </c>
      <c r="P175" s="21" t="s">
        <v>5165</v>
      </c>
      <c r="Q175" s="21" t="s">
        <v>4519</v>
      </c>
      <c r="R175" s="21" t="s">
        <v>541</v>
      </c>
      <c r="W175" s="21" t="s">
        <v>1340</v>
      </c>
      <c r="X175" s="21" t="s">
        <v>1057</v>
      </c>
      <c r="Z175" s="21" t="s">
        <v>3713</v>
      </c>
    </row>
    <row r="176" spans="5:26" x14ac:dyDescent="0.25">
      <c r="E176" s="21" t="s">
        <v>1626</v>
      </c>
      <c r="F176" s="21" t="s">
        <v>3975</v>
      </c>
      <c r="I176" s="21" t="s">
        <v>2721</v>
      </c>
      <c r="J176" s="21" t="s">
        <v>4801</v>
      </c>
      <c r="K176" s="21" t="s">
        <v>3280</v>
      </c>
      <c r="O176" s="21" t="s">
        <v>261</v>
      </c>
      <c r="P176" s="21" t="s">
        <v>2541</v>
      </c>
      <c r="Q176" s="21" t="s">
        <v>5417</v>
      </c>
      <c r="R176" s="21" t="s">
        <v>3431</v>
      </c>
      <c r="W176" s="21" t="s">
        <v>3114</v>
      </c>
      <c r="X176" s="21" t="s">
        <v>298</v>
      </c>
      <c r="Z176" s="21" t="s">
        <v>3555</v>
      </c>
    </row>
    <row r="177" spans="5:26" x14ac:dyDescent="0.25">
      <c r="E177" s="21" t="s">
        <v>4996</v>
      </c>
      <c r="F177" s="21" t="s">
        <v>4070</v>
      </c>
      <c r="I177" s="21" t="s">
        <v>2757</v>
      </c>
      <c r="J177" s="21" t="s">
        <v>4143</v>
      </c>
      <c r="K177" s="21" t="s">
        <v>3259</v>
      </c>
      <c r="O177" s="21" t="s">
        <v>4320</v>
      </c>
      <c r="P177" s="21" t="s">
        <v>1270</v>
      </c>
      <c r="Q177" s="21" t="s">
        <v>5420</v>
      </c>
      <c r="R177" s="21" t="s">
        <v>628</v>
      </c>
      <c r="W177" s="21" t="s">
        <v>1477</v>
      </c>
      <c r="X177" s="21" t="s">
        <v>939</v>
      </c>
      <c r="Z177" s="21" t="s">
        <v>2461</v>
      </c>
    </row>
    <row r="178" spans="5:26" x14ac:dyDescent="0.25">
      <c r="E178" s="21" t="s">
        <v>1786</v>
      </c>
      <c r="F178" s="21" t="s">
        <v>4174</v>
      </c>
      <c r="I178" s="21" t="s">
        <v>2569</v>
      </c>
      <c r="J178" s="21" t="s">
        <v>4243</v>
      </c>
      <c r="K178" s="21" t="s">
        <v>2592</v>
      </c>
      <c r="O178" s="21" t="s">
        <v>4161</v>
      </c>
      <c r="P178" s="21" t="s">
        <v>2756</v>
      </c>
      <c r="Q178" s="21" t="s">
        <v>4800</v>
      </c>
      <c r="R178" s="21" t="s">
        <v>3332</v>
      </c>
      <c r="W178" s="21" t="s">
        <v>234</v>
      </c>
      <c r="X178" s="21" t="s">
        <v>1435</v>
      </c>
      <c r="Z178" s="21" t="s">
        <v>5968</v>
      </c>
    </row>
    <row r="179" spans="5:26" x14ac:dyDescent="0.25">
      <c r="E179" s="21" t="s">
        <v>4859</v>
      </c>
      <c r="F179" s="21" t="s">
        <v>5263</v>
      </c>
      <c r="I179" s="21" t="s">
        <v>2702</v>
      </c>
      <c r="J179" s="21" t="s">
        <v>4529</v>
      </c>
      <c r="K179" s="21" t="s">
        <v>2029</v>
      </c>
      <c r="O179" s="21" t="s">
        <v>5265</v>
      </c>
      <c r="P179" s="21" t="s">
        <v>2696</v>
      </c>
      <c r="Q179" s="21" t="s">
        <v>5384</v>
      </c>
      <c r="R179" s="21" t="s">
        <v>3620</v>
      </c>
      <c r="W179" s="21" t="s">
        <v>1405</v>
      </c>
      <c r="X179" s="21" t="s">
        <v>988</v>
      </c>
      <c r="Z179" s="21" t="s">
        <v>3263</v>
      </c>
    </row>
    <row r="180" spans="5:26" x14ac:dyDescent="0.25">
      <c r="E180" s="21" t="s">
        <v>2279</v>
      </c>
      <c r="F180" s="21" t="s">
        <v>4166</v>
      </c>
      <c r="I180" s="21" t="s">
        <v>2801</v>
      </c>
      <c r="J180" s="21" t="s">
        <v>1108</v>
      </c>
      <c r="K180" s="21" t="s">
        <v>442</v>
      </c>
      <c r="O180" s="21" t="s">
        <v>2111</v>
      </c>
      <c r="P180" s="21" t="s">
        <v>2284</v>
      </c>
      <c r="Q180" s="21" t="s">
        <v>5490</v>
      </c>
      <c r="R180" s="21" t="s">
        <v>3060</v>
      </c>
      <c r="W180" s="21" t="s">
        <v>1547</v>
      </c>
      <c r="X180" s="21" t="s">
        <v>265</v>
      </c>
      <c r="Z180" s="21" t="s">
        <v>890</v>
      </c>
    </row>
    <row r="181" spans="5:26" x14ac:dyDescent="0.25">
      <c r="E181" s="21" t="s">
        <v>2460</v>
      </c>
      <c r="F181" s="21" t="s">
        <v>4100</v>
      </c>
      <c r="I181" s="21" t="s">
        <v>2873</v>
      </c>
      <c r="J181" s="21" t="s">
        <v>4440</v>
      </c>
      <c r="K181" s="21" t="s">
        <v>443</v>
      </c>
      <c r="O181" s="21" t="s">
        <v>2761</v>
      </c>
      <c r="P181" s="21" t="s">
        <v>3073</v>
      </c>
      <c r="Q181" s="21" t="s">
        <v>5342</v>
      </c>
      <c r="R181" s="21" t="s">
        <v>3365</v>
      </c>
      <c r="W181" s="21" t="s">
        <v>2885</v>
      </c>
      <c r="X181" s="21" t="s">
        <v>1362</v>
      </c>
      <c r="Z181" s="21" t="s">
        <v>3730</v>
      </c>
    </row>
    <row r="182" spans="5:26" x14ac:dyDescent="0.25">
      <c r="E182" s="21" t="s">
        <v>5080</v>
      </c>
      <c r="F182" s="21" t="s">
        <v>4453</v>
      </c>
      <c r="I182" s="21" t="s">
        <v>2653</v>
      </c>
      <c r="J182" s="21" t="s">
        <v>1826</v>
      </c>
      <c r="K182" s="21" t="s">
        <v>884</v>
      </c>
      <c r="O182" s="21" t="s">
        <v>2076</v>
      </c>
      <c r="P182" s="21" t="s">
        <v>5259</v>
      </c>
      <c r="Q182" s="21" t="s">
        <v>5314</v>
      </c>
      <c r="R182" s="21" t="s">
        <v>3040</v>
      </c>
      <c r="W182" s="21" t="s">
        <v>957</v>
      </c>
      <c r="X182" s="21" t="s">
        <v>282</v>
      </c>
      <c r="Z182" s="21" t="s">
        <v>3861</v>
      </c>
    </row>
    <row r="183" spans="5:26" x14ac:dyDescent="0.25">
      <c r="E183" s="21" t="s">
        <v>1652</v>
      </c>
      <c r="F183" s="21" t="s">
        <v>4490</v>
      </c>
      <c r="I183" s="21" t="s">
        <v>2870</v>
      </c>
      <c r="J183" s="21" t="s">
        <v>4744</v>
      </c>
      <c r="K183" s="21" t="s">
        <v>2619</v>
      </c>
      <c r="O183" s="21" t="s">
        <v>5260</v>
      </c>
      <c r="P183" s="21" t="s">
        <v>2289</v>
      </c>
      <c r="Q183" s="21" t="s">
        <v>4507</v>
      </c>
      <c r="R183" s="21" t="s">
        <v>583</v>
      </c>
      <c r="W183" s="21" t="s">
        <v>1121</v>
      </c>
      <c r="X183" s="21" t="s">
        <v>974</v>
      </c>
      <c r="Z183" s="21" t="s">
        <v>3758</v>
      </c>
    </row>
    <row r="184" spans="5:26" x14ac:dyDescent="0.25">
      <c r="E184" s="21" t="s">
        <v>2446</v>
      </c>
      <c r="F184" s="21" t="s">
        <v>5007</v>
      </c>
      <c r="I184" s="21" t="s">
        <v>2626</v>
      </c>
      <c r="J184" s="21" t="s">
        <v>4630</v>
      </c>
      <c r="K184" s="21" t="s">
        <v>2554</v>
      </c>
      <c r="O184" s="21" t="s">
        <v>2094</v>
      </c>
      <c r="P184" s="21" t="s">
        <v>4841</v>
      </c>
      <c r="Q184" s="21" t="s">
        <v>5407</v>
      </c>
      <c r="R184" s="21" t="s">
        <v>2409</v>
      </c>
      <c r="W184" s="21" t="s">
        <v>1478</v>
      </c>
      <c r="X184" s="21" t="s">
        <v>303</v>
      </c>
      <c r="Z184" s="21" t="s">
        <v>641</v>
      </c>
    </row>
    <row r="185" spans="5:26" x14ac:dyDescent="0.25">
      <c r="E185" s="21" t="s">
        <v>1866</v>
      </c>
      <c r="F185" s="21" t="s">
        <v>4468</v>
      </c>
      <c r="I185" s="21" t="s">
        <v>2844</v>
      </c>
      <c r="J185" s="21" t="s">
        <v>3880</v>
      </c>
      <c r="K185" s="21" t="s">
        <v>3181</v>
      </c>
      <c r="O185" s="21" t="s">
        <v>5245</v>
      </c>
      <c r="P185" s="21" t="s">
        <v>5144</v>
      </c>
      <c r="Q185" s="21" t="s">
        <v>5472</v>
      </c>
      <c r="R185" s="21" t="s">
        <v>2995</v>
      </c>
      <c r="W185" s="21" t="s">
        <v>1367</v>
      </c>
      <c r="X185" s="21" t="s">
        <v>250</v>
      </c>
      <c r="Z185" s="21" t="s">
        <v>3667</v>
      </c>
    </row>
    <row r="186" spans="5:26" x14ac:dyDescent="0.25">
      <c r="E186" s="21" t="s">
        <v>1898</v>
      </c>
      <c r="I186" s="21" t="s">
        <v>2830</v>
      </c>
      <c r="J186" s="21" t="s">
        <v>4722</v>
      </c>
      <c r="K186" s="21" t="s">
        <v>3289</v>
      </c>
      <c r="O186" s="21" t="s">
        <v>2180</v>
      </c>
      <c r="P186" s="21" t="s">
        <v>5146</v>
      </c>
      <c r="Q186" s="21" t="s">
        <v>5391</v>
      </c>
      <c r="R186" s="21" t="s">
        <v>347</v>
      </c>
      <c r="W186" s="21" t="s">
        <v>1047</v>
      </c>
      <c r="X186" s="21" t="s">
        <v>621</v>
      </c>
      <c r="Z186" s="21" t="s">
        <v>3782</v>
      </c>
    </row>
    <row r="187" spans="5:26" x14ac:dyDescent="0.25">
      <c r="E187" s="21" t="s">
        <v>1629</v>
      </c>
      <c r="I187" s="21" t="s">
        <v>2759</v>
      </c>
      <c r="J187" s="21" t="s">
        <v>3902</v>
      </c>
      <c r="K187" s="21" t="s">
        <v>2546</v>
      </c>
      <c r="O187" s="21" t="s">
        <v>4333</v>
      </c>
      <c r="Q187" s="21" t="s">
        <v>4302</v>
      </c>
      <c r="R187" s="21" t="s">
        <v>613</v>
      </c>
      <c r="W187" s="21" t="s">
        <v>1018</v>
      </c>
      <c r="X187" s="21" t="s">
        <v>1408</v>
      </c>
      <c r="Z187" s="21" t="s">
        <v>3769</v>
      </c>
    </row>
    <row r="188" spans="5:26" x14ac:dyDescent="0.25">
      <c r="E188" s="21" t="s">
        <v>1993</v>
      </c>
      <c r="I188" s="21" t="s">
        <v>2646</v>
      </c>
      <c r="J188" s="21" t="s">
        <v>4674</v>
      </c>
      <c r="K188" s="21" t="s">
        <v>2499</v>
      </c>
      <c r="O188" s="21" t="s">
        <v>5232</v>
      </c>
      <c r="Q188" s="21" t="s">
        <v>5428</v>
      </c>
      <c r="R188" s="21" t="s">
        <v>609</v>
      </c>
      <c r="W188" s="21" t="s">
        <v>1115</v>
      </c>
      <c r="X188" s="21" t="s">
        <v>1544</v>
      </c>
      <c r="Z188" s="21" t="s">
        <v>3446</v>
      </c>
    </row>
    <row r="189" spans="5:26" x14ac:dyDescent="0.25">
      <c r="E189" s="21" t="s">
        <v>2113</v>
      </c>
      <c r="I189" s="21" t="s">
        <v>2679</v>
      </c>
      <c r="J189" s="21" t="s">
        <v>4627</v>
      </c>
      <c r="K189" s="21" t="s">
        <v>444</v>
      </c>
      <c r="O189" s="21" t="s">
        <v>2044</v>
      </c>
      <c r="Q189" s="21" t="s">
        <v>5005</v>
      </c>
      <c r="R189" s="21" t="s">
        <v>3438</v>
      </c>
      <c r="W189" s="21" t="s">
        <v>1288</v>
      </c>
      <c r="X189" s="21" t="s">
        <v>1181</v>
      </c>
      <c r="Z189" s="21" t="s">
        <v>2033</v>
      </c>
    </row>
    <row r="190" spans="5:26" x14ac:dyDescent="0.25">
      <c r="E190" s="21" t="s">
        <v>3894</v>
      </c>
      <c r="I190" s="21" t="s">
        <v>5219</v>
      </c>
      <c r="J190" s="21" t="s">
        <v>4247</v>
      </c>
      <c r="K190" s="21" t="s">
        <v>445</v>
      </c>
      <c r="O190" s="21" t="s">
        <v>1921</v>
      </c>
      <c r="Q190" s="21" t="s">
        <v>4503</v>
      </c>
      <c r="R190" s="21" t="s">
        <v>2991</v>
      </c>
      <c r="W190" s="21" t="s">
        <v>2892</v>
      </c>
      <c r="X190" s="21" t="s">
        <v>1233</v>
      </c>
      <c r="Z190" s="21" t="s">
        <v>832</v>
      </c>
    </row>
    <row r="191" spans="5:26" x14ac:dyDescent="0.25">
      <c r="E191" s="21" t="s">
        <v>1672</v>
      </c>
      <c r="I191" s="21" t="s">
        <v>2563</v>
      </c>
      <c r="J191" s="21" t="s">
        <v>4765</v>
      </c>
      <c r="K191" s="21" t="s">
        <v>2754</v>
      </c>
      <c r="O191" s="21" t="s">
        <v>5266</v>
      </c>
      <c r="Q191" s="21" t="s">
        <v>5317</v>
      </c>
      <c r="R191" s="21" t="s">
        <v>585</v>
      </c>
      <c r="W191" s="21" t="s">
        <v>1319</v>
      </c>
      <c r="X191" s="21" t="s">
        <v>588</v>
      </c>
      <c r="Z191" s="21" t="s">
        <v>559</v>
      </c>
    </row>
    <row r="192" spans="5:26" x14ac:dyDescent="0.25">
      <c r="E192" s="21" t="s">
        <v>4912</v>
      </c>
      <c r="I192" s="21" t="s">
        <v>2861</v>
      </c>
      <c r="J192" s="21" t="s">
        <v>4220</v>
      </c>
      <c r="K192" s="21" t="s">
        <v>838</v>
      </c>
      <c r="O192" s="21" t="s">
        <v>4369</v>
      </c>
      <c r="Q192" s="21" t="s">
        <v>4452</v>
      </c>
      <c r="R192" s="21" t="s">
        <v>3102</v>
      </c>
      <c r="W192" s="21" t="s">
        <v>1228</v>
      </c>
      <c r="X192" s="21" t="s">
        <v>249</v>
      </c>
      <c r="Z192" s="21" t="s">
        <v>3838</v>
      </c>
    </row>
    <row r="193" spans="5:26" x14ac:dyDescent="0.25">
      <c r="E193" s="21" t="s">
        <v>1850</v>
      </c>
      <c r="I193" s="21" t="s">
        <v>1892</v>
      </c>
      <c r="J193" s="21" t="s">
        <v>4651</v>
      </c>
      <c r="K193" s="21" t="s">
        <v>3225</v>
      </c>
      <c r="O193" s="21" t="s">
        <v>1960</v>
      </c>
      <c r="Q193" s="21" t="s">
        <v>5456</v>
      </c>
      <c r="R193" s="21" t="s">
        <v>3142</v>
      </c>
      <c r="W193" s="21" t="s">
        <v>1368</v>
      </c>
      <c r="X193" s="21" t="s">
        <v>1141</v>
      </c>
      <c r="Z193" s="21" t="s">
        <v>1612</v>
      </c>
    </row>
    <row r="194" spans="5:26" x14ac:dyDescent="0.25">
      <c r="E194" s="21" t="s">
        <v>1661</v>
      </c>
      <c r="I194" s="21" t="s">
        <v>2573</v>
      </c>
      <c r="J194" s="21" t="s">
        <v>4653</v>
      </c>
      <c r="K194" s="21" t="s">
        <v>3577</v>
      </c>
      <c r="O194" s="21" t="s">
        <v>4877</v>
      </c>
      <c r="Q194" s="21" t="s">
        <v>5471</v>
      </c>
      <c r="R194" s="21" t="s">
        <v>3596</v>
      </c>
      <c r="W194" s="21" t="s">
        <v>2916</v>
      </c>
      <c r="X194" s="21" t="s">
        <v>2968</v>
      </c>
      <c r="Z194" s="21" t="s">
        <v>902</v>
      </c>
    </row>
    <row r="195" spans="5:26" x14ac:dyDescent="0.25">
      <c r="E195" s="21" t="s">
        <v>4982</v>
      </c>
      <c r="I195" s="21" t="s">
        <v>2471</v>
      </c>
      <c r="J195" s="21" t="s">
        <v>4413</v>
      </c>
      <c r="K195" s="21" t="s">
        <v>3548</v>
      </c>
      <c r="O195" s="21" t="s">
        <v>4986</v>
      </c>
      <c r="Q195" s="21" t="s">
        <v>5459</v>
      </c>
      <c r="R195" s="21" t="s">
        <v>601</v>
      </c>
      <c r="W195" s="21" t="s">
        <v>1248</v>
      </c>
      <c r="X195" s="21" t="s">
        <v>1347</v>
      </c>
      <c r="Z195" s="21" t="s">
        <v>3791</v>
      </c>
    </row>
    <row r="196" spans="5:26" x14ac:dyDescent="0.25">
      <c r="E196" s="21" t="s">
        <v>1841</v>
      </c>
      <c r="I196" s="21" t="s">
        <v>4590</v>
      </c>
      <c r="J196" s="21" t="s">
        <v>4576</v>
      </c>
      <c r="K196" s="21" t="s">
        <v>780</v>
      </c>
      <c r="O196" s="21" t="s">
        <v>4858</v>
      </c>
      <c r="Q196" s="21" t="s">
        <v>4291</v>
      </c>
      <c r="R196" s="21" t="s">
        <v>2975</v>
      </c>
      <c r="W196" s="21" t="s">
        <v>2993</v>
      </c>
      <c r="X196" s="21" t="s">
        <v>5969</v>
      </c>
      <c r="Z196" s="21" t="s">
        <v>3624</v>
      </c>
    </row>
    <row r="197" spans="5:26" x14ac:dyDescent="0.25">
      <c r="E197" s="21" t="s">
        <v>5021</v>
      </c>
      <c r="I197" s="21" t="s">
        <v>4598</v>
      </c>
      <c r="J197" s="21" t="s">
        <v>4768</v>
      </c>
      <c r="K197" s="21" t="s">
        <v>756</v>
      </c>
      <c r="O197" s="21" t="s">
        <v>2088</v>
      </c>
      <c r="Q197" s="21" t="s">
        <v>1708</v>
      </c>
      <c r="R197" s="21" t="s">
        <v>3484</v>
      </c>
      <c r="W197" s="21" t="s">
        <v>1425</v>
      </c>
      <c r="X197" s="21" t="s">
        <v>1157</v>
      </c>
      <c r="Z197" s="21" t="s">
        <v>3804</v>
      </c>
    </row>
    <row r="198" spans="5:26" x14ac:dyDescent="0.25">
      <c r="E198" s="21" t="s">
        <v>1751</v>
      </c>
      <c r="I198" s="21" t="s">
        <v>2516</v>
      </c>
      <c r="J198" s="21" t="s">
        <v>4277</v>
      </c>
      <c r="K198" s="21" t="s">
        <v>2742</v>
      </c>
      <c r="O198" s="21" t="s">
        <v>2166</v>
      </c>
      <c r="Q198" s="21" t="s">
        <v>4596</v>
      </c>
      <c r="R198" s="21" t="s">
        <v>1339</v>
      </c>
      <c r="W198" s="21" t="s">
        <v>1473</v>
      </c>
      <c r="X198" s="21" t="s">
        <v>887</v>
      </c>
      <c r="Z198" s="21" t="s">
        <v>3669</v>
      </c>
    </row>
    <row r="199" spans="5:26" x14ac:dyDescent="0.25">
      <c r="E199" s="21" t="s">
        <v>4880</v>
      </c>
      <c r="I199" s="21" t="s">
        <v>2218</v>
      </c>
      <c r="J199" s="21" t="s">
        <v>3995</v>
      </c>
      <c r="K199" s="21" t="s">
        <v>2040</v>
      </c>
      <c r="O199" s="21" t="s">
        <v>4888</v>
      </c>
      <c r="Q199" s="21" t="s">
        <v>5334</v>
      </c>
      <c r="R199" s="21" t="s">
        <v>590</v>
      </c>
      <c r="W199" s="21" t="s">
        <v>1096</v>
      </c>
      <c r="X199" s="21" t="s">
        <v>1302</v>
      </c>
      <c r="Z199" s="21" t="s">
        <v>3757</v>
      </c>
    </row>
    <row r="200" spans="5:26" x14ac:dyDescent="0.25">
      <c r="E200" s="21" t="s">
        <v>1790</v>
      </c>
      <c r="I200" s="21" t="s">
        <v>2824</v>
      </c>
      <c r="J200" s="21" t="s">
        <v>4688</v>
      </c>
      <c r="K200" s="21" t="s">
        <v>792</v>
      </c>
      <c r="O200" s="21" t="s">
        <v>2518</v>
      </c>
      <c r="Q200" s="21" t="s">
        <v>5281</v>
      </c>
      <c r="R200" s="21" t="s">
        <v>3139</v>
      </c>
      <c r="W200" s="21" t="s">
        <v>1091</v>
      </c>
      <c r="X200" s="21" t="s">
        <v>333</v>
      </c>
      <c r="Z200" s="21" t="s">
        <v>3382</v>
      </c>
    </row>
    <row r="201" spans="5:26" x14ac:dyDescent="0.25">
      <c r="E201" s="21" t="s">
        <v>3265</v>
      </c>
      <c r="I201" s="21" t="s">
        <v>4552</v>
      </c>
      <c r="J201" s="21" t="s">
        <v>4657</v>
      </c>
      <c r="K201" s="21" t="s">
        <v>393</v>
      </c>
      <c r="O201" s="21" t="s">
        <v>2031</v>
      </c>
      <c r="Q201" s="21" t="s">
        <v>4689</v>
      </c>
      <c r="R201" s="21" t="s">
        <v>3053</v>
      </c>
      <c r="W201" s="21" t="s">
        <v>1439</v>
      </c>
      <c r="X201" s="21" t="s">
        <v>1396</v>
      </c>
      <c r="Z201" s="21" t="s">
        <v>3558</v>
      </c>
    </row>
    <row r="202" spans="5:26" x14ac:dyDescent="0.25">
      <c r="E202" s="21" t="s">
        <v>5036</v>
      </c>
      <c r="I202" s="21" t="s">
        <v>2609</v>
      </c>
      <c r="J202" s="21" t="s">
        <v>4620</v>
      </c>
      <c r="K202" s="21" t="s">
        <v>3346</v>
      </c>
      <c r="O202" s="21" t="s">
        <v>1966</v>
      </c>
      <c r="Q202" s="21" t="s">
        <v>5318</v>
      </c>
      <c r="R202" s="21" t="s">
        <v>329</v>
      </c>
      <c r="W202" s="21" t="s">
        <v>976</v>
      </c>
      <c r="X202" s="21" t="s">
        <v>308</v>
      </c>
      <c r="Z202" s="21" t="s">
        <v>2926</v>
      </c>
    </row>
    <row r="203" spans="5:26" x14ac:dyDescent="0.25">
      <c r="E203" s="21" t="s">
        <v>4972</v>
      </c>
      <c r="I203" s="21" t="s">
        <v>2704</v>
      </c>
      <c r="J203" s="21" t="s">
        <v>4595</v>
      </c>
      <c r="K203" s="21" t="s">
        <v>2812</v>
      </c>
      <c r="O203" s="21" t="s">
        <v>2192</v>
      </c>
      <c r="Q203" s="21" t="s">
        <v>5394</v>
      </c>
      <c r="R203" s="21" t="s">
        <v>1351</v>
      </c>
      <c r="W203" s="21" t="s">
        <v>2904</v>
      </c>
      <c r="X203" s="21" t="s">
        <v>985</v>
      </c>
      <c r="Z203" s="21" t="s">
        <v>3571</v>
      </c>
    </row>
    <row r="204" spans="5:26" x14ac:dyDescent="0.25">
      <c r="E204" s="21" t="s">
        <v>2244</v>
      </c>
      <c r="I204" s="21" t="s">
        <v>5425</v>
      </c>
      <c r="J204" s="21" t="s">
        <v>4667</v>
      </c>
      <c r="K204" s="21" t="s">
        <v>446</v>
      </c>
      <c r="O204" s="21" t="s">
        <v>2063</v>
      </c>
      <c r="Q204" s="21" t="s">
        <v>4557</v>
      </c>
      <c r="R204" s="21" t="s">
        <v>591</v>
      </c>
      <c r="W204" s="21" t="s">
        <v>1280</v>
      </c>
      <c r="X204" s="21" t="s">
        <v>1085</v>
      </c>
      <c r="Z204" s="21" t="s">
        <v>788</v>
      </c>
    </row>
    <row r="205" spans="5:26" x14ac:dyDescent="0.25">
      <c r="E205" s="21" t="s">
        <v>1809</v>
      </c>
      <c r="I205" s="21" t="s">
        <v>2695</v>
      </c>
      <c r="J205" s="21" t="s">
        <v>4748</v>
      </c>
      <c r="K205" s="21" t="s">
        <v>1762</v>
      </c>
      <c r="O205" s="21" t="s">
        <v>2014</v>
      </c>
      <c r="Q205" s="21" t="s">
        <v>5138</v>
      </c>
      <c r="R205" s="21" t="s">
        <v>596</v>
      </c>
      <c r="W205" s="21" t="s">
        <v>1150</v>
      </c>
      <c r="X205" s="21" t="s">
        <v>647</v>
      </c>
      <c r="Z205" s="21" t="s">
        <v>3691</v>
      </c>
    </row>
    <row r="206" spans="5:26" x14ac:dyDescent="0.25">
      <c r="E206" s="21" t="s">
        <v>5332</v>
      </c>
      <c r="I206" s="21" t="s">
        <v>698</v>
      </c>
      <c r="J206" s="21" t="s">
        <v>4681</v>
      </c>
      <c r="K206" s="21" t="s">
        <v>447</v>
      </c>
      <c r="O206" s="21" t="s">
        <v>3625</v>
      </c>
      <c r="Q206" s="21" t="s">
        <v>4496</v>
      </c>
      <c r="R206" s="21" t="s">
        <v>3261</v>
      </c>
      <c r="W206" s="21" t="s">
        <v>1277</v>
      </c>
      <c r="X206" s="21" t="s">
        <v>1176</v>
      </c>
      <c r="Z206" s="21" t="s">
        <v>3808</v>
      </c>
    </row>
    <row r="207" spans="5:26" x14ac:dyDescent="0.25">
      <c r="E207" s="21" t="s">
        <v>2779</v>
      </c>
      <c r="I207" s="21" t="s">
        <v>2359</v>
      </c>
      <c r="J207" s="21" t="s">
        <v>4517</v>
      </c>
      <c r="K207" s="21" t="s">
        <v>316</v>
      </c>
      <c r="O207" s="21" t="s">
        <v>4876</v>
      </c>
      <c r="Q207" s="21" t="s">
        <v>4790</v>
      </c>
      <c r="R207" s="21" t="s">
        <v>3002</v>
      </c>
      <c r="W207" s="21" t="s">
        <v>2944</v>
      </c>
      <c r="X207" s="21" t="s">
        <v>1315</v>
      </c>
      <c r="Z207" s="21" t="s">
        <v>2700</v>
      </c>
    </row>
    <row r="208" spans="5:26" x14ac:dyDescent="0.25">
      <c r="E208" s="21" t="s">
        <v>1768</v>
      </c>
      <c r="I208" s="21" t="s">
        <v>2828</v>
      </c>
      <c r="J208" s="21" t="s">
        <v>4743</v>
      </c>
      <c r="K208" s="21" t="s">
        <v>448</v>
      </c>
      <c r="O208" s="21" t="s">
        <v>2073</v>
      </c>
      <c r="Q208" s="21" t="s">
        <v>5426</v>
      </c>
      <c r="R208" s="21" t="s">
        <v>3115</v>
      </c>
      <c r="W208" s="21" t="s">
        <v>1513</v>
      </c>
      <c r="X208" s="21" t="s">
        <v>1040</v>
      </c>
      <c r="Z208" s="21" t="s">
        <v>5970</v>
      </c>
    </row>
    <row r="209" spans="5:26" x14ac:dyDescent="0.25">
      <c r="E209" s="21" t="s">
        <v>2172</v>
      </c>
      <c r="I209" s="21" t="s">
        <v>2659</v>
      </c>
      <c r="J209" s="21" t="s">
        <v>3983</v>
      </c>
      <c r="K209" s="21" t="s">
        <v>2846</v>
      </c>
      <c r="O209" s="21" t="s">
        <v>1165</v>
      </c>
      <c r="Q209" s="21" t="s">
        <v>5110</v>
      </c>
      <c r="R209" s="21" t="s">
        <v>3050</v>
      </c>
      <c r="W209" s="21" t="s">
        <v>1003</v>
      </c>
      <c r="X209" s="21" t="s">
        <v>1112</v>
      </c>
      <c r="Z209" s="21" t="s">
        <v>3568</v>
      </c>
    </row>
    <row r="210" spans="5:26" x14ac:dyDescent="0.25">
      <c r="E210" s="21" t="s">
        <v>2054</v>
      </c>
      <c r="I210" s="21" t="s">
        <v>5270</v>
      </c>
      <c r="J210" s="21" t="s">
        <v>4152</v>
      </c>
      <c r="K210" s="21" t="s">
        <v>2677</v>
      </c>
      <c r="O210" s="21" t="s">
        <v>5971</v>
      </c>
      <c r="Q210" s="21" t="s">
        <v>5458</v>
      </c>
      <c r="R210" s="21" t="s">
        <v>3156</v>
      </c>
      <c r="W210" s="21" t="s">
        <v>1187</v>
      </c>
      <c r="X210" s="21" t="s">
        <v>5972</v>
      </c>
      <c r="Z210" s="21" t="s">
        <v>3658</v>
      </c>
    </row>
    <row r="211" spans="5:26" x14ac:dyDescent="0.25">
      <c r="E211" s="21" t="s">
        <v>2191</v>
      </c>
      <c r="I211" s="21" t="s">
        <v>2496</v>
      </c>
      <c r="J211" s="21" t="s">
        <v>3990</v>
      </c>
      <c r="K211" s="21" t="s">
        <v>808</v>
      </c>
      <c r="O211" s="21" t="s">
        <v>4445</v>
      </c>
      <c r="Q211" s="21" t="s">
        <v>5238</v>
      </c>
      <c r="R211" s="21" t="s">
        <v>3048</v>
      </c>
      <c r="W211" s="21" t="s">
        <v>3410</v>
      </c>
      <c r="X211" s="21" t="s">
        <v>1098</v>
      </c>
      <c r="Z211" s="21" t="s">
        <v>657</v>
      </c>
    </row>
    <row r="212" spans="5:26" x14ac:dyDescent="0.25">
      <c r="E212" s="21" t="s">
        <v>4927</v>
      </c>
      <c r="I212" s="21" t="s">
        <v>2740</v>
      </c>
      <c r="J212" s="21" t="s">
        <v>5213</v>
      </c>
      <c r="K212" s="21" t="s">
        <v>3296</v>
      </c>
      <c r="O212" s="21" t="s">
        <v>2132</v>
      </c>
      <c r="Q212" s="21" t="s">
        <v>4548</v>
      </c>
      <c r="R212" s="21" t="s">
        <v>3235</v>
      </c>
      <c r="W212" s="21" t="s">
        <v>1561</v>
      </c>
      <c r="X212" s="21" t="s">
        <v>1106</v>
      </c>
      <c r="Z212" s="21" t="s">
        <v>3473</v>
      </c>
    </row>
    <row r="213" spans="5:26" x14ac:dyDescent="0.25">
      <c r="E213" s="21" t="s">
        <v>1649</v>
      </c>
      <c r="I213" s="21" t="s">
        <v>2745</v>
      </c>
      <c r="J213" s="21" t="s">
        <v>4434</v>
      </c>
      <c r="K213" s="21" t="s">
        <v>2412</v>
      </c>
      <c r="O213" s="21" t="s">
        <v>5973</v>
      </c>
      <c r="Q213" s="21" t="s">
        <v>4398</v>
      </c>
      <c r="R213" s="21" t="s">
        <v>240</v>
      </c>
      <c r="W213" s="21" t="s">
        <v>1548</v>
      </c>
      <c r="X213" s="21" t="s">
        <v>1149</v>
      </c>
      <c r="Z213" s="21" t="s">
        <v>781</v>
      </c>
    </row>
    <row r="214" spans="5:26" x14ac:dyDescent="0.25">
      <c r="E214" s="21" t="s">
        <v>3008</v>
      </c>
      <c r="I214" s="21" t="s">
        <v>2650</v>
      </c>
      <c r="J214" s="21" t="s">
        <v>3408</v>
      </c>
      <c r="K214" s="21" t="s">
        <v>1794</v>
      </c>
      <c r="O214" s="21" t="s">
        <v>1891</v>
      </c>
      <c r="Q214" s="21" t="s">
        <v>5337</v>
      </c>
      <c r="R214" s="21" t="s">
        <v>2908</v>
      </c>
      <c r="W214" s="21" t="s">
        <v>1322</v>
      </c>
      <c r="X214" s="21" t="s">
        <v>961</v>
      </c>
      <c r="Z214" s="21" t="s">
        <v>3391</v>
      </c>
    </row>
    <row r="215" spans="5:26" x14ac:dyDescent="0.25">
      <c r="E215" s="21" t="s">
        <v>3243</v>
      </c>
      <c r="I215" s="21" t="s">
        <v>1312</v>
      </c>
      <c r="J215" s="21" t="s">
        <v>4574</v>
      </c>
      <c r="K215" s="21" t="s">
        <v>1954</v>
      </c>
      <c r="O215" s="21" t="s">
        <v>1101</v>
      </c>
      <c r="Q215" s="21" t="s">
        <v>4464</v>
      </c>
      <c r="R215" s="21" t="s">
        <v>598</v>
      </c>
      <c r="W215" s="21" t="s">
        <v>3093</v>
      </c>
      <c r="X215" s="21" t="s">
        <v>998</v>
      </c>
      <c r="Z215" s="21" t="s">
        <v>3076</v>
      </c>
    </row>
    <row r="216" spans="5:26" x14ac:dyDescent="0.25">
      <c r="E216" s="21" t="s">
        <v>1757</v>
      </c>
      <c r="I216" s="21" t="s">
        <v>2729</v>
      </c>
      <c r="J216" s="21" t="s">
        <v>4486</v>
      </c>
      <c r="K216" s="21" t="s">
        <v>2542</v>
      </c>
      <c r="O216" s="21" t="s">
        <v>1825</v>
      </c>
      <c r="Q216" s="21" t="s">
        <v>5469</v>
      </c>
      <c r="R216" s="21" t="s">
        <v>331</v>
      </c>
      <c r="W216" s="21" t="s">
        <v>986</v>
      </c>
      <c r="X216" s="21" t="s">
        <v>1344</v>
      </c>
      <c r="Z216" s="21" t="s">
        <v>368</v>
      </c>
    </row>
    <row r="217" spans="5:26" x14ac:dyDescent="0.25">
      <c r="E217" s="21" t="s">
        <v>1935</v>
      </c>
      <c r="I217" s="21" t="s">
        <v>2781</v>
      </c>
      <c r="J217" s="21" t="s">
        <v>4562</v>
      </c>
      <c r="K217" s="21" t="s">
        <v>3334</v>
      </c>
      <c r="O217" s="21" t="s">
        <v>1964</v>
      </c>
      <c r="Q217" s="21" t="s">
        <v>4758</v>
      </c>
      <c r="R217" s="21" t="s">
        <v>3006</v>
      </c>
      <c r="W217" s="21" t="s">
        <v>289</v>
      </c>
      <c r="X217" s="21" t="s">
        <v>1364</v>
      </c>
      <c r="Z217" s="21" t="s">
        <v>3523</v>
      </c>
    </row>
    <row r="218" spans="5:26" x14ac:dyDescent="0.25">
      <c r="E218" s="21" t="s">
        <v>1947</v>
      </c>
      <c r="I218" s="21" t="s">
        <v>5974</v>
      </c>
      <c r="J218" s="21" t="s">
        <v>4407</v>
      </c>
      <c r="K218" s="21" t="s">
        <v>449</v>
      </c>
      <c r="O218" s="21" t="s">
        <v>1270</v>
      </c>
      <c r="Q218" s="21" t="s">
        <v>4607</v>
      </c>
      <c r="R218" s="21" t="s">
        <v>3439</v>
      </c>
      <c r="W218" s="21" t="s">
        <v>1480</v>
      </c>
      <c r="X218" s="21" t="s">
        <v>1066</v>
      </c>
      <c r="Z218" s="21" t="s">
        <v>3765</v>
      </c>
    </row>
    <row r="219" spans="5:26" x14ac:dyDescent="0.25">
      <c r="E219" s="21" t="s">
        <v>5023</v>
      </c>
      <c r="I219" s="21" t="s">
        <v>2751</v>
      </c>
      <c r="K219" s="21" t="s">
        <v>2549</v>
      </c>
      <c r="O219" s="21" t="s">
        <v>4339</v>
      </c>
      <c r="Q219" s="21" t="s">
        <v>5048</v>
      </c>
      <c r="R219" s="21" t="s">
        <v>2910</v>
      </c>
      <c r="W219" s="21" t="s">
        <v>1056</v>
      </c>
      <c r="X219" s="21" t="s">
        <v>1109</v>
      </c>
      <c r="Z219" s="21" t="s">
        <v>3819</v>
      </c>
    </row>
    <row r="220" spans="5:26" x14ac:dyDescent="0.25">
      <c r="E220" s="21" t="s">
        <v>1640</v>
      </c>
      <c r="I220" s="21" t="s">
        <v>2868</v>
      </c>
      <c r="K220" s="21" t="s">
        <v>450</v>
      </c>
      <c r="O220" s="21" t="s">
        <v>2785</v>
      </c>
      <c r="Q220" s="21" t="s">
        <v>5359</v>
      </c>
      <c r="R220" s="21" t="s">
        <v>582</v>
      </c>
      <c r="W220" s="21" t="s">
        <v>1178</v>
      </c>
      <c r="X220" s="21" t="s">
        <v>369</v>
      </c>
      <c r="Z220" s="21" t="s">
        <v>3565</v>
      </c>
    </row>
    <row r="221" spans="5:26" x14ac:dyDescent="0.25">
      <c r="E221" s="21" t="s">
        <v>2409</v>
      </c>
      <c r="I221" s="21" t="s">
        <v>4926</v>
      </c>
      <c r="K221" s="21" t="s">
        <v>2203</v>
      </c>
      <c r="O221" s="21" t="s">
        <v>4352</v>
      </c>
      <c r="Q221" s="21" t="s">
        <v>5466</v>
      </c>
      <c r="R221" s="21" t="s">
        <v>3089</v>
      </c>
      <c r="W221" s="21" t="s">
        <v>1374</v>
      </c>
      <c r="X221" s="21" t="s">
        <v>925</v>
      </c>
      <c r="Z221" s="21" t="s">
        <v>3631</v>
      </c>
    </row>
    <row r="222" spans="5:26" x14ac:dyDescent="0.25">
      <c r="E222" s="21" t="s">
        <v>1798</v>
      </c>
      <c r="I222" s="21" t="s">
        <v>2694</v>
      </c>
      <c r="K222" s="21" t="s">
        <v>1862</v>
      </c>
      <c r="O222" s="21" t="s">
        <v>4365</v>
      </c>
      <c r="Q222" s="21" t="s">
        <v>5432</v>
      </c>
      <c r="R222" s="21" t="s">
        <v>3423</v>
      </c>
      <c r="W222" s="21" t="s">
        <v>837</v>
      </c>
      <c r="X222" s="21" t="s">
        <v>1244</v>
      </c>
      <c r="Z222" s="21" t="s">
        <v>3379</v>
      </c>
    </row>
    <row r="223" spans="5:26" x14ac:dyDescent="0.25">
      <c r="E223" s="21" t="s">
        <v>649</v>
      </c>
      <c r="I223" s="21" t="s">
        <v>2736</v>
      </c>
      <c r="K223" s="21" t="s">
        <v>379</v>
      </c>
      <c r="O223" s="21" t="s">
        <v>4346</v>
      </c>
      <c r="Q223" s="21" t="s">
        <v>5321</v>
      </c>
      <c r="R223" s="21" t="s">
        <v>3061</v>
      </c>
      <c r="W223" s="21" t="s">
        <v>1245</v>
      </c>
      <c r="X223" s="21" t="s">
        <v>991</v>
      </c>
      <c r="Z223" s="21" t="s">
        <v>3856</v>
      </c>
    </row>
    <row r="224" spans="5:26" x14ac:dyDescent="0.25">
      <c r="E224" s="21" t="s">
        <v>1721</v>
      </c>
      <c r="I224" s="21" t="s">
        <v>2717</v>
      </c>
      <c r="K224" s="21" t="s">
        <v>1739</v>
      </c>
      <c r="O224" s="21" t="s">
        <v>2005</v>
      </c>
      <c r="Q224" s="21" t="s">
        <v>5287</v>
      </c>
      <c r="R224" s="21" t="s">
        <v>3011</v>
      </c>
      <c r="W224" s="21" t="s">
        <v>1361</v>
      </c>
      <c r="X224" s="21" t="s">
        <v>1443</v>
      </c>
      <c r="Z224" s="21" t="s">
        <v>868</v>
      </c>
    </row>
    <row r="225" spans="5:26" x14ac:dyDescent="0.25">
      <c r="E225" s="21" t="s">
        <v>1902</v>
      </c>
      <c r="I225" s="21" t="s">
        <v>2568</v>
      </c>
      <c r="K225" s="21" t="s">
        <v>2145</v>
      </c>
      <c r="Q225" s="21" t="s">
        <v>5444</v>
      </c>
      <c r="R225" s="21" t="s">
        <v>3586</v>
      </c>
      <c r="W225" s="21" t="s">
        <v>933</v>
      </c>
      <c r="X225" s="21" t="s">
        <v>1221</v>
      </c>
      <c r="Z225" s="21" t="s">
        <v>2564</v>
      </c>
    </row>
    <row r="226" spans="5:26" x14ac:dyDescent="0.25">
      <c r="E226" s="21" t="s">
        <v>1769</v>
      </c>
      <c r="I226" s="21" t="s">
        <v>2862</v>
      </c>
      <c r="K226" s="21" t="s">
        <v>2484</v>
      </c>
      <c r="R226" s="21" t="s">
        <v>3412</v>
      </c>
      <c r="W226" s="21" t="s">
        <v>1370</v>
      </c>
      <c r="X226" s="21" t="s">
        <v>1137</v>
      </c>
      <c r="Z226" s="21" t="s">
        <v>3535</v>
      </c>
    </row>
    <row r="227" spans="5:26" x14ac:dyDescent="0.25">
      <c r="E227" s="21" t="s">
        <v>1784</v>
      </c>
      <c r="I227" s="21" t="s">
        <v>2856</v>
      </c>
      <c r="K227" s="21" t="s">
        <v>451</v>
      </c>
      <c r="R227" s="21" t="s">
        <v>3065</v>
      </c>
      <c r="W227" s="21" t="s">
        <v>1310</v>
      </c>
      <c r="X227" s="21" t="s">
        <v>1299</v>
      </c>
      <c r="Z227" s="21" t="s">
        <v>1614</v>
      </c>
    </row>
    <row r="228" spans="5:26" x14ac:dyDescent="0.25">
      <c r="E228" s="21" t="s">
        <v>1890</v>
      </c>
      <c r="I228" s="21" t="s">
        <v>2084</v>
      </c>
      <c r="K228" s="21" t="s">
        <v>833</v>
      </c>
      <c r="R228" s="21" t="s">
        <v>3147</v>
      </c>
      <c r="W228" s="21" t="s">
        <v>1474</v>
      </c>
      <c r="X228" s="21" t="s">
        <v>929</v>
      </c>
      <c r="Z228" s="21" t="s">
        <v>3697</v>
      </c>
    </row>
    <row r="229" spans="5:26" x14ac:dyDescent="0.25">
      <c r="E229" s="21" t="s">
        <v>1801</v>
      </c>
      <c r="I229" s="21" t="s">
        <v>5975</v>
      </c>
      <c r="K229" s="21" t="s">
        <v>452</v>
      </c>
      <c r="R229" s="21" t="s">
        <v>3197</v>
      </c>
      <c r="W229" s="21" t="s">
        <v>1447</v>
      </c>
      <c r="X229" s="21" t="s">
        <v>1346</v>
      </c>
      <c r="Z229" s="21" t="s">
        <v>1607</v>
      </c>
    </row>
    <row r="230" spans="5:26" x14ac:dyDescent="0.25">
      <c r="E230" s="21" t="s">
        <v>3250</v>
      </c>
      <c r="I230" s="21" t="s">
        <v>2686</v>
      </c>
      <c r="K230" s="21" t="s">
        <v>2639</v>
      </c>
      <c r="R230" s="21" t="s">
        <v>3458</v>
      </c>
      <c r="W230" s="21" t="s">
        <v>1022</v>
      </c>
      <c r="X230" s="21" t="s">
        <v>1173</v>
      </c>
      <c r="Z230" s="21" t="s">
        <v>3611</v>
      </c>
    </row>
    <row r="231" spans="5:26" x14ac:dyDescent="0.25">
      <c r="E231" s="21" t="s">
        <v>2517</v>
      </c>
      <c r="I231" s="21" t="s">
        <v>2189</v>
      </c>
      <c r="K231" s="21" t="s">
        <v>726</v>
      </c>
      <c r="R231" s="21" t="s">
        <v>3035</v>
      </c>
      <c r="W231" s="21" t="s">
        <v>1162</v>
      </c>
      <c r="X231" s="21" t="s">
        <v>1391</v>
      </c>
      <c r="Z231" s="21" t="s">
        <v>3776</v>
      </c>
    </row>
    <row r="232" spans="5:26" x14ac:dyDescent="0.25">
      <c r="E232" s="21" t="s">
        <v>3925</v>
      </c>
      <c r="I232" s="21" t="s">
        <v>2545</v>
      </c>
      <c r="K232" s="21" t="s">
        <v>1711</v>
      </c>
      <c r="R232" s="21" t="s">
        <v>3166</v>
      </c>
      <c r="W232" s="21" t="s">
        <v>1388</v>
      </c>
      <c r="X232" s="21" t="s">
        <v>1530</v>
      </c>
      <c r="Z232" s="21" t="s">
        <v>3478</v>
      </c>
    </row>
    <row r="233" spans="5:26" x14ac:dyDescent="0.25">
      <c r="E233" s="21" t="s">
        <v>4992</v>
      </c>
      <c r="I233" s="21" t="s">
        <v>2429</v>
      </c>
      <c r="K233" s="21" t="s">
        <v>2565</v>
      </c>
      <c r="R233" s="21" t="s">
        <v>2607</v>
      </c>
      <c r="W233" s="21" t="s">
        <v>1253</v>
      </c>
      <c r="X233" s="21" t="s">
        <v>926</v>
      </c>
      <c r="Z233" s="21" t="s">
        <v>3671</v>
      </c>
    </row>
    <row r="234" spans="5:26" x14ac:dyDescent="0.25">
      <c r="E234" s="21" t="s">
        <v>1796</v>
      </c>
      <c r="I234" s="21" t="s">
        <v>2541</v>
      </c>
      <c r="K234" s="21" t="s">
        <v>2678</v>
      </c>
      <c r="R234" s="21" t="s">
        <v>589</v>
      </c>
      <c r="W234" s="21" t="s">
        <v>1172</v>
      </c>
      <c r="X234" s="21" t="s">
        <v>1229</v>
      </c>
      <c r="Z234" s="21" t="s">
        <v>737</v>
      </c>
    </row>
    <row r="235" spans="5:26" x14ac:dyDescent="0.25">
      <c r="E235" s="21" t="s">
        <v>2442</v>
      </c>
      <c r="I235" s="21" t="s">
        <v>5333</v>
      </c>
      <c r="K235" s="21" t="s">
        <v>389</v>
      </c>
      <c r="R235" s="21" t="s">
        <v>3068</v>
      </c>
      <c r="W235" s="21" t="s">
        <v>1246</v>
      </c>
      <c r="X235" s="21" t="s">
        <v>1314</v>
      </c>
      <c r="Z235" s="21" t="s">
        <v>3293</v>
      </c>
    </row>
    <row r="236" spans="5:26" x14ac:dyDescent="0.25">
      <c r="E236" s="21" t="s">
        <v>5976</v>
      </c>
      <c r="I236" s="21" t="s">
        <v>2746</v>
      </c>
      <c r="K236" s="21" t="s">
        <v>732</v>
      </c>
      <c r="R236" s="21" t="s">
        <v>1539</v>
      </c>
      <c r="W236" s="21" t="s">
        <v>1517</v>
      </c>
      <c r="X236" s="21" t="s">
        <v>1024</v>
      </c>
      <c r="Z236" s="21" t="s">
        <v>3294</v>
      </c>
    </row>
    <row r="237" spans="5:26" x14ac:dyDescent="0.25">
      <c r="E237" s="21" t="s">
        <v>2128</v>
      </c>
      <c r="I237" s="21" t="s">
        <v>2596</v>
      </c>
      <c r="K237" s="21" t="s">
        <v>2699</v>
      </c>
      <c r="R237" s="21" t="s">
        <v>2053</v>
      </c>
      <c r="W237" s="21" t="s">
        <v>1053</v>
      </c>
      <c r="X237" s="21" t="s">
        <v>944</v>
      </c>
      <c r="Z237" s="21" t="s">
        <v>3642</v>
      </c>
    </row>
    <row r="238" spans="5:26" x14ac:dyDescent="0.25">
      <c r="E238" s="21" t="s">
        <v>1896</v>
      </c>
      <c r="I238" s="21" t="s">
        <v>5977</v>
      </c>
      <c r="K238" s="21" t="s">
        <v>3593</v>
      </c>
      <c r="R238" s="21" t="s">
        <v>615</v>
      </c>
      <c r="W238" s="21" t="s">
        <v>1077</v>
      </c>
      <c r="X238" s="21" t="s">
        <v>1073</v>
      </c>
      <c r="Z238" s="21" t="s">
        <v>2838</v>
      </c>
    </row>
    <row r="239" spans="5:26" x14ac:dyDescent="0.25">
      <c r="E239" s="21" t="s">
        <v>2539</v>
      </c>
      <c r="I239" s="21" t="s">
        <v>2519</v>
      </c>
      <c r="K239" s="21" t="s">
        <v>3512</v>
      </c>
      <c r="R239" s="21" t="s">
        <v>3154</v>
      </c>
      <c r="W239" s="21" t="s">
        <v>5978</v>
      </c>
      <c r="X239" s="21" t="s">
        <v>553</v>
      </c>
      <c r="Z239" s="21" t="s">
        <v>870</v>
      </c>
    </row>
    <row r="240" spans="5:26" x14ac:dyDescent="0.25">
      <c r="E240" s="21" t="s">
        <v>5143</v>
      </c>
      <c r="I240" s="21" t="s">
        <v>2713</v>
      </c>
      <c r="K240" s="21" t="s">
        <v>453</v>
      </c>
      <c r="R240" s="21" t="s">
        <v>3001</v>
      </c>
      <c r="W240" s="21" t="s">
        <v>322</v>
      </c>
      <c r="X240" s="21" t="s">
        <v>920</v>
      </c>
      <c r="Z240" s="21" t="s">
        <v>3342</v>
      </c>
    </row>
    <row r="241" spans="5:26" x14ac:dyDescent="0.25">
      <c r="E241" s="21" t="s">
        <v>4896</v>
      </c>
      <c r="I241" s="21" t="s">
        <v>2748</v>
      </c>
      <c r="K241" s="21" t="s">
        <v>454</v>
      </c>
      <c r="R241" s="21" t="s">
        <v>2933</v>
      </c>
      <c r="W241" s="21" t="s">
        <v>1111</v>
      </c>
      <c r="X241" s="21" t="s">
        <v>941</v>
      </c>
      <c r="Z241" s="21" t="s">
        <v>3397</v>
      </c>
    </row>
    <row r="242" spans="5:26" x14ac:dyDescent="0.25">
      <c r="E242" s="21" t="s">
        <v>2270</v>
      </c>
      <c r="I242" s="21" t="s">
        <v>2589</v>
      </c>
      <c r="K242" s="21" t="s">
        <v>351</v>
      </c>
      <c r="R242" s="21" t="s">
        <v>3211</v>
      </c>
      <c r="W242" s="21" t="s">
        <v>1568</v>
      </c>
      <c r="X242" s="21" t="s">
        <v>565</v>
      </c>
      <c r="Z242" s="21" t="s">
        <v>3843</v>
      </c>
    </row>
    <row r="243" spans="5:26" x14ac:dyDescent="0.25">
      <c r="E243" s="21" t="s">
        <v>4913</v>
      </c>
      <c r="I243" s="21" t="s">
        <v>3169</v>
      </c>
      <c r="K243" s="21" t="s">
        <v>455</v>
      </c>
      <c r="R243" s="21" t="s">
        <v>3010</v>
      </c>
      <c r="W243" s="21" t="s">
        <v>980</v>
      </c>
      <c r="X243" s="21" t="s">
        <v>1100</v>
      </c>
      <c r="Z243" s="21" t="s">
        <v>5979</v>
      </c>
    </row>
    <row r="244" spans="5:26" x14ac:dyDescent="0.25">
      <c r="E244" s="21" t="s">
        <v>2062</v>
      </c>
      <c r="I244" s="21" t="s">
        <v>2826</v>
      </c>
      <c r="K244" s="21" t="s">
        <v>1687</v>
      </c>
      <c r="R244" s="21" t="s">
        <v>396</v>
      </c>
      <c r="W244" s="21" t="s">
        <v>1290</v>
      </c>
      <c r="X244" s="21" t="s">
        <v>1312</v>
      </c>
      <c r="Z244" s="21" t="s">
        <v>1584</v>
      </c>
    </row>
    <row r="245" spans="5:26" x14ac:dyDescent="0.25">
      <c r="E245" s="21" t="s">
        <v>5370</v>
      </c>
      <c r="I245" s="21" t="s">
        <v>2544</v>
      </c>
      <c r="K245" s="21" t="s">
        <v>3315</v>
      </c>
      <c r="R245" s="21" t="s">
        <v>2983</v>
      </c>
      <c r="W245" s="21" t="s">
        <v>1090</v>
      </c>
      <c r="X245" s="21" t="s">
        <v>1038</v>
      </c>
      <c r="Z245" s="21" t="s">
        <v>825</v>
      </c>
    </row>
    <row r="246" spans="5:26" x14ac:dyDescent="0.25">
      <c r="E246" s="21" t="s">
        <v>2035</v>
      </c>
      <c r="I246" s="21" t="s">
        <v>2156</v>
      </c>
      <c r="K246" s="21" t="s">
        <v>3254</v>
      </c>
      <c r="R246" s="21" t="s">
        <v>3163</v>
      </c>
      <c r="W246" s="21" t="s">
        <v>1454</v>
      </c>
      <c r="X246" s="21" t="s">
        <v>1108</v>
      </c>
      <c r="Z246" s="21" t="s">
        <v>3676</v>
      </c>
    </row>
    <row r="247" spans="5:26" x14ac:dyDescent="0.25">
      <c r="E247" s="21" t="s">
        <v>2295</v>
      </c>
      <c r="I247" s="21" t="s">
        <v>2843</v>
      </c>
      <c r="K247" s="21" t="s">
        <v>1727</v>
      </c>
      <c r="R247" s="21" t="s">
        <v>3143</v>
      </c>
      <c r="W247" s="21" t="s">
        <v>950</v>
      </c>
      <c r="X247" s="21" t="s">
        <v>2900</v>
      </c>
      <c r="Z247" s="21" t="s">
        <v>3591</v>
      </c>
    </row>
    <row r="248" spans="5:26" x14ac:dyDescent="0.25">
      <c r="E248" s="21" t="s">
        <v>5363</v>
      </c>
      <c r="K248" s="21" t="s">
        <v>3252</v>
      </c>
      <c r="R248" s="21" t="s">
        <v>2999</v>
      </c>
      <c r="W248" s="21" t="s">
        <v>568</v>
      </c>
      <c r="X248" s="21" t="s">
        <v>3425</v>
      </c>
      <c r="Z248" s="21" t="s">
        <v>3675</v>
      </c>
    </row>
    <row r="249" spans="5:26" x14ac:dyDescent="0.25">
      <c r="E249" s="21" t="s">
        <v>2258</v>
      </c>
      <c r="K249" s="21" t="s">
        <v>3673</v>
      </c>
      <c r="R249" s="21" t="s">
        <v>3182</v>
      </c>
      <c r="W249" s="21" t="s">
        <v>1258</v>
      </c>
      <c r="X249" s="21" t="s">
        <v>1192</v>
      </c>
      <c r="Z249" s="21" t="s">
        <v>3516</v>
      </c>
    </row>
    <row r="250" spans="5:26" x14ac:dyDescent="0.25">
      <c r="E250" s="21" t="s">
        <v>4943</v>
      </c>
      <c r="K250" s="21" t="s">
        <v>2579</v>
      </c>
      <c r="R250" s="21" t="s">
        <v>1463</v>
      </c>
      <c r="W250" s="21" t="s">
        <v>1429</v>
      </c>
      <c r="X250" s="21" t="s">
        <v>341</v>
      </c>
      <c r="Z250" s="21" t="s">
        <v>3576</v>
      </c>
    </row>
    <row r="251" spans="5:26" x14ac:dyDescent="0.25">
      <c r="E251" s="21" t="s">
        <v>4848</v>
      </c>
      <c r="K251" s="21" t="s">
        <v>456</v>
      </c>
      <c r="R251" s="21" t="s">
        <v>621</v>
      </c>
      <c r="W251" s="21" t="s">
        <v>1143</v>
      </c>
      <c r="X251" s="21" t="s">
        <v>323</v>
      </c>
      <c r="Z251" s="21" t="s">
        <v>3615</v>
      </c>
    </row>
    <row r="252" spans="5:26" x14ac:dyDescent="0.25">
      <c r="E252" s="21" t="s">
        <v>5166</v>
      </c>
      <c r="K252" s="21" t="s">
        <v>1923</v>
      </c>
      <c r="R252" s="21" t="s">
        <v>343</v>
      </c>
      <c r="W252" s="21" t="s">
        <v>1255</v>
      </c>
      <c r="X252" s="21" t="s">
        <v>1124</v>
      </c>
      <c r="Z252" s="21" t="s">
        <v>1598</v>
      </c>
    </row>
    <row r="253" spans="5:26" x14ac:dyDescent="0.25">
      <c r="E253" s="21" t="s">
        <v>1654</v>
      </c>
      <c r="K253" s="21" t="s">
        <v>2474</v>
      </c>
      <c r="R253" s="21" t="s">
        <v>3144</v>
      </c>
      <c r="W253" s="21" t="s">
        <v>2941</v>
      </c>
      <c r="X253" s="21" t="s">
        <v>955</v>
      </c>
      <c r="Z253" s="21" t="s">
        <v>869</v>
      </c>
    </row>
    <row r="254" spans="5:26" x14ac:dyDescent="0.25">
      <c r="E254" s="21" t="s">
        <v>4855</v>
      </c>
      <c r="K254" s="21" t="s">
        <v>2363</v>
      </c>
      <c r="R254" s="21" t="s">
        <v>3434</v>
      </c>
      <c r="W254" s="21" t="s">
        <v>1467</v>
      </c>
      <c r="X254" s="21" t="s">
        <v>945</v>
      </c>
      <c r="Z254" s="21" t="s">
        <v>3749</v>
      </c>
    </row>
    <row r="255" spans="5:26" x14ac:dyDescent="0.25">
      <c r="E255" s="21" t="s">
        <v>2476</v>
      </c>
      <c r="K255" s="21" t="s">
        <v>3525</v>
      </c>
      <c r="R255" s="21" t="s">
        <v>3085</v>
      </c>
      <c r="W255" s="21" t="s">
        <v>1065</v>
      </c>
      <c r="X255" s="21" t="s">
        <v>1381</v>
      </c>
      <c r="Z255" s="21" t="s">
        <v>3358</v>
      </c>
    </row>
    <row r="256" spans="5:26" x14ac:dyDescent="0.25">
      <c r="E256" s="21" t="s">
        <v>1725</v>
      </c>
      <c r="K256" s="21" t="s">
        <v>326</v>
      </c>
      <c r="R256" s="21" t="s">
        <v>2899</v>
      </c>
      <c r="W256" s="21" t="s">
        <v>1484</v>
      </c>
      <c r="X256" s="21" t="s">
        <v>931</v>
      </c>
      <c r="Z256" s="21" t="s">
        <v>3324</v>
      </c>
    </row>
    <row r="257" spans="5:26" x14ac:dyDescent="0.25">
      <c r="E257" s="21" t="s">
        <v>2134</v>
      </c>
      <c r="K257" s="21" t="s">
        <v>799</v>
      </c>
      <c r="R257" s="21" t="s">
        <v>3291</v>
      </c>
      <c r="W257" s="21" t="s">
        <v>1327</v>
      </c>
      <c r="X257" s="21" t="s">
        <v>1079</v>
      </c>
      <c r="Z257" s="21" t="s">
        <v>3733</v>
      </c>
    </row>
    <row r="258" spans="5:26" x14ac:dyDescent="0.25">
      <c r="E258" s="21" t="s">
        <v>2256</v>
      </c>
      <c r="K258" s="21" t="s">
        <v>5980</v>
      </c>
      <c r="R258" s="21" t="s">
        <v>2947</v>
      </c>
      <c r="W258" s="21" t="s">
        <v>1353</v>
      </c>
      <c r="X258" s="21" t="s">
        <v>5981</v>
      </c>
      <c r="Z258" s="21" t="s">
        <v>560</v>
      </c>
    </row>
    <row r="259" spans="5:26" x14ac:dyDescent="0.25">
      <c r="E259" s="21" t="s">
        <v>2102</v>
      </c>
      <c r="K259" s="21" t="s">
        <v>457</v>
      </c>
      <c r="R259" s="21" t="s">
        <v>3058</v>
      </c>
      <c r="W259" s="21" t="s">
        <v>1104</v>
      </c>
      <c r="X259" s="21" t="s">
        <v>1080</v>
      </c>
      <c r="Z259" s="21" t="s">
        <v>1602</v>
      </c>
    </row>
    <row r="260" spans="5:26" x14ac:dyDescent="0.25">
      <c r="E260" s="21" t="s">
        <v>2251</v>
      </c>
      <c r="K260" s="21" t="s">
        <v>3202</v>
      </c>
      <c r="R260" s="21" t="s">
        <v>633</v>
      </c>
      <c r="W260" s="21" t="s">
        <v>1323</v>
      </c>
      <c r="X260" s="21" t="s">
        <v>1375</v>
      </c>
      <c r="Z260" s="21" t="s">
        <v>561</v>
      </c>
    </row>
    <row r="261" spans="5:26" x14ac:dyDescent="0.25">
      <c r="E261" s="21" t="s">
        <v>5315</v>
      </c>
      <c r="K261" s="21" t="s">
        <v>2208</v>
      </c>
      <c r="R261" s="21" t="s">
        <v>1321</v>
      </c>
      <c r="W261" s="21" t="s">
        <v>1076</v>
      </c>
      <c r="X261" s="21" t="s">
        <v>311</v>
      </c>
      <c r="Z261" s="21" t="s">
        <v>692</v>
      </c>
    </row>
    <row r="262" spans="5:26" x14ac:dyDescent="0.25">
      <c r="E262" s="21" t="s">
        <v>5379</v>
      </c>
      <c r="K262" s="21" t="s">
        <v>3309</v>
      </c>
      <c r="R262" s="21" t="s">
        <v>1311</v>
      </c>
      <c r="W262" s="21" t="s">
        <v>1114</v>
      </c>
      <c r="X262" s="21" t="s">
        <v>2923</v>
      </c>
      <c r="Z262" s="21" t="s">
        <v>3362</v>
      </c>
    </row>
    <row r="263" spans="5:26" x14ac:dyDescent="0.25">
      <c r="E263" s="21" t="s">
        <v>1889</v>
      </c>
      <c r="K263" s="21" t="s">
        <v>3222</v>
      </c>
      <c r="R263" s="21" t="s">
        <v>3029</v>
      </c>
      <c r="W263" s="21" t="s">
        <v>1017</v>
      </c>
      <c r="X263" s="21" t="s">
        <v>982</v>
      </c>
      <c r="Z263" s="21" t="s">
        <v>768</v>
      </c>
    </row>
    <row r="264" spans="5:26" x14ac:dyDescent="0.25">
      <c r="E264" s="21" t="s">
        <v>1723</v>
      </c>
      <c r="K264" s="21" t="s">
        <v>2441</v>
      </c>
      <c r="R264" s="21" t="s">
        <v>3418</v>
      </c>
      <c r="W264" s="21" t="s">
        <v>1068</v>
      </c>
      <c r="X264" s="21" t="s">
        <v>345</v>
      </c>
      <c r="Z264" s="21" t="s">
        <v>3756</v>
      </c>
    </row>
    <row r="265" spans="5:26" x14ac:dyDescent="0.25">
      <c r="E265" s="21" t="s">
        <v>2301</v>
      </c>
      <c r="K265" s="21" t="s">
        <v>3306</v>
      </c>
      <c r="R265" s="21" t="s">
        <v>3424</v>
      </c>
      <c r="W265" s="21" t="s">
        <v>1136</v>
      </c>
      <c r="X265" s="21" t="s">
        <v>1243</v>
      </c>
      <c r="Z265" s="21" t="s">
        <v>1591</v>
      </c>
    </row>
    <row r="266" spans="5:26" x14ac:dyDescent="0.25">
      <c r="E266" s="21" t="s">
        <v>1624</v>
      </c>
      <c r="K266" s="21" t="s">
        <v>791</v>
      </c>
      <c r="R266" s="21" t="s">
        <v>5982</v>
      </c>
      <c r="W266" s="21" t="s">
        <v>1271</v>
      </c>
      <c r="X266" s="21" t="s">
        <v>960</v>
      </c>
      <c r="Z266" s="21" t="s">
        <v>3313</v>
      </c>
    </row>
    <row r="267" spans="5:26" x14ac:dyDescent="0.25">
      <c r="E267" s="21" t="s">
        <v>2290</v>
      </c>
      <c r="K267" s="21" t="s">
        <v>2373</v>
      </c>
      <c r="R267" s="21" t="s">
        <v>542</v>
      </c>
      <c r="W267" s="21" t="s">
        <v>967</v>
      </c>
      <c r="X267" s="21" t="s">
        <v>972</v>
      </c>
      <c r="Z267" s="21" t="s">
        <v>3357</v>
      </c>
    </row>
    <row r="268" spans="5:26" x14ac:dyDescent="0.25">
      <c r="E268" s="21" t="s">
        <v>2008</v>
      </c>
      <c r="K268" s="21" t="s">
        <v>1969</v>
      </c>
      <c r="R268" s="21" t="s">
        <v>318</v>
      </c>
      <c r="W268" s="21" t="s">
        <v>1107</v>
      </c>
      <c r="X268" s="21" t="s">
        <v>1286</v>
      </c>
      <c r="Z268" s="21" t="s">
        <v>651</v>
      </c>
    </row>
    <row r="269" spans="5:26" x14ac:dyDescent="0.25">
      <c r="E269" s="21" t="s">
        <v>1869</v>
      </c>
      <c r="K269" s="21" t="s">
        <v>1846</v>
      </c>
      <c r="R269" s="21" t="s">
        <v>1387</v>
      </c>
      <c r="W269" s="21" t="s">
        <v>1058</v>
      </c>
      <c r="X269" s="21" t="s">
        <v>1006</v>
      </c>
      <c r="Z269" s="21" t="s">
        <v>687</v>
      </c>
    </row>
    <row r="270" spans="5:26" x14ac:dyDescent="0.25">
      <c r="E270" s="21" t="s">
        <v>5278</v>
      </c>
      <c r="K270" s="21" t="s">
        <v>458</v>
      </c>
      <c r="R270" s="21" t="s">
        <v>382</v>
      </c>
      <c r="W270" s="21" t="s">
        <v>1069</v>
      </c>
      <c r="X270" s="21" t="s">
        <v>1156</v>
      </c>
      <c r="Z270" s="21" t="s">
        <v>3661</v>
      </c>
    </row>
    <row r="271" spans="5:26" x14ac:dyDescent="0.25">
      <c r="E271" s="21" t="s">
        <v>4980</v>
      </c>
      <c r="K271" s="21" t="s">
        <v>3157</v>
      </c>
      <c r="R271" s="21" t="s">
        <v>653</v>
      </c>
      <c r="W271" s="21" t="s">
        <v>1440</v>
      </c>
      <c r="X271" s="21" t="s">
        <v>353</v>
      </c>
      <c r="Z271" s="21" t="s">
        <v>901</v>
      </c>
    </row>
    <row r="272" spans="5:26" x14ac:dyDescent="0.25">
      <c r="E272" s="21" t="s">
        <v>1756</v>
      </c>
      <c r="K272" s="21" t="s">
        <v>3639</v>
      </c>
      <c r="R272" s="21" t="s">
        <v>543</v>
      </c>
      <c r="W272" s="21" t="s">
        <v>1341</v>
      </c>
      <c r="X272" s="21" t="s">
        <v>1211</v>
      </c>
      <c r="Z272" s="21" t="s">
        <v>857</v>
      </c>
    </row>
    <row r="273" spans="5:26" x14ac:dyDescent="0.25">
      <c r="E273" s="21" t="s">
        <v>1874</v>
      </c>
      <c r="K273" s="21" t="s">
        <v>3297</v>
      </c>
      <c r="R273" s="21" t="s">
        <v>659</v>
      </c>
      <c r="W273" s="21" t="s">
        <v>1325</v>
      </c>
      <c r="X273" s="21" t="s">
        <v>1492</v>
      </c>
      <c r="Z273" s="21" t="s">
        <v>811</v>
      </c>
    </row>
    <row r="274" spans="5:26" x14ac:dyDescent="0.25">
      <c r="E274" s="21" t="s">
        <v>1842</v>
      </c>
      <c r="K274" s="21" t="s">
        <v>5247</v>
      </c>
      <c r="R274" s="21" t="s">
        <v>581</v>
      </c>
      <c r="W274" s="21" t="s">
        <v>1330</v>
      </c>
      <c r="X274" s="21" t="s">
        <v>1481</v>
      </c>
      <c r="Z274" s="21" t="s">
        <v>2636</v>
      </c>
    </row>
    <row r="275" spans="5:26" x14ac:dyDescent="0.25">
      <c r="E275" s="21" t="s">
        <v>5049</v>
      </c>
      <c r="K275" s="21" t="s">
        <v>813</v>
      </c>
      <c r="R275" s="21" t="s">
        <v>3462</v>
      </c>
      <c r="W275" s="21" t="s">
        <v>1188</v>
      </c>
      <c r="X275" s="21" t="s">
        <v>321</v>
      </c>
      <c r="Z275" s="21" t="s">
        <v>3592</v>
      </c>
    </row>
    <row r="276" spans="5:26" x14ac:dyDescent="0.25">
      <c r="E276" s="21" t="s">
        <v>2064</v>
      </c>
      <c r="K276" s="21" t="s">
        <v>743</v>
      </c>
      <c r="R276" s="21" t="s">
        <v>3080</v>
      </c>
      <c r="W276" s="21" t="s">
        <v>1267</v>
      </c>
      <c r="X276" s="21" t="s">
        <v>1205</v>
      </c>
      <c r="Z276" s="21" t="s">
        <v>854</v>
      </c>
    </row>
    <row r="277" spans="5:26" x14ac:dyDescent="0.25">
      <c r="E277" s="21" t="s">
        <v>2053</v>
      </c>
      <c r="K277" s="21" t="s">
        <v>3440</v>
      </c>
      <c r="R277" s="21" t="s">
        <v>1446</v>
      </c>
      <c r="W277" s="21" t="s">
        <v>2974</v>
      </c>
      <c r="X277" s="21" t="s">
        <v>1326</v>
      </c>
      <c r="Z277" s="21" t="s">
        <v>862</v>
      </c>
    </row>
    <row r="278" spans="5:26" x14ac:dyDescent="0.25">
      <c r="E278" s="21" t="s">
        <v>2065</v>
      </c>
      <c r="K278" s="21" t="s">
        <v>2647</v>
      </c>
      <c r="R278" s="21" t="s">
        <v>584</v>
      </c>
      <c r="W278" s="21" t="s">
        <v>1379</v>
      </c>
      <c r="X278" s="21" t="s">
        <v>1119</v>
      </c>
      <c r="Z278" s="21" t="s">
        <v>3780</v>
      </c>
    </row>
    <row r="279" spans="5:26" x14ac:dyDescent="0.25">
      <c r="E279" s="21" t="s">
        <v>2231</v>
      </c>
      <c r="K279" s="21" t="s">
        <v>2498</v>
      </c>
      <c r="R279" s="21" t="s">
        <v>2902</v>
      </c>
      <c r="W279" s="21" t="s">
        <v>1010</v>
      </c>
      <c r="X279" s="21" t="s">
        <v>1007</v>
      </c>
      <c r="Z279" s="21" t="s">
        <v>2779</v>
      </c>
    </row>
    <row r="280" spans="5:26" x14ac:dyDescent="0.25">
      <c r="E280" s="21" t="s">
        <v>2298</v>
      </c>
      <c r="K280" s="21" t="s">
        <v>3049</v>
      </c>
      <c r="R280" s="21" t="s">
        <v>3556</v>
      </c>
      <c r="W280" s="21" t="s">
        <v>1083</v>
      </c>
      <c r="X280" s="21" t="s">
        <v>3075</v>
      </c>
      <c r="Z280" s="21" t="s">
        <v>3554</v>
      </c>
    </row>
    <row r="281" spans="5:26" x14ac:dyDescent="0.25">
      <c r="E281" s="21" t="s">
        <v>5276</v>
      </c>
      <c r="K281" s="21" t="s">
        <v>459</v>
      </c>
      <c r="R281" s="21" t="s">
        <v>604</v>
      </c>
      <c r="W281" s="21" t="s">
        <v>1465</v>
      </c>
      <c r="X281" s="21" t="s">
        <v>569</v>
      </c>
      <c r="Z281" s="21" t="s">
        <v>660</v>
      </c>
    </row>
    <row r="282" spans="5:26" x14ac:dyDescent="0.25">
      <c r="E282" s="21" t="s">
        <v>1625</v>
      </c>
      <c r="K282" s="21" t="s">
        <v>873</v>
      </c>
      <c r="R282" s="21" t="s">
        <v>611</v>
      </c>
      <c r="W282" s="21" t="s">
        <v>1094</v>
      </c>
      <c r="X282" s="21" t="s">
        <v>952</v>
      </c>
      <c r="Z282" s="21" t="s">
        <v>3772</v>
      </c>
    </row>
    <row r="283" spans="5:26" x14ac:dyDescent="0.25">
      <c r="E283" s="21" t="s">
        <v>939</v>
      </c>
      <c r="K283" s="21" t="s">
        <v>460</v>
      </c>
      <c r="R283" s="21" t="s">
        <v>3111</v>
      </c>
      <c r="W283" s="21" t="s">
        <v>1025</v>
      </c>
      <c r="X283" s="21" t="s">
        <v>254</v>
      </c>
      <c r="Z283" s="21" t="s">
        <v>3498</v>
      </c>
    </row>
    <row r="284" spans="5:26" x14ac:dyDescent="0.25">
      <c r="E284" s="21" t="s">
        <v>3326</v>
      </c>
      <c r="K284" s="21" t="s">
        <v>3213</v>
      </c>
      <c r="R284" s="21" t="s">
        <v>629</v>
      </c>
      <c r="W284" s="21" t="s">
        <v>1550</v>
      </c>
      <c r="X284" s="21" t="s">
        <v>1004</v>
      </c>
      <c r="Z284" s="21" t="s">
        <v>1594</v>
      </c>
    </row>
    <row r="285" spans="5:26" x14ac:dyDescent="0.25">
      <c r="E285" s="21" t="s">
        <v>1972</v>
      </c>
      <c r="K285" s="21" t="s">
        <v>461</v>
      </c>
      <c r="R285" s="21" t="s">
        <v>3589</v>
      </c>
      <c r="W285" s="21" t="s">
        <v>1081</v>
      </c>
      <c r="X285" s="21" t="s">
        <v>1570</v>
      </c>
      <c r="Z285" s="21" t="s">
        <v>2196</v>
      </c>
    </row>
    <row r="286" spans="5:26" x14ac:dyDescent="0.25">
      <c r="E286" s="21" t="s">
        <v>2649</v>
      </c>
      <c r="K286" s="21" t="s">
        <v>1657</v>
      </c>
      <c r="R286" s="21" t="s">
        <v>1464</v>
      </c>
      <c r="W286" s="21" t="s">
        <v>1030</v>
      </c>
      <c r="X286" s="21" t="s">
        <v>263</v>
      </c>
      <c r="Z286" s="21" t="s">
        <v>724</v>
      </c>
    </row>
    <row r="287" spans="5:26" x14ac:dyDescent="0.25">
      <c r="E287" s="21" t="s">
        <v>1747</v>
      </c>
      <c r="K287" s="21" t="s">
        <v>2630</v>
      </c>
      <c r="R287" s="21" t="s">
        <v>238</v>
      </c>
      <c r="W287" s="21" t="s">
        <v>1191</v>
      </c>
      <c r="X287" s="21" t="s">
        <v>912</v>
      </c>
      <c r="Z287" s="21" t="s">
        <v>315</v>
      </c>
    </row>
    <row r="288" spans="5:26" x14ac:dyDescent="0.25">
      <c r="E288" s="21" t="s">
        <v>1986</v>
      </c>
      <c r="K288" s="21" t="s">
        <v>2372</v>
      </c>
      <c r="R288" s="21" t="s">
        <v>3638</v>
      </c>
      <c r="W288" s="21" t="s">
        <v>1495</v>
      </c>
      <c r="X288" s="21" t="s">
        <v>593</v>
      </c>
      <c r="Z288" s="21" t="s">
        <v>947</v>
      </c>
    </row>
    <row r="289" spans="5:26" x14ac:dyDescent="0.25">
      <c r="E289" s="21" t="s">
        <v>5272</v>
      </c>
      <c r="K289" s="21" t="s">
        <v>3167</v>
      </c>
      <c r="R289" s="21" t="s">
        <v>1430</v>
      </c>
      <c r="W289" s="21" t="s">
        <v>1062</v>
      </c>
      <c r="X289" s="21" t="s">
        <v>1078</v>
      </c>
      <c r="Z289" s="21" t="s">
        <v>874</v>
      </c>
    </row>
    <row r="290" spans="5:26" x14ac:dyDescent="0.25">
      <c r="E290" s="21" t="s">
        <v>2367</v>
      </c>
      <c r="K290" s="21" t="s">
        <v>3176</v>
      </c>
      <c r="R290" s="21" t="s">
        <v>3039</v>
      </c>
      <c r="W290" s="21" t="s">
        <v>2918</v>
      </c>
      <c r="X290" s="21" t="s">
        <v>1363</v>
      </c>
      <c r="Z290" s="21" t="s">
        <v>3489</v>
      </c>
    </row>
    <row r="291" spans="5:26" x14ac:dyDescent="0.25">
      <c r="E291" s="21" t="s">
        <v>2469</v>
      </c>
      <c r="K291" s="21" t="s">
        <v>3806</v>
      </c>
      <c r="R291" s="21" t="s">
        <v>769</v>
      </c>
      <c r="W291" s="21" t="s">
        <v>1522</v>
      </c>
      <c r="X291" s="21" t="s">
        <v>953</v>
      </c>
      <c r="Z291" s="21" t="s">
        <v>3828</v>
      </c>
    </row>
    <row r="292" spans="5:26" x14ac:dyDescent="0.25">
      <c r="E292" s="21" t="s">
        <v>4485</v>
      </c>
      <c r="K292" s="21" t="s">
        <v>2219</v>
      </c>
      <c r="R292" s="21" t="s">
        <v>336</v>
      </c>
      <c r="W292" s="21" t="s">
        <v>1534</v>
      </c>
      <c r="X292" s="21" t="s">
        <v>983</v>
      </c>
      <c r="Z292" s="21" t="s">
        <v>848</v>
      </c>
    </row>
    <row r="293" spans="5:26" x14ac:dyDescent="0.25">
      <c r="E293" s="21" t="s">
        <v>1651</v>
      </c>
      <c r="K293" s="21" t="s">
        <v>2658</v>
      </c>
      <c r="R293" s="21" t="s">
        <v>3179</v>
      </c>
      <c r="W293" s="21" t="s">
        <v>975</v>
      </c>
      <c r="X293" s="21" t="s">
        <v>1144</v>
      </c>
      <c r="Z293" s="21" t="s">
        <v>3837</v>
      </c>
    </row>
    <row r="294" spans="5:26" x14ac:dyDescent="0.25">
      <c r="E294" s="21" t="s">
        <v>1758</v>
      </c>
      <c r="K294" s="21" t="s">
        <v>2712</v>
      </c>
      <c r="R294" s="21" t="s">
        <v>3082</v>
      </c>
      <c r="W294" s="21" t="s">
        <v>1460</v>
      </c>
      <c r="X294" s="21" t="s">
        <v>280</v>
      </c>
      <c r="Z294" s="21" t="s">
        <v>3700</v>
      </c>
    </row>
    <row r="295" spans="5:26" x14ac:dyDescent="0.25">
      <c r="E295" s="21" t="s">
        <v>5059</v>
      </c>
      <c r="K295" s="21" t="s">
        <v>3605</v>
      </c>
      <c r="R295" s="21" t="s">
        <v>3047</v>
      </c>
      <c r="W295" s="21" t="s">
        <v>948</v>
      </c>
      <c r="X295" s="21" t="s">
        <v>1082</v>
      </c>
      <c r="Z295" s="21" t="s">
        <v>2641</v>
      </c>
    </row>
    <row r="296" spans="5:26" x14ac:dyDescent="0.25">
      <c r="E296" s="21" t="s">
        <v>2009</v>
      </c>
      <c r="K296" s="21" t="s">
        <v>2506</v>
      </c>
      <c r="R296" s="21" t="s">
        <v>3031</v>
      </c>
      <c r="W296" s="21" t="s">
        <v>1207</v>
      </c>
      <c r="X296" s="21" t="s">
        <v>271</v>
      </c>
      <c r="Z296" s="21" t="s">
        <v>1595</v>
      </c>
    </row>
    <row r="297" spans="5:26" x14ac:dyDescent="0.25">
      <c r="E297" s="21" t="s">
        <v>4930</v>
      </c>
      <c r="K297" s="21" t="s">
        <v>2510</v>
      </c>
      <c r="R297" s="21" t="s">
        <v>344</v>
      </c>
      <c r="W297" s="21" t="s">
        <v>1497</v>
      </c>
      <c r="Z297" s="21" t="s">
        <v>896</v>
      </c>
    </row>
    <row r="298" spans="5:26" x14ac:dyDescent="0.25">
      <c r="E298" s="21" t="s">
        <v>1655</v>
      </c>
      <c r="K298" s="21" t="s">
        <v>2553</v>
      </c>
      <c r="R298" s="21" t="s">
        <v>3433</v>
      </c>
      <c r="W298" s="21" t="s">
        <v>1515</v>
      </c>
      <c r="Z298" s="21" t="s">
        <v>3519</v>
      </c>
    </row>
    <row r="299" spans="5:26" x14ac:dyDescent="0.25">
      <c r="E299" s="21" t="s">
        <v>400</v>
      </c>
      <c r="K299" s="21" t="s">
        <v>1807</v>
      </c>
      <c r="R299" s="21" t="s">
        <v>3459</v>
      </c>
      <c r="W299" s="21" t="s">
        <v>5983</v>
      </c>
      <c r="Z299" s="21" t="s">
        <v>3660</v>
      </c>
    </row>
    <row r="300" spans="5:26" x14ac:dyDescent="0.25">
      <c r="E300" s="21" t="s">
        <v>4295</v>
      </c>
      <c r="K300" s="21" t="s">
        <v>1783</v>
      </c>
      <c r="R300" s="21" t="s">
        <v>5984</v>
      </c>
      <c r="W300" s="21" t="s">
        <v>1350</v>
      </c>
      <c r="Z300" s="21" t="s">
        <v>1580</v>
      </c>
    </row>
    <row r="301" spans="5:26" x14ac:dyDescent="0.25">
      <c r="E301" s="21" t="s">
        <v>4942</v>
      </c>
      <c r="K301" s="21" t="s">
        <v>1802</v>
      </c>
      <c r="R301" s="21" t="s">
        <v>3067</v>
      </c>
      <c r="W301" s="21" t="s">
        <v>1507</v>
      </c>
      <c r="Z301" s="21" t="s">
        <v>704</v>
      </c>
    </row>
    <row r="302" spans="5:26" x14ac:dyDescent="0.25">
      <c r="E302" s="21" t="s">
        <v>2548</v>
      </c>
      <c r="K302" s="21" t="s">
        <v>3262</v>
      </c>
      <c r="R302" s="21" t="s">
        <v>1411</v>
      </c>
      <c r="W302" s="21" t="s">
        <v>1335</v>
      </c>
      <c r="Z302" s="21" t="s">
        <v>819</v>
      </c>
    </row>
    <row r="303" spans="5:26" x14ac:dyDescent="0.25">
      <c r="E303" s="21" t="s">
        <v>2013</v>
      </c>
      <c r="K303" s="21" t="s">
        <v>3609</v>
      </c>
      <c r="R303" s="21" t="s">
        <v>608</v>
      </c>
      <c r="W303" s="21" t="s">
        <v>992</v>
      </c>
      <c r="Z303" s="21" t="s">
        <v>3741</v>
      </c>
    </row>
    <row r="304" spans="5:26" x14ac:dyDescent="0.25">
      <c r="E304" s="21" t="s">
        <v>1918</v>
      </c>
      <c r="K304" s="21" t="s">
        <v>1706</v>
      </c>
      <c r="R304" s="21" t="s">
        <v>676</v>
      </c>
      <c r="W304" s="21" t="s">
        <v>1412</v>
      </c>
      <c r="Z304" s="21" t="s">
        <v>3460</v>
      </c>
    </row>
    <row r="305" spans="5:26" x14ac:dyDescent="0.25">
      <c r="E305" s="21" t="s">
        <v>1685</v>
      </c>
      <c r="K305" s="21" t="s">
        <v>2583</v>
      </c>
      <c r="R305" s="21" t="s">
        <v>626</v>
      </c>
      <c r="W305" s="21" t="s">
        <v>1333</v>
      </c>
      <c r="Z305" s="21" t="s">
        <v>3597</v>
      </c>
    </row>
    <row r="306" spans="5:26" x14ac:dyDescent="0.25">
      <c r="E306" s="21" t="s">
        <v>2034</v>
      </c>
      <c r="K306" s="21" t="s">
        <v>1729</v>
      </c>
      <c r="R306" s="21" t="s">
        <v>3616</v>
      </c>
      <c r="W306" s="21" t="s">
        <v>1184</v>
      </c>
      <c r="Z306" s="21" t="s">
        <v>3373</v>
      </c>
    </row>
    <row r="307" spans="5:26" x14ac:dyDescent="0.25">
      <c r="E307" s="21" t="s">
        <v>2268</v>
      </c>
      <c r="K307" s="21" t="s">
        <v>2603</v>
      </c>
      <c r="R307" s="21" t="s">
        <v>3054</v>
      </c>
      <c r="W307" s="21" t="s">
        <v>1541</v>
      </c>
      <c r="Z307" s="21" t="s">
        <v>3480</v>
      </c>
    </row>
    <row r="308" spans="5:26" x14ac:dyDescent="0.25">
      <c r="E308" s="21" t="s">
        <v>1446</v>
      </c>
      <c r="K308" s="21" t="s">
        <v>1750</v>
      </c>
      <c r="R308" s="21" t="s">
        <v>1400</v>
      </c>
      <c r="W308" s="21" t="s">
        <v>236</v>
      </c>
      <c r="Z308" s="21" t="s">
        <v>810</v>
      </c>
    </row>
    <row r="309" spans="5:26" x14ac:dyDescent="0.25">
      <c r="E309" s="21" t="s">
        <v>2445</v>
      </c>
      <c r="K309" s="21" t="s">
        <v>5252</v>
      </c>
      <c r="R309" s="21" t="s">
        <v>3027</v>
      </c>
      <c r="W309" s="21" t="s">
        <v>1234</v>
      </c>
      <c r="Z309" s="21" t="s">
        <v>2716</v>
      </c>
    </row>
    <row r="310" spans="5:26" x14ac:dyDescent="0.25">
      <c r="E310" s="21" t="s">
        <v>1646</v>
      </c>
      <c r="K310" s="21" t="s">
        <v>2661</v>
      </c>
      <c r="R310" s="21" t="s">
        <v>603</v>
      </c>
      <c r="W310" s="21" t="s">
        <v>1105</v>
      </c>
      <c r="Z310" s="21" t="s">
        <v>3470</v>
      </c>
    </row>
    <row r="311" spans="5:26" x14ac:dyDescent="0.25">
      <c r="E311" s="21" t="s">
        <v>2149</v>
      </c>
      <c r="K311" s="21" t="s">
        <v>1714</v>
      </c>
      <c r="R311" s="21" t="s">
        <v>639</v>
      </c>
      <c r="W311" s="21" t="s">
        <v>1506</v>
      </c>
      <c r="Z311" s="21" t="s">
        <v>3811</v>
      </c>
    </row>
    <row r="312" spans="5:26" x14ac:dyDescent="0.25">
      <c r="E312" s="21" t="s">
        <v>1870</v>
      </c>
      <c r="K312" s="21" t="s">
        <v>3355</v>
      </c>
      <c r="R312" s="21" t="s">
        <v>305</v>
      </c>
      <c r="W312" s="21" t="s">
        <v>940</v>
      </c>
      <c r="Z312" s="21" t="s">
        <v>878</v>
      </c>
    </row>
    <row r="313" spans="5:26" x14ac:dyDescent="0.25">
      <c r="E313" s="21" t="s">
        <v>4881</v>
      </c>
      <c r="K313" s="21" t="s">
        <v>462</v>
      </c>
      <c r="R313" s="21" t="s">
        <v>1485</v>
      </c>
      <c r="W313" s="21" t="s">
        <v>1088</v>
      </c>
      <c r="Z313" s="21" t="s">
        <v>3844</v>
      </c>
    </row>
    <row r="314" spans="5:26" x14ac:dyDescent="0.25">
      <c r="E314" s="21" t="s">
        <v>1634</v>
      </c>
      <c r="K314" s="21" t="s">
        <v>3196</v>
      </c>
      <c r="R314" s="21" t="s">
        <v>716</v>
      </c>
      <c r="W314" s="21" t="s">
        <v>1521</v>
      </c>
      <c r="Z314" s="21" t="s">
        <v>3725</v>
      </c>
    </row>
    <row r="315" spans="5:26" x14ac:dyDescent="0.25">
      <c r="E315" s="21" t="s">
        <v>2419</v>
      </c>
      <c r="K315" s="21" t="s">
        <v>5985</v>
      </c>
      <c r="R315" s="21" t="s">
        <v>605</v>
      </c>
      <c r="W315" s="21" t="s">
        <v>1297</v>
      </c>
      <c r="Z315" s="21" t="s">
        <v>3527</v>
      </c>
    </row>
    <row r="316" spans="5:26" x14ac:dyDescent="0.25">
      <c r="E316" s="21" t="s">
        <v>1736</v>
      </c>
      <c r="K316" s="21" t="s">
        <v>1821</v>
      </c>
      <c r="R316" s="21" t="s">
        <v>3015</v>
      </c>
      <c r="W316" s="21" t="s">
        <v>1434</v>
      </c>
      <c r="Z316" s="21" t="s">
        <v>3817</v>
      </c>
    </row>
    <row r="317" spans="5:26" x14ac:dyDescent="0.25">
      <c r="E317" s="21" t="s">
        <v>1836</v>
      </c>
      <c r="K317" s="21" t="s">
        <v>658</v>
      </c>
      <c r="R317" s="21" t="s">
        <v>3095</v>
      </c>
      <c r="W317" s="21" t="s">
        <v>2981</v>
      </c>
      <c r="Z317" s="21" t="s">
        <v>3456</v>
      </c>
    </row>
    <row r="318" spans="5:26" x14ac:dyDescent="0.25">
      <c r="E318" s="21" t="s">
        <v>1948</v>
      </c>
      <c r="K318" s="21" t="s">
        <v>2458</v>
      </c>
      <c r="R318" s="21" t="s">
        <v>684</v>
      </c>
      <c r="W318" s="21" t="s">
        <v>1222</v>
      </c>
      <c r="Z318" s="21" t="s">
        <v>3801</v>
      </c>
    </row>
    <row r="319" spans="5:26" x14ac:dyDescent="0.25">
      <c r="E319" s="21" t="s">
        <v>5065</v>
      </c>
      <c r="K319" s="21" t="s">
        <v>666</v>
      </c>
      <c r="R319" s="21" t="s">
        <v>1352</v>
      </c>
      <c r="W319" s="21" t="s">
        <v>5986</v>
      </c>
      <c r="Z319" s="21" t="s">
        <v>3545</v>
      </c>
    </row>
    <row r="320" spans="5:26" x14ac:dyDescent="0.25">
      <c r="E320" s="21" t="s">
        <v>5016</v>
      </c>
      <c r="K320" s="21" t="s">
        <v>3255</v>
      </c>
      <c r="R320" s="21" t="s">
        <v>822</v>
      </c>
      <c r="W320" s="21" t="s">
        <v>3109</v>
      </c>
      <c r="Z320" s="21" t="s">
        <v>3784</v>
      </c>
    </row>
    <row r="321" spans="5:26" x14ac:dyDescent="0.25">
      <c r="E321" s="21" t="s">
        <v>2001</v>
      </c>
      <c r="K321" s="21" t="s">
        <v>387</v>
      </c>
      <c r="R321" s="21" t="s">
        <v>3437</v>
      </c>
      <c r="W321" s="21" t="s">
        <v>1180</v>
      </c>
      <c r="Z321" s="21" t="s">
        <v>3832</v>
      </c>
    </row>
    <row r="322" spans="5:26" x14ac:dyDescent="0.25">
      <c r="E322" s="21" t="s">
        <v>4018</v>
      </c>
      <c r="K322" s="21" t="s">
        <v>2571</v>
      </c>
      <c r="R322" s="21" t="s">
        <v>3091</v>
      </c>
      <c r="W322" s="21" t="s">
        <v>1446</v>
      </c>
      <c r="Z322" s="21" t="s">
        <v>3787</v>
      </c>
    </row>
    <row r="323" spans="5:26" x14ac:dyDescent="0.25">
      <c r="E323" s="21" t="s">
        <v>2108</v>
      </c>
      <c r="K323" s="21" t="s">
        <v>708</v>
      </c>
      <c r="R323" s="21" t="s">
        <v>3245</v>
      </c>
      <c r="W323" s="21" t="s">
        <v>1287</v>
      </c>
      <c r="Z323" s="21" t="s">
        <v>897</v>
      </c>
    </row>
    <row r="324" spans="5:26" x14ac:dyDescent="0.25">
      <c r="E324" s="21" t="s">
        <v>5451</v>
      </c>
      <c r="K324" s="21" t="s">
        <v>3531</v>
      </c>
      <c r="R324" s="21" t="s">
        <v>3079</v>
      </c>
      <c r="W324" s="21" t="s">
        <v>1153</v>
      </c>
      <c r="Z324" s="21" t="s">
        <v>744</v>
      </c>
    </row>
    <row r="325" spans="5:26" x14ac:dyDescent="0.25">
      <c r="E325" s="21" t="s">
        <v>2058</v>
      </c>
      <c r="K325" s="21" t="s">
        <v>3273</v>
      </c>
      <c r="R325" s="21" t="s">
        <v>3453</v>
      </c>
      <c r="W325" s="21" t="s">
        <v>1535</v>
      </c>
      <c r="Z325" s="21" t="s">
        <v>1615</v>
      </c>
    </row>
    <row r="326" spans="5:26" x14ac:dyDescent="0.25">
      <c r="E326" s="21" t="s">
        <v>4363</v>
      </c>
      <c r="K326" s="21" t="s">
        <v>2077</v>
      </c>
      <c r="R326" s="21" t="s">
        <v>1530</v>
      </c>
      <c r="W326" s="21" t="s">
        <v>1020</v>
      </c>
      <c r="Z326" s="21" t="s">
        <v>3740</v>
      </c>
    </row>
    <row r="327" spans="5:26" x14ac:dyDescent="0.25">
      <c r="E327" s="21" t="s">
        <v>5271</v>
      </c>
      <c r="K327" s="21" t="s">
        <v>679</v>
      </c>
      <c r="R327" s="21" t="s">
        <v>1638</v>
      </c>
      <c r="W327" s="21" t="s">
        <v>1148</v>
      </c>
      <c r="Z327" s="21" t="s">
        <v>3864</v>
      </c>
    </row>
    <row r="328" spans="5:26" x14ac:dyDescent="0.25">
      <c r="E328" s="21" t="s">
        <v>2136</v>
      </c>
      <c r="K328" s="21" t="s">
        <v>3278</v>
      </c>
      <c r="R328" s="21" t="s">
        <v>3072</v>
      </c>
      <c r="W328" s="21" t="s">
        <v>2959</v>
      </c>
      <c r="Z328" s="21" t="s">
        <v>3688</v>
      </c>
    </row>
    <row r="329" spans="5:26" x14ac:dyDescent="0.25">
      <c r="E329" s="21" t="s">
        <v>1984</v>
      </c>
      <c r="K329" s="21" t="s">
        <v>2697</v>
      </c>
      <c r="R329" s="21" t="s">
        <v>3430</v>
      </c>
      <c r="W329" s="21" t="s">
        <v>2921</v>
      </c>
      <c r="Z329" s="21" t="s">
        <v>3778</v>
      </c>
    </row>
    <row r="330" spans="5:26" x14ac:dyDescent="0.25">
      <c r="E330" s="21" t="s">
        <v>2423</v>
      </c>
      <c r="K330" s="21" t="s">
        <v>3219</v>
      </c>
      <c r="R330" s="21" t="s">
        <v>307</v>
      </c>
      <c r="W330" s="21" t="s">
        <v>2934</v>
      </c>
      <c r="Z330" s="21" t="s">
        <v>2261</v>
      </c>
    </row>
    <row r="331" spans="5:26" x14ac:dyDescent="0.25">
      <c r="E331" s="21" t="s">
        <v>1910</v>
      </c>
      <c r="K331" s="21" t="s">
        <v>2764</v>
      </c>
      <c r="R331" s="21" t="s">
        <v>291</v>
      </c>
      <c r="W331" s="21" t="s">
        <v>2989</v>
      </c>
      <c r="Z331" s="21" t="s">
        <v>2708</v>
      </c>
    </row>
    <row r="332" spans="5:26" x14ac:dyDescent="0.25">
      <c r="E332" s="21" t="s">
        <v>2452</v>
      </c>
      <c r="K332" s="21" t="s">
        <v>841</v>
      </c>
      <c r="R332" s="21" t="s">
        <v>3436</v>
      </c>
      <c r="W332" s="21" t="s">
        <v>1285</v>
      </c>
      <c r="Z332" s="21" t="s">
        <v>3598</v>
      </c>
    </row>
    <row r="333" spans="5:26" x14ac:dyDescent="0.25">
      <c r="E333" s="21" t="s">
        <v>1881</v>
      </c>
      <c r="K333" s="21" t="s">
        <v>2336</v>
      </c>
      <c r="R333" s="21" t="s">
        <v>3066</v>
      </c>
      <c r="W333" s="21" t="s">
        <v>1071</v>
      </c>
      <c r="Z333" s="21" t="s">
        <v>3799</v>
      </c>
    </row>
    <row r="334" spans="5:26" x14ac:dyDescent="0.25">
      <c r="E334" s="21" t="s">
        <v>2257</v>
      </c>
      <c r="K334" s="21" t="s">
        <v>463</v>
      </c>
      <c r="R334" s="21" t="s">
        <v>574</v>
      </c>
      <c r="W334" s="21" t="s">
        <v>1320</v>
      </c>
      <c r="Z334" s="21" t="s">
        <v>279</v>
      </c>
    </row>
    <row r="335" spans="5:26" x14ac:dyDescent="0.25">
      <c r="E335" s="21" t="s">
        <v>2074</v>
      </c>
      <c r="K335" s="21" t="s">
        <v>1940</v>
      </c>
      <c r="R335" s="21" t="s">
        <v>2928</v>
      </c>
      <c r="W335" s="21" t="s">
        <v>1019</v>
      </c>
      <c r="Z335" s="21" t="s">
        <v>3655</v>
      </c>
    </row>
    <row r="336" spans="5:26" x14ac:dyDescent="0.25">
      <c r="E336" s="21" t="s">
        <v>4920</v>
      </c>
      <c r="K336" s="21" t="s">
        <v>2832</v>
      </c>
      <c r="R336" s="21" t="s">
        <v>782</v>
      </c>
      <c r="W336" s="21" t="s">
        <v>1292</v>
      </c>
      <c r="Z336" s="21" t="s">
        <v>3836</v>
      </c>
    </row>
    <row r="337" spans="5:26" x14ac:dyDescent="0.25">
      <c r="E337" s="21" t="s">
        <v>4958</v>
      </c>
      <c r="K337" s="21" t="s">
        <v>2825</v>
      </c>
      <c r="R337" s="21" t="s">
        <v>3090</v>
      </c>
      <c r="W337" s="21" t="s">
        <v>1590</v>
      </c>
      <c r="Z337" s="21" t="s">
        <v>3380</v>
      </c>
    </row>
    <row r="338" spans="5:26" x14ac:dyDescent="0.25">
      <c r="E338" s="21" t="s">
        <v>507</v>
      </c>
      <c r="K338" s="21" t="s">
        <v>2775</v>
      </c>
      <c r="R338" s="21" t="s">
        <v>3152</v>
      </c>
      <c r="W338" s="21" t="s">
        <v>1189</v>
      </c>
      <c r="Z338" s="21" t="s">
        <v>2735</v>
      </c>
    </row>
    <row r="339" spans="5:26" x14ac:dyDescent="0.25">
      <c r="E339" s="21" t="s">
        <v>4849</v>
      </c>
      <c r="K339" s="21" t="s">
        <v>310</v>
      </c>
      <c r="R339" s="21" t="s">
        <v>3227</v>
      </c>
      <c r="W339" s="21" t="s">
        <v>1413</v>
      </c>
      <c r="Z339" s="21" t="s">
        <v>3520</v>
      </c>
    </row>
    <row r="340" spans="5:26" x14ac:dyDescent="0.25">
      <c r="E340" s="21" t="s">
        <v>1820</v>
      </c>
      <c r="K340" s="21" t="s">
        <v>859</v>
      </c>
      <c r="R340" s="21" t="s">
        <v>1397</v>
      </c>
      <c r="W340" s="21" t="s">
        <v>1406</v>
      </c>
      <c r="Z340" s="21" t="s">
        <v>3399</v>
      </c>
    </row>
    <row r="341" spans="5:26" x14ac:dyDescent="0.25">
      <c r="E341" s="21" t="s">
        <v>2002</v>
      </c>
      <c r="K341" s="21" t="s">
        <v>672</v>
      </c>
      <c r="R341" s="21" t="s">
        <v>3479</v>
      </c>
      <c r="W341" s="21" t="s">
        <v>1186</v>
      </c>
      <c r="Z341" s="21" t="s">
        <v>3663</v>
      </c>
    </row>
    <row r="342" spans="5:26" x14ac:dyDescent="0.25">
      <c r="E342" s="21" t="s">
        <v>1638</v>
      </c>
      <c r="K342" s="21" t="s">
        <v>2866</v>
      </c>
      <c r="R342" s="21" t="s">
        <v>3432</v>
      </c>
      <c r="W342" s="21" t="s">
        <v>1265</v>
      </c>
      <c r="Z342" s="21" t="s">
        <v>3786</v>
      </c>
    </row>
    <row r="343" spans="5:26" x14ac:dyDescent="0.25">
      <c r="E343" s="21" t="s">
        <v>1689</v>
      </c>
      <c r="K343" s="21" t="s">
        <v>3300</v>
      </c>
      <c r="R343" s="21" t="s">
        <v>3203</v>
      </c>
      <c r="W343" s="21" t="s">
        <v>1559</v>
      </c>
      <c r="Z343" s="21" t="s">
        <v>3783</v>
      </c>
    </row>
    <row r="344" spans="5:26" x14ac:dyDescent="0.25">
      <c r="E344" s="21" t="s">
        <v>5322</v>
      </c>
      <c r="K344" s="21" t="s">
        <v>3614</v>
      </c>
      <c r="R344" s="21" t="s">
        <v>606</v>
      </c>
      <c r="W344" s="21" t="s">
        <v>1418</v>
      </c>
      <c r="Z344" s="21" t="s">
        <v>3815</v>
      </c>
    </row>
    <row r="345" spans="5:26" x14ac:dyDescent="0.25">
      <c r="E345" s="21" t="s">
        <v>5497</v>
      </c>
      <c r="K345" s="21" t="s">
        <v>3206</v>
      </c>
      <c r="R345" s="21" t="s">
        <v>3087</v>
      </c>
      <c r="W345" s="21" t="s">
        <v>919</v>
      </c>
      <c r="Z345" s="21" t="s">
        <v>3722</v>
      </c>
    </row>
    <row r="346" spans="5:26" x14ac:dyDescent="0.25">
      <c r="E346" s="21" t="s">
        <v>1854</v>
      </c>
      <c r="K346" s="21" t="s">
        <v>464</v>
      </c>
      <c r="R346" s="21" t="s">
        <v>2966</v>
      </c>
      <c r="W346" s="21" t="s">
        <v>1214</v>
      </c>
      <c r="Z346" s="21" t="s">
        <v>3851</v>
      </c>
    </row>
    <row r="347" spans="5:26" x14ac:dyDescent="0.25">
      <c r="E347" s="21" t="s">
        <v>5020</v>
      </c>
      <c r="K347" s="21" t="s">
        <v>465</v>
      </c>
      <c r="R347" s="21" t="s">
        <v>592</v>
      </c>
      <c r="W347" s="21" t="s">
        <v>930</v>
      </c>
      <c r="Z347" s="21" t="s">
        <v>5987</v>
      </c>
    </row>
    <row r="348" spans="5:26" x14ac:dyDescent="0.25">
      <c r="E348" s="21" t="s">
        <v>4266</v>
      </c>
      <c r="K348" s="21" t="s">
        <v>1883</v>
      </c>
      <c r="R348" s="21" t="s">
        <v>3161</v>
      </c>
      <c r="W348" s="21" t="s">
        <v>1274</v>
      </c>
      <c r="Z348" s="21" t="s">
        <v>3494</v>
      </c>
    </row>
    <row r="349" spans="5:26" x14ac:dyDescent="0.25">
      <c r="E349" s="21" t="s">
        <v>1982</v>
      </c>
      <c r="K349" s="21" t="s">
        <v>697</v>
      </c>
      <c r="R349" s="21" t="s">
        <v>3407</v>
      </c>
      <c r="W349" s="21" t="s">
        <v>1487</v>
      </c>
      <c r="Z349" s="21" t="s">
        <v>5988</v>
      </c>
    </row>
    <row r="350" spans="5:26" x14ac:dyDescent="0.25">
      <c r="E350" s="21" t="s">
        <v>4951</v>
      </c>
      <c r="K350" s="21" t="s">
        <v>1989</v>
      </c>
      <c r="R350" s="21" t="s">
        <v>5989</v>
      </c>
      <c r="W350" s="21" t="s">
        <v>1563</v>
      </c>
      <c r="Z350" s="21" t="s">
        <v>3712</v>
      </c>
    </row>
    <row r="351" spans="5:26" x14ac:dyDescent="0.25">
      <c r="E351" s="21" t="s">
        <v>1832</v>
      </c>
      <c r="K351" s="21" t="s">
        <v>2624</v>
      </c>
      <c r="R351" s="21" t="s">
        <v>736</v>
      </c>
      <c r="W351" s="21" t="s">
        <v>962</v>
      </c>
      <c r="Z351" s="21" t="s">
        <v>3792</v>
      </c>
    </row>
    <row r="352" spans="5:26" x14ac:dyDescent="0.25">
      <c r="E352" s="21" t="s">
        <v>2086</v>
      </c>
      <c r="K352" s="21" t="s">
        <v>686</v>
      </c>
      <c r="R352" s="21" t="s">
        <v>3020</v>
      </c>
      <c r="W352" s="21" t="s">
        <v>1537</v>
      </c>
      <c r="Z352" s="21" t="s">
        <v>3138</v>
      </c>
    </row>
    <row r="353" spans="5:26" x14ac:dyDescent="0.25">
      <c r="E353" s="21" t="s">
        <v>2851</v>
      </c>
      <c r="K353" s="21" t="s">
        <v>1847</v>
      </c>
      <c r="R353" s="21" t="s">
        <v>332</v>
      </c>
      <c r="W353" s="21" t="s">
        <v>1168</v>
      </c>
      <c r="Z353" s="21" t="s">
        <v>872</v>
      </c>
    </row>
    <row r="354" spans="5:26" x14ac:dyDescent="0.25">
      <c r="E354" s="21" t="s">
        <v>1312</v>
      </c>
      <c r="K354" s="21" t="s">
        <v>2743</v>
      </c>
      <c r="R354" s="21" t="s">
        <v>3427</v>
      </c>
      <c r="W354" s="21" t="s">
        <v>3121</v>
      </c>
      <c r="Z354" s="21" t="s">
        <v>3602</v>
      </c>
    </row>
    <row r="355" spans="5:26" x14ac:dyDescent="0.25">
      <c r="E355" s="21" t="s">
        <v>1895</v>
      </c>
      <c r="K355" s="21" t="s">
        <v>2628</v>
      </c>
      <c r="R355" s="21" t="s">
        <v>1399</v>
      </c>
      <c r="W355" s="21" t="s">
        <v>1571</v>
      </c>
      <c r="Z355" s="21" t="s">
        <v>3855</v>
      </c>
    </row>
    <row r="356" spans="5:26" x14ac:dyDescent="0.25">
      <c r="E356" s="21" t="s">
        <v>4955</v>
      </c>
      <c r="K356" s="21" t="s">
        <v>2985</v>
      </c>
      <c r="R356" s="21" t="s">
        <v>2996</v>
      </c>
      <c r="W356" s="21" t="s">
        <v>1182</v>
      </c>
      <c r="Z356" s="21" t="s">
        <v>3402</v>
      </c>
    </row>
    <row r="357" spans="5:26" x14ac:dyDescent="0.25">
      <c r="E357" s="21" t="s">
        <v>5323</v>
      </c>
      <c r="K357" s="21" t="s">
        <v>3159</v>
      </c>
      <c r="R357" s="21" t="s">
        <v>623</v>
      </c>
      <c r="W357" s="21" t="s">
        <v>1456</v>
      </c>
      <c r="Z357" s="21" t="s">
        <v>1202</v>
      </c>
    </row>
    <row r="358" spans="5:26" x14ac:dyDescent="0.25">
      <c r="E358" s="21" t="s">
        <v>4946</v>
      </c>
      <c r="K358" s="21" t="s">
        <v>1941</v>
      </c>
      <c r="R358" s="21" t="s">
        <v>2992</v>
      </c>
      <c r="W358" s="21" t="s">
        <v>1417</v>
      </c>
      <c r="Z358" s="21" t="s">
        <v>3720</v>
      </c>
    </row>
    <row r="359" spans="5:26" x14ac:dyDescent="0.25">
      <c r="E359" s="21" t="s">
        <v>1581</v>
      </c>
      <c r="K359" s="21" t="s">
        <v>2537</v>
      </c>
      <c r="R359" s="21" t="s">
        <v>3098</v>
      </c>
      <c r="W359" s="21" t="s">
        <v>3025</v>
      </c>
      <c r="Z359" s="21" t="s">
        <v>746</v>
      </c>
    </row>
    <row r="360" spans="5:26" x14ac:dyDescent="0.25">
      <c r="E360" s="21" t="s">
        <v>2148</v>
      </c>
      <c r="K360" s="21" t="s">
        <v>826</v>
      </c>
      <c r="R360" s="21" t="s">
        <v>3234</v>
      </c>
      <c r="W360" s="21" t="s">
        <v>1317</v>
      </c>
      <c r="Z360" s="21" t="s">
        <v>3644</v>
      </c>
    </row>
    <row r="361" spans="5:26" x14ac:dyDescent="0.25">
      <c r="E361" s="21" t="s">
        <v>1748</v>
      </c>
      <c r="K361" s="21" t="s">
        <v>739</v>
      </c>
      <c r="R361" s="21" t="s">
        <v>3429</v>
      </c>
      <c r="W361" s="21" t="s">
        <v>1461</v>
      </c>
      <c r="Z361" s="21" t="s">
        <v>889</v>
      </c>
    </row>
    <row r="362" spans="5:26" x14ac:dyDescent="0.25">
      <c r="E362" s="21" t="s">
        <v>5018</v>
      </c>
      <c r="K362" s="21" t="s">
        <v>748</v>
      </c>
      <c r="R362" s="21" t="s">
        <v>385</v>
      </c>
      <c r="W362" s="21" t="s">
        <v>1505</v>
      </c>
      <c r="Z362" s="21" t="s">
        <v>3629</v>
      </c>
    </row>
    <row r="363" spans="5:26" x14ac:dyDescent="0.25">
      <c r="E363" s="21" t="s">
        <v>1788</v>
      </c>
      <c r="K363" s="21" t="s">
        <v>5990</v>
      </c>
      <c r="R363" s="21" t="s">
        <v>1166</v>
      </c>
      <c r="W363" s="21" t="s">
        <v>1133</v>
      </c>
      <c r="Z363" s="21" t="s">
        <v>3826</v>
      </c>
    </row>
    <row r="364" spans="5:26" x14ac:dyDescent="0.25">
      <c r="E364" s="21" t="s">
        <v>1728</v>
      </c>
      <c r="K364" s="21" t="s">
        <v>665</v>
      </c>
      <c r="R364" s="21" t="s">
        <v>607</v>
      </c>
      <c r="W364" s="21" t="s">
        <v>1254</v>
      </c>
      <c r="Z364" s="21" t="s">
        <v>3610</v>
      </c>
    </row>
    <row r="365" spans="5:26" x14ac:dyDescent="0.25">
      <c r="E365" s="21" t="s">
        <v>1963</v>
      </c>
      <c r="K365" s="21" t="s">
        <v>2560</v>
      </c>
      <c r="R365" s="21" t="s">
        <v>693</v>
      </c>
      <c r="W365" s="21" t="s">
        <v>1415</v>
      </c>
      <c r="Z365" s="21" t="s">
        <v>3504</v>
      </c>
    </row>
    <row r="366" spans="5:26" x14ac:dyDescent="0.25">
      <c r="E366" s="21" t="s">
        <v>1934</v>
      </c>
      <c r="K366" s="21" t="s">
        <v>5422</v>
      </c>
      <c r="R366" s="21" t="s">
        <v>3000</v>
      </c>
      <c r="W366" s="21" t="s">
        <v>1241</v>
      </c>
      <c r="Z366" s="21" t="s">
        <v>701</v>
      </c>
    </row>
    <row r="367" spans="5:26" x14ac:dyDescent="0.25">
      <c r="E367" s="21" t="s">
        <v>4938</v>
      </c>
      <c r="K367" s="21" t="s">
        <v>466</v>
      </c>
      <c r="R367" s="21" t="s">
        <v>3448</v>
      </c>
      <c r="W367" s="21" t="s">
        <v>1576</v>
      </c>
      <c r="Z367" s="21" t="s">
        <v>1599</v>
      </c>
    </row>
    <row r="368" spans="5:26" x14ac:dyDescent="0.25">
      <c r="E368" s="21" t="s">
        <v>2078</v>
      </c>
      <c r="K368" s="21" t="s">
        <v>1834</v>
      </c>
      <c r="R368" s="21" t="s">
        <v>3672</v>
      </c>
      <c r="W368" s="21" t="s">
        <v>1067</v>
      </c>
      <c r="Z368" s="21" t="s">
        <v>3821</v>
      </c>
    </row>
    <row r="369" spans="5:26" x14ac:dyDescent="0.25">
      <c r="E369" s="21" t="s">
        <v>2349</v>
      </c>
      <c r="K369" s="21" t="s">
        <v>713</v>
      </c>
      <c r="R369" s="21" t="s">
        <v>753</v>
      </c>
      <c r="W369" s="21" t="s">
        <v>2924</v>
      </c>
      <c r="Z369" s="21" t="s">
        <v>3764</v>
      </c>
    </row>
    <row r="370" spans="5:26" x14ac:dyDescent="0.25">
      <c r="E370" s="21" t="s">
        <v>4950</v>
      </c>
      <c r="K370" s="21" t="s">
        <v>3207</v>
      </c>
      <c r="R370" s="21" t="s">
        <v>612</v>
      </c>
      <c r="W370" s="21" t="s">
        <v>1349</v>
      </c>
      <c r="Z370" s="21" t="s">
        <v>3788</v>
      </c>
    </row>
    <row r="371" spans="5:26" x14ac:dyDescent="0.25">
      <c r="E371" s="21" t="s">
        <v>2205</v>
      </c>
      <c r="K371" s="21" t="s">
        <v>3493</v>
      </c>
      <c r="R371" s="21" t="s">
        <v>3189</v>
      </c>
      <c r="W371" s="21" t="s">
        <v>1028</v>
      </c>
      <c r="Z371" s="21" t="s">
        <v>3641</v>
      </c>
    </row>
    <row r="372" spans="5:26" x14ac:dyDescent="0.25">
      <c r="E372" s="21" t="s">
        <v>4285</v>
      </c>
      <c r="K372" s="21" t="s">
        <v>1789</v>
      </c>
      <c r="R372" s="21" t="s">
        <v>3022</v>
      </c>
      <c r="W372" s="21" t="s">
        <v>1219</v>
      </c>
      <c r="Z372" s="21" t="s">
        <v>562</v>
      </c>
    </row>
    <row r="373" spans="5:26" x14ac:dyDescent="0.25">
      <c r="E373" s="21" t="s">
        <v>5331</v>
      </c>
      <c r="K373" s="21" t="s">
        <v>3336</v>
      </c>
      <c r="R373" s="21" t="s">
        <v>1493</v>
      </c>
      <c r="W373" s="21" t="s">
        <v>5883</v>
      </c>
      <c r="Z373" s="21" t="s">
        <v>3715</v>
      </c>
    </row>
    <row r="374" spans="5:26" x14ac:dyDescent="0.25">
      <c r="E374" s="21" t="s">
        <v>5311</v>
      </c>
      <c r="K374" s="21" t="s">
        <v>761</v>
      </c>
      <c r="R374" s="21" t="s">
        <v>2154</v>
      </c>
      <c r="W374" s="21" t="s">
        <v>1204</v>
      </c>
      <c r="Z374" s="21" t="s">
        <v>3805</v>
      </c>
    </row>
    <row r="375" spans="5:26" x14ac:dyDescent="0.25">
      <c r="E375" s="21" t="s">
        <v>2135</v>
      </c>
      <c r="K375" s="21" t="s">
        <v>467</v>
      </c>
      <c r="R375" s="21" t="s">
        <v>645</v>
      </c>
      <c r="W375" s="21" t="s">
        <v>1342</v>
      </c>
      <c r="Z375" s="21" t="s">
        <v>3632</v>
      </c>
    </row>
    <row r="376" spans="5:26" x14ac:dyDescent="0.25">
      <c r="E376" s="21" t="s">
        <v>3325</v>
      </c>
      <c r="K376" s="21" t="s">
        <v>767</v>
      </c>
      <c r="R376" s="21" t="s">
        <v>682</v>
      </c>
      <c r="W376" s="21" t="s">
        <v>923</v>
      </c>
      <c r="Z376" s="21" t="s">
        <v>3648</v>
      </c>
    </row>
    <row r="377" spans="5:26" x14ac:dyDescent="0.25">
      <c r="E377" s="21" t="s">
        <v>2169</v>
      </c>
      <c r="K377" s="21" t="s">
        <v>1829</v>
      </c>
      <c r="R377" s="21" t="s">
        <v>3034</v>
      </c>
      <c r="W377" s="21" t="s">
        <v>1569</v>
      </c>
      <c r="Z377" s="21" t="s">
        <v>3827</v>
      </c>
    </row>
    <row r="378" spans="5:26" x14ac:dyDescent="0.25">
      <c r="E378" s="21" t="s">
        <v>3962</v>
      </c>
      <c r="K378" s="21" t="s">
        <v>2464</v>
      </c>
      <c r="R378" s="21" t="s">
        <v>3162</v>
      </c>
      <c r="W378" s="21" t="s">
        <v>1384</v>
      </c>
      <c r="Z378" s="21" t="s">
        <v>3800</v>
      </c>
    </row>
    <row r="379" spans="5:26" x14ac:dyDescent="0.25">
      <c r="E379" s="21" t="s">
        <v>5338</v>
      </c>
      <c r="K379" s="21" t="s">
        <v>3384</v>
      </c>
      <c r="R379" s="21" t="s">
        <v>2952</v>
      </c>
      <c r="W379" s="21" t="s">
        <v>1099</v>
      </c>
      <c r="Z379" s="21" t="s">
        <v>3802</v>
      </c>
    </row>
    <row r="380" spans="5:26" x14ac:dyDescent="0.25">
      <c r="E380" s="21" t="s">
        <v>3307</v>
      </c>
      <c r="K380" s="21" t="s">
        <v>2732</v>
      </c>
      <c r="R380" s="21" t="s">
        <v>648</v>
      </c>
      <c r="W380" s="21" t="s">
        <v>1237</v>
      </c>
      <c r="Z380" s="21" t="s">
        <v>3773</v>
      </c>
    </row>
    <row r="381" spans="5:26" x14ac:dyDescent="0.25">
      <c r="E381" s="21" t="s">
        <v>1436</v>
      </c>
      <c r="K381" s="21" t="s">
        <v>561</v>
      </c>
      <c r="R381" s="21" t="s">
        <v>342</v>
      </c>
      <c r="W381" s="21" t="s">
        <v>2894</v>
      </c>
      <c r="Z381" s="21" t="s">
        <v>2638</v>
      </c>
    </row>
    <row r="382" spans="5:26" x14ac:dyDescent="0.25">
      <c r="E382" s="21" t="s">
        <v>2273</v>
      </c>
      <c r="K382" s="21" t="s">
        <v>711</v>
      </c>
      <c r="R382" s="21" t="s">
        <v>846</v>
      </c>
      <c r="W382" s="21" t="s">
        <v>1403</v>
      </c>
      <c r="Z382" s="21" t="s">
        <v>939</v>
      </c>
    </row>
    <row r="383" spans="5:26" x14ac:dyDescent="0.25">
      <c r="E383" s="21" t="s">
        <v>5312</v>
      </c>
      <c r="K383" s="21" t="s">
        <v>2738</v>
      </c>
      <c r="R383" s="21" t="s">
        <v>690</v>
      </c>
      <c r="W383" s="21" t="s">
        <v>1567</v>
      </c>
      <c r="Z383" s="21" t="s">
        <v>3582</v>
      </c>
    </row>
    <row r="384" spans="5:26" x14ac:dyDescent="0.25">
      <c r="E384" s="21" t="s">
        <v>2278</v>
      </c>
      <c r="K384" s="21" t="s">
        <v>3595</v>
      </c>
      <c r="R384" s="21" t="s">
        <v>276</v>
      </c>
      <c r="W384" s="21" t="s">
        <v>1348</v>
      </c>
      <c r="Z384" s="21" t="s">
        <v>3450</v>
      </c>
    </row>
    <row r="385" spans="5:26" x14ac:dyDescent="0.25">
      <c r="E385" s="21" t="s">
        <v>2477</v>
      </c>
      <c r="K385" s="21" t="s">
        <v>468</v>
      </c>
      <c r="R385" s="21" t="s">
        <v>309</v>
      </c>
      <c r="W385" s="21" t="s">
        <v>1458</v>
      </c>
      <c r="Z385" s="21" t="s">
        <v>1610</v>
      </c>
    </row>
    <row r="386" spans="5:26" x14ac:dyDescent="0.25">
      <c r="E386" s="21" t="s">
        <v>3310</v>
      </c>
      <c r="K386" s="21" t="s">
        <v>2572</v>
      </c>
      <c r="R386" s="21" t="s">
        <v>3004</v>
      </c>
      <c r="W386" s="21" t="s">
        <v>518</v>
      </c>
      <c r="Z386" s="21" t="s">
        <v>3573</v>
      </c>
    </row>
    <row r="387" spans="5:26" x14ac:dyDescent="0.25">
      <c r="E387" s="21" t="s">
        <v>1891</v>
      </c>
      <c r="K387" s="21" t="s">
        <v>4898</v>
      </c>
      <c r="R387" s="21" t="s">
        <v>2972</v>
      </c>
      <c r="W387" s="21" t="s">
        <v>1581</v>
      </c>
      <c r="Z387" s="21" t="s">
        <v>3613</v>
      </c>
    </row>
    <row r="388" spans="5:26" x14ac:dyDescent="0.25">
      <c r="E388" s="21" t="s">
        <v>1932</v>
      </c>
      <c r="K388" s="21" t="s">
        <v>2869</v>
      </c>
      <c r="R388" s="21" t="s">
        <v>569</v>
      </c>
      <c r="W388" s="21" t="s">
        <v>1269</v>
      </c>
      <c r="Z388" s="21" t="s">
        <v>3505</v>
      </c>
    </row>
    <row r="389" spans="5:26" x14ac:dyDescent="0.25">
      <c r="E389" s="21" t="s">
        <v>1628</v>
      </c>
      <c r="K389" s="21" t="s">
        <v>662</v>
      </c>
      <c r="R389" s="21" t="s">
        <v>2958</v>
      </c>
      <c r="W389" s="21" t="s">
        <v>1451</v>
      </c>
      <c r="Z389" s="21" t="s">
        <v>3388</v>
      </c>
    </row>
    <row r="390" spans="5:26" x14ac:dyDescent="0.25">
      <c r="E390" s="21" t="s">
        <v>1919</v>
      </c>
      <c r="K390" s="21" t="s">
        <v>2831</v>
      </c>
      <c r="R390" s="21" t="s">
        <v>3077</v>
      </c>
      <c r="W390" s="21" t="s">
        <v>1519</v>
      </c>
      <c r="Z390" s="21" t="s">
        <v>3594</v>
      </c>
    </row>
    <row r="391" spans="5:26" x14ac:dyDescent="0.25">
      <c r="E391" s="21" t="s">
        <v>2075</v>
      </c>
      <c r="K391" s="21" t="s">
        <v>469</v>
      </c>
      <c r="R391" s="21" t="s">
        <v>652</v>
      </c>
      <c r="W391" s="21" t="s">
        <v>1039</v>
      </c>
      <c r="Z391" s="21" t="s">
        <v>302</v>
      </c>
    </row>
    <row r="392" spans="5:26" x14ac:dyDescent="0.25">
      <c r="E392" s="21" t="s">
        <v>1900</v>
      </c>
      <c r="K392" s="21" t="s">
        <v>2547</v>
      </c>
      <c r="R392" s="21" t="s">
        <v>3071</v>
      </c>
      <c r="W392" s="21" t="s">
        <v>1193</v>
      </c>
      <c r="Z392" s="21" t="s">
        <v>3657</v>
      </c>
    </row>
    <row r="393" spans="5:26" x14ac:dyDescent="0.25">
      <c r="E393" s="21" t="s">
        <v>1855</v>
      </c>
      <c r="K393" s="21" t="s">
        <v>2341</v>
      </c>
      <c r="R393" s="21" t="s">
        <v>3103</v>
      </c>
      <c r="W393" s="21" t="s">
        <v>1338</v>
      </c>
      <c r="Z393" s="21" t="s">
        <v>3848</v>
      </c>
    </row>
    <row r="394" spans="5:26" x14ac:dyDescent="0.25">
      <c r="E394" s="21" t="s">
        <v>2320</v>
      </c>
      <c r="K394" s="21" t="s">
        <v>706</v>
      </c>
      <c r="R394" s="21" t="s">
        <v>642</v>
      </c>
      <c r="W394" s="21" t="s">
        <v>1041</v>
      </c>
      <c r="Z394" s="21" t="s">
        <v>3361</v>
      </c>
    </row>
    <row r="395" spans="5:26" x14ac:dyDescent="0.25">
      <c r="E395" s="21" t="s">
        <v>2167</v>
      </c>
      <c r="K395" s="21" t="s">
        <v>837</v>
      </c>
      <c r="R395" s="21" t="s">
        <v>640</v>
      </c>
      <c r="W395" s="21" t="s">
        <v>2970</v>
      </c>
      <c r="Z395" s="21" t="s">
        <v>1362</v>
      </c>
    </row>
    <row r="396" spans="5:26" x14ac:dyDescent="0.25">
      <c r="E396" s="21" t="s">
        <v>5052</v>
      </c>
      <c r="K396" s="21" t="s">
        <v>1630</v>
      </c>
      <c r="R396" s="21" t="s">
        <v>627</v>
      </c>
      <c r="W396" s="21" t="s">
        <v>918</v>
      </c>
      <c r="Z396" s="21" t="s">
        <v>3390</v>
      </c>
    </row>
    <row r="397" spans="5:26" x14ac:dyDescent="0.25">
      <c r="E397" s="21" t="s">
        <v>1724</v>
      </c>
      <c r="K397" s="21" t="s">
        <v>5360</v>
      </c>
      <c r="R397" s="21" t="s">
        <v>616</v>
      </c>
      <c r="W397" s="21" t="s">
        <v>1423</v>
      </c>
      <c r="Z397" s="21" t="s">
        <v>3674</v>
      </c>
    </row>
    <row r="398" spans="5:26" x14ac:dyDescent="0.25">
      <c r="E398" s="21" t="s">
        <v>1958</v>
      </c>
      <c r="K398" s="21" t="s">
        <v>1779</v>
      </c>
      <c r="R398" s="21" t="s">
        <v>1431</v>
      </c>
      <c r="W398" s="21" t="s">
        <v>1308</v>
      </c>
      <c r="Z398" s="21" t="s">
        <v>3724</v>
      </c>
    </row>
    <row r="399" spans="5:26" x14ac:dyDescent="0.25">
      <c r="E399" s="21" t="s">
        <v>5051</v>
      </c>
      <c r="K399" s="21" t="s">
        <v>5280</v>
      </c>
      <c r="R399" s="21" t="s">
        <v>702</v>
      </c>
      <c r="W399" s="21" t="s">
        <v>328</v>
      </c>
      <c r="Z399" s="21" t="s">
        <v>3736</v>
      </c>
    </row>
    <row r="400" spans="5:26" x14ac:dyDescent="0.25">
      <c r="E400" s="21" t="s">
        <v>2391</v>
      </c>
      <c r="K400" s="21" t="s">
        <v>2792</v>
      </c>
      <c r="R400" s="21" t="s">
        <v>3416</v>
      </c>
      <c r="W400" s="21" t="s">
        <v>1042</v>
      </c>
      <c r="Z400" s="21" t="s">
        <v>5991</v>
      </c>
    </row>
    <row r="401" spans="5:26" x14ac:dyDescent="0.25">
      <c r="E401" s="21" t="s">
        <v>2489</v>
      </c>
      <c r="K401" s="21" t="s">
        <v>3368</v>
      </c>
      <c r="W401" s="21" t="s">
        <v>968</v>
      </c>
      <c r="Z401" s="21" t="s">
        <v>343</v>
      </c>
    </row>
    <row r="402" spans="5:26" x14ac:dyDescent="0.25">
      <c r="E402" s="21" t="s">
        <v>1653</v>
      </c>
      <c r="K402" s="21" t="s">
        <v>2837</v>
      </c>
      <c r="W402" s="21" t="s">
        <v>1574</v>
      </c>
      <c r="Z402" s="21" t="s">
        <v>3789</v>
      </c>
    </row>
    <row r="403" spans="5:26" x14ac:dyDescent="0.25">
      <c r="E403" s="21" t="s">
        <v>4941</v>
      </c>
      <c r="K403" s="21" t="s">
        <v>470</v>
      </c>
      <c r="W403" s="21" t="s">
        <v>1013</v>
      </c>
      <c r="Z403" s="21" t="s">
        <v>3863</v>
      </c>
    </row>
    <row r="404" spans="5:26" x14ac:dyDescent="0.25">
      <c r="E404" s="21" t="s">
        <v>1815</v>
      </c>
      <c r="K404" s="21" t="s">
        <v>2507</v>
      </c>
      <c r="W404" s="21" t="s">
        <v>931</v>
      </c>
      <c r="Z404" s="21" t="s">
        <v>725</v>
      </c>
    </row>
    <row r="405" spans="5:26" x14ac:dyDescent="0.25">
      <c r="E405" s="21" t="s">
        <v>1867</v>
      </c>
      <c r="K405" s="21" t="s">
        <v>371</v>
      </c>
      <c r="W405" s="21" t="s">
        <v>1553</v>
      </c>
      <c r="Z405" s="21" t="s">
        <v>1181</v>
      </c>
    </row>
    <row r="406" spans="5:26" x14ac:dyDescent="0.25">
      <c r="E406" s="21" t="s">
        <v>2106</v>
      </c>
      <c r="K406" s="21" t="s">
        <v>2635</v>
      </c>
      <c r="W406" s="21" t="s">
        <v>1398</v>
      </c>
      <c r="Z406" s="21" t="s">
        <v>1619</v>
      </c>
    </row>
    <row r="407" spans="5:26" x14ac:dyDescent="0.25">
      <c r="E407" s="21" t="s">
        <v>2137</v>
      </c>
      <c r="K407" s="21" t="s">
        <v>2643</v>
      </c>
      <c r="W407" s="21" t="s">
        <v>3153</v>
      </c>
      <c r="Z407" s="21" t="s">
        <v>2805</v>
      </c>
    </row>
    <row r="408" spans="5:26" x14ac:dyDescent="0.25">
      <c r="E408" s="21" t="s">
        <v>2080</v>
      </c>
      <c r="K408" s="21" t="s">
        <v>2368</v>
      </c>
      <c r="W408" s="21" t="s">
        <v>3003</v>
      </c>
      <c r="Z408" s="21" t="s">
        <v>3853</v>
      </c>
    </row>
    <row r="409" spans="5:26" x14ac:dyDescent="0.25">
      <c r="E409" s="21" t="s">
        <v>2133</v>
      </c>
      <c r="K409" s="21" t="s">
        <v>851</v>
      </c>
      <c r="W409" s="21" t="s">
        <v>1318</v>
      </c>
      <c r="Z409" s="21" t="s">
        <v>907</v>
      </c>
    </row>
    <row r="410" spans="5:26" x14ac:dyDescent="0.25">
      <c r="E410" s="21" t="s">
        <v>1988</v>
      </c>
      <c r="K410" s="21" t="s">
        <v>2302</v>
      </c>
      <c r="W410" s="21" t="s">
        <v>1421</v>
      </c>
      <c r="Z410" s="21" t="s">
        <v>3706</v>
      </c>
    </row>
    <row r="411" spans="5:26" x14ac:dyDescent="0.25">
      <c r="E411" s="21" t="s">
        <v>1813</v>
      </c>
      <c r="K411" s="21" t="s">
        <v>2434</v>
      </c>
      <c r="W411" s="21" t="s">
        <v>3057</v>
      </c>
      <c r="Z411" s="21" t="s">
        <v>3393</v>
      </c>
    </row>
    <row r="412" spans="5:26" x14ac:dyDescent="0.25">
      <c r="E412" s="21" t="s">
        <v>1438</v>
      </c>
      <c r="K412" s="21" t="s">
        <v>324</v>
      </c>
      <c r="W412" s="21" t="s">
        <v>1520</v>
      </c>
      <c r="Z412" s="21" t="s">
        <v>2615</v>
      </c>
    </row>
    <row r="413" spans="5:26" x14ac:dyDescent="0.25">
      <c r="E413" s="21" t="s">
        <v>1662</v>
      </c>
      <c r="K413" s="21" t="s">
        <v>1929</v>
      </c>
      <c r="W413" s="21" t="s">
        <v>1336</v>
      </c>
      <c r="Z413" s="21" t="s">
        <v>3790</v>
      </c>
    </row>
    <row r="414" spans="5:26" x14ac:dyDescent="0.25">
      <c r="E414" s="21" t="s">
        <v>2190</v>
      </c>
      <c r="K414" s="21" t="s">
        <v>1897</v>
      </c>
      <c r="W414" s="21" t="s">
        <v>1231</v>
      </c>
      <c r="Z414" s="21" t="s">
        <v>3464</v>
      </c>
    </row>
    <row r="415" spans="5:26" x14ac:dyDescent="0.25">
      <c r="E415" s="21" t="s">
        <v>1879</v>
      </c>
      <c r="K415" s="21" t="s">
        <v>4879</v>
      </c>
      <c r="W415" s="21" t="s">
        <v>1489</v>
      </c>
      <c r="Z415" s="21" t="s">
        <v>3748</v>
      </c>
    </row>
    <row r="416" spans="5:26" x14ac:dyDescent="0.25">
      <c r="E416" s="21" t="s">
        <v>4284</v>
      </c>
      <c r="K416" s="21" t="s">
        <v>2512</v>
      </c>
      <c r="W416" s="21" t="s">
        <v>1307</v>
      </c>
      <c r="Z416" s="21" t="s">
        <v>3401</v>
      </c>
    </row>
    <row r="417" spans="5:26" x14ac:dyDescent="0.25">
      <c r="E417" s="21" t="s">
        <v>1930</v>
      </c>
      <c r="K417" s="21" t="s">
        <v>3200</v>
      </c>
      <c r="W417" s="21" t="s">
        <v>1554</v>
      </c>
      <c r="Z417" s="21" t="s">
        <v>3319</v>
      </c>
    </row>
    <row r="418" spans="5:26" x14ac:dyDescent="0.25">
      <c r="E418" s="21" t="s">
        <v>5362</v>
      </c>
      <c r="K418" s="21" t="s">
        <v>2480</v>
      </c>
      <c r="W418" s="21" t="s">
        <v>1016</v>
      </c>
      <c r="Z418" s="21" t="s">
        <v>881</v>
      </c>
    </row>
    <row r="419" spans="5:26" x14ac:dyDescent="0.25">
      <c r="K419" s="21" t="s">
        <v>3599</v>
      </c>
      <c r="W419" s="21" t="s">
        <v>1444</v>
      </c>
      <c r="Z419" s="21" t="s">
        <v>3825</v>
      </c>
    </row>
    <row r="420" spans="5:26" x14ac:dyDescent="0.25">
      <c r="K420" s="21" t="s">
        <v>340</v>
      </c>
      <c r="W420" s="21" t="s">
        <v>1064</v>
      </c>
      <c r="Z420" s="21" t="s">
        <v>3850</v>
      </c>
    </row>
    <row r="421" spans="5:26" x14ac:dyDescent="0.25">
      <c r="K421" s="21" t="s">
        <v>2690</v>
      </c>
      <c r="W421" s="21" t="s">
        <v>1046</v>
      </c>
      <c r="Z421" s="21" t="s">
        <v>879</v>
      </c>
    </row>
    <row r="422" spans="5:26" x14ac:dyDescent="0.25">
      <c r="K422" s="21" t="s">
        <v>712</v>
      </c>
      <c r="W422" s="21" t="s">
        <v>1166</v>
      </c>
      <c r="Z422" s="21" t="s">
        <v>3584</v>
      </c>
    </row>
    <row r="423" spans="5:26" x14ac:dyDescent="0.25">
      <c r="K423" s="21" t="s">
        <v>2820</v>
      </c>
      <c r="W423" s="21" t="s">
        <v>1179</v>
      </c>
      <c r="Z423" s="21" t="s">
        <v>3651</v>
      </c>
    </row>
    <row r="424" spans="5:26" x14ac:dyDescent="0.25">
      <c r="K424" s="21" t="s">
        <v>1819</v>
      </c>
      <c r="W424" s="21" t="s">
        <v>1509</v>
      </c>
      <c r="Z424" s="21" t="s">
        <v>3822</v>
      </c>
    </row>
    <row r="425" spans="5:26" x14ac:dyDescent="0.25">
      <c r="K425" s="21" t="s">
        <v>1924</v>
      </c>
      <c r="W425" s="21" t="s">
        <v>1395</v>
      </c>
      <c r="Z425" s="21" t="s">
        <v>3714</v>
      </c>
    </row>
    <row r="426" spans="5:26" x14ac:dyDescent="0.25">
      <c r="K426" s="21" t="s">
        <v>3581</v>
      </c>
      <c r="W426" s="21" t="s">
        <v>1373</v>
      </c>
      <c r="Z426" s="21" t="s">
        <v>752</v>
      </c>
    </row>
    <row r="427" spans="5:26" x14ac:dyDescent="0.25">
      <c r="K427" s="21" t="s">
        <v>2770</v>
      </c>
      <c r="W427" s="21" t="s">
        <v>2887</v>
      </c>
      <c r="Z427" s="21" t="s">
        <v>3662</v>
      </c>
    </row>
    <row r="428" spans="5:26" x14ac:dyDescent="0.25">
      <c r="K428" s="21" t="s">
        <v>471</v>
      </c>
      <c r="W428" s="21" t="s">
        <v>937</v>
      </c>
      <c r="Z428" s="21" t="s">
        <v>3858</v>
      </c>
    </row>
    <row r="429" spans="5:26" x14ac:dyDescent="0.25">
      <c r="K429" s="21" t="s">
        <v>2550</v>
      </c>
      <c r="W429" s="21" t="s">
        <v>1296</v>
      </c>
      <c r="Z429" s="21" t="s">
        <v>800</v>
      </c>
    </row>
    <row r="430" spans="5:26" x14ac:dyDescent="0.25">
      <c r="K430" s="21" t="s">
        <v>1946</v>
      </c>
      <c r="W430" s="21" t="s">
        <v>1276</v>
      </c>
      <c r="Z430" s="21" t="s">
        <v>757</v>
      </c>
    </row>
    <row r="431" spans="5:26" x14ac:dyDescent="0.25">
      <c r="K431" s="21" t="s">
        <v>2016</v>
      </c>
      <c r="W431" s="21" t="s">
        <v>1177</v>
      </c>
      <c r="Z431" s="21" t="s">
        <v>3760</v>
      </c>
    </row>
    <row r="432" spans="5:26" x14ac:dyDescent="0.25">
      <c r="K432" s="21" t="s">
        <v>3248</v>
      </c>
      <c r="W432" s="21" t="s">
        <v>958</v>
      </c>
      <c r="Z432" s="21" t="s">
        <v>3824</v>
      </c>
    </row>
    <row r="433" spans="11:26" x14ac:dyDescent="0.25">
      <c r="K433" s="21" t="s">
        <v>865</v>
      </c>
      <c r="W433" s="21" t="s">
        <v>2883</v>
      </c>
      <c r="Z433" s="21" t="s">
        <v>887</v>
      </c>
    </row>
    <row r="434" spans="11:26" x14ac:dyDescent="0.25">
      <c r="K434" s="21" t="s">
        <v>472</v>
      </c>
      <c r="W434" s="21" t="s">
        <v>1329</v>
      </c>
      <c r="Z434" s="21" t="s">
        <v>3690</v>
      </c>
    </row>
    <row r="435" spans="11:26" x14ac:dyDescent="0.25">
      <c r="K435" s="21" t="s">
        <v>613</v>
      </c>
      <c r="W435" s="21" t="s">
        <v>1556</v>
      </c>
      <c r="Z435" s="21" t="s">
        <v>3486</v>
      </c>
    </row>
    <row r="436" spans="11:26" x14ac:dyDescent="0.25">
      <c r="K436" s="21" t="s">
        <v>3201</v>
      </c>
      <c r="W436" s="21" t="s">
        <v>1371</v>
      </c>
      <c r="Z436" s="21" t="s">
        <v>888</v>
      </c>
    </row>
    <row r="437" spans="11:26" x14ac:dyDescent="0.25">
      <c r="K437" s="21" t="s">
        <v>717</v>
      </c>
      <c r="W437" s="21" t="s">
        <v>1436</v>
      </c>
      <c r="Z437" s="21" t="s">
        <v>3372</v>
      </c>
    </row>
    <row r="438" spans="11:26" x14ac:dyDescent="0.25">
      <c r="K438" s="21" t="s">
        <v>3552</v>
      </c>
      <c r="W438" s="21" t="s">
        <v>1165</v>
      </c>
      <c r="Z438" s="21" t="s">
        <v>913</v>
      </c>
    </row>
    <row r="439" spans="11:26" x14ac:dyDescent="0.25">
      <c r="K439" s="21" t="s">
        <v>2529</v>
      </c>
      <c r="W439" s="21" t="s">
        <v>237</v>
      </c>
      <c r="Z439" s="21" t="s">
        <v>3630</v>
      </c>
    </row>
    <row r="440" spans="11:26" x14ac:dyDescent="0.25">
      <c r="K440" s="21" t="s">
        <v>3463</v>
      </c>
      <c r="W440" s="21" t="s">
        <v>1493</v>
      </c>
      <c r="Z440" s="21" t="s">
        <v>3754</v>
      </c>
    </row>
    <row r="441" spans="11:26" x14ac:dyDescent="0.25">
      <c r="K441" s="21" t="s">
        <v>473</v>
      </c>
      <c r="W441" s="21" t="s">
        <v>1357</v>
      </c>
      <c r="Z441" s="21" t="s">
        <v>856</v>
      </c>
    </row>
    <row r="442" spans="11:26" x14ac:dyDescent="0.25">
      <c r="K442" s="21" t="s">
        <v>474</v>
      </c>
      <c r="W442" s="21" t="s">
        <v>934</v>
      </c>
      <c r="Z442" s="21" t="s">
        <v>3492</v>
      </c>
    </row>
    <row r="443" spans="11:26" x14ac:dyDescent="0.25">
      <c r="K443" s="21" t="s">
        <v>2774</v>
      </c>
      <c r="W443" s="21" t="s">
        <v>978</v>
      </c>
      <c r="Z443" s="21" t="s">
        <v>3656</v>
      </c>
    </row>
    <row r="444" spans="11:26" x14ac:dyDescent="0.25">
      <c r="K444" s="21" t="s">
        <v>2829</v>
      </c>
      <c r="W444" s="21" t="s">
        <v>2882</v>
      </c>
      <c r="Z444" s="21" t="s">
        <v>1621</v>
      </c>
    </row>
    <row r="445" spans="11:26" x14ac:dyDescent="0.25">
      <c r="K445" s="21" t="s">
        <v>715</v>
      </c>
      <c r="W445" s="21" t="s">
        <v>1197</v>
      </c>
      <c r="Z445" s="21" t="s">
        <v>3462</v>
      </c>
    </row>
    <row r="446" spans="11:26" x14ac:dyDescent="0.25">
      <c r="K446" s="21" t="s">
        <v>2857</v>
      </c>
      <c r="W446" s="21" t="s">
        <v>1101</v>
      </c>
      <c r="Z446" s="21" t="s">
        <v>1446</v>
      </c>
    </row>
    <row r="447" spans="11:26" x14ac:dyDescent="0.25">
      <c r="K447" s="21" t="s">
        <v>689</v>
      </c>
      <c r="W447" s="21" t="s">
        <v>1445</v>
      </c>
      <c r="Z447" s="21" t="s">
        <v>3698</v>
      </c>
    </row>
    <row r="448" spans="11:26" x14ac:dyDescent="0.25">
      <c r="K448" s="21" t="s">
        <v>2726</v>
      </c>
      <c r="W448" s="21" t="s">
        <v>970</v>
      </c>
      <c r="Z448" s="21" t="s">
        <v>634</v>
      </c>
    </row>
    <row r="449" spans="11:26" x14ac:dyDescent="0.25">
      <c r="K449" s="21" t="s">
        <v>1696</v>
      </c>
      <c r="W449" s="21" t="s">
        <v>1266</v>
      </c>
      <c r="Z449" s="21" t="s">
        <v>3820</v>
      </c>
    </row>
    <row r="450" spans="11:26" x14ac:dyDescent="0.25">
      <c r="K450" s="21" t="s">
        <v>3612</v>
      </c>
      <c r="W450" s="21" t="s">
        <v>1054</v>
      </c>
      <c r="Z450" s="21" t="s">
        <v>3600</v>
      </c>
    </row>
    <row r="451" spans="11:26" x14ac:dyDescent="0.25">
      <c r="K451" s="21" t="s">
        <v>674</v>
      </c>
      <c r="W451" s="21" t="s">
        <v>2936</v>
      </c>
      <c r="Z451" s="21" t="s">
        <v>3377</v>
      </c>
    </row>
    <row r="452" spans="11:26" x14ac:dyDescent="0.25">
      <c r="K452" s="21" t="s">
        <v>1812</v>
      </c>
      <c r="W452" s="21" t="s">
        <v>1437</v>
      </c>
      <c r="Z452" s="21" t="s">
        <v>3633</v>
      </c>
    </row>
    <row r="453" spans="11:26" x14ac:dyDescent="0.25">
      <c r="K453" s="21" t="s">
        <v>5203</v>
      </c>
      <c r="W453" s="21" t="s">
        <v>1232</v>
      </c>
      <c r="Z453" s="21" t="s">
        <v>3726</v>
      </c>
    </row>
    <row r="454" spans="11:26" x14ac:dyDescent="0.25">
      <c r="K454" s="21" t="s">
        <v>2769</v>
      </c>
      <c r="W454" s="21" t="s">
        <v>1151</v>
      </c>
      <c r="Z454" s="21" t="s">
        <v>3392</v>
      </c>
    </row>
    <row r="455" spans="11:26" x14ac:dyDescent="0.25">
      <c r="K455" s="21" t="s">
        <v>740</v>
      </c>
      <c r="W455" s="21" t="s">
        <v>1256</v>
      </c>
      <c r="Z455" s="21" t="s">
        <v>2834</v>
      </c>
    </row>
    <row r="456" spans="11:26" x14ac:dyDescent="0.25">
      <c r="K456" s="21" t="s">
        <v>745</v>
      </c>
      <c r="W456" s="21" t="s">
        <v>1394</v>
      </c>
      <c r="Z456" s="21" t="s">
        <v>700</v>
      </c>
    </row>
    <row r="457" spans="11:26" x14ac:dyDescent="0.25">
      <c r="K457" s="21" t="s">
        <v>1720</v>
      </c>
      <c r="W457" s="21" t="s">
        <v>1093</v>
      </c>
      <c r="Z457" s="21" t="s">
        <v>803</v>
      </c>
    </row>
    <row r="458" spans="11:26" x14ac:dyDescent="0.25">
      <c r="K458" s="21" t="s">
        <v>475</v>
      </c>
      <c r="W458" s="21" t="s">
        <v>999</v>
      </c>
      <c r="Z458" s="21" t="s">
        <v>3626</v>
      </c>
    </row>
    <row r="459" spans="11:26" x14ac:dyDescent="0.25">
      <c r="K459" s="21" t="s">
        <v>3560</v>
      </c>
      <c r="W459" s="21" t="s">
        <v>2929</v>
      </c>
      <c r="Z459" s="21" t="s">
        <v>3495</v>
      </c>
    </row>
    <row r="460" spans="11:26" x14ac:dyDescent="0.25">
      <c r="K460" s="21" t="s">
        <v>476</v>
      </c>
      <c r="W460" s="21" t="s">
        <v>977</v>
      </c>
      <c r="Z460" s="21" t="s">
        <v>3580</v>
      </c>
    </row>
    <row r="461" spans="11:26" x14ac:dyDescent="0.25">
      <c r="K461" s="21" t="s">
        <v>477</v>
      </c>
      <c r="W461" s="21" t="s">
        <v>1504</v>
      </c>
      <c r="Z461" s="21" t="s">
        <v>3797</v>
      </c>
    </row>
    <row r="462" spans="11:26" x14ac:dyDescent="0.25">
      <c r="K462" s="21" t="s">
        <v>1824</v>
      </c>
      <c r="W462" s="21" t="s">
        <v>2984</v>
      </c>
      <c r="Z462" s="21" t="s">
        <v>3528</v>
      </c>
    </row>
    <row r="463" spans="11:26" x14ac:dyDescent="0.25">
      <c r="K463" s="21" t="s">
        <v>363</v>
      </c>
      <c r="W463" s="21" t="s">
        <v>1476</v>
      </c>
      <c r="Z463" s="21" t="s">
        <v>1112</v>
      </c>
    </row>
    <row r="464" spans="11:26" x14ac:dyDescent="0.25">
      <c r="K464" s="21" t="s">
        <v>3281</v>
      </c>
      <c r="W464" s="21" t="s">
        <v>1270</v>
      </c>
      <c r="Z464" s="21" t="s">
        <v>829</v>
      </c>
    </row>
    <row r="465" spans="11:26" x14ac:dyDescent="0.25">
      <c r="K465" s="21" t="s">
        <v>1663</v>
      </c>
      <c r="W465" s="21" t="s">
        <v>2903</v>
      </c>
      <c r="Z465" s="21" t="s">
        <v>3666</v>
      </c>
    </row>
    <row r="466" spans="11:26" x14ac:dyDescent="0.25">
      <c r="K466" s="21" t="s">
        <v>759</v>
      </c>
      <c r="W466" s="21" t="s">
        <v>1380</v>
      </c>
      <c r="Z466" s="21" t="s">
        <v>497</v>
      </c>
    </row>
    <row r="467" spans="11:26" x14ac:dyDescent="0.25">
      <c r="K467" s="21" t="s">
        <v>3223</v>
      </c>
      <c r="W467" s="21" t="s">
        <v>1365</v>
      </c>
      <c r="Z467" s="21" t="s">
        <v>3719</v>
      </c>
    </row>
    <row r="468" spans="11:26" x14ac:dyDescent="0.25">
      <c r="K468" s="21" t="s">
        <v>734</v>
      </c>
      <c r="W468" s="21" t="s">
        <v>1404</v>
      </c>
      <c r="Z468" s="21" t="s">
        <v>3274</v>
      </c>
    </row>
    <row r="469" spans="11:26" x14ac:dyDescent="0.25">
      <c r="K469" s="21" t="s">
        <v>1920</v>
      </c>
      <c r="W469" s="21" t="s">
        <v>1332</v>
      </c>
      <c r="Z469" s="21" t="s">
        <v>3718</v>
      </c>
    </row>
    <row r="470" spans="11:26" x14ac:dyDescent="0.25">
      <c r="K470" s="21" t="s">
        <v>714</v>
      </c>
      <c r="W470" s="21" t="s">
        <v>2906</v>
      </c>
      <c r="Z470" s="21" t="s">
        <v>3829</v>
      </c>
    </row>
    <row r="471" spans="11:26" x14ac:dyDescent="0.25">
      <c r="K471" s="21" t="s">
        <v>3679</v>
      </c>
      <c r="W471" s="21" t="s">
        <v>959</v>
      </c>
      <c r="Z471" s="21" t="s">
        <v>765</v>
      </c>
    </row>
    <row r="472" spans="11:26" x14ac:dyDescent="0.25">
      <c r="K472" s="21" t="s">
        <v>1803</v>
      </c>
      <c r="W472" s="21" t="s">
        <v>2898</v>
      </c>
      <c r="Z472" s="21" t="s">
        <v>3846</v>
      </c>
    </row>
    <row r="473" spans="11:26" x14ac:dyDescent="0.25">
      <c r="K473" s="21" t="s">
        <v>356</v>
      </c>
      <c r="W473" s="21" t="s">
        <v>1289</v>
      </c>
      <c r="Z473" s="21" t="s">
        <v>3777</v>
      </c>
    </row>
    <row r="474" spans="11:26" x14ac:dyDescent="0.25">
      <c r="K474" s="21" t="s">
        <v>2762</v>
      </c>
      <c r="W474" s="21" t="s">
        <v>1512</v>
      </c>
      <c r="Z474" s="21" t="s">
        <v>3476</v>
      </c>
    </row>
    <row r="475" spans="11:26" x14ac:dyDescent="0.25">
      <c r="K475" s="21" t="s">
        <v>478</v>
      </c>
      <c r="W475" s="21" t="s">
        <v>1579</v>
      </c>
      <c r="Z475" s="21" t="s">
        <v>3785</v>
      </c>
    </row>
    <row r="476" spans="11:26" x14ac:dyDescent="0.25">
      <c r="K476" s="21" t="s">
        <v>2394</v>
      </c>
      <c r="W476" s="21" t="s">
        <v>1483</v>
      </c>
      <c r="Z476" s="21" t="s">
        <v>3745</v>
      </c>
    </row>
    <row r="477" spans="11:26" x14ac:dyDescent="0.25">
      <c r="K477" s="21" t="s">
        <v>2559</v>
      </c>
      <c r="W477" s="21" t="s">
        <v>1432</v>
      </c>
      <c r="Z477" s="21" t="s">
        <v>3793</v>
      </c>
    </row>
    <row r="478" spans="11:26" x14ac:dyDescent="0.25">
      <c r="K478" s="21" t="s">
        <v>1974</v>
      </c>
      <c r="W478" s="21" t="s">
        <v>1061</v>
      </c>
      <c r="Z478" s="21" t="s">
        <v>735</v>
      </c>
    </row>
    <row r="479" spans="11:26" x14ac:dyDescent="0.25">
      <c r="K479" s="21" t="s">
        <v>479</v>
      </c>
      <c r="W479" s="21" t="s">
        <v>1291</v>
      </c>
      <c r="Z479" s="21" t="s">
        <v>3515</v>
      </c>
    </row>
    <row r="480" spans="11:26" x14ac:dyDescent="0.25">
      <c r="K480" s="21" t="s">
        <v>2383</v>
      </c>
      <c r="W480" s="21" t="s">
        <v>1372</v>
      </c>
      <c r="Z480" s="21" t="s">
        <v>3381</v>
      </c>
    </row>
    <row r="481" spans="11:26" x14ac:dyDescent="0.25">
      <c r="K481" s="21" t="s">
        <v>1718</v>
      </c>
      <c r="W481" s="21" t="s">
        <v>1261</v>
      </c>
      <c r="Z481" s="21" t="s">
        <v>3761</v>
      </c>
    </row>
    <row r="482" spans="11:26" x14ac:dyDescent="0.25">
      <c r="K482" s="21" t="s">
        <v>480</v>
      </c>
      <c r="W482" s="21" t="s">
        <v>1438</v>
      </c>
      <c r="Z482" s="21" t="s">
        <v>2668</v>
      </c>
    </row>
    <row r="483" spans="11:26" x14ac:dyDescent="0.25">
      <c r="K483" s="21" t="s">
        <v>2361</v>
      </c>
      <c r="W483" s="21" t="s">
        <v>1129</v>
      </c>
      <c r="Z483" s="21" t="s">
        <v>3693</v>
      </c>
    </row>
    <row r="484" spans="11:26" x14ac:dyDescent="0.25">
      <c r="K484" s="21" t="s">
        <v>2567</v>
      </c>
      <c r="W484" s="21" t="s">
        <v>1283</v>
      </c>
      <c r="Z484" s="21" t="s">
        <v>3540</v>
      </c>
    </row>
    <row r="485" spans="11:26" x14ac:dyDescent="0.25">
      <c r="K485" s="21" t="s">
        <v>481</v>
      </c>
      <c r="W485" s="21" t="s">
        <v>1419</v>
      </c>
      <c r="Z485" s="21" t="s">
        <v>778</v>
      </c>
    </row>
    <row r="486" spans="11:26" x14ac:dyDescent="0.25">
      <c r="K486" s="21" t="s">
        <v>2811</v>
      </c>
      <c r="W486" s="21" t="s">
        <v>1023</v>
      </c>
      <c r="Z486" s="21" t="s">
        <v>3770</v>
      </c>
    </row>
    <row r="487" spans="11:26" x14ac:dyDescent="0.25">
      <c r="K487" s="21" t="s">
        <v>3112</v>
      </c>
      <c r="W487" s="21" t="s">
        <v>1441</v>
      </c>
      <c r="Z487" s="21" t="s">
        <v>3681</v>
      </c>
    </row>
    <row r="488" spans="11:26" x14ac:dyDescent="0.25">
      <c r="K488" s="21" t="s">
        <v>3135</v>
      </c>
      <c r="W488" s="21" t="s">
        <v>1037</v>
      </c>
      <c r="Z488" s="21" t="s">
        <v>3685</v>
      </c>
    </row>
    <row r="489" spans="11:26" x14ac:dyDescent="0.25">
      <c r="K489" s="21" t="s">
        <v>2807</v>
      </c>
      <c r="W489" s="21" t="s">
        <v>1089</v>
      </c>
      <c r="Z489" s="21" t="s">
        <v>821</v>
      </c>
    </row>
    <row r="490" spans="11:26" x14ac:dyDescent="0.25">
      <c r="K490" s="21" t="s">
        <v>375</v>
      </c>
      <c r="W490" s="21" t="s">
        <v>1164</v>
      </c>
      <c r="Z490" s="21" t="s">
        <v>268</v>
      </c>
    </row>
    <row r="491" spans="11:26" x14ac:dyDescent="0.25">
      <c r="K491" s="21" t="s">
        <v>3716</v>
      </c>
      <c r="W491" s="21" t="s">
        <v>1376</v>
      </c>
      <c r="Z491" s="21" t="s">
        <v>3627</v>
      </c>
    </row>
    <row r="492" spans="11:26" x14ac:dyDescent="0.25">
      <c r="K492" s="21" t="s">
        <v>2466</v>
      </c>
      <c r="W492" s="21" t="s">
        <v>1236</v>
      </c>
      <c r="Z492" s="21" t="s">
        <v>3752</v>
      </c>
    </row>
    <row r="493" spans="11:26" x14ac:dyDescent="0.25">
      <c r="K493" s="21" t="s">
        <v>805</v>
      </c>
      <c r="W493" s="21" t="s">
        <v>1536</v>
      </c>
      <c r="Z493" s="21" t="s">
        <v>3550</v>
      </c>
    </row>
    <row r="494" spans="11:26" x14ac:dyDescent="0.25">
      <c r="K494" s="21" t="s">
        <v>2864</v>
      </c>
      <c r="W494" s="21" t="s">
        <v>1306</v>
      </c>
      <c r="Z494" s="21" t="s">
        <v>3854</v>
      </c>
    </row>
    <row r="495" spans="11:26" x14ac:dyDescent="0.25">
      <c r="K495" s="21" t="s">
        <v>2799</v>
      </c>
      <c r="W495" s="21" t="s">
        <v>3419</v>
      </c>
      <c r="Z495" s="21" t="s">
        <v>3467</v>
      </c>
    </row>
    <row r="496" spans="11:26" x14ac:dyDescent="0.25">
      <c r="K496" s="21" t="s">
        <v>5188</v>
      </c>
      <c r="W496" s="21" t="s">
        <v>1358</v>
      </c>
      <c r="Z496" s="21" t="s">
        <v>3652</v>
      </c>
    </row>
    <row r="497" spans="11:26" x14ac:dyDescent="0.25">
      <c r="K497" s="21" t="s">
        <v>820</v>
      </c>
      <c r="W497" s="21" t="s">
        <v>1268</v>
      </c>
      <c r="Z497" s="21" t="s">
        <v>269</v>
      </c>
    </row>
    <row r="498" spans="11:26" x14ac:dyDescent="0.25">
      <c r="K498" s="21" t="s">
        <v>663</v>
      </c>
      <c r="W498" s="21" t="s">
        <v>997</v>
      </c>
      <c r="Z498" s="21" t="s">
        <v>3395</v>
      </c>
    </row>
    <row r="499" spans="11:26" x14ac:dyDescent="0.25">
      <c r="K499" s="21" t="s">
        <v>2369</v>
      </c>
      <c r="Z499" s="21" t="s">
        <v>1586</v>
      </c>
    </row>
    <row r="500" spans="11:26" x14ac:dyDescent="0.25">
      <c r="K500" s="21" t="s">
        <v>661</v>
      </c>
      <c r="Z500" s="21" t="s">
        <v>3215</v>
      </c>
    </row>
    <row r="501" spans="11:26" x14ac:dyDescent="0.25">
      <c r="K501" s="21" t="s">
        <v>785</v>
      </c>
      <c r="Z501" s="21" t="s">
        <v>3529</v>
      </c>
    </row>
    <row r="502" spans="11:26" x14ac:dyDescent="0.25">
      <c r="K502" s="21" t="s">
        <v>2620</v>
      </c>
      <c r="Z502" s="21" t="s">
        <v>3654</v>
      </c>
    </row>
    <row r="503" spans="11:26" x14ac:dyDescent="0.25">
      <c r="K503" s="21" t="s">
        <v>1755</v>
      </c>
      <c r="Z503" s="21" t="s">
        <v>3816</v>
      </c>
    </row>
    <row r="504" spans="11:26" x14ac:dyDescent="0.25">
      <c r="K504" s="21" t="s">
        <v>1914</v>
      </c>
      <c r="Z504" s="21" t="s">
        <v>3360</v>
      </c>
    </row>
    <row r="505" spans="11:26" x14ac:dyDescent="0.25">
      <c r="K505" s="21" t="s">
        <v>2602</v>
      </c>
      <c r="Z505" s="21" t="s">
        <v>3834</v>
      </c>
    </row>
    <row r="506" spans="11:26" x14ac:dyDescent="0.25">
      <c r="K506" s="21" t="s">
        <v>3543</v>
      </c>
      <c r="Z506" s="21" t="s">
        <v>3364</v>
      </c>
    </row>
    <row r="507" spans="11:26" x14ac:dyDescent="0.25">
      <c r="K507" s="21" t="s">
        <v>773</v>
      </c>
      <c r="Z507" s="21" t="s">
        <v>3590</v>
      </c>
    </row>
    <row r="508" spans="11:26" x14ac:dyDescent="0.25">
      <c r="K508" s="21" t="s">
        <v>3108</v>
      </c>
      <c r="Z508" s="21" t="s">
        <v>681</v>
      </c>
    </row>
    <row r="509" spans="11:26" x14ac:dyDescent="0.25">
      <c r="K509" s="21" t="s">
        <v>2440</v>
      </c>
      <c r="Z509" s="21" t="s">
        <v>3833</v>
      </c>
    </row>
    <row r="510" spans="11:26" x14ac:dyDescent="0.25">
      <c r="K510" s="21" t="s">
        <v>763</v>
      </c>
      <c r="Z510" s="21" t="s">
        <v>929</v>
      </c>
    </row>
    <row r="511" spans="11:26" x14ac:dyDescent="0.25">
      <c r="K511" s="21" t="s">
        <v>1882</v>
      </c>
      <c r="Z511" s="21" t="s">
        <v>855</v>
      </c>
    </row>
    <row r="512" spans="11:26" x14ac:dyDescent="0.25">
      <c r="K512" s="21" t="s">
        <v>2293</v>
      </c>
      <c r="Z512" s="21" t="s">
        <v>750</v>
      </c>
    </row>
    <row r="513" spans="11:26" x14ac:dyDescent="0.25">
      <c r="K513" s="21" t="s">
        <v>2319</v>
      </c>
      <c r="Z513" s="21" t="s">
        <v>3707</v>
      </c>
    </row>
    <row r="514" spans="11:26" x14ac:dyDescent="0.25">
      <c r="K514" s="21" t="s">
        <v>2618</v>
      </c>
      <c r="Z514" s="21" t="s">
        <v>3606</v>
      </c>
    </row>
    <row r="515" spans="11:26" x14ac:dyDescent="0.25">
      <c r="K515" s="21" t="s">
        <v>834</v>
      </c>
      <c r="Z515" s="21" t="s">
        <v>3775</v>
      </c>
    </row>
    <row r="516" spans="11:26" x14ac:dyDescent="0.25">
      <c r="K516" s="21" t="s">
        <v>482</v>
      </c>
      <c r="Z516" s="21" t="s">
        <v>3703</v>
      </c>
    </row>
    <row r="517" spans="11:26" x14ac:dyDescent="0.25">
      <c r="K517" s="21" t="s">
        <v>2117</v>
      </c>
      <c r="Z517" s="21" t="s">
        <v>5992</v>
      </c>
    </row>
    <row r="518" spans="11:26" x14ac:dyDescent="0.25">
      <c r="K518" s="21" t="s">
        <v>1872</v>
      </c>
      <c r="Z518" s="21" t="s">
        <v>670</v>
      </c>
    </row>
    <row r="519" spans="11:26" x14ac:dyDescent="0.25">
      <c r="K519" s="21" t="s">
        <v>1697</v>
      </c>
      <c r="Z519" s="21" t="s">
        <v>5993</v>
      </c>
    </row>
    <row r="520" spans="11:26" x14ac:dyDescent="0.25">
      <c r="K520" s="21" t="s">
        <v>1745</v>
      </c>
      <c r="Z520" s="21" t="s">
        <v>3588</v>
      </c>
    </row>
    <row r="521" spans="11:26" x14ac:dyDescent="0.25">
      <c r="K521" s="21" t="s">
        <v>367</v>
      </c>
      <c r="Z521" s="21" t="s">
        <v>3798</v>
      </c>
    </row>
    <row r="522" spans="11:26" x14ac:dyDescent="0.25">
      <c r="K522" s="21" t="s">
        <v>1726</v>
      </c>
      <c r="Z522" s="21" t="s">
        <v>866</v>
      </c>
    </row>
    <row r="523" spans="11:26" x14ac:dyDescent="0.25">
      <c r="K523" s="21" t="s">
        <v>2692</v>
      </c>
      <c r="Z523" s="21" t="s">
        <v>3454</v>
      </c>
    </row>
    <row r="524" spans="11:26" x14ac:dyDescent="0.25">
      <c r="K524" s="21" t="s">
        <v>5264</v>
      </c>
      <c r="Z524" s="21" t="s">
        <v>3653</v>
      </c>
    </row>
    <row r="525" spans="11:26" x14ac:dyDescent="0.25">
      <c r="K525" s="21" t="s">
        <v>350</v>
      </c>
      <c r="Z525" s="21" t="s">
        <v>3841</v>
      </c>
    </row>
    <row r="526" spans="11:26" x14ac:dyDescent="0.25">
      <c r="K526" s="21" t="s">
        <v>3677</v>
      </c>
      <c r="Z526" s="21" t="s">
        <v>3503</v>
      </c>
    </row>
    <row r="527" spans="11:26" x14ac:dyDescent="0.25">
      <c r="K527" s="21" t="s">
        <v>2524</v>
      </c>
      <c r="Z527" s="21" t="s">
        <v>698</v>
      </c>
    </row>
    <row r="528" spans="11:26" x14ac:dyDescent="0.25">
      <c r="K528" s="21" t="s">
        <v>1849</v>
      </c>
      <c r="Z528" s="21" t="s">
        <v>307</v>
      </c>
    </row>
    <row r="529" spans="11:26" x14ac:dyDescent="0.25">
      <c r="K529" s="21" t="s">
        <v>1797</v>
      </c>
      <c r="Z529" s="21" t="s">
        <v>895</v>
      </c>
    </row>
    <row r="530" spans="11:26" x14ac:dyDescent="0.25">
      <c r="K530" s="21" t="s">
        <v>2693</v>
      </c>
      <c r="Z530" s="21" t="s">
        <v>3807</v>
      </c>
    </row>
    <row r="531" spans="11:26" x14ac:dyDescent="0.25">
      <c r="K531" s="21" t="s">
        <v>383</v>
      </c>
      <c r="Z531" s="21" t="s">
        <v>3541</v>
      </c>
    </row>
    <row r="532" spans="11:26" x14ac:dyDescent="0.25">
      <c r="K532" s="21" t="s">
        <v>5994</v>
      </c>
      <c r="Z532" s="21" t="s">
        <v>5995</v>
      </c>
    </row>
    <row r="533" spans="11:26" x14ac:dyDescent="0.25">
      <c r="K533" s="21" t="s">
        <v>852</v>
      </c>
      <c r="Z533" s="21" t="s">
        <v>3742</v>
      </c>
    </row>
    <row r="534" spans="11:26" x14ac:dyDescent="0.25">
      <c r="K534" s="21" t="s">
        <v>484</v>
      </c>
      <c r="Z534" s="21" t="s">
        <v>2765</v>
      </c>
    </row>
    <row r="535" spans="11:26" x14ac:dyDescent="0.25">
      <c r="K535" s="21" t="s">
        <v>483</v>
      </c>
      <c r="Z535" s="21" t="s">
        <v>3684</v>
      </c>
    </row>
    <row r="536" spans="11:26" x14ac:dyDescent="0.25">
      <c r="K536" s="21" t="s">
        <v>3499</v>
      </c>
      <c r="Z536" s="21" t="s">
        <v>783</v>
      </c>
    </row>
    <row r="537" spans="11:26" x14ac:dyDescent="0.25">
      <c r="K537" s="21" t="s">
        <v>365</v>
      </c>
      <c r="Z537" s="21" t="s">
        <v>3621</v>
      </c>
    </row>
    <row r="538" spans="11:26" x14ac:dyDescent="0.25">
      <c r="K538" s="21" t="s">
        <v>3256</v>
      </c>
      <c r="Z538" s="21" t="s">
        <v>261</v>
      </c>
    </row>
    <row r="539" spans="11:26" x14ac:dyDescent="0.25">
      <c r="K539" s="21" t="s">
        <v>372</v>
      </c>
      <c r="Z539" s="21" t="s">
        <v>867</v>
      </c>
    </row>
    <row r="540" spans="11:26" x14ac:dyDescent="0.25">
      <c r="K540" s="21" t="s">
        <v>683</v>
      </c>
      <c r="Z540" s="21" t="s">
        <v>3634</v>
      </c>
    </row>
    <row r="541" spans="11:26" x14ac:dyDescent="0.25">
      <c r="K541" s="21" t="s">
        <v>485</v>
      </c>
      <c r="Z541" s="21" t="s">
        <v>3750</v>
      </c>
    </row>
    <row r="542" spans="11:26" x14ac:dyDescent="0.25">
      <c r="K542" s="21" t="s">
        <v>1792</v>
      </c>
      <c r="Z542" s="21" t="s">
        <v>908</v>
      </c>
    </row>
    <row r="543" spans="11:26" x14ac:dyDescent="0.25">
      <c r="K543" s="21" t="s">
        <v>2486</v>
      </c>
      <c r="Z543" s="21" t="s">
        <v>563</v>
      </c>
    </row>
    <row r="544" spans="11:26" x14ac:dyDescent="0.25">
      <c r="K544" s="21" t="s">
        <v>2413</v>
      </c>
      <c r="Z544" s="21" t="s">
        <v>3640</v>
      </c>
    </row>
    <row r="545" spans="11:26" x14ac:dyDescent="0.25">
      <c r="K545" s="21" t="s">
        <v>5250</v>
      </c>
      <c r="Z545" s="21" t="s">
        <v>3839</v>
      </c>
    </row>
    <row r="546" spans="11:26" x14ac:dyDescent="0.25">
      <c r="K546" s="21" t="s">
        <v>2459</v>
      </c>
      <c r="Z546" s="21" t="s">
        <v>2930</v>
      </c>
    </row>
    <row r="547" spans="11:26" x14ac:dyDescent="0.25">
      <c r="K547" s="21" t="s">
        <v>2160</v>
      </c>
      <c r="Z547" s="21" t="s">
        <v>564</v>
      </c>
    </row>
    <row r="548" spans="11:26" x14ac:dyDescent="0.25">
      <c r="K548" s="21" t="s">
        <v>486</v>
      </c>
      <c r="Z548" s="21" t="s">
        <v>262</v>
      </c>
    </row>
    <row r="549" spans="11:26" x14ac:dyDescent="0.25">
      <c r="K549" s="21" t="s">
        <v>3045</v>
      </c>
      <c r="Z549" s="21" t="s">
        <v>267</v>
      </c>
    </row>
    <row r="550" spans="11:26" x14ac:dyDescent="0.25">
      <c r="K550" s="21" t="s">
        <v>1642</v>
      </c>
      <c r="Z550" s="21" t="s">
        <v>565</v>
      </c>
    </row>
    <row r="551" spans="11:26" x14ac:dyDescent="0.25">
      <c r="K551" s="21" t="s">
        <v>2675</v>
      </c>
      <c r="Z551" s="21" t="s">
        <v>2761</v>
      </c>
    </row>
    <row r="552" spans="11:26" x14ac:dyDescent="0.25">
      <c r="K552" s="21" t="s">
        <v>3701</v>
      </c>
      <c r="Z552" s="21" t="s">
        <v>1617</v>
      </c>
    </row>
    <row r="553" spans="11:26" x14ac:dyDescent="0.25">
      <c r="K553" s="21" t="s">
        <v>2633</v>
      </c>
      <c r="Z553" s="21" t="s">
        <v>3771</v>
      </c>
    </row>
    <row r="554" spans="11:26" x14ac:dyDescent="0.25">
      <c r="K554" s="21" t="s">
        <v>790</v>
      </c>
      <c r="Z554" s="21" t="s">
        <v>3794</v>
      </c>
    </row>
    <row r="555" spans="11:26" x14ac:dyDescent="0.25">
      <c r="K555" s="21" t="s">
        <v>487</v>
      </c>
      <c r="Z555" s="21" t="s">
        <v>5996</v>
      </c>
    </row>
    <row r="556" spans="11:26" x14ac:dyDescent="0.25">
      <c r="K556" s="21" t="s">
        <v>2688</v>
      </c>
      <c r="Z556" s="21" t="s">
        <v>2725</v>
      </c>
    </row>
    <row r="557" spans="11:26" x14ac:dyDescent="0.25">
      <c r="K557" s="21" t="s">
        <v>488</v>
      </c>
      <c r="Z557" s="21" t="s">
        <v>3603</v>
      </c>
    </row>
    <row r="558" spans="11:26" x14ac:dyDescent="0.25">
      <c r="K558" s="21" t="s">
        <v>2068</v>
      </c>
      <c r="Z558" s="21" t="s">
        <v>3468</v>
      </c>
    </row>
    <row r="559" spans="11:26" x14ac:dyDescent="0.25">
      <c r="K559" s="21" t="s">
        <v>3249</v>
      </c>
      <c r="Z559" s="21" t="s">
        <v>3530</v>
      </c>
    </row>
    <row r="560" spans="11:26" x14ac:dyDescent="0.25">
      <c r="K560" s="21" t="s">
        <v>5997</v>
      </c>
      <c r="Z560" s="21" t="s">
        <v>3665</v>
      </c>
    </row>
    <row r="561" spans="11:26" x14ac:dyDescent="0.25">
      <c r="K561" s="21" t="s">
        <v>2783</v>
      </c>
      <c r="Z561" s="21" t="s">
        <v>680</v>
      </c>
    </row>
    <row r="562" spans="11:26" x14ac:dyDescent="0.25">
      <c r="K562" s="21" t="s">
        <v>2803</v>
      </c>
      <c r="Z562" s="21" t="s">
        <v>1593</v>
      </c>
    </row>
    <row r="563" spans="11:26" x14ac:dyDescent="0.25">
      <c r="K563" s="21" t="s">
        <v>2627</v>
      </c>
      <c r="Z563" s="21" t="s">
        <v>566</v>
      </c>
    </row>
    <row r="564" spans="11:26" x14ac:dyDescent="0.25">
      <c r="K564" s="21" t="s">
        <v>853</v>
      </c>
      <c r="Z564" s="21" t="s">
        <v>894</v>
      </c>
    </row>
    <row r="565" spans="11:26" x14ac:dyDescent="0.25">
      <c r="K565" s="21" t="s">
        <v>3032</v>
      </c>
      <c r="Z565" s="21" t="s">
        <v>668</v>
      </c>
    </row>
    <row r="566" spans="11:26" x14ac:dyDescent="0.25">
      <c r="K566" s="21" t="s">
        <v>3260</v>
      </c>
      <c r="Z566" s="21" t="s">
        <v>259</v>
      </c>
    </row>
    <row r="567" spans="11:26" x14ac:dyDescent="0.25">
      <c r="K567" s="21" t="s">
        <v>3507</v>
      </c>
      <c r="Z567" s="21" t="s">
        <v>914</v>
      </c>
    </row>
    <row r="568" spans="11:26" x14ac:dyDescent="0.25">
      <c r="K568" s="21" t="s">
        <v>1776</v>
      </c>
      <c r="Z568" s="21" t="s">
        <v>1611</v>
      </c>
    </row>
    <row r="569" spans="11:26" x14ac:dyDescent="0.25">
      <c r="K569" s="21" t="s">
        <v>3299</v>
      </c>
      <c r="Z569" s="21" t="s">
        <v>899</v>
      </c>
    </row>
    <row r="570" spans="11:26" x14ac:dyDescent="0.25">
      <c r="K570" s="21" t="s">
        <v>2252</v>
      </c>
      <c r="Z570" s="21" t="s">
        <v>2601</v>
      </c>
    </row>
    <row r="571" spans="11:26" x14ac:dyDescent="0.25">
      <c r="K571" s="21" t="s">
        <v>3216</v>
      </c>
      <c r="Z571" s="21" t="s">
        <v>801</v>
      </c>
    </row>
    <row r="572" spans="11:26" x14ac:dyDescent="0.25">
      <c r="K572" s="21" t="s">
        <v>394</v>
      </c>
      <c r="Z572" s="21" t="s">
        <v>2717</v>
      </c>
    </row>
    <row r="573" spans="11:26" x14ac:dyDescent="0.25">
      <c r="K573" s="21" t="s">
        <v>3695</v>
      </c>
      <c r="Z573" s="21" t="s">
        <v>2917</v>
      </c>
    </row>
    <row r="574" spans="11:26" x14ac:dyDescent="0.25">
      <c r="K574" s="21" t="s">
        <v>3170</v>
      </c>
      <c r="Z574" s="21" t="s">
        <v>770</v>
      </c>
    </row>
    <row r="575" spans="11:26" x14ac:dyDescent="0.25">
      <c r="K575" s="21" t="s">
        <v>816</v>
      </c>
      <c r="Z575" s="21" t="s">
        <v>906</v>
      </c>
    </row>
    <row r="576" spans="11:26" x14ac:dyDescent="0.25">
      <c r="K576" s="21" t="s">
        <v>2809</v>
      </c>
      <c r="Z576" s="21" t="s">
        <v>3763</v>
      </c>
    </row>
    <row r="577" spans="11:26" x14ac:dyDescent="0.25">
      <c r="K577" s="21" t="s">
        <v>2587</v>
      </c>
      <c r="Z577" s="21" t="s">
        <v>3705</v>
      </c>
    </row>
    <row r="578" spans="11:26" x14ac:dyDescent="0.25">
      <c r="K578" s="21" t="s">
        <v>2538</v>
      </c>
      <c r="Z578" s="21" t="s">
        <v>871</v>
      </c>
    </row>
    <row r="579" spans="11:26" x14ac:dyDescent="0.25">
      <c r="K579" s="21" t="s">
        <v>386</v>
      </c>
      <c r="Z579" s="21" t="s">
        <v>3708</v>
      </c>
    </row>
    <row r="580" spans="11:26" x14ac:dyDescent="0.25">
      <c r="K580" s="21" t="s">
        <v>489</v>
      </c>
      <c r="Z580" s="21" t="s">
        <v>3625</v>
      </c>
    </row>
    <row r="581" spans="11:26" x14ac:dyDescent="0.25">
      <c r="K581" s="21" t="s">
        <v>3562</v>
      </c>
      <c r="Z581" s="21" t="s">
        <v>3859</v>
      </c>
    </row>
    <row r="582" spans="11:26" x14ac:dyDescent="0.25">
      <c r="K582" s="21" t="s">
        <v>3737</v>
      </c>
      <c r="Z582" s="21" t="s">
        <v>3696</v>
      </c>
    </row>
    <row r="583" spans="11:26" x14ac:dyDescent="0.25">
      <c r="K583" s="21" t="s">
        <v>678</v>
      </c>
      <c r="Z583" s="21" t="s">
        <v>3481</v>
      </c>
    </row>
    <row r="584" spans="11:26" x14ac:dyDescent="0.25">
      <c r="K584" s="21" t="s">
        <v>2022</v>
      </c>
      <c r="Z584" s="21" t="s">
        <v>845</v>
      </c>
    </row>
    <row r="585" spans="11:26" x14ac:dyDescent="0.25">
      <c r="K585" s="21" t="s">
        <v>2344</v>
      </c>
      <c r="Z585" s="21" t="s">
        <v>3354</v>
      </c>
    </row>
    <row r="586" spans="11:26" x14ac:dyDescent="0.25">
      <c r="K586" s="21" t="s">
        <v>1749</v>
      </c>
      <c r="Z586" s="21" t="s">
        <v>3709</v>
      </c>
    </row>
    <row r="587" spans="11:26" x14ac:dyDescent="0.25">
      <c r="K587" s="21" t="s">
        <v>3352</v>
      </c>
      <c r="Z587" s="21" t="s">
        <v>3809</v>
      </c>
    </row>
    <row r="588" spans="11:26" x14ac:dyDescent="0.25">
      <c r="K588" s="21" t="s">
        <v>1938</v>
      </c>
      <c r="Z588" s="21" t="s">
        <v>3682</v>
      </c>
    </row>
    <row r="589" spans="11:26" x14ac:dyDescent="0.25">
      <c r="K589" s="21" t="s">
        <v>348</v>
      </c>
      <c r="Z589" s="21" t="s">
        <v>635</v>
      </c>
    </row>
    <row r="590" spans="11:26" x14ac:dyDescent="0.25">
      <c r="K590" s="21" t="s">
        <v>490</v>
      </c>
      <c r="Z590" s="21" t="s">
        <v>3502</v>
      </c>
    </row>
    <row r="591" spans="11:26" x14ac:dyDescent="0.25">
      <c r="K591" s="21" t="s">
        <v>491</v>
      </c>
      <c r="Z591" s="21" t="s">
        <v>3649</v>
      </c>
    </row>
    <row r="592" spans="11:26" x14ac:dyDescent="0.25">
      <c r="K592" s="21" t="s">
        <v>2112</v>
      </c>
      <c r="Z592" s="21" t="s">
        <v>292</v>
      </c>
    </row>
    <row r="593" spans="11:26" x14ac:dyDescent="0.25">
      <c r="K593" s="21" t="s">
        <v>5998</v>
      </c>
      <c r="Z593" s="21" t="s">
        <v>3539</v>
      </c>
    </row>
    <row r="594" spans="11:26" x14ac:dyDescent="0.25">
      <c r="K594" s="21" t="s">
        <v>2813</v>
      </c>
      <c r="Z594" s="21" t="s">
        <v>1606</v>
      </c>
    </row>
    <row r="595" spans="11:26" x14ac:dyDescent="0.25">
      <c r="K595" s="21" t="s">
        <v>492</v>
      </c>
      <c r="Z595" s="21" t="s">
        <v>3699</v>
      </c>
    </row>
    <row r="596" spans="11:26" x14ac:dyDescent="0.25">
      <c r="K596" s="21" t="s">
        <v>2470</v>
      </c>
      <c r="Z596" s="21" t="s">
        <v>3728</v>
      </c>
    </row>
    <row r="597" spans="11:26" x14ac:dyDescent="0.25">
      <c r="K597" s="21" t="s">
        <v>493</v>
      </c>
      <c r="Z597" s="21" t="s">
        <v>3403</v>
      </c>
    </row>
    <row r="598" spans="11:26" x14ac:dyDescent="0.25">
      <c r="K598" s="21" t="s">
        <v>694</v>
      </c>
      <c r="Z598" s="21" t="s">
        <v>3796</v>
      </c>
    </row>
    <row r="599" spans="11:26" x14ac:dyDescent="0.25">
      <c r="K599" s="21" t="s">
        <v>749</v>
      </c>
      <c r="Z599" s="21" t="s">
        <v>1592</v>
      </c>
    </row>
    <row r="600" spans="11:26" x14ac:dyDescent="0.25">
      <c r="K600" s="21" t="s">
        <v>3086</v>
      </c>
      <c r="Z600" s="21" t="s">
        <v>760</v>
      </c>
    </row>
    <row r="601" spans="11:26" x14ac:dyDescent="0.25">
      <c r="K601" s="21" t="s">
        <v>2773</v>
      </c>
      <c r="Z601" s="21" t="s">
        <v>3747</v>
      </c>
    </row>
    <row r="602" spans="11:26" x14ac:dyDescent="0.25">
      <c r="K602" s="21" t="s">
        <v>3534</v>
      </c>
      <c r="Z602" s="21" t="s">
        <v>3533</v>
      </c>
    </row>
    <row r="603" spans="11:26" x14ac:dyDescent="0.25">
      <c r="K603" s="21" t="s">
        <v>3193</v>
      </c>
      <c r="Z603" s="21" t="s">
        <v>1600</v>
      </c>
    </row>
    <row r="604" spans="11:26" x14ac:dyDescent="0.25">
      <c r="K604" s="21" t="s">
        <v>3253</v>
      </c>
      <c r="Z604" s="21" t="s">
        <v>772</v>
      </c>
    </row>
    <row r="605" spans="11:26" x14ac:dyDescent="0.25">
      <c r="K605" s="21" t="s">
        <v>2493</v>
      </c>
      <c r="Z605" s="21" t="s">
        <v>5999</v>
      </c>
    </row>
    <row r="606" spans="11:26" x14ac:dyDescent="0.25">
      <c r="K606" s="21" t="s">
        <v>817</v>
      </c>
      <c r="Z606" s="21" t="s">
        <v>3865</v>
      </c>
    </row>
    <row r="607" spans="11:26" x14ac:dyDescent="0.25">
      <c r="K607" s="21" t="s">
        <v>802</v>
      </c>
      <c r="Z607" s="21" t="s">
        <v>1603</v>
      </c>
    </row>
    <row r="608" spans="11:26" x14ac:dyDescent="0.25">
      <c r="K608" s="21" t="s">
        <v>1868</v>
      </c>
      <c r="Z608" s="21" t="s">
        <v>3347</v>
      </c>
    </row>
    <row r="609" spans="11:26" x14ac:dyDescent="0.25">
      <c r="K609" s="21" t="s">
        <v>2755</v>
      </c>
      <c r="Z609" s="21" t="s">
        <v>904</v>
      </c>
    </row>
    <row r="610" spans="11:26" x14ac:dyDescent="0.25">
      <c r="K610" s="21" t="s">
        <v>359</v>
      </c>
      <c r="Z610" s="21" t="s">
        <v>1919</v>
      </c>
    </row>
    <row r="611" spans="11:26" x14ac:dyDescent="0.25">
      <c r="K611" s="21" t="s">
        <v>2848</v>
      </c>
      <c r="Z611" s="21" t="s">
        <v>2952</v>
      </c>
    </row>
    <row r="612" spans="11:26" x14ac:dyDescent="0.25">
      <c r="K612" s="21" t="s">
        <v>2453</v>
      </c>
      <c r="Z612" s="21" t="s">
        <v>1601</v>
      </c>
    </row>
    <row r="613" spans="11:26" x14ac:dyDescent="0.25">
      <c r="K613" s="21" t="s">
        <v>2443</v>
      </c>
      <c r="Z613" s="21" t="s">
        <v>898</v>
      </c>
    </row>
    <row r="614" spans="11:26" x14ac:dyDescent="0.25">
      <c r="K614" s="21" t="s">
        <v>494</v>
      </c>
      <c r="Z614" s="21" t="s">
        <v>699</v>
      </c>
    </row>
    <row r="615" spans="11:26" x14ac:dyDescent="0.25">
      <c r="K615" s="21" t="s">
        <v>1800</v>
      </c>
      <c r="Z615" s="21" t="s">
        <v>877</v>
      </c>
    </row>
    <row r="616" spans="11:26" x14ac:dyDescent="0.25">
      <c r="K616" s="21" t="s">
        <v>784</v>
      </c>
      <c r="Z616" s="21" t="s">
        <v>3553</v>
      </c>
    </row>
    <row r="617" spans="11:26" x14ac:dyDescent="0.25">
      <c r="K617" s="21" t="s">
        <v>812</v>
      </c>
      <c r="Z617" s="21" t="s">
        <v>3485</v>
      </c>
    </row>
    <row r="618" spans="11:26" x14ac:dyDescent="0.25">
      <c r="K618" s="21" t="s">
        <v>495</v>
      </c>
      <c r="Z618" s="21" t="s">
        <v>3812</v>
      </c>
    </row>
    <row r="619" spans="11:26" x14ac:dyDescent="0.25">
      <c r="K619" s="21" t="s">
        <v>1990</v>
      </c>
      <c r="Z619" s="21" t="s">
        <v>900</v>
      </c>
    </row>
    <row r="620" spans="11:26" x14ac:dyDescent="0.25">
      <c r="K620" s="21" t="s">
        <v>2718</v>
      </c>
      <c r="Z620" s="21" t="s">
        <v>3847</v>
      </c>
    </row>
    <row r="621" spans="11:26" x14ac:dyDescent="0.25">
      <c r="K621" s="21" t="s">
        <v>496</v>
      </c>
      <c r="Z621" s="21" t="s">
        <v>3835</v>
      </c>
    </row>
    <row r="622" spans="11:26" x14ac:dyDescent="0.25">
      <c r="K622" s="21" t="s">
        <v>497</v>
      </c>
      <c r="Z622" s="21" t="s">
        <v>3803</v>
      </c>
    </row>
    <row r="623" spans="11:26" x14ac:dyDescent="0.25">
      <c r="K623" s="21" t="s">
        <v>2525</v>
      </c>
      <c r="Z623" s="21" t="s">
        <v>1916</v>
      </c>
    </row>
    <row r="624" spans="11:26" x14ac:dyDescent="0.25">
      <c r="K624" s="21" t="s">
        <v>498</v>
      </c>
      <c r="Z624" s="21" t="s">
        <v>3400</v>
      </c>
    </row>
    <row r="625" spans="11:26" x14ac:dyDescent="0.25">
      <c r="K625" s="21" t="s">
        <v>499</v>
      </c>
      <c r="Z625" s="21" t="s">
        <v>3199</v>
      </c>
    </row>
    <row r="626" spans="11:26" x14ac:dyDescent="0.25">
      <c r="K626" s="21" t="s">
        <v>2637</v>
      </c>
      <c r="Z626" s="21" t="s">
        <v>3618</v>
      </c>
    </row>
    <row r="627" spans="11:26" x14ac:dyDescent="0.25">
      <c r="K627" s="21" t="s">
        <v>2720</v>
      </c>
      <c r="Z627" s="21" t="s">
        <v>3522</v>
      </c>
    </row>
    <row r="628" spans="11:26" x14ac:dyDescent="0.25">
      <c r="K628" s="21" t="s">
        <v>6000</v>
      </c>
      <c r="Z628" s="21" t="s">
        <v>3779</v>
      </c>
    </row>
    <row r="629" spans="11:26" x14ac:dyDescent="0.25">
      <c r="K629" s="21" t="s">
        <v>1912</v>
      </c>
      <c r="Z629" s="21" t="s">
        <v>2766</v>
      </c>
    </row>
    <row r="630" spans="11:26" x14ac:dyDescent="0.25">
      <c r="K630" s="21" t="s">
        <v>1901</v>
      </c>
      <c r="Z630" s="21" t="s">
        <v>3383</v>
      </c>
    </row>
    <row r="631" spans="11:26" x14ac:dyDescent="0.25">
      <c r="K631" s="21" t="s">
        <v>3118</v>
      </c>
      <c r="Z631" s="21" t="s">
        <v>3574</v>
      </c>
    </row>
    <row r="632" spans="11:26" x14ac:dyDescent="0.25">
      <c r="K632" s="21" t="s">
        <v>729</v>
      </c>
      <c r="Z632" s="21" t="s">
        <v>3762</v>
      </c>
    </row>
    <row r="633" spans="11:26" x14ac:dyDescent="0.25">
      <c r="K633" s="21" t="s">
        <v>500</v>
      </c>
      <c r="Z633" s="21" t="s">
        <v>3704</v>
      </c>
    </row>
    <row r="634" spans="11:26" x14ac:dyDescent="0.25">
      <c r="K634" s="21" t="s">
        <v>1754</v>
      </c>
      <c r="Z634" s="21" t="s">
        <v>3635</v>
      </c>
    </row>
    <row r="635" spans="11:26" x14ac:dyDescent="0.25">
      <c r="K635" s="21" t="s">
        <v>501</v>
      </c>
      <c r="Z635" s="21" t="s">
        <v>912</v>
      </c>
    </row>
    <row r="636" spans="11:26" x14ac:dyDescent="0.25">
      <c r="K636" s="21" t="s">
        <v>4793</v>
      </c>
      <c r="Z636" s="21" t="s">
        <v>1609</v>
      </c>
    </row>
    <row r="637" spans="11:26" x14ac:dyDescent="0.25">
      <c r="K637" s="21" t="s">
        <v>2456</v>
      </c>
      <c r="Z637" s="21" t="s">
        <v>776</v>
      </c>
    </row>
    <row r="638" spans="11:26" x14ac:dyDescent="0.25">
      <c r="K638" s="21" t="s">
        <v>2021</v>
      </c>
      <c r="Z638" s="21" t="s">
        <v>882</v>
      </c>
    </row>
    <row r="639" spans="11:26" x14ac:dyDescent="0.25">
      <c r="K639" s="21" t="s">
        <v>2017</v>
      </c>
      <c r="Z639" s="21" t="s">
        <v>1438</v>
      </c>
    </row>
    <row r="640" spans="11:26" x14ac:dyDescent="0.25">
      <c r="K640" s="21" t="s">
        <v>397</v>
      </c>
      <c r="Z640" s="21" t="s">
        <v>850</v>
      </c>
    </row>
    <row r="641" spans="11:26" x14ac:dyDescent="0.25">
      <c r="K641" s="21" t="s">
        <v>352</v>
      </c>
      <c r="Z641" s="21" t="s">
        <v>3738</v>
      </c>
    </row>
    <row r="642" spans="11:26" x14ac:dyDescent="0.25">
      <c r="K642" s="21" t="s">
        <v>1643</v>
      </c>
      <c r="Z642" s="21" t="s">
        <v>3739</v>
      </c>
    </row>
    <row r="643" spans="11:26" x14ac:dyDescent="0.25">
      <c r="K643" s="21" t="s">
        <v>335</v>
      </c>
      <c r="Z643" s="21" t="s">
        <v>2795</v>
      </c>
    </row>
    <row r="644" spans="11:26" x14ac:dyDescent="0.25">
      <c r="K644" s="21" t="s">
        <v>502</v>
      </c>
      <c r="Z644" s="21" t="s">
        <v>751</v>
      </c>
    </row>
    <row r="645" spans="11:26" x14ac:dyDescent="0.25">
      <c r="K645" s="21" t="s">
        <v>503</v>
      </c>
      <c r="Z645" s="21" t="s">
        <v>2802</v>
      </c>
    </row>
    <row r="646" spans="11:26" x14ac:dyDescent="0.25">
      <c r="K646" s="21" t="s">
        <v>3546</v>
      </c>
      <c r="Z646" s="21" t="s">
        <v>3774</v>
      </c>
    </row>
    <row r="647" spans="11:26" x14ac:dyDescent="0.25">
      <c r="K647" s="21" t="s">
        <v>330</v>
      </c>
    </row>
    <row r="648" spans="11:26" x14ac:dyDescent="0.25">
      <c r="K648" s="21" t="s">
        <v>2503</v>
      </c>
    </row>
    <row r="649" spans="11:26" x14ac:dyDescent="0.25">
      <c r="K649" s="21" t="s">
        <v>320</v>
      </c>
    </row>
    <row r="650" spans="11:26" x14ac:dyDescent="0.25">
      <c r="K650" s="21" t="s">
        <v>3538</v>
      </c>
    </row>
    <row r="651" spans="11:26" x14ac:dyDescent="0.25">
      <c r="K651" s="21" t="s">
        <v>3232</v>
      </c>
    </row>
    <row r="652" spans="11:26" x14ac:dyDescent="0.25">
      <c r="K652" s="21" t="s">
        <v>3283</v>
      </c>
    </row>
    <row r="653" spans="11:26" x14ac:dyDescent="0.25">
      <c r="K653" s="21" t="s">
        <v>504</v>
      </c>
    </row>
    <row r="654" spans="11:26" x14ac:dyDescent="0.25">
      <c r="K654" s="21" t="s">
        <v>3316</v>
      </c>
    </row>
    <row r="655" spans="11:26" x14ac:dyDescent="0.25">
      <c r="K655" s="21" t="s">
        <v>3514</v>
      </c>
    </row>
    <row r="656" spans="11:26" x14ac:dyDescent="0.25">
      <c r="K656" s="21" t="s">
        <v>2562</v>
      </c>
    </row>
    <row r="657" spans="11:11" x14ac:dyDescent="0.25">
      <c r="K657" s="21" t="s">
        <v>3104</v>
      </c>
    </row>
    <row r="658" spans="11:11" x14ac:dyDescent="0.25">
      <c r="K658" s="21" t="s">
        <v>2500</v>
      </c>
    </row>
    <row r="659" spans="11:11" x14ac:dyDescent="0.25">
      <c r="K659" s="21" t="s">
        <v>1698</v>
      </c>
    </row>
    <row r="660" spans="11:11" x14ac:dyDescent="0.25">
      <c r="K660" s="21" t="s">
        <v>1928</v>
      </c>
    </row>
    <row r="661" spans="11:11" x14ac:dyDescent="0.25">
      <c r="K661" s="21" t="s">
        <v>705</v>
      </c>
    </row>
    <row r="662" spans="11:11" x14ac:dyDescent="0.25">
      <c r="K662" s="21" t="s">
        <v>2791</v>
      </c>
    </row>
    <row r="663" spans="11:11" x14ac:dyDescent="0.25">
      <c r="K663" s="21" t="s">
        <v>2778</v>
      </c>
    </row>
    <row r="664" spans="11:11" x14ac:dyDescent="0.25">
      <c r="K664" s="21" t="s">
        <v>1665</v>
      </c>
    </row>
    <row r="665" spans="11:11" x14ac:dyDescent="0.25">
      <c r="K665" s="21" t="s">
        <v>507</v>
      </c>
    </row>
    <row r="666" spans="11:11" x14ac:dyDescent="0.25">
      <c r="K666" s="21" t="s">
        <v>1975</v>
      </c>
    </row>
    <row r="667" spans="11:11" x14ac:dyDescent="0.25">
      <c r="K667" s="21" t="s">
        <v>505</v>
      </c>
    </row>
    <row r="668" spans="11:11" x14ac:dyDescent="0.25">
      <c r="K668" s="21" t="s">
        <v>506</v>
      </c>
    </row>
    <row r="669" spans="11:11" x14ac:dyDescent="0.25">
      <c r="K669" s="21" t="s">
        <v>508</v>
      </c>
    </row>
    <row r="670" spans="11:11" x14ac:dyDescent="0.25">
      <c r="K670" s="21" t="s">
        <v>2492</v>
      </c>
    </row>
    <row r="671" spans="11:11" x14ac:dyDescent="0.25">
      <c r="K671" s="21" t="s">
        <v>334</v>
      </c>
    </row>
    <row r="672" spans="11:11" x14ac:dyDescent="0.25">
      <c r="K672" s="21" t="s">
        <v>3155</v>
      </c>
    </row>
    <row r="673" spans="11:11" x14ac:dyDescent="0.25">
      <c r="K673" s="21" t="s">
        <v>2662</v>
      </c>
    </row>
    <row r="674" spans="11:11" x14ac:dyDescent="0.25">
      <c r="K674" s="21" t="s">
        <v>1671</v>
      </c>
    </row>
    <row r="675" spans="11:11" x14ac:dyDescent="0.25">
      <c r="K675" s="21" t="s">
        <v>2584</v>
      </c>
    </row>
    <row r="676" spans="11:11" x14ac:dyDescent="0.25">
      <c r="K676" s="21" t="s">
        <v>1689</v>
      </c>
    </row>
    <row r="677" spans="11:11" x14ac:dyDescent="0.25">
      <c r="K677" s="21" t="s">
        <v>509</v>
      </c>
    </row>
    <row r="678" spans="11:11" x14ac:dyDescent="0.25">
      <c r="K678" s="21" t="s">
        <v>3242</v>
      </c>
    </row>
    <row r="679" spans="11:11" x14ac:dyDescent="0.25">
      <c r="K679" s="21" t="s">
        <v>1785</v>
      </c>
    </row>
    <row r="680" spans="11:11" x14ac:dyDescent="0.25">
      <c r="K680" s="21" t="s">
        <v>1909</v>
      </c>
    </row>
    <row r="681" spans="11:11" x14ac:dyDescent="0.25">
      <c r="K681" s="21" t="s">
        <v>875</v>
      </c>
    </row>
    <row r="682" spans="11:11" x14ac:dyDescent="0.25">
      <c r="K682" s="21" t="s">
        <v>6001</v>
      </c>
    </row>
    <row r="683" spans="11:11" x14ac:dyDescent="0.25">
      <c r="K683" s="21" t="s">
        <v>510</v>
      </c>
    </row>
    <row r="684" spans="11:11" x14ac:dyDescent="0.25">
      <c r="K684" s="21" t="s">
        <v>3220</v>
      </c>
    </row>
    <row r="685" spans="11:11" x14ac:dyDescent="0.25">
      <c r="K685" s="21" t="s">
        <v>1772</v>
      </c>
    </row>
    <row r="686" spans="11:11" x14ac:dyDescent="0.25">
      <c r="K686" s="21" t="s">
        <v>777</v>
      </c>
    </row>
    <row r="687" spans="11:11" x14ac:dyDescent="0.25">
      <c r="K687" s="21" t="s">
        <v>2118</v>
      </c>
    </row>
    <row r="688" spans="11:11" x14ac:dyDescent="0.25">
      <c r="K688" s="21" t="s">
        <v>2576</v>
      </c>
    </row>
    <row r="689" spans="11:11" x14ac:dyDescent="0.25">
      <c r="K689" s="21" t="s">
        <v>511</v>
      </c>
    </row>
    <row r="690" spans="11:11" x14ac:dyDescent="0.25">
      <c r="K690" s="21" t="s">
        <v>3129</v>
      </c>
    </row>
    <row r="691" spans="11:11" x14ac:dyDescent="0.25">
      <c r="K691" s="21" t="s">
        <v>2642</v>
      </c>
    </row>
    <row r="692" spans="11:11" x14ac:dyDescent="0.25">
      <c r="K692" s="21" t="s">
        <v>512</v>
      </c>
    </row>
    <row r="693" spans="11:11" x14ac:dyDescent="0.25">
      <c r="K693" s="21" t="s">
        <v>513</v>
      </c>
    </row>
    <row r="694" spans="11:11" x14ac:dyDescent="0.25">
      <c r="K694" s="21" t="s">
        <v>2122</v>
      </c>
    </row>
    <row r="695" spans="11:11" x14ac:dyDescent="0.25">
      <c r="K695" s="21" t="s">
        <v>3292</v>
      </c>
    </row>
    <row r="696" spans="11:11" x14ac:dyDescent="0.25">
      <c r="K696" s="21" t="s">
        <v>2335</v>
      </c>
    </row>
    <row r="697" spans="11:11" x14ac:dyDescent="0.25">
      <c r="K697" s="21" t="s">
        <v>3353</v>
      </c>
    </row>
    <row r="698" spans="11:11" x14ac:dyDescent="0.25">
      <c r="K698" s="21" t="s">
        <v>514</v>
      </c>
    </row>
    <row r="699" spans="11:11" x14ac:dyDescent="0.25">
      <c r="K699" s="21" t="s">
        <v>2015</v>
      </c>
    </row>
    <row r="700" spans="11:11" x14ac:dyDescent="0.25">
      <c r="K700" s="21" t="s">
        <v>3246</v>
      </c>
    </row>
    <row r="701" spans="11:11" x14ac:dyDescent="0.25">
      <c r="K701" s="21" t="s">
        <v>376</v>
      </c>
    </row>
    <row r="702" spans="11:11" x14ac:dyDescent="0.25">
      <c r="K702" s="21" t="s">
        <v>515</v>
      </c>
    </row>
    <row r="703" spans="11:11" x14ac:dyDescent="0.25">
      <c r="K703" s="21" t="s">
        <v>1686</v>
      </c>
    </row>
    <row r="704" spans="11:11" x14ac:dyDescent="0.25">
      <c r="K704" s="21" t="s">
        <v>3710</v>
      </c>
    </row>
    <row r="705" spans="11:11" x14ac:dyDescent="0.25">
      <c r="K705" s="21" t="s">
        <v>1799</v>
      </c>
    </row>
    <row r="706" spans="11:11" x14ac:dyDescent="0.25">
      <c r="K706" s="21" t="s">
        <v>3511</v>
      </c>
    </row>
    <row r="707" spans="11:11" x14ac:dyDescent="0.25">
      <c r="K707" s="21" t="s">
        <v>3221</v>
      </c>
    </row>
    <row r="708" spans="11:11" x14ac:dyDescent="0.25">
      <c r="K708" s="21" t="s">
        <v>516</v>
      </c>
    </row>
    <row r="709" spans="11:11" x14ac:dyDescent="0.25">
      <c r="K709" s="21" t="s">
        <v>727</v>
      </c>
    </row>
    <row r="710" spans="11:11" x14ac:dyDescent="0.25">
      <c r="K710" s="21" t="s">
        <v>517</v>
      </c>
    </row>
    <row r="711" spans="11:11" x14ac:dyDescent="0.25">
      <c r="K711" s="21" t="s">
        <v>1839</v>
      </c>
    </row>
    <row r="712" spans="11:11" x14ac:dyDescent="0.25">
      <c r="K712" s="21" t="s">
        <v>1690</v>
      </c>
    </row>
    <row r="713" spans="11:11" x14ac:dyDescent="0.25">
      <c r="K713" s="21" t="s">
        <v>1732</v>
      </c>
    </row>
    <row r="714" spans="11:11" x14ac:dyDescent="0.25">
      <c r="K714" s="21" t="s">
        <v>2761</v>
      </c>
    </row>
    <row r="715" spans="11:11" x14ac:dyDescent="0.25">
      <c r="K715" s="21" t="s">
        <v>518</v>
      </c>
    </row>
    <row r="716" spans="11:11" x14ac:dyDescent="0.25">
      <c r="K716" s="21" t="s">
        <v>3389</v>
      </c>
    </row>
    <row r="717" spans="11:11" x14ac:dyDescent="0.25">
      <c r="K717" s="21" t="s">
        <v>3165</v>
      </c>
    </row>
    <row r="718" spans="11:11" x14ac:dyDescent="0.25">
      <c r="K718" s="21" t="s">
        <v>3240</v>
      </c>
    </row>
    <row r="719" spans="11:11" x14ac:dyDescent="0.25">
      <c r="K719" s="21" t="s">
        <v>2381</v>
      </c>
    </row>
    <row r="720" spans="11:11" x14ac:dyDescent="0.25">
      <c r="K720" s="21" t="s">
        <v>1734</v>
      </c>
    </row>
    <row r="721" spans="11:11" x14ac:dyDescent="0.25">
      <c r="K721" s="21" t="s">
        <v>1887</v>
      </c>
    </row>
    <row r="722" spans="11:11" x14ac:dyDescent="0.25">
      <c r="K722" s="21" t="s">
        <v>3622</v>
      </c>
    </row>
    <row r="723" spans="11:11" x14ac:dyDescent="0.25">
      <c r="K723" s="21" t="s">
        <v>3194</v>
      </c>
    </row>
    <row r="724" spans="11:11" x14ac:dyDescent="0.25">
      <c r="K724" s="21" t="s">
        <v>519</v>
      </c>
    </row>
    <row r="725" spans="11:11" x14ac:dyDescent="0.25">
      <c r="K725" s="21" t="s">
        <v>830</v>
      </c>
    </row>
    <row r="726" spans="11:11" x14ac:dyDescent="0.25">
      <c r="K726" s="21" t="s">
        <v>1926</v>
      </c>
    </row>
    <row r="727" spans="11:11" x14ac:dyDescent="0.25">
      <c r="K727" s="21" t="s">
        <v>3363</v>
      </c>
    </row>
    <row r="728" spans="11:11" x14ac:dyDescent="0.25">
      <c r="K728" s="21" t="s">
        <v>2782</v>
      </c>
    </row>
    <row r="729" spans="11:11" x14ac:dyDescent="0.25">
      <c r="K729" s="21" t="s">
        <v>835</v>
      </c>
    </row>
    <row r="730" spans="11:11" x14ac:dyDescent="0.25">
      <c r="K730" s="21" t="s">
        <v>2797</v>
      </c>
    </row>
    <row r="731" spans="11:11" x14ac:dyDescent="0.25">
      <c r="K731" s="21" t="s">
        <v>2789</v>
      </c>
    </row>
    <row r="732" spans="11:11" x14ac:dyDescent="0.25">
      <c r="K732" s="21" t="s">
        <v>520</v>
      </c>
    </row>
    <row r="733" spans="11:11" x14ac:dyDescent="0.25">
      <c r="K733" s="21" t="s">
        <v>707</v>
      </c>
    </row>
    <row r="734" spans="11:11" x14ac:dyDescent="0.25">
      <c r="K734" s="21" t="s">
        <v>1705</v>
      </c>
    </row>
    <row r="735" spans="11:11" x14ac:dyDescent="0.25">
      <c r="K735" s="21" t="s">
        <v>2342</v>
      </c>
    </row>
    <row r="736" spans="11:11" x14ac:dyDescent="0.25">
      <c r="K736" s="21" t="s">
        <v>2859</v>
      </c>
    </row>
    <row r="737" spans="11:11" x14ac:dyDescent="0.25">
      <c r="K737" s="21" t="s">
        <v>1826</v>
      </c>
    </row>
    <row r="738" spans="11:11" x14ac:dyDescent="0.25">
      <c r="K738" s="21" t="s">
        <v>3564</v>
      </c>
    </row>
    <row r="739" spans="11:11" x14ac:dyDescent="0.25">
      <c r="K739" s="21" t="s">
        <v>3329</v>
      </c>
    </row>
    <row r="740" spans="11:11" x14ac:dyDescent="0.25">
      <c r="K740" s="21" t="s">
        <v>3301</v>
      </c>
    </row>
    <row r="741" spans="11:11" x14ac:dyDescent="0.25">
      <c r="K741" s="21" t="s">
        <v>3369</v>
      </c>
    </row>
    <row r="742" spans="11:11" x14ac:dyDescent="0.25">
      <c r="K742" s="21" t="s">
        <v>2003</v>
      </c>
    </row>
    <row r="743" spans="11:11" x14ac:dyDescent="0.25">
      <c r="K743" s="21" t="s">
        <v>1856</v>
      </c>
    </row>
    <row r="744" spans="11:11" x14ac:dyDescent="0.25">
      <c r="K744" s="21" t="s">
        <v>3678</v>
      </c>
    </row>
    <row r="745" spans="11:11" x14ac:dyDescent="0.25">
      <c r="K745" s="21" t="s">
        <v>775</v>
      </c>
    </row>
    <row r="746" spans="11:11" x14ac:dyDescent="0.25">
      <c r="K746" s="21" t="s">
        <v>1708</v>
      </c>
    </row>
    <row r="747" spans="11:11" x14ac:dyDescent="0.25">
      <c r="K747" s="21" t="s">
        <v>1743</v>
      </c>
    </row>
    <row r="748" spans="11:11" x14ac:dyDescent="0.25">
      <c r="K748" s="21" t="s">
        <v>3284</v>
      </c>
    </row>
    <row r="749" spans="11:11" x14ac:dyDescent="0.25">
      <c r="K749" s="21" t="s">
        <v>3244</v>
      </c>
    </row>
    <row r="750" spans="11:11" x14ac:dyDescent="0.25">
      <c r="K750" s="21" t="s">
        <v>844</v>
      </c>
    </row>
    <row r="751" spans="11:11" x14ac:dyDescent="0.25">
      <c r="K751" s="21" t="s">
        <v>3151</v>
      </c>
    </row>
    <row r="752" spans="11:11" x14ac:dyDescent="0.25">
      <c r="K752" s="21" t="s">
        <v>521</v>
      </c>
    </row>
    <row r="753" spans="11:11" x14ac:dyDescent="0.25">
      <c r="K753" s="21" t="s">
        <v>3298</v>
      </c>
    </row>
    <row r="754" spans="11:11" x14ac:dyDescent="0.25">
      <c r="K754" s="21" t="s">
        <v>1864</v>
      </c>
    </row>
    <row r="755" spans="11:11" x14ac:dyDescent="0.25">
      <c r="K755" s="21" t="s">
        <v>3813</v>
      </c>
    </row>
    <row r="756" spans="11:11" x14ac:dyDescent="0.25">
      <c r="K756" s="21" t="s">
        <v>522</v>
      </c>
    </row>
    <row r="757" spans="11:11" x14ac:dyDescent="0.25">
      <c r="K757" s="21" t="s">
        <v>796</v>
      </c>
    </row>
    <row r="758" spans="11:11" x14ac:dyDescent="0.25">
      <c r="K758" s="21" t="s">
        <v>3130</v>
      </c>
    </row>
    <row r="759" spans="11:11" x14ac:dyDescent="0.25">
      <c r="K759" s="21" t="s">
        <v>1840</v>
      </c>
    </row>
    <row r="760" spans="11:11" x14ac:dyDescent="0.25">
      <c r="K760" s="21" t="s">
        <v>2444</v>
      </c>
    </row>
    <row r="761" spans="11:11" x14ac:dyDescent="0.25">
      <c r="K761" s="21" t="s">
        <v>3668</v>
      </c>
    </row>
    <row r="762" spans="11:11" x14ac:dyDescent="0.25">
      <c r="K762" s="21" t="s">
        <v>2644</v>
      </c>
    </row>
    <row r="763" spans="11:11" x14ac:dyDescent="0.25">
      <c r="K763" s="21" t="s">
        <v>3288</v>
      </c>
    </row>
    <row r="764" spans="11:11" x14ac:dyDescent="0.25">
      <c r="K764" s="21" t="s">
        <v>793</v>
      </c>
    </row>
    <row r="765" spans="11:11" x14ac:dyDescent="0.25">
      <c r="K765" s="21" t="s">
        <v>6002</v>
      </c>
    </row>
    <row r="766" spans="11:11" x14ac:dyDescent="0.25">
      <c r="K766" s="21" t="s">
        <v>523</v>
      </c>
    </row>
    <row r="767" spans="11:11" x14ac:dyDescent="0.25">
      <c r="K767" s="21" t="s">
        <v>2698</v>
      </c>
    </row>
    <row r="768" spans="11:11" x14ac:dyDescent="0.25">
      <c r="K768" s="21" t="s">
        <v>524</v>
      </c>
    </row>
    <row r="769" spans="11:11" x14ac:dyDescent="0.25">
      <c r="K769" s="21" t="s">
        <v>525</v>
      </c>
    </row>
    <row r="770" spans="11:11" x14ac:dyDescent="0.25">
      <c r="K770" s="21" t="s">
        <v>3141</v>
      </c>
    </row>
    <row r="771" spans="11:11" x14ac:dyDescent="0.25">
      <c r="K771" s="21" t="s">
        <v>364</v>
      </c>
    </row>
    <row r="772" spans="11:11" x14ac:dyDescent="0.25">
      <c r="K772" s="21" t="s">
        <v>317</v>
      </c>
    </row>
    <row r="773" spans="11:11" x14ac:dyDescent="0.25">
      <c r="K773" s="21" t="s">
        <v>710</v>
      </c>
    </row>
    <row r="774" spans="11:11" x14ac:dyDescent="0.25">
      <c r="K774" s="21" t="s">
        <v>3247</v>
      </c>
    </row>
    <row r="775" spans="11:11" x14ac:dyDescent="0.25">
      <c r="K775" s="21" t="s">
        <v>526</v>
      </c>
    </row>
    <row r="776" spans="11:11" x14ac:dyDescent="0.25">
      <c r="K776" s="21" t="s">
        <v>794</v>
      </c>
    </row>
    <row r="777" spans="11:11" x14ac:dyDescent="0.25">
      <c r="K777" s="21" t="s">
        <v>527</v>
      </c>
    </row>
    <row r="778" spans="11:11" x14ac:dyDescent="0.25">
      <c r="K778" s="21" t="s">
        <v>528</v>
      </c>
    </row>
    <row r="779" spans="11:11" x14ac:dyDescent="0.25">
      <c r="K779" s="21" t="s">
        <v>3277</v>
      </c>
    </row>
    <row r="780" spans="11:11" x14ac:dyDescent="0.25">
      <c r="K780" s="21" t="s">
        <v>529</v>
      </c>
    </row>
    <row r="781" spans="11:11" x14ac:dyDescent="0.25">
      <c r="K781" s="21" t="s">
        <v>3172</v>
      </c>
    </row>
    <row r="782" spans="11:11" x14ac:dyDescent="0.25">
      <c r="K782" s="21" t="s">
        <v>530</v>
      </c>
    </row>
    <row r="783" spans="11:11" x14ac:dyDescent="0.25">
      <c r="K783" s="21" t="s">
        <v>531</v>
      </c>
    </row>
    <row r="784" spans="11:11" x14ac:dyDescent="0.25">
      <c r="K784" s="21" t="s">
        <v>2187</v>
      </c>
    </row>
    <row r="785" spans="11:11" x14ac:dyDescent="0.25">
      <c r="K785" s="21" t="s">
        <v>2170</v>
      </c>
    </row>
    <row r="786" spans="11:11" x14ac:dyDescent="0.25">
      <c r="K786" s="21" t="s">
        <v>1838</v>
      </c>
    </row>
    <row r="787" spans="11:11" x14ac:dyDescent="0.25">
      <c r="K787" s="21" t="s">
        <v>795</v>
      </c>
    </row>
    <row r="788" spans="11:11" x14ac:dyDescent="0.25">
      <c r="K788" s="21" t="s">
        <v>2465</v>
      </c>
    </row>
    <row r="789" spans="11:11" x14ac:dyDescent="0.25">
      <c r="K789" s="21" t="s">
        <v>532</v>
      </c>
    </row>
    <row r="790" spans="11:11" x14ac:dyDescent="0.25">
      <c r="K790" s="21" t="s">
        <v>533</v>
      </c>
    </row>
    <row r="791" spans="11:11" x14ac:dyDescent="0.25">
      <c r="K791" s="21" t="s">
        <v>2663</v>
      </c>
    </row>
    <row r="792" spans="11:11" x14ac:dyDescent="0.25">
      <c r="K792" s="21" t="s">
        <v>1853</v>
      </c>
    </row>
    <row r="793" spans="11:11" x14ac:dyDescent="0.25">
      <c r="K793" s="21" t="s">
        <v>3341</v>
      </c>
    </row>
    <row r="794" spans="11:11" x14ac:dyDescent="0.25">
      <c r="K794" s="21" t="s">
        <v>806</v>
      </c>
    </row>
    <row r="795" spans="11:11" x14ac:dyDescent="0.25">
      <c r="K795" s="21" t="s">
        <v>374</v>
      </c>
    </row>
    <row r="796" spans="11:11" x14ac:dyDescent="0.25">
      <c r="K796" s="21" t="s">
        <v>3290</v>
      </c>
    </row>
    <row r="797" spans="11:11" x14ac:dyDescent="0.25">
      <c r="K797" s="21" t="s">
        <v>2353</v>
      </c>
    </row>
    <row r="798" spans="11:11" x14ac:dyDescent="0.25">
      <c r="K798" s="21" t="s">
        <v>840</v>
      </c>
    </row>
    <row r="799" spans="11:11" x14ac:dyDescent="0.25">
      <c r="K799" s="21" t="s">
        <v>3536</v>
      </c>
    </row>
    <row r="800" spans="11:11" x14ac:dyDescent="0.25">
      <c r="K800" s="21" t="s">
        <v>2672</v>
      </c>
    </row>
    <row r="801" spans="11:11" x14ac:dyDescent="0.25">
      <c r="K801" s="21" t="s">
        <v>2438</v>
      </c>
    </row>
    <row r="802" spans="11:11" x14ac:dyDescent="0.25">
      <c r="K802" s="21" t="s">
        <v>2154</v>
      </c>
    </row>
    <row r="803" spans="11:11" x14ac:dyDescent="0.25">
      <c r="K803" s="21" t="s">
        <v>1592</v>
      </c>
    </row>
    <row r="804" spans="11:11" x14ac:dyDescent="0.25">
      <c r="K804" s="21" t="s">
        <v>2045</v>
      </c>
    </row>
    <row r="805" spans="11:11" x14ac:dyDescent="0.25">
      <c r="K805" s="21" t="s">
        <v>2364</v>
      </c>
    </row>
    <row r="806" spans="11:11" x14ac:dyDescent="0.25">
      <c r="K806" s="21" t="s">
        <v>534</v>
      </c>
    </row>
    <row r="807" spans="11:11" x14ac:dyDescent="0.25">
      <c r="K807" s="21" t="s">
        <v>1860</v>
      </c>
    </row>
    <row r="808" spans="11:11" x14ac:dyDescent="0.25">
      <c r="K808" s="21" t="s">
        <v>1631</v>
      </c>
    </row>
    <row r="809" spans="11:11" x14ac:dyDescent="0.25">
      <c r="K809" s="21" t="s">
        <v>677</v>
      </c>
    </row>
    <row r="810" spans="11:11" x14ac:dyDescent="0.25">
      <c r="K810" s="21" t="s">
        <v>3204</v>
      </c>
    </row>
    <row r="811" spans="11:11" x14ac:dyDescent="0.25">
      <c r="K811" s="21" t="s">
        <v>3544</v>
      </c>
    </row>
    <row r="812" spans="11:11" x14ac:dyDescent="0.25">
      <c r="K812" s="21" t="s">
        <v>733</v>
      </c>
    </row>
    <row r="813" spans="11:11" x14ac:dyDescent="0.25">
      <c r="K813" s="21" t="s">
        <v>846</v>
      </c>
    </row>
    <row r="814" spans="11:11" x14ac:dyDescent="0.25">
      <c r="K814" s="21" t="s">
        <v>3187</v>
      </c>
    </row>
    <row r="815" spans="11:11" x14ac:dyDescent="0.25">
      <c r="K815" s="21" t="s">
        <v>814</v>
      </c>
    </row>
    <row r="816" spans="11:11" x14ac:dyDescent="0.25">
      <c r="K816" s="21" t="s">
        <v>1814</v>
      </c>
    </row>
    <row r="817" spans="11:11" x14ac:dyDescent="0.25">
      <c r="K817" s="21" t="s">
        <v>535</v>
      </c>
    </row>
    <row r="818" spans="11:11" x14ac:dyDescent="0.25">
      <c r="K818" s="21" t="s">
        <v>1759</v>
      </c>
    </row>
    <row r="819" spans="11:11" x14ac:dyDescent="0.25">
      <c r="K819" s="21" t="s">
        <v>2731</v>
      </c>
    </row>
    <row r="820" spans="11:11" x14ac:dyDescent="0.25">
      <c r="K820" s="21" t="s">
        <v>1916</v>
      </c>
    </row>
    <row r="821" spans="11:11" x14ac:dyDescent="0.25">
      <c r="K821" s="21" t="s">
        <v>824</v>
      </c>
    </row>
    <row r="822" spans="11:11" x14ac:dyDescent="0.25">
      <c r="K822" s="21" t="s">
        <v>3542</v>
      </c>
    </row>
    <row r="823" spans="11:11" x14ac:dyDescent="0.25">
      <c r="K823" s="21" t="s">
        <v>2865</v>
      </c>
    </row>
    <row r="824" spans="11:11" x14ac:dyDescent="0.25">
      <c r="K824" s="21" t="s">
        <v>1880</v>
      </c>
    </row>
    <row r="825" spans="11:11" x14ac:dyDescent="0.25">
      <c r="K825" s="21" t="s">
        <v>2737</v>
      </c>
    </row>
    <row r="826" spans="11:11" x14ac:dyDescent="0.25">
      <c r="K826" s="21" t="s">
        <v>2162</v>
      </c>
    </row>
    <row r="827" spans="11:11" x14ac:dyDescent="0.25">
      <c r="K827" s="21" t="s">
        <v>1704</v>
      </c>
    </row>
    <row r="828" spans="11:11" x14ac:dyDescent="0.25">
      <c r="K828" s="21" t="s">
        <v>2788</v>
      </c>
    </row>
    <row r="829" spans="11:11" x14ac:dyDescent="0.25">
      <c r="K829" s="21" t="s">
        <v>2786</v>
      </c>
    </row>
    <row r="830" spans="11:11" x14ac:dyDescent="0.25">
      <c r="K830" s="21" t="s">
        <v>2709</v>
      </c>
    </row>
    <row r="831" spans="11:11" x14ac:dyDescent="0.25">
      <c r="K831" s="21" t="s">
        <v>354</v>
      </c>
    </row>
    <row r="832" spans="11:11" x14ac:dyDescent="0.25">
      <c r="K832" s="21" t="s">
        <v>2711</v>
      </c>
    </row>
    <row r="833" spans="11:11" x14ac:dyDescent="0.25">
      <c r="K833" s="21" t="s">
        <v>1848</v>
      </c>
    </row>
    <row r="834" spans="11:11" x14ac:dyDescent="0.25">
      <c r="K834" s="21" t="s">
        <v>593</v>
      </c>
    </row>
    <row r="835" spans="11:11" x14ac:dyDescent="0.25">
      <c r="K835" s="21" t="s">
        <v>1886</v>
      </c>
    </row>
    <row r="836" spans="11:11" x14ac:dyDescent="0.25">
      <c r="K836" s="21" t="s">
        <v>536</v>
      </c>
    </row>
    <row r="837" spans="11:11" x14ac:dyDescent="0.25">
      <c r="K837" s="21" t="s">
        <v>1931</v>
      </c>
    </row>
    <row r="838" spans="11:11" x14ac:dyDescent="0.25">
      <c r="K838" s="21" t="s">
        <v>3173</v>
      </c>
    </row>
    <row r="839" spans="11:11" x14ac:dyDescent="0.25">
      <c r="K839" s="21" t="s">
        <v>2823</v>
      </c>
    </row>
    <row r="840" spans="11:11" x14ac:dyDescent="0.25">
      <c r="K840" s="21" t="s">
        <v>1951</v>
      </c>
    </row>
    <row r="841" spans="11:11" x14ac:dyDescent="0.25">
      <c r="K841" s="21" t="s">
        <v>5347</v>
      </c>
    </row>
    <row r="842" spans="11:11" x14ac:dyDescent="0.25">
      <c r="K842" s="21" t="s">
        <v>2463</v>
      </c>
    </row>
    <row r="843" spans="11:11" x14ac:dyDescent="0.25">
      <c r="K843" s="21" t="s">
        <v>2680</v>
      </c>
    </row>
    <row r="844" spans="11:11" x14ac:dyDescent="0.25">
      <c r="K844" s="21" t="s">
        <v>1952</v>
      </c>
    </row>
    <row r="845" spans="11:11" x14ac:dyDescent="0.25">
      <c r="K845" s="21" t="s">
        <v>1996</v>
      </c>
    </row>
    <row r="846" spans="11:11" x14ac:dyDescent="0.25">
      <c r="K846" s="21" t="s">
        <v>537</v>
      </c>
    </row>
    <row r="847" spans="11:11" x14ac:dyDescent="0.25">
      <c r="K847" s="21" t="s">
        <v>3119</v>
      </c>
    </row>
    <row r="848" spans="11:11" x14ac:dyDescent="0.25">
      <c r="K848" s="21" t="s">
        <v>2502</v>
      </c>
    </row>
    <row r="849" spans="11:11" x14ac:dyDescent="0.25">
      <c r="K849" s="21" t="s">
        <v>789</v>
      </c>
    </row>
    <row r="850" spans="11:11" x14ac:dyDescent="0.25">
      <c r="K850" s="21" t="s">
        <v>3229</v>
      </c>
    </row>
    <row r="851" spans="11:11" x14ac:dyDescent="0.25">
      <c r="K851" s="21" t="s">
        <v>3174</v>
      </c>
    </row>
    <row r="852" spans="11:11" x14ac:dyDescent="0.25">
      <c r="K852" s="21" t="s">
        <v>3267</v>
      </c>
    </row>
    <row r="853" spans="11:11" x14ac:dyDescent="0.25">
      <c r="K853" s="21" t="s">
        <v>3444</v>
      </c>
    </row>
    <row r="854" spans="11:11" x14ac:dyDescent="0.25">
      <c r="K854" s="21" t="s">
        <v>702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zoomScale="85" zoomScaleNormal="85" workbookViewId="0">
      <selection activeCell="D11" sqref="D11"/>
    </sheetView>
  </sheetViews>
  <sheetFormatPr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8"/>
      <c r="F1" s="49"/>
      <c r="G1" s="49"/>
      <c r="H1" s="49"/>
      <c r="I1"/>
    </row>
    <row r="2" spans="1:9" ht="20.100000000000001" customHeight="1" x14ac:dyDescent="0.25">
      <c r="A2"/>
      <c r="B2"/>
      <c r="C2"/>
      <c r="D2" s="48" t="s">
        <v>223</v>
      </c>
      <c r="E2" s="151" t="s">
        <v>222</v>
      </c>
      <c r="F2" s="152" t="s">
        <v>221</v>
      </c>
      <c r="G2" s="153" t="s">
        <v>220</v>
      </c>
      <c r="H2" s="154" t="s">
        <v>5518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40"/>
      <c r="B5" s="41" t="s">
        <v>206</v>
      </c>
      <c r="C5" s="40"/>
      <c r="D5" s="40"/>
      <c r="E5" s="40"/>
      <c r="F5" s="40"/>
      <c r="G5" s="40"/>
      <c r="H5" s="40"/>
      <c r="I5" s="40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7" t="s">
        <v>184</v>
      </c>
      <c r="C7" s="156" t="s">
        <v>12</v>
      </c>
      <c r="D7"/>
      <c r="E7"/>
      <c r="F7"/>
      <c r="G7"/>
      <c r="H7"/>
      <c r="I7"/>
    </row>
    <row r="8" spans="1:9" ht="24.95" customHeight="1" x14ac:dyDescent="0.25">
      <c r="A8"/>
      <c r="B8" s="157" t="s">
        <v>5514</v>
      </c>
      <c r="C8" s="156" t="s">
        <v>13</v>
      </c>
      <c r="D8"/>
      <c r="E8"/>
      <c r="F8"/>
      <c r="G8"/>
      <c r="H8"/>
      <c r="I8"/>
    </row>
    <row r="9" spans="1:9" s="57" customFormat="1" ht="24.95" customHeight="1" x14ac:dyDescent="0.25">
      <c r="A9" s="13"/>
      <c r="B9" s="157" t="s">
        <v>5515</v>
      </c>
      <c r="C9" s="156" t="s">
        <v>12</v>
      </c>
      <c r="D9" s="13"/>
      <c r="E9" s="13"/>
      <c r="F9" s="13"/>
      <c r="G9" s="13"/>
      <c r="H9" s="13"/>
      <c r="I9" s="13"/>
    </row>
    <row r="10" spans="1:9" s="57" customFormat="1" ht="24.95" customHeight="1" x14ac:dyDescent="0.25">
      <c r="A10" s="13"/>
      <c r="B10" s="157" t="s">
        <v>135</v>
      </c>
      <c r="C10" s="234" t="s">
        <v>229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7" t="s">
        <v>227</v>
      </c>
      <c r="C11" s="234" t="s">
        <v>27</v>
      </c>
      <c r="D11"/>
      <c r="E11"/>
      <c r="F11"/>
      <c r="G11"/>
      <c r="H11"/>
      <c r="I11"/>
    </row>
    <row r="12" spans="1:9" ht="24.95" customHeight="1" x14ac:dyDescent="0.25">
      <c r="A12"/>
      <c r="B12" s="157" t="s">
        <v>224</v>
      </c>
      <c r="C12" s="234" t="s">
        <v>26</v>
      </c>
      <c r="D12"/>
      <c r="E12"/>
      <c r="F12"/>
      <c r="G12"/>
      <c r="H12"/>
      <c r="I12"/>
    </row>
    <row r="13" spans="1:9" ht="24.95" customHeight="1" x14ac:dyDescent="0.25">
      <c r="A13"/>
      <c r="B13" s="157" t="s">
        <v>6138</v>
      </c>
      <c r="C13" s="234" t="s">
        <v>6139</v>
      </c>
      <c r="D13"/>
      <c r="E13"/>
      <c r="F13"/>
      <c r="G13"/>
      <c r="H13"/>
      <c r="I13"/>
    </row>
    <row r="14" spans="1:9" ht="24.95" customHeight="1" x14ac:dyDescent="0.25">
      <c r="A14"/>
      <c r="B14" s="157" t="s">
        <v>226</v>
      </c>
      <c r="C14" s="234">
        <f>VLOOKUP(C12,Aux_Lista!X:Y,2,FALSE)</f>
        <v>3</v>
      </c>
      <c r="D14"/>
      <c r="E14"/>
      <c r="F14"/>
      <c r="G14"/>
      <c r="H14"/>
      <c r="I14"/>
    </row>
    <row r="15" spans="1:9" ht="24.95" customHeight="1" x14ac:dyDescent="0.25">
      <c r="A15"/>
      <c r="B15" s="157" t="s">
        <v>225</v>
      </c>
      <c r="C15" s="156">
        <v>1500</v>
      </c>
      <c r="D15"/>
      <c r="E15"/>
      <c r="F15"/>
      <c r="G15"/>
      <c r="H15"/>
      <c r="I15"/>
    </row>
    <row r="16" spans="1:9" ht="24.95" customHeight="1" x14ac:dyDescent="0.25">
      <c r="A16"/>
      <c r="B16" s="157" t="s">
        <v>228</v>
      </c>
      <c r="C16" s="79" t="s">
        <v>51</v>
      </c>
      <c r="D16"/>
      <c r="E16"/>
      <c r="F16"/>
      <c r="G16"/>
      <c r="H16"/>
      <c r="I16"/>
    </row>
    <row r="17" spans="1:9" ht="24.95" customHeight="1" x14ac:dyDescent="0.25">
      <c r="A17"/>
      <c r="B17" s="157" t="s">
        <v>6136</v>
      </c>
      <c r="C17" s="358">
        <f>((25*3*4)+(25*25))/(25*25*3)</f>
        <v>0.49333333333333335</v>
      </c>
      <c r="D17"/>
      <c r="E17"/>
      <c r="F17"/>
      <c r="G17"/>
      <c r="H17"/>
      <c r="I17"/>
    </row>
    <row r="18" spans="1:9" ht="24.95" customHeight="1" x14ac:dyDescent="0.25">
      <c r="A18"/>
      <c r="B18"/>
      <c r="C18"/>
      <c r="D18"/>
      <c r="E18"/>
      <c r="F18"/>
      <c r="G18"/>
      <c r="H18"/>
      <c r="I18"/>
    </row>
    <row r="19" spans="1:9" ht="30" x14ac:dyDescent="0.25">
      <c r="A19"/>
      <c r="B19" s="75" t="s">
        <v>5861</v>
      </c>
      <c r="C19" s="79" t="s">
        <v>5905</v>
      </c>
      <c r="D19"/>
      <c r="E19"/>
      <c r="F19"/>
      <c r="G19"/>
      <c r="H19"/>
      <c r="I19"/>
    </row>
    <row r="20" spans="1:9" ht="24.95" customHeight="1" x14ac:dyDescent="0.25">
      <c r="A20"/>
      <c r="B20" s="75" t="s">
        <v>5860</v>
      </c>
      <c r="C20" s="86">
        <f>VLOOKUP(C16,Aux_Lista!A:H,8,FALSE)</f>
        <v>15</v>
      </c>
      <c r="D20"/>
      <c r="E20"/>
      <c r="F20"/>
      <c r="G20"/>
      <c r="H20"/>
      <c r="I20"/>
    </row>
    <row r="21" spans="1:9" ht="24.95" customHeight="1" x14ac:dyDescent="0.25">
      <c r="A21"/>
      <c r="B21" s="75" t="s">
        <v>5864</v>
      </c>
      <c r="C21" s="156">
        <v>25</v>
      </c>
      <c r="D21"/>
      <c r="E21"/>
      <c r="F21"/>
      <c r="G21"/>
      <c r="H21"/>
      <c r="I21"/>
    </row>
    <row r="22" spans="1:9" ht="24.95" customHeight="1" x14ac:dyDescent="0.25">
      <c r="A22"/>
      <c r="B22" s="75" t="s">
        <v>5863</v>
      </c>
      <c r="C22" s="86">
        <f>IF(C19="Sim",C21,C20)</f>
        <v>15</v>
      </c>
      <c r="D22"/>
      <c r="E22"/>
      <c r="F22"/>
      <c r="G22"/>
      <c r="H22"/>
      <c r="I22"/>
    </row>
    <row r="23" spans="1:9" ht="15" customHeight="1" x14ac:dyDescent="0.25">
      <c r="A23"/>
      <c r="B23"/>
      <c r="C23"/>
      <c r="D23"/>
      <c r="E23"/>
      <c r="F23"/>
      <c r="G23"/>
      <c r="H23"/>
      <c r="I23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Aux_Lista!$BR$2:$BR$3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B115"/>
  <sheetViews>
    <sheetView showGridLines="0" tabSelected="1" zoomScale="85" zoomScaleNormal="85" workbookViewId="0">
      <selection activeCell="S22" sqref="S22"/>
    </sheetView>
  </sheetViews>
  <sheetFormatPr defaultRowHeight="20.100000000000001" customHeight="1" x14ac:dyDescent="0.25"/>
  <cols>
    <col min="1" max="1" width="5.7109375" style="163" customWidth="1"/>
    <col min="2" max="3" width="25.7109375" customWidth="1"/>
    <col min="4" max="4" width="13.85546875" customWidth="1"/>
    <col min="5" max="5" width="12.7109375" customWidth="1"/>
    <col min="6" max="6" width="13.85546875" customWidth="1"/>
    <col min="7" max="7" width="19.42578125" customWidth="1"/>
    <col min="8" max="8" width="25.7109375" style="1" customWidth="1"/>
    <col min="9" max="9" width="31.42578125" style="1" customWidth="1"/>
    <col min="10" max="10" width="25.7109375" style="1" customWidth="1"/>
    <col min="11" max="11" width="15.7109375" style="1" customWidth="1"/>
    <col min="12" max="18" width="15.7109375" customWidth="1"/>
    <col min="19" max="22" width="12.7109375" customWidth="1"/>
    <col min="23" max="23" width="3" customWidth="1"/>
    <col min="24" max="27" width="15.7109375" style="89" customWidth="1"/>
    <col min="28" max="28" width="5.7109375" customWidth="1"/>
    <col min="29" max="16384" width="9.140625" style="28"/>
  </cols>
  <sheetData>
    <row r="1" spans="1:28" ht="20.100000000000001" customHeight="1" x14ac:dyDescent="0.25">
      <c r="H1" s="48"/>
      <c r="I1" s="49"/>
      <c r="J1" s="49"/>
      <c r="K1" s="49"/>
      <c r="X1"/>
      <c r="Y1"/>
      <c r="Z1"/>
      <c r="AA1"/>
    </row>
    <row r="2" spans="1:28" ht="20.100000000000001" customHeight="1" x14ac:dyDescent="0.25">
      <c r="G2" s="48" t="s">
        <v>223</v>
      </c>
      <c r="H2" s="151" t="s">
        <v>222</v>
      </c>
      <c r="I2" s="152" t="s">
        <v>221</v>
      </c>
      <c r="J2" s="153" t="s">
        <v>220</v>
      </c>
      <c r="K2" s="154" t="s">
        <v>5518</v>
      </c>
      <c r="L2" s="196" t="s">
        <v>5826</v>
      </c>
      <c r="X2"/>
      <c r="Y2"/>
      <c r="Z2"/>
      <c r="AA2"/>
    </row>
    <row r="3" spans="1:28" s="29" customFormat="1" ht="20.100000000000001" customHeight="1" x14ac:dyDescent="0.25">
      <c r="A3" s="164"/>
      <c r="B3" s="27"/>
      <c r="C3" s="27"/>
      <c r="D3" s="27"/>
      <c r="E3" s="27"/>
      <c r="F3" s="27"/>
      <c r="G3" s="27"/>
      <c r="H3" s="16"/>
      <c r="I3" s="16"/>
      <c r="J3" s="16"/>
      <c r="K3" s="1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5" x14ac:dyDescent="0.25">
      <c r="X4"/>
      <c r="Y4"/>
      <c r="Z4"/>
      <c r="AA4"/>
    </row>
    <row r="5" spans="1:28" ht="18.75" x14ac:dyDescent="0.3">
      <c r="A5" s="165"/>
      <c r="B5" s="41" t="s">
        <v>192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8" ht="15" customHeight="1" x14ac:dyDescent="0.25">
      <c r="X6"/>
      <c r="Y6"/>
      <c r="Z6"/>
      <c r="AA6"/>
    </row>
    <row r="7" spans="1:28" ht="30" customHeight="1" x14ac:dyDescent="0.25">
      <c r="B7" s="75" t="s">
        <v>184</v>
      </c>
      <c r="C7" s="76" t="str">
        <f>Geral!C7</f>
        <v>Exemplo Ltda</v>
      </c>
      <c r="F7" s="389" t="str">
        <f>IF(C9="Método de Simulação","PREENCHER A ABA 'Opc_Simulação' PRIMEIRO!","")</f>
        <v/>
      </c>
      <c r="G7" s="389"/>
      <c r="H7" s="389"/>
      <c r="I7" s="389"/>
      <c r="N7" s="2"/>
      <c r="O7" s="2"/>
      <c r="P7" s="2"/>
      <c r="Q7" s="2"/>
      <c r="R7" s="187" t="s">
        <v>5831</v>
      </c>
      <c r="S7" s="206">
        <f>SUM(Aux_Lista!BB:BB)</f>
        <v>0.27</v>
      </c>
      <c r="U7" s="187" t="s">
        <v>5835</v>
      </c>
      <c r="V7" s="206">
        <f>S7/3</f>
        <v>9.0000000000000011E-2</v>
      </c>
      <c r="X7"/>
      <c r="Y7"/>
      <c r="Z7"/>
      <c r="AA7"/>
    </row>
    <row r="8" spans="1:28" ht="30" customHeight="1" x14ac:dyDescent="0.25">
      <c r="B8" s="75" t="s">
        <v>135</v>
      </c>
      <c r="C8" s="76" t="str">
        <f>Geral!C10</f>
        <v>Projeto</v>
      </c>
      <c r="F8" s="389"/>
      <c r="G8" s="389"/>
      <c r="H8" s="389"/>
      <c r="I8" s="389"/>
      <c r="X8"/>
      <c r="Y8"/>
      <c r="Z8"/>
      <c r="AA8"/>
    </row>
    <row r="9" spans="1:28" ht="30" customHeight="1" x14ac:dyDescent="0.25">
      <c r="B9" s="75" t="s">
        <v>5793</v>
      </c>
      <c r="C9" s="77" t="s">
        <v>5799</v>
      </c>
      <c r="F9" s="389"/>
      <c r="G9" s="389"/>
      <c r="H9" s="389"/>
      <c r="I9" s="389"/>
      <c r="J9" s="161"/>
      <c r="K9" s="161"/>
      <c r="Q9" s="59"/>
      <c r="R9" s="142" t="s">
        <v>34</v>
      </c>
      <c r="S9" s="143" t="s">
        <v>25</v>
      </c>
      <c r="T9" s="144" t="s">
        <v>118</v>
      </c>
      <c r="U9" s="145" t="s">
        <v>5766</v>
      </c>
      <c r="V9" s="146" t="s">
        <v>5767</v>
      </c>
      <c r="W9" s="59"/>
      <c r="X9" s="73" t="s">
        <v>5772</v>
      </c>
      <c r="Y9" s="67"/>
      <c r="Z9"/>
      <c r="AA9"/>
    </row>
    <row r="10" spans="1:28" ht="30" customHeight="1" x14ac:dyDescent="0.25">
      <c r="B10" s="75" t="s">
        <v>5911</v>
      </c>
      <c r="C10" s="84">
        <f>IF(C9="Método de Simulação",Opc_Simulação!V12,SUM(Z16:Z115))</f>
        <v>59994</v>
      </c>
      <c r="F10" s="389"/>
      <c r="G10" s="389"/>
      <c r="H10" s="389"/>
      <c r="I10" s="389"/>
      <c r="J10" s="161"/>
      <c r="K10" s="161"/>
      <c r="Q10" s="75" t="s">
        <v>5771</v>
      </c>
      <c r="R10" s="187" t="s">
        <v>14</v>
      </c>
      <c r="S10" s="187">
        <f>R11</f>
        <v>0.27</v>
      </c>
      <c r="T10" s="187">
        <f>S11</f>
        <v>0.18000000000000002</v>
      </c>
      <c r="U10" s="187">
        <f>T11</f>
        <v>9.0000000000000011E-2</v>
      </c>
      <c r="V10" s="187">
        <f>U11</f>
        <v>0</v>
      </c>
      <c r="W10" s="59"/>
      <c r="X10" s="385" t="str">
        <f>IF(C9="","",IF(C12&gt;=R11,R9,
IF(AND(C12&gt;S11,C12&lt;=S10),S9,
IF(AND(C12&gt;T11,C12&lt;=T10),T9,
IF(AND(C12&gt;=U11,C12&lt;=U10),U9,
V9)))))</f>
        <v>A</v>
      </c>
      <c r="Y10" s="248"/>
      <c r="Z10"/>
      <c r="AA10"/>
    </row>
    <row r="11" spans="1:28" ht="30" customHeight="1" x14ac:dyDescent="0.25">
      <c r="B11" s="75" t="s">
        <v>5912</v>
      </c>
      <c r="C11" s="84">
        <f>IF(C9="Método de Simulação",Opc_Simulação!U12,SUM(AA16:AA115))</f>
        <v>39114</v>
      </c>
      <c r="F11" s="389"/>
      <c r="G11" s="389"/>
      <c r="H11" s="389"/>
      <c r="I11" s="389"/>
      <c r="J11" s="161"/>
      <c r="K11" s="161"/>
      <c r="Q11" s="75" t="s">
        <v>5770</v>
      </c>
      <c r="R11" s="187">
        <f>V7*3</f>
        <v>0.27</v>
      </c>
      <c r="S11" s="187">
        <f>V7*2</f>
        <v>0.18000000000000002</v>
      </c>
      <c r="T11" s="187">
        <f>V7</f>
        <v>9.0000000000000011E-2</v>
      </c>
      <c r="U11" s="187">
        <v>0</v>
      </c>
      <c r="V11" s="187" t="s">
        <v>14</v>
      </c>
      <c r="X11" s="385"/>
      <c r="Y11" s="248"/>
      <c r="Z11"/>
      <c r="AA11"/>
    </row>
    <row r="12" spans="1:28" ht="30" customHeight="1" x14ac:dyDescent="0.25">
      <c r="B12" s="75" t="s">
        <v>5800</v>
      </c>
      <c r="C12" s="85">
        <f>IF(ISERROR((C10-C11)/C10),0,(C10-C11)/C10)</f>
        <v>0.34803480348034804</v>
      </c>
      <c r="H12" s="161"/>
      <c r="I12" s="161"/>
      <c r="J12" s="161"/>
      <c r="K12" s="161"/>
      <c r="X12"/>
      <c r="Y12"/>
      <c r="Z12"/>
      <c r="AA12"/>
    </row>
    <row r="13" spans="1:28" ht="30" customHeight="1" x14ac:dyDescent="0.25">
      <c r="B13" s="75" t="s">
        <v>5798</v>
      </c>
      <c r="C13" s="86" t="str">
        <f>X10</f>
        <v>A</v>
      </c>
      <c r="H13" s="161"/>
      <c r="I13" s="161"/>
      <c r="J13" s="161"/>
      <c r="K13" s="161"/>
      <c r="X13"/>
      <c r="Y13"/>
      <c r="Z13"/>
      <c r="AA13"/>
    </row>
    <row r="14" spans="1:28" ht="24.95" customHeight="1" x14ac:dyDescent="0.25">
      <c r="L14" s="1"/>
      <c r="M14" s="1"/>
      <c r="S14" s="386" t="s">
        <v>202</v>
      </c>
      <c r="T14" s="387"/>
      <c r="U14" s="387"/>
      <c r="V14" s="388"/>
      <c r="X14"/>
      <c r="Y14"/>
      <c r="Z14"/>
      <c r="AA14"/>
    </row>
    <row r="15" spans="1:28" s="47" customFormat="1" ht="53.25" customHeight="1" x14ac:dyDescent="0.2">
      <c r="A15" s="166"/>
      <c r="B15" s="81" t="s">
        <v>193</v>
      </c>
      <c r="C15" s="81" t="s">
        <v>194</v>
      </c>
      <c r="D15" s="81" t="s">
        <v>61</v>
      </c>
      <c r="E15" s="81" t="s">
        <v>5773</v>
      </c>
      <c r="F15" s="81" t="s">
        <v>49</v>
      </c>
      <c r="G15" s="81" t="s">
        <v>50</v>
      </c>
      <c r="H15" s="81" t="s">
        <v>195</v>
      </c>
      <c r="I15" s="81" t="s">
        <v>196</v>
      </c>
      <c r="J15" s="81" t="s">
        <v>197</v>
      </c>
      <c r="K15" s="81" t="s">
        <v>5801</v>
      </c>
      <c r="L15" s="81" t="s">
        <v>5802</v>
      </c>
      <c r="M15" s="81" t="s">
        <v>5803</v>
      </c>
      <c r="N15" s="81" t="s">
        <v>5774</v>
      </c>
      <c r="O15" s="81" t="s">
        <v>6098</v>
      </c>
      <c r="P15" s="81" t="s">
        <v>6095</v>
      </c>
      <c r="Q15" s="81" t="s">
        <v>6096</v>
      </c>
      <c r="R15" s="81" t="s">
        <v>6097</v>
      </c>
      <c r="S15" s="81" t="s">
        <v>203</v>
      </c>
      <c r="T15" s="81" t="s">
        <v>208</v>
      </c>
      <c r="U15" s="81" t="s">
        <v>5792</v>
      </c>
      <c r="V15" s="81" t="s">
        <v>205</v>
      </c>
      <c r="W15" s="46"/>
      <c r="X15" s="81" t="s">
        <v>6121</v>
      </c>
      <c r="Y15" s="81" t="s">
        <v>5910</v>
      </c>
      <c r="Z15" s="81" t="s">
        <v>5805</v>
      </c>
      <c r="AA15" s="81" t="s">
        <v>5804</v>
      </c>
      <c r="AB15" s="46"/>
    </row>
    <row r="16" spans="1:28" s="91" customFormat="1" ht="20.100000000000001" customHeight="1" x14ac:dyDescent="0.25">
      <c r="A16" s="167">
        <v>1</v>
      </c>
      <c r="B16" s="80">
        <v>1</v>
      </c>
      <c r="C16" s="80" t="s">
        <v>6131</v>
      </c>
      <c r="D16" s="80">
        <v>92.25</v>
      </c>
      <c r="E16" s="80">
        <v>3</v>
      </c>
      <c r="F16" s="79" t="s">
        <v>64</v>
      </c>
      <c r="G16" s="79" t="s">
        <v>62</v>
      </c>
      <c r="H16" s="79" t="s">
        <v>51</v>
      </c>
      <c r="I16" s="79" t="s">
        <v>211</v>
      </c>
      <c r="J16" s="79" t="s">
        <v>213</v>
      </c>
      <c r="K16" s="80" t="s">
        <v>5519</v>
      </c>
      <c r="L16" s="80" t="s">
        <v>5519</v>
      </c>
      <c r="M16" s="80" t="s">
        <v>5519</v>
      </c>
      <c r="N16" s="80">
        <v>50</v>
      </c>
      <c r="O16" s="79" t="s">
        <v>5862</v>
      </c>
      <c r="P16" s="80">
        <v>0</v>
      </c>
      <c r="Q16" s="80">
        <v>0</v>
      </c>
      <c r="R16" s="80">
        <v>0</v>
      </c>
      <c r="S16" s="80">
        <v>14.1</v>
      </c>
      <c r="T16" s="82">
        <f>IF(ISERROR(VLOOKUP($H16,Aux_Lista!$A$2:$K$12,8,FALSE)),"",VLOOKUP($H16,Aux_Lista!$A$2:$K$12,8,FALSE))</f>
        <v>15</v>
      </c>
      <c r="U16" s="83">
        <f>IF(ISERROR(VLOOKUP($H16,Aux_Lista!$A$2:$K$12,9,FALSE)^-1),"",VLOOKUP($H16,Aux_Lista!$A$2:$K$12,9,FALSE)^-1)</f>
        <v>0.1</v>
      </c>
      <c r="V16" s="83">
        <f>IF(ISERROR(VLOOKUP($H16,Aux_Lista!$A$2:$K$12,10,FALSE)),"",VLOOKUP($H16,Aux_Lista!$A$2:$K$12,10,FALSE))</f>
        <v>10</v>
      </c>
      <c r="W16" s="90"/>
      <c r="X16" s="87" t="str">
        <f>ArCondicionado!F31</f>
        <v>Split 36000 BTU/h</v>
      </c>
      <c r="Y16" s="256" t="str">
        <f>ArCondicionado!AK31</f>
        <v>Sim</v>
      </c>
      <c r="Z16" s="88">
        <v>10947</v>
      </c>
      <c r="AA16" s="88">
        <v>6221</v>
      </c>
      <c r="AB16" s="90"/>
    </row>
    <row r="17" spans="1:28" s="30" customFormat="1" ht="20.100000000000001" customHeight="1" x14ac:dyDescent="0.25">
      <c r="A17" s="168">
        <v>2</v>
      </c>
      <c r="B17" s="80">
        <v>1</v>
      </c>
      <c r="C17" s="80" t="s">
        <v>6132</v>
      </c>
      <c r="D17" s="80">
        <v>92.25</v>
      </c>
      <c r="E17" s="80">
        <v>3</v>
      </c>
      <c r="F17" s="79" t="s">
        <v>68</v>
      </c>
      <c r="G17" s="79" t="s">
        <v>62</v>
      </c>
      <c r="H17" s="79" t="s">
        <v>51</v>
      </c>
      <c r="I17" s="79" t="s">
        <v>211</v>
      </c>
      <c r="J17" s="79" t="s">
        <v>214</v>
      </c>
      <c r="K17" s="80" t="s">
        <v>5519</v>
      </c>
      <c r="L17" s="80" t="s">
        <v>5519</v>
      </c>
      <c r="M17" s="80" t="s">
        <v>5519</v>
      </c>
      <c r="N17" s="80">
        <v>0</v>
      </c>
      <c r="O17" s="79" t="s">
        <v>5905</v>
      </c>
      <c r="P17" s="80">
        <v>0</v>
      </c>
      <c r="Q17" s="80">
        <v>0</v>
      </c>
      <c r="R17" s="80">
        <v>0</v>
      </c>
      <c r="S17" s="80">
        <v>14.1</v>
      </c>
      <c r="T17" s="82">
        <f>IF(ISERROR(VLOOKUP($H17,Aux_Lista!$A$2:$K$12,8,FALSE)),"",VLOOKUP($H17,Aux_Lista!$A$2:$K$12,8,FALSE))</f>
        <v>15</v>
      </c>
      <c r="U17" s="83">
        <f>IF(ISERROR(VLOOKUP($H17,Aux_Lista!$A$2:$K$12,9,FALSE)^-1),"",VLOOKUP($H17,Aux_Lista!$A$2:$K$12,9,FALSE)^-1)</f>
        <v>0.1</v>
      </c>
      <c r="V17" s="83">
        <f>IF(ISERROR(VLOOKUP($H17,Aux_Lista!$A$2:$K$12,10,FALSE)),"",VLOOKUP($H17,Aux_Lista!$A$2:$K$12,10,FALSE))</f>
        <v>10</v>
      </c>
      <c r="W17" s="2"/>
      <c r="X17" s="87" t="str">
        <f>ArCondicionado!F32</f>
        <v>Split 36000 BTU/h</v>
      </c>
      <c r="Y17" s="256" t="str">
        <f>ArCondicionado!AK32</f>
        <v>Sim</v>
      </c>
      <c r="Z17" s="88">
        <v>6861</v>
      </c>
      <c r="AA17" s="88">
        <v>6302</v>
      </c>
      <c r="AB17" s="2"/>
    </row>
    <row r="18" spans="1:28" s="30" customFormat="1" ht="20.100000000000001" customHeight="1" x14ac:dyDescent="0.25">
      <c r="A18" s="167">
        <v>3</v>
      </c>
      <c r="B18" s="80">
        <v>1</v>
      </c>
      <c r="C18" s="80" t="s">
        <v>6133</v>
      </c>
      <c r="D18" s="80">
        <v>92.25</v>
      </c>
      <c r="E18" s="80">
        <v>3</v>
      </c>
      <c r="F18" s="79" t="s">
        <v>67</v>
      </c>
      <c r="G18" s="79" t="s">
        <v>62</v>
      </c>
      <c r="H18" s="79" t="s">
        <v>51</v>
      </c>
      <c r="I18" s="79" t="s">
        <v>211</v>
      </c>
      <c r="J18" s="79" t="s">
        <v>213</v>
      </c>
      <c r="K18" s="80" t="s">
        <v>5519</v>
      </c>
      <c r="L18" s="80" t="s">
        <v>5519</v>
      </c>
      <c r="M18" s="80" t="s">
        <v>5519</v>
      </c>
      <c r="N18" s="80">
        <v>0</v>
      </c>
      <c r="O18" s="79" t="s">
        <v>5905</v>
      </c>
      <c r="P18" s="80">
        <v>0</v>
      </c>
      <c r="Q18" s="80">
        <v>0</v>
      </c>
      <c r="R18" s="80">
        <v>0</v>
      </c>
      <c r="S18" s="80">
        <v>14.1</v>
      </c>
      <c r="T18" s="82">
        <f>IF(ISERROR(VLOOKUP($H18,Aux_Lista!$A$2:$K$12,8,FALSE)),"",VLOOKUP($H18,Aux_Lista!$A$2:$K$12,8,FALSE))</f>
        <v>15</v>
      </c>
      <c r="U18" s="83">
        <f>IF(ISERROR(VLOOKUP($H18,Aux_Lista!$A$2:$K$12,9,FALSE)^-1),"",VLOOKUP($H18,Aux_Lista!$A$2:$K$12,9,FALSE)^-1)</f>
        <v>0.1</v>
      </c>
      <c r="V18" s="83">
        <f>IF(ISERROR(VLOOKUP($H18,Aux_Lista!$A$2:$K$12,10,FALSE)),"",VLOOKUP($H18,Aux_Lista!$A$2:$K$12,10,FALSE))</f>
        <v>10</v>
      </c>
      <c r="W18" s="2"/>
      <c r="X18" s="87" t="str">
        <f>ArCondicionado!F33</f>
        <v>Split 36000 BTU/h</v>
      </c>
      <c r="Y18" s="256" t="str">
        <f>ArCondicionado!AK33</f>
        <v>Sim</v>
      </c>
      <c r="Z18" s="88">
        <v>8407</v>
      </c>
      <c r="AA18" s="88">
        <v>6882</v>
      </c>
      <c r="AB18" s="2"/>
    </row>
    <row r="19" spans="1:28" s="30" customFormat="1" ht="20.100000000000001" customHeight="1" x14ac:dyDescent="0.25">
      <c r="A19" s="168">
        <v>4</v>
      </c>
      <c r="B19" s="80">
        <v>1</v>
      </c>
      <c r="C19" s="80" t="s">
        <v>6134</v>
      </c>
      <c r="D19" s="80">
        <v>92.25</v>
      </c>
      <c r="E19" s="80">
        <v>3</v>
      </c>
      <c r="F19" s="79" t="s">
        <v>71</v>
      </c>
      <c r="G19" s="79" t="s">
        <v>62</v>
      </c>
      <c r="H19" s="79" t="s">
        <v>51</v>
      </c>
      <c r="I19" s="79" t="s">
        <v>211</v>
      </c>
      <c r="J19" s="79" t="s">
        <v>213</v>
      </c>
      <c r="K19" s="80" t="s">
        <v>5519</v>
      </c>
      <c r="L19" s="80" t="s">
        <v>5519</v>
      </c>
      <c r="M19" s="80" t="s">
        <v>5519</v>
      </c>
      <c r="N19" s="80">
        <v>50</v>
      </c>
      <c r="O19" s="79" t="s">
        <v>5905</v>
      </c>
      <c r="P19" s="80">
        <v>0</v>
      </c>
      <c r="Q19" s="80">
        <v>0</v>
      </c>
      <c r="R19" s="80">
        <v>0</v>
      </c>
      <c r="S19" s="80">
        <v>14.1</v>
      </c>
      <c r="T19" s="82">
        <f>IF(ISERROR(VLOOKUP($H19,Aux_Lista!$A$2:$K$12,8,FALSE)),"",VLOOKUP($H19,Aux_Lista!$A$2:$K$12,8,FALSE))</f>
        <v>15</v>
      </c>
      <c r="U19" s="83">
        <f>IF(ISERROR(VLOOKUP($H19,Aux_Lista!$A$2:$K$12,9,FALSE)^-1),"",VLOOKUP($H19,Aux_Lista!$A$2:$K$12,9,FALSE)^-1)</f>
        <v>0.1</v>
      </c>
      <c r="V19" s="83">
        <f>IF(ISERROR(VLOOKUP($H19,Aux_Lista!$A$2:$K$12,10,FALSE)),"",VLOOKUP($H19,Aux_Lista!$A$2:$K$12,10,FALSE))</f>
        <v>10</v>
      </c>
      <c r="W19" s="2"/>
      <c r="X19" s="87" t="str">
        <f>ArCondicionado!F34</f>
        <v>Split 36000 BTU/h</v>
      </c>
      <c r="Y19" s="256" t="str">
        <f>ArCondicionado!AK34</f>
        <v>Sim</v>
      </c>
      <c r="Z19" s="88">
        <v>10156</v>
      </c>
      <c r="AA19" s="88">
        <v>6097</v>
      </c>
      <c r="AB19" s="2"/>
    </row>
    <row r="20" spans="1:28" s="30" customFormat="1" ht="20.100000000000001" customHeight="1" x14ac:dyDescent="0.25">
      <c r="A20" s="167">
        <v>5</v>
      </c>
      <c r="B20" s="80">
        <v>1</v>
      </c>
      <c r="C20" s="80" t="s">
        <v>6135</v>
      </c>
      <c r="D20" s="80">
        <v>256</v>
      </c>
      <c r="E20" s="80">
        <v>3</v>
      </c>
      <c r="F20" s="79" t="s">
        <v>63</v>
      </c>
      <c r="G20" s="79" t="s">
        <v>63</v>
      </c>
      <c r="H20" s="79" t="s">
        <v>51</v>
      </c>
      <c r="I20" s="79" t="s">
        <v>211</v>
      </c>
      <c r="J20" s="79" t="s">
        <v>213</v>
      </c>
      <c r="K20" s="80" t="s">
        <v>5519</v>
      </c>
      <c r="L20" s="80" t="s">
        <v>5519</v>
      </c>
      <c r="M20" s="80" t="s">
        <v>5519</v>
      </c>
      <c r="N20" s="80">
        <v>0</v>
      </c>
      <c r="O20" s="79" t="s">
        <v>5905</v>
      </c>
      <c r="P20" s="80">
        <v>0</v>
      </c>
      <c r="Q20" s="80">
        <v>0</v>
      </c>
      <c r="R20" s="80">
        <v>0</v>
      </c>
      <c r="S20" s="80">
        <v>14.1</v>
      </c>
      <c r="T20" s="82">
        <f>IF(ISERROR(VLOOKUP($H20,Aux_Lista!$A$2:$K$12,8,FALSE)),"",VLOOKUP($H20,Aux_Lista!$A$2:$K$12,8,FALSE))</f>
        <v>15</v>
      </c>
      <c r="U20" s="83">
        <f>IF(ISERROR(VLOOKUP($H20,Aux_Lista!$A$2:$K$12,9,FALSE)^-1),"",VLOOKUP($H20,Aux_Lista!$A$2:$K$12,9,FALSE)^-1)</f>
        <v>0.1</v>
      </c>
      <c r="V20" s="83">
        <f>IF(ISERROR(VLOOKUP($H20,Aux_Lista!$A$2:$K$12,10,FALSE)),"",VLOOKUP($H20,Aux_Lista!$A$2:$K$12,10,FALSE))</f>
        <v>10</v>
      </c>
      <c r="W20" s="2"/>
      <c r="X20" s="87" t="str">
        <f>ArCondicionado!F35</f>
        <v>Split 36000 BTU/h</v>
      </c>
      <c r="Y20" s="256" t="str">
        <f>ArCondicionado!AK35</f>
        <v>Sim</v>
      </c>
      <c r="Z20" s="88">
        <v>23623</v>
      </c>
      <c r="AA20" s="88">
        <v>13612</v>
      </c>
      <c r="AB20" s="2"/>
    </row>
    <row r="21" spans="1:28" s="30" customFormat="1" ht="20.100000000000001" customHeight="1" x14ac:dyDescent="0.25">
      <c r="A21" s="168">
        <v>6</v>
      </c>
      <c r="B21" s="80"/>
      <c r="C21" s="80"/>
      <c r="D21" s="80"/>
      <c r="E21" s="80"/>
      <c r="F21" s="79"/>
      <c r="G21" s="79"/>
      <c r="H21" s="79"/>
      <c r="I21" s="79"/>
      <c r="J21" s="79"/>
      <c r="K21" s="80"/>
      <c r="L21" s="80"/>
      <c r="M21" s="80"/>
      <c r="N21" s="80"/>
      <c r="O21" s="79" t="s">
        <v>5905</v>
      </c>
      <c r="P21" s="80"/>
      <c r="Q21" s="80"/>
      <c r="R21" s="80"/>
      <c r="S21" s="80"/>
      <c r="T21" s="82" t="str">
        <f>IF(ISERROR(VLOOKUP($H21,Aux_Lista!$A$2:$K$12,8,FALSE)),"",VLOOKUP($H21,Aux_Lista!$A$2:$K$12,8,FALSE))</f>
        <v/>
      </c>
      <c r="U21" s="83" t="str">
        <f>IF(ISERROR(VLOOKUP($H21,Aux_Lista!$A$2:$K$12,9,FALSE)^-1),"",VLOOKUP($H21,Aux_Lista!$A$2:$K$12,9,FALSE)^-1)</f>
        <v/>
      </c>
      <c r="V21" s="83" t="str">
        <f>IF(ISERROR(VLOOKUP($H21,Aux_Lista!$A$2:$K$12,10,FALSE)),"",VLOOKUP($H21,Aux_Lista!$A$2:$K$12,10,FALSE))</f>
        <v/>
      </c>
      <c r="W21" s="2"/>
      <c r="X21" s="87">
        <f>ArCondicionado!F36</f>
        <v>0</v>
      </c>
      <c r="Y21" s="256" t="str">
        <f>ArCondicionado!AK36</f>
        <v/>
      </c>
      <c r="Z21" s="88"/>
      <c r="AA21" s="88"/>
      <c r="AB21" s="2"/>
    </row>
    <row r="22" spans="1:28" s="30" customFormat="1" ht="20.100000000000001" customHeight="1" x14ac:dyDescent="0.25">
      <c r="A22" s="167">
        <v>7</v>
      </c>
      <c r="B22" s="80"/>
      <c r="C22" s="80"/>
      <c r="D22" s="80"/>
      <c r="E22" s="80"/>
      <c r="F22" s="79"/>
      <c r="G22" s="79"/>
      <c r="H22" s="79"/>
      <c r="I22" s="79"/>
      <c r="J22" s="79"/>
      <c r="K22" s="80"/>
      <c r="L22" s="80"/>
      <c r="M22" s="80"/>
      <c r="N22" s="80"/>
      <c r="O22" s="79" t="s">
        <v>5905</v>
      </c>
      <c r="P22" s="80"/>
      <c r="Q22" s="80"/>
      <c r="R22" s="80"/>
      <c r="S22" s="80"/>
      <c r="T22" s="82" t="str">
        <f>IF(ISERROR(VLOOKUP($H22,Aux_Lista!$A$2:$K$12,8,FALSE)),"",VLOOKUP($H22,Aux_Lista!$A$2:$K$12,8,FALSE))</f>
        <v/>
      </c>
      <c r="U22" s="83" t="str">
        <f>IF(ISERROR(VLOOKUP($H22,Aux_Lista!$A$2:$K$12,9,FALSE)^-1),"",VLOOKUP($H22,Aux_Lista!$A$2:$K$12,9,FALSE)^-1)</f>
        <v/>
      </c>
      <c r="V22" s="83" t="str">
        <f>IF(ISERROR(VLOOKUP($H22,Aux_Lista!$A$2:$K$12,10,FALSE)),"",VLOOKUP($H22,Aux_Lista!$A$2:$K$12,10,FALSE))</f>
        <v/>
      </c>
      <c r="W22" s="2"/>
      <c r="X22" s="87">
        <f>ArCondicionado!F37</f>
        <v>0</v>
      </c>
      <c r="Y22" s="256" t="str">
        <f>ArCondicionado!AK37</f>
        <v/>
      </c>
      <c r="Z22" s="88"/>
      <c r="AA22" s="88"/>
      <c r="AB22" s="2"/>
    </row>
    <row r="23" spans="1:28" s="30" customFormat="1" ht="20.100000000000001" customHeight="1" x14ac:dyDescent="0.25">
      <c r="A23" s="168">
        <v>8</v>
      </c>
      <c r="B23" s="80"/>
      <c r="C23" s="80"/>
      <c r="D23" s="80"/>
      <c r="E23" s="80"/>
      <c r="F23" s="79"/>
      <c r="G23" s="79"/>
      <c r="H23" s="79"/>
      <c r="I23" s="79"/>
      <c r="J23" s="79"/>
      <c r="K23" s="80"/>
      <c r="L23" s="80"/>
      <c r="M23" s="80"/>
      <c r="N23" s="80"/>
      <c r="O23" s="79" t="s">
        <v>5905</v>
      </c>
      <c r="P23" s="80"/>
      <c r="Q23" s="80"/>
      <c r="R23" s="80"/>
      <c r="S23" s="80"/>
      <c r="T23" s="82" t="str">
        <f>IF(ISERROR(VLOOKUP($H23,Aux_Lista!$A$2:$K$12,8,FALSE)),"",VLOOKUP($H23,Aux_Lista!$A$2:$K$12,8,FALSE))</f>
        <v/>
      </c>
      <c r="U23" s="83" t="str">
        <f>IF(ISERROR(VLOOKUP($H23,Aux_Lista!$A$2:$K$12,9,FALSE)^-1),"",VLOOKUP($H23,Aux_Lista!$A$2:$K$12,9,FALSE)^-1)</f>
        <v/>
      </c>
      <c r="V23" s="83" t="str">
        <f>IF(ISERROR(VLOOKUP($H23,Aux_Lista!$A$2:$K$12,10,FALSE)),"",VLOOKUP($H23,Aux_Lista!$A$2:$K$12,10,FALSE))</f>
        <v/>
      </c>
      <c r="W23" s="2"/>
      <c r="X23" s="87">
        <f>ArCondicionado!F38</f>
        <v>0</v>
      </c>
      <c r="Y23" s="256" t="str">
        <f>ArCondicionado!AK38</f>
        <v/>
      </c>
      <c r="Z23" s="88"/>
      <c r="AA23" s="88"/>
      <c r="AB23" s="2"/>
    </row>
    <row r="24" spans="1:28" s="30" customFormat="1" ht="20.100000000000001" customHeight="1" x14ac:dyDescent="0.25">
      <c r="A24" s="167">
        <v>9</v>
      </c>
      <c r="B24" s="80"/>
      <c r="C24" s="80"/>
      <c r="D24" s="80"/>
      <c r="E24" s="80"/>
      <c r="F24" s="79"/>
      <c r="G24" s="79"/>
      <c r="H24" s="79"/>
      <c r="I24" s="79"/>
      <c r="J24" s="79"/>
      <c r="K24" s="80"/>
      <c r="L24" s="80"/>
      <c r="M24" s="80"/>
      <c r="N24" s="80"/>
      <c r="O24" s="79" t="s">
        <v>5905</v>
      </c>
      <c r="P24" s="80"/>
      <c r="Q24" s="80"/>
      <c r="R24" s="80"/>
      <c r="S24" s="80"/>
      <c r="T24" s="82" t="str">
        <f>IF(ISERROR(VLOOKUP($H24,Aux_Lista!$A$2:$K$12,8,FALSE)),"",VLOOKUP($H24,Aux_Lista!$A$2:$K$12,8,FALSE))</f>
        <v/>
      </c>
      <c r="U24" s="83" t="str">
        <f>IF(ISERROR(VLOOKUP($H24,Aux_Lista!$A$2:$K$12,9,FALSE)^-1),"",VLOOKUP($H24,Aux_Lista!$A$2:$K$12,9,FALSE)^-1)</f>
        <v/>
      </c>
      <c r="V24" s="83" t="str">
        <f>IF(ISERROR(VLOOKUP($H24,Aux_Lista!$A$2:$K$12,10,FALSE)),"",VLOOKUP($H24,Aux_Lista!$A$2:$K$12,10,FALSE))</f>
        <v/>
      </c>
      <c r="W24" s="2"/>
      <c r="X24" s="87">
        <f>ArCondicionado!F39</f>
        <v>0</v>
      </c>
      <c r="Y24" s="256" t="str">
        <f>ArCondicionado!AK39</f>
        <v/>
      </c>
      <c r="Z24" s="88"/>
      <c r="AA24" s="88"/>
      <c r="AB24" s="2"/>
    </row>
    <row r="25" spans="1:28" s="30" customFormat="1" ht="20.100000000000001" customHeight="1" x14ac:dyDescent="0.25">
      <c r="A25" s="168">
        <v>10</v>
      </c>
      <c r="B25" s="80"/>
      <c r="C25" s="80"/>
      <c r="D25" s="80"/>
      <c r="E25" s="80"/>
      <c r="F25" s="79"/>
      <c r="G25" s="79"/>
      <c r="H25" s="79"/>
      <c r="I25" s="79"/>
      <c r="J25" s="79"/>
      <c r="K25" s="80"/>
      <c r="L25" s="80"/>
      <c r="M25" s="80"/>
      <c r="N25" s="80"/>
      <c r="O25" s="79" t="s">
        <v>5905</v>
      </c>
      <c r="P25" s="80"/>
      <c r="Q25" s="80"/>
      <c r="R25" s="80"/>
      <c r="S25" s="80"/>
      <c r="T25" s="82" t="str">
        <f>IF(ISERROR(VLOOKUP($H25,Aux_Lista!$A$2:$K$12,8,FALSE)),"",VLOOKUP($H25,Aux_Lista!$A$2:$K$12,8,FALSE))</f>
        <v/>
      </c>
      <c r="U25" s="83" t="str">
        <f>IF(ISERROR(VLOOKUP($H25,Aux_Lista!$A$2:$K$12,9,FALSE)^-1),"",VLOOKUP($H25,Aux_Lista!$A$2:$K$12,9,FALSE)^-1)</f>
        <v/>
      </c>
      <c r="V25" s="83" t="str">
        <f>IF(ISERROR(VLOOKUP($H25,Aux_Lista!$A$2:$K$12,10,FALSE)),"",VLOOKUP($H25,Aux_Lista!$A$2:$K$12,10,FALSE))</f>
        <v/>
      </c>
      <c r="W25" s="2"/>
      <c r="X25" s="87">
        <f>ArCondicionado!F40</f>
        <v>0</v>
      </c>
      <c r="Y25" s="256" t="str">
        <f>ArCondicionado!AK40</f>
        <v/>
      </c>
      <c r="Z25" s="88"/>
      <c r="AA25" s="88"/>
      <c r="AB25" s="2"/>
    </row>
    <row r="26" spans="1:28" s="30" customFormat="1" ht="20.100000000000001" customHeight="1" x14ac:dyDescent="0.25">
      <c r="A26" s="167">
        <v>11</v>
      </c>
      <c r="B26" s="80"/>
      <c r="C26" s="80"/>
      <c r="D26" s="80"/>
      <c r="E26" s="80"/>
      <c r="F26" s="79"/>
      <c r="G26" s="79"/>
      <c r="H26" s="79"/>
      <c r="I26" s="79"/>
      <c r="J26" s="79"/>
      <c r="K26" s="80"/>
      <c r="L26" s="80"/>
      <c r="M26" s="80"/>
      <c r="N26" s="80"/>
      <c r="O26" s="79" t="s">
        <v>5905</v>
      </c>
      <c r="P26" s="80"/>
      <c r="Q26" s="80"/>
      <c r="R26" s="80"/>
      <c r="S26" s="80"/>
      <c r="T26" s="82" t="str">
        <f>IF(ISERROR(VLOOKUP($H26,Aux_Lista!$A$2:$K$12,8,FALSE)),"",VLOOKUP($H26,Aux_Lista!$A$2:$K$12,8,FALSE))</f>
        <v/>
      </c>
      <c r="U26" s="83" t="str">
        <f>IF(ISERROR(VLOOKUP($H26,Aux_Lista!$A$2:$K$12,9,FALSE)^-1),"",VLOOKUP($H26,Aux_Lista!$A$2:$K$12,9,FALSE)^-1)</f>
        <v/>
      </c>
      <c r="V26" s="83" t="str">
        <f>IF(ISERROR(VLOOKUP($H26,Aux_Lista!$A$2:$K$12,10,FALSE)),"",VLOOKUP($H26,Aux_Lista!$A$2:$K$12,10,FALSE))</f>
        <v/>
      </c>
      <c r="W26" s="2"/>
      <c r="X26" s="87">
        <f>ArCondicionado!F41</f>
        <v>0</v>
      </c>
      <c r="Y26" s="256" t="str">
        <f>ArCondicionado!AK41</f>
        <v/>
      </c>
      <c r="Z26" s="88"/>
      <c r="AA26" s="88"/>
      <c r="AB26" s="2"/>
    </row>
    <row r="27" spans="1:28" s="30" customFormat="1" ht="20.100000000000001" customHeight="1" x14ac:dyDescent="0.25">
      <c r="A27" s="168">
        <v>12</v>
      </c>
      <c r="B27" s="80"/>
      <c r="C27" s="80"/>
      <c r="D27" s="80"/>
      <c r="E27" s="80"/>
      <c r="F27" s="79"/>
      <c r="G27" s="79"/>
      <c r="H27" s="79"/>
      <c r="I27" s="79"/>
      <c r="J27" s="79"/>
      <c r="K27" s="80"/>
      <c r="L27" s="80"/>
      <c r="M27" s="80"/>
      <c r="N27" s="80"/>
      <c r="O27" s="79" t="s">
        <v>5905</v>
      </c>
      <c r="P27" s="80"/>
      <c r="Q27" s="80"/>
      <c r="R27" s="80"/>
      <c r="S27" s="80"/>
      <c r="T27" s="82" t="str">
        <f>IF(ISERROR(VLOOKUP($H27,Aux_Lista!$A$2:$K$12,8,FALSE)),"",VLOOKUP($H27,Aux_Lista!$A$2:$K$12,8,FALSE))</f>
        <v/>
      </c>
      <c r="U27" s="83" t="str">
        <f>IF(ISERROR(VLOOKUP($H27,Aux_Lista!$A$2:$K$12,9,FALSE)^-1),"",VLOOKUP($H27,Aux_Lista!$A$2:$K$12,9,FALSE)^-1)</f>
        <v/>
      </c>
      <c r="V27" s="83" t="str">
        <f>IF(ISERROR(VLOOKUP($H27,Aux_Lista!$A$2:$K$12,10,FALSE)),"",VLOOKUP($H27,Aux_Lista!$A$2:$K$12,10,FALSE))</f>
        <v/>
      </c>
      <c r="W27" s="2"/>
      <c r="X27" s="87">
        <f>ArCondicionado!F42</f>
        <v>0</v>
      </c>
      <c r="Y27" s="256" t="str">
        <f>ArCondicionado!AK42</f>
        <v/>
      </c>
      <c r="Z27" s="88"/>
      <c r="AA27" s="88"/>
      <c r="AB27" s="2"/>
    </row>
    <row r="28" spans="1:28" s="30" customFormat="1" ht="20.100000000000001" customHeight="1" x14ac:dyDescent="0.25">
      <c r="A28" s="167">
        <v>13</v>
      </c>
      <c r="B28" s="80"/>
      <c r="C28" s="80"/>
      <c r="D28" s="80"/>
      <c r="E28" s="80"/>
      <c r="F28" s="79"/>
      <c r="G28" s="79"/>
      <c r="H28" s="79"/>
      <c r="I28" s="79"/>
      <c r="J28" s="79"/>
      <c r="K28" s="80"/>
      <c r="L28" s="80"/>
      <c r="M28" s="80"/>
      <c r="N28" s="80"/>
      <c r="O28" s="79" t="s">
        <v>5905</v>
      </c>
      <c r="P28" s="80"/>
      <c r="Q28" s="80"/>
      <c r="R28" s="80"/>
      <c r="S28" s="80"/>
      <c r="T28" s="82" t="str">
        <f>IF(ISERROR(VLOOKUP($H28,Aux_Lista!$A$2:$K$12,8,FALSE)),"",VLOOKUP($H28,Aux_Lista!$A$2:$K$12,8,FALSE))</f>
        <v/>
      </c>
      <c r="U28" s="83" t="str">
        <f>IF(ISERROR(VLOOKUP($H28,Aux_Lista!$A$2:$K$12,9,FALSE)^-1),"",VLOOKUP($H28,Aux_Lista!$A$2:$K$12,9,FALSE)^-1)</f>
        <v/>
      </c>
      <c r="V28" s="83" t="str">
        <f>IF(ISERROR(VLOOKUP($H28,Aux_Lista!$A$2:$K$12,10,FALSE)),"",VLOOKUP($H28,Aux_Lista!$A$2:$K$12,10,FALSE))</f>
        <v/>
      </c>
      <c r="W28" s="2"/>
      <c r="X28" s="87">
        <f>ArCondicionado!F43</f>
        <v>0</v>
      </c>
      <c r="Y28" s="256" t="str">
        <f>ArCondicionado!AK43</f>
        <v/>
      </c>
      <c r="Z28" s="88"/>
      <c r="AA28" s="88"/>
      <c r="AB28" s="2"/>
    </row>
    <row r="29" spans="1:28" s="30" customFormat="1" ht="20.100000000000001" customHeight="1" x14ac:dyDescent="0.25">
      <c r="A29" s="168">
        <v>14</v>
      </c>
      <c r="B29" s="80"/>
      <c r="C29" s="80"/>
      <c r="D29" s="80"/>
      <c r="E29" s="80"/>
      <c r="F29" s="79"/>
      <c r="G29" s="79"/>
      <c r="H29" s="79"/>
      <c r="I29" s="79"/>
      <c r="J29" s="79"/>
      <c r="K29" s="80"/>
      <c r="L29" s="80"/>
      <c r="M29" s="80"/>
      <c r="N29" s="80"/>
      <c r="O29" s="79" t="s">
        <v>5905</v>
      </c>
      <c r="P29" s="80"/>
      <c r="Q29" s="80"/>
      <c r="R29" s="80"/>
      <c r="S29" s="80"/>
      <c r="T29" s="82" t="str">
        <f>IF(ISERROR(VLOOKUP($H29,Aux_Lista!$A$2:$K$12,8,FALSE)),"",VLOOKUP($H29,Aux_Lista!$A$2:$K$12,8,FALSE))</f>
        <v/>
      </c>
      <c r="U29" s="83" t="str">
        <f>IF(ISERROR(VLOOKUP($H29,Aux_Lista!$A$2:$K$12,9,FALSE)^-1),"",VLOOKUP($H29,Aux_Lista!$A$2:$K$12,9,FALSE)^-1)</f>
        <v/>
      </c>
      <c r="V29" s="83" t="str">
        <f>IF(ISERROR(VLOOKUP($H29,Aux_Lista!$A$2:$K$12,10,FALSE)),"",VLOOKUP($H29,Aux_Lista!$A$2:$K$12,10,FALSE))</f>
        <v/>
      </c>
      <c r="W29" s="2"/>
      <c r="X29" s="87">
        <f>ArCondicionado!F44</f>
        <v>0</v>
      </c>
      <c r="Y29" s="256" t="str">
        <f>ArCondicionado!AK44</f>
        <v/>
      </c>
      <c r="Z29" s="88"/>
      <c r="AA29" s="88"/>
      <c r="AB29" s="2"/>
    </row>
    <row r="30" spans="1:28" s="30" customFormat="1" ht="20.100000000000001" customHeight="1" x14ac:dyDescent="0.25">
      <c r="A30" s="167">
        <v>15</v>
      </c>
      <c r="B30" s="80"/>
      <c r="C30" s="80"/>
      <c r="D30" s="80"/>
      <c r="E30" s="80"/>
      <c r="F30" s="79"/>
      <c r="G30" s="79"/>
      <c r="H30" s="79"/>
      <c r="I30" s="79"/>
      <c r="J30" s="79"/>
      <c r="K30" s="80"/>
      <c r="L30" s="80"/>
      <c r="M30" s="80"/>
      <c r="N30" s="80"/>
      <c r="O30" s="79" t="s">
        <v>5905</v>
      </c>
      <c r="P30" s="80"/>
      <c r="Q30" s="80"/>
      <c r="R30" s="80"/>
      <c r="S30" s="80"/>
      <c r="T30" s="82" t="str">
        <f>IF(ISERROR(VLOOKUP($H30,Aux_Lista!$A$2:$K$12,8,FALSE)),"",VLOOKUP($H30,Aux_Lista!$A$2:$K$12,8,FALSE))</f>
        <v/>
      </c>
      <c r="U30" s="83" t="str">
        <f>IF(ISERROR(VLOOKUP($H30,Aux_Lista!$A$2:$K$12,9,FALSE)^-1),"",VLOOKUP($H30,Aux_Lista!$A$2:$K$12,9,FALSE)^-1)</f>
        <v/>
      </c>
      <c r="V30" s="83" t="str">
        <f>IF(ISERROR(VLOOKUP($H30,Aux_Lista!$A$2:$K$12,10,FALSE)),"",VLOOKUP($H30,Aux_Lista!$A$2:$K$12,10,FALSE))</f>
        <v/>
      </c>
      <c r="W30" s="2"/>
      <c r="X30" s="87">
        <f>ArCondicionado!F45</f>
        <v>0</v>
      </c>
      <c r="Y30" s="256" t="str">
        <f>ArCondicionado!AK45</f>
        <v/>
      </c>
      <c r="Z30" s="88"/>
      <c r="AA30" s="88"/>
      <c r="AB30" s="2"/>
    </row>
    <row r="31" spans="1:28" s="30" customFormat="1" ht="20.100000000000001" customHeight="1" x14ac:dyDescent="0.25">
      <c r="A31" s="168">
        <v>16</v>
      </c>
      <c r="B31" s="80"/>
      <c r="C31" s="80"/>
      <c r="D31" s="80"/>
      <c r="E31" s="80"/>
      <c r="F31" s="79"/>
      <c r="G31" s="79"/>
      <c r="H31" s="79"/>
      <c r="I31" s="79"/>
      <c r="J31" s="79"/>
      <c r="K31" s="80"/>
      <c r="L31" s="80"/>
      <c r="M31" s="80"/>
      <c r="N31" s="80"/>
      <c r="O31" s="79" t="s">
        <v>5905</v>
      </c>
      <c r="P31" s="80"/>
      <c r="Q31" s="80"/>
      <c r="R31" s="80"/>
      <c r="S31" s="80"/>
      <c r="T31" s="82" t="str">
        <f>IF(ISERROR(VLOOKUP($H31,Aux_Lista!$A$2:$K$12,8,FALSE)),"",VLOOKUP($H31,Aux_Lista!$A$2:$K$12,8,FALSE))</f>
        <v/>
      </c>
      <c r="U31" s="83" t="str">
        <f>IF(ISERROR(VLOOKUP($H31,Aux_Lista!$A$2:$K$12,9,FALSE)^-1),"",VLOOKUP($H31,Aux_Lista!$A$2:$K$12,9,FALSE)^-1)</f>
        <v/>
      </c>
      <c r="V31" s="83" t="str">
        <f>IF(ISERROR(VLOOKUP($H31,Aux_Lista!$A$2:$K$12,10,FALSE)),"",VLOOKUP($H31,Aux_Lista!$A$2:$K$12,10,FALSE))</f>
        <v/>
      </c>
      <c r="W31" s="2"/>
      <c r="X31" s="87">
        <f>ArCondicionado!F46</f>
        <v>0</v>
      </c>
      <c r="Y31" s="256" t="str">
        <f>ArCondicionado!AK46</f>
        <v/>
      </c>
      <c r="Z31" s="88"/>
      <c r="AA31" s="88"/>
      <c r="AB31" s="2"/>
    </row>
    <row r="32" spans="1:28" s="30" customFormat="1" ht="20.100000000000001" customHeight="1" x14ac:dyDescent="0.25">
      <c r="A32" s="167">
        <v>17</v>
      </c>
      <c r="B32" s="80"/>
      <c r="C32" s="80"/>
      <c r="D32" s="80"/>
      <c r="E32" s="80"/>
      <c r="F32" s="79"/>
      <c r="G32" s="79"/>
      <c r="H32" s="79"/>
      <c r="I32" s="79"/>
      <c r="J32" s="79"/>
      <c r="K32" s="80"/>
      <c r="L32" s="80"/>
      <c r="M32" s="80"/>
      <c r="N32" s="80"/>
      <c r="O32" s="79" t="s">
        <v>5905</v>
      </c>
      <c r="P32" s="80"/>
      <c r="Q32" s="80"/>
      <c r="R32" s="80"/>
      <c r="S32" s="80"/>
      <c r="T32" s="82" t="str">
        <f>IF(ISERROR(VLOOKUP($H32,Aux_Lista!$A$2:$K$12,8,FALSE)),"",VLOOKUP($H32,Aux_Lista!$A$2:$K$12,8,FALSE))</f>
        <v/>
      </c>
      <c r="U32" s="83" t="str">
        <f>IF(ISERROR(VLOOKUP($H32,Aux_Lista!$A$2:$K$12,9,FALSE)^-1),"",VLOOKUP($H32,Aux_Lista!$A$2:$K$12,9,FALSE)^-1)</f>
        <v/>
      </c>
      <c r="V32" s="83" t="str">
        <f>IF(ISERROR(VLOOKUP($H32,Aux_Lista!$A$2:$K$12,10,FALSE)),"",VLOOKUP($H32,Aux_Lista!$A$2:$K$12,10,FALSE))</f>
        <v/>
      </c>
      <c r="W32" s="2"/>
      <c r="X32" s="87">
        <f>ArCondicionado!F47</f>
        <v>0</v>
      </c>
      <c r="Y32" s="256" t="str">
        <f>ArCondicionado!AK47</f>
        <v/>
      </c>
      <c r="Z32" s="88"/>
      <c r="AA32" s="88"/>
      <c r="AB32" s="2"/>
    </row>
    <row r="33" spans="1:28" s="30" customFormat="1" ht="20.100000000000001" customHeight="1" x14ac:dyDescent="0.25">
      <c r="A33" s="168">
        <v>18</v>
      </c>
      <c r="B33" s="80"/>
      <c r="C33" s="80"/>
      <c r="D33" s="80"/>
      <c r="E33" s="80"/>
      <c r="F33" s="79"/>
      <c r="G33" s="79"/>
      <c r="H33" s="79"/>
      <c r="I33" s="79"/>
      <c r="J33" s="79"/>
      <c r="K33" s="80"/>
      <c r="L33" s="80"/>
      <c r="M33" s="80"/>
      <c r="N33" s="80"/>
      <c r="O33" s="79" t="s">
        <v>5905</v>
      </c>
      <c r="P33" s="80"/>
      <c r="Q33" s="80"/>
      <c r="R33" s="80"/>
      <c r="S33" s="80"/>
      <c r="T33" s="82" t="str">
        <f>IF(ISERROR(VLOOKUP($H33,Aux_Lista!$A$2:$K$12,8,FALSE)),"",VLOOKUP($H33,Aux_Lista!$A$2:$K$12,8,FALSE))</f>
        <v/>
      </c>
      <c r="U33" s="83" t="str">
        <f>IF(ISERROR(VLOOKUP($H33,Aux_Lista!$A$2:$K$12,9,FALSE)^-1),"",VLOOKUP($H33,Aux_Lista!$A$2:$K$12,9,FALSE)^-1)</f>
        <v/>
      </c>
      <c r="V33" s="83" t="str">
        <f>IF(ISERROR(VLOOKUP($H33,Aux_Lista!$A$2:$K$12,10,FALSE)),"",VLOOKUP($H33,Aux_Lista!$A$2:$K$12,10,FALSE))</f>
        <v/>
      </c>
      <c r="W33" s="2"/>
      <c r="X33" s="87">
        <f>ArCondicionado!F48</f>
        <v>0</v>
      </c>
      <c r="Y33" s="256" t="str">
        <f>ArCondicionado!AK48</f>
        <v/>
      </c>
      <c r="Z33" s="88"/>
      <c r="AA33" s="88"/>
      <c r="AB33" s="2"/>
    </row>
    <row r="34" spans="1:28" s="30" customFormat="1" ht="20.100000000000001" customHeight="1" x14ac:dyDescent="0.25">
      <c r="A34" s="167">
        <v>19</v>
      </c>
      <c r="B34" s="80"/>
      <c r="C34" s="80"/>
      <c r="D34" s="80"/>
      <c r="E34" s="80"/>
      <c r="F34" s="79"/>
      <c r="G34" s="79"/>
      <c r="H34" s="79"/>
      <c r="I34" s="79"/>
      <c r="J34" s="79"/>
      <c r="K34" s="80"/>
      <c r="L34" s="80"/>
      <c r="M34" s="80"/>
      <c r="N34" s="80"/>
      <c r="O34" s="79" t="s">
        <v>5905</v>
      </c>
      <c r="P34" s="80"/>
      <c r="Q34" s="80"/>
      <c r="R34" s="80"/>
      <c r="S34" s="80"/>
      <c r="T34" s="82" t="str">
        <f>IF(ISERROR(VLOOKUP($H34,Aux_Lista!$A$2:$K$12,8,FALSE)),"",VLOOKUP($H34,Aux_Lista!$A$2:$K$12,8,FALSE))</f>
        <v/>
      </c>
      <c r="U34" s="83" t="str">
        <f>IF(ISERROR(VLOOKUP($H34,Aux_Lista!$A$2:$K$12,9,FALSE)^-1),"",VLOOKUP($H34,Aux_Lista!$A$2:$K$12,9,FALSE)^-1)</f>
        <v/>
      </c>
      <c r="V34" s="83" t="str">
        <f>IF(ISERROR(VLOOKUP($H34,Aux_Lista!$A$2:$K$12,10,FALSE)),"",VLOOKUP($H34,Aux_Lista!$A$2:$K$12,10,FALSE))</f>
        <v/>
      </c>
      <c r="W34" s="2"/>
      <c r="X34" s="87">
        <f>ArCondicionado!F49</f>
        <v>0</v>
      </c>
      <c r="Y34" s="256" t="str">
        <f>ArCondicionado!AK49</f>
        <v/>
      </c>
      <c r="Z34" s="88"/>
      <c r="AA34" s="88"/>
      <c r="AB34" s="2"/>
    </row>
    <row r="35" spans="1:28" s="30" customFormat="1" ht="20.100000000000001" customHeight="1" x14ac:dyDescent="0.25">
      <c r="A35" s="168">
        <v>20</v>
      </c>
      <c r="B35" s="80"/>
      <c r="C35" s="80"/>
      <c r="D35" s="80"/>
      <c r="E35" s="80"/>
      <c r="F35" s="79"/>
      <c r="G35" s="79"/>
      <c r="H35" s="79"/>
      <c r="I35" s="79"/>
      <c r="J35" s="79"/>
      <c r="K35" s="80"/>
      <c r="L35" s="80"/>
      <c r="M35" s="80"/>
      <c r="N35" s="80"/>
      <c r="O35" s="79" t="s">
        <v>5905</v>
      </c>
      <c r="P35" s="80"/>
      <c r="Q35" s="80"/>
      <c r="R35" s="80"/>
      <c r="S35" s="80"/>
      <c r="T35" s="82" t="str">
        <f>IF(ISERROR(VLOOKUP($H35,Aux_Lista!$A$2:$K$12,8,FALSE)),"",VLOOKUP($H35,Aux_Lista!$A$2:$K$12,8,FALSE))</f>
        <v/>
      </c>
      <c r="U35" s="83" t="str">
        <f>IF(ISERROR(VLOOKUP($H35,Aux_Lista!$A$2:$K$12,9,FALSE)^-1),"",VLOOKUP($H35,Aux_Lista!$A$2:$K$12,9,FALSE)^-1)</f>
        <v/>
      </c>
      <c r="V35" s="83" t="str">
        <f>IF(ISERROR(VLOOKUP($H35,Aux_Lista!$A$2:$K$12,10,FALSE)),"",VLOOKUP($H35,Aux_Lista!$A$2:$K$12,10,FALSE))</f>
        <v/>
      </c>
      <c r="W35" s="2"/>
      <c r="X35" s="87">
        <f>ArCondicionado!F50</f>
        <v>0</v>
      </c>
      <c r="Y35" s="256" t="str">
        <f>ArCondicionado!AK50</f>
        <v/>
      </c>
      <c r="Z35" s="88"/>
      <c r="AA35" s="88"/>
      <c r="AB35" s="2"/>
    </row>
    <row r="36" spans="1:28" s="30" customFormat="1" ht="20.100000000000001" customHeight="1" x14ac:dyDescent="0.25">
      <c r="A36" s="167">
        <v>21</v>
      </c>
      <c r="B36" s="80"/>
      <c r="C36" s="80"/>
      <c r="D36" s="80"/>
      <c r="E36" s="80"/>
      <c r="F36" s="79"/>
      <c r="G36" s="79"/>
      <c r="H36" s="79"/>
      <c r="I36" s="79"/>
      <c r="J36" s="79"/>
      <c r="K36" s="80"/>
      <c r="L36" s="80"/>
      <c r="M36" s="80"/>
      <c r="N36" s="80"/>
      <c r="O36" s="79" t="s">
        <v>5905</v>
      </c>
      <c r="P36" s="80"/>
      <c r="Q36" s="80"/>
      <c r="R36" s="80"/>
      <c r="S36" s="80"/>
      <c r="T36" s="82" t="str">
        <f>IF(ISERROR(VLOOKUP($H36,Aux_Lista!$A$2:$K$12,8,FALSE)),"",VLOOKUP($H36,Aux_Lista!$A$2:$K$12,8,FALSE))</f>
        <v/>
      </c>
      <c r="U36" s="83" t="str">
        <f>IF(ISERROR(VLOOKUP($H36,Aux_Lista!$A$2:$K$12,9,FALSE)^-1),"",VLOOKUP($H36,Aux_Lista!$A$2:$K$12,9,FALSE)^-1)</f>
        <v/>
      </c>
      <c r="V36" s="83" t="str">
        <f>IF(ISERROR(VLOOKUP($H36,Aux_Lista!$A$2:$K$12,10,FALSE)),"",VLOOKUP($H36,Aux_Lista!$A$2:$K$12,10,FALSE))</f>
        <v/>
      </c>
      <c r="W36" s="2"/>
      <c r="X36" s="87">
        <f>ArCondicionado!F51</f>
        <v>0</v>
      </c>
      <c r="Y36" s="256" t="str">
        <f>ArCondicionado!AK51</f>
        <v/>
      </c>
      <c r="Z36" s="88"/>
      <c r="AA36" s="88"/>
      <c r="AB36" s="2"/>
    </row>
    <row r="37" spans="1:28" s="30" customFormat="1" ht="20.100000000000001" customHeight="1" x14ac:dyDescent="0.25">
      <c r="A37" s="168">
        <v>22</v>
      </c>
      <c r="B37" s="80"/>
      <c r="C37" s="80"/>
      <c r="D37" s="80"/>
      <c r="E37" s="80"/>
      <c r="F37" s="79"/>
      <c r="G37" s="79"/>
      <c r="H37" s="79"/>
      <c r="I37" s="79"/>
      <c r="J37" s="79"/>
      <c r="K37" s="80"/>
      <c r="L37" s="80"/>
      <c r="M37" s="80"/>
      <c r="N37" s="80"/>
      <c r="O37" s="79" t="s">
        <v>5905</v>
      </c>
      <c r="P37" s="80"/>
      <c r="Q37" s="80"/>
      <c r="R37" s="80"/>
      <c r="S37" s="80"/>
      <c r="T37" s="82" t="str">
        <f>IF(ISERROR(VLOOKUP($H37,Aux_Lista!$A$2:$K$12,8,FALSE)),"",VLOOKUP($H37,Aux_Lista!$A$2:$K$12,8,FALSE))</f>
        <v/>
      </c>
      <c r="U37" s="83" t="str">
        <f>IF(ISERROR(VLOOKUP($H37,Aux_Lista!$A$2:$K$12,9,FALSE)^-1),"",VLOOKUP($H37,Aux_Lista!$A$2:$K$12,9,FALSE)^-1)</f>
        <v/>
      </c>
      <c r="V37" s="83" t="str">
        <f>IF(ISERROR(VLOOKUP($H37,Aux_Lista!$A$2:$K$12,10,FALSE)),"",VLOOKUP($H37,Aux_Lista!$A$2:$K$12,10,FALSE))</f>
        <v/>
      </c>
      <c r="W37" s="2"/>
      <c r="X37" s="87">
        <f>ArCondicionado!F52</f>
        <v>0</v>
      </c>
      <c r="Y37" s="256" t="str">
        <f>ArCondicionado!AK52</f>
        <v/>
      </c>
      <c r="Z37" s="88"/>
      <c r="AA37" s="88"/>
      <c r="AB37" s="2"/>
    </row>
    <row r="38" spans="1:28" s="30" customFormat="1" ht="20.100000000000001" customHeight="1" x14ac:dyDescent="0.25">
      <c r="A38" s="167">
        <v>23</v>
      </c>
      <c r="B38" s="80"/>
      <c r="C38" s="80"/>
      <c r="D38" s="80"/>
      <c r="E38" s="80"/>
      <c r="F38" s="79"/>
      <c r="G38" s="79"/>
      <c r="H38" s="79"/>
      <c r="I38" s="79"/>
      <c r="J38" s="79"/>
      <c r="K38" s="80"/>
      <c r="L38" s="80"/>
      <c r="M38" s="80"/>
      <c r="N38" s="80"/>
      <c r="O38" s="79" t="s">
        <v>5905</v>
      </c>
      <c r="P38" s="80"/>
      <c r="Q38" s="80"/>
      <c r="R38" s="80"/>
      <c r="S38" s="80"/>
      <c r="T38" s="82" t="str">
        <f>IF(ISERROR(VLOOKUP($H38,Aux_Lista!$A$2:$K$12,8,FALSE)),"",VLOOKUP($H38,Aux_Lista!$A$2:$K$12,8,FALSE))</f>
        <v/>
      </c>
      <c r="U38" s="83" t="str">
        <f>IF(ISERROR(VLOOKUP($H38,Aux_Lista!$A$2:$K$12,9,FALSE)^-1),"",VLOOKUP($H38,Aux_Lista!$A$2:$K$12,9,FALSE)^-1)</f>
        <v/>
      </c>
      <c r="V38" s="83" t="str">
        <f>IF(ISERROR(VLOOKUP($H38,Aux_Lista!$A$2:$K$12,10,FALSE)),"",VLOOKUP($H38,Aux_Lista!$A$2:$K$12,10,FALSE))</f>
        <v/>
      </c>
      <c r="W38" s="2"/>
      <c r="X38" s="87">
        <f>ArCondicionado!F53</f>
        <v>0</v>
      </c>
      <c r="Y38" s="256" t="str">
        <f>ArCondicionado!AK53</f>
        <v/>
      </c>
      <c r="Z38" s="88"/>
      <c r="AA38" s="88"/>
      <c r="AB38" s="2"/>
    </row>
    <row r="39" spans="1:28" s="30" customFormat="1" ht="20.100000000000001" customHeight="1" x14ac:dyDescent="0.25">
      <c r="A39" s="168">
        <v>24</v>
      </c>
      <c r="B39" s="80"/>
      <c r="C39" s="80"/>
      <c r="D39" s="80"/>
      <c r="E39" s="80"/>
      <c r="F39" s="79"/>
      <c r="G39" s="79"/>
      <c r="H39" s="79"/>
      <c r="I39" s="79"/>
      <c r="J39" s="79"/>
      <c r="K39" s="80"/>
      <c r="L39" s="80"/>
      <c r="M39" s="80"/>
      <c r="N39" s="80"/>
      <c r="O39" s="79" t="s">
        <v>5905</v>
      </c>
      <c r="P39" s="80"/>
      <c r="Q39" s="80"/>
      <c r="R39" s="80"/>
      <c r="S39" s="80"/>
      <c r="T39" s="82" t="str">
        <f>IF(ISERROR(VLOOKUP($H39,Aux_Lista!$A$2:$K$12,8,FALSE)),"",VLOOKUP($H39,Aux_Lista!$A$2:$K$12,8,FALSE))</f>
        <v/>
      </c>
      <c r="U39" s="83" t="str">
        <f>IF(ISERROR(VLOOKUP($H39,Aux_Lista!$A$2:$K$12,9,FALSE)^-1),"",VLOOKUP($H39,Aux_Lista!$A$2:$K$12,9,FALSE)^-1)</f>
        <v/>
      </c>
      <c r="V39" s="83" t="str">
        <f>IF(ISERROR(VLOOKUP($H39,Aux_Lista!$A$2:$K$12,10,FALSE)),"",VLOOKUP($H39,Aux_Lista!$A$2:$K$12,10,FALSE))</f>
        <v/>
      </c>
      <c r="W39" s="2"/>
      <c r="X39" s="87">
        <f>ArCondicionado!F54</f>
        <v>0</v>
      </c>
      <c r="Y39" s="256" t="str">
        <f>ArCondicionado!AK54</f>
        <v/>
      </c>
      <c r="Z39" s="88"/>
      <c r="AA39" s="88"/>
      <c r="AB39" s="2"/>
    </row>
    <row r="40" spans="1:28" s="30" customFormat="1" ht="20.100000000000001" customHeight="1" x14ac:dyDescent="0.25">
      <c r="A40" s="167">
        <v>25</v>
      </c>
      <c r="B40" s="80"/>
      <c r="C40" s="80"/>
      <c r="D40" s="80"/>
      <c r="E40" s="80"/>
      <c r="F40" s="79"/>
      <c r="G40" s="79"/>
      <c r="H40" s="79"/>
      <c r="I40" s="79"/>
      <c r="J40" s="79"/>
      <c r="K40" s="80"/>
      <c r="L40" s="80"/>
      <c r="M40" s="80"/>
      <c r="N40" s="80"/>
      <c r="O40" s="79" t="s">
        <v>5905</v>
      </c>
      <c r="P40" s="80"/>
      <c r="Q40" s="80"/>
      <c r="R40" s="80"/>
      <c r="S40" s="80"/>
      <c r="T40" s="82" t="str">
        <f>IF(ISERROR(VLOOKUP($H40,Aux_Lista!$A$2:$K$12,8,FALSE)),"",VLOOKUP($H40,Aux_Lista!$A$2:$K$12,8,FALSE))</f>
        <v/>
      </c>
      <c r="U40" s="83" t="str">
        <f>IF(ISERROR(VLOOKUP($H40,Aux_Lista!$A$2:$K$12,9,FALSE)^-1),"",VLOOKUP($H40,Aux_Lista!$A$2:$K$12,9,FALSE)^-1)</f>
        <v/>
      </c>
      <c r="V40" s="83" t="str">
        <f>IF(ISERROR(VLOOKUP($H40,Aux_Lista!$A$2:$K$12,10,FALSE)),"",VLOOKUP($H40,Aux_Lista!$A$2:$K$12,10,FALSE))</f>
        <v/>
      </c>
      <c r="W40" s="2"/>
      <c r="X40" s="87">
        <f>ArCondicionado!F55</f>
        <v>0</v>
      </c>
      <c r="Y40" s="256" t="str">
        <f>ArCondicionado!AK55</f>
        <v/>
      </c>
      <c r="Z40" s="88"/>
      <c r="AA40" s="88"/>
      <c r="AB40" s="2"/>
    </row>
    <row r="41" spans="1:28" s="30" customFormat="1" ht="20.100000000000001" customHeight="1" x14ac:dyDescent="0.25">
      <c r="A41" s="168">
        <v>26</v>
      </c>
      <c r="B41" s="80"/>
      <c r="C41" s="80"/>
      <c r="D41" s="80"/>
      <c r="E41" s="80"/>
      <c r="F41" s="79"/>
      <c r="G41" s="79"/>
      <c r="H41" s="79"/>
      <c r="I41" s="79"/>
      <c r="J41" s="79"/>
      <c r="K41" s="80"/>
      <c r="L41" s="80"/>
      <c r="M41" s="80"/>
      <c r="N41" s="80"/>
      <c r="O41" s="79" t="s">
        <v>5905</v>
      </c>
      <c r="P41" s="80"/>
      <c r="Q41" s="80"/>
      <c r="R41" s="80"/>
      <c r="S41" s="80"/>
      <c r="T41" s="82" t="str">
        <f>IF(ISERROR(VLOOKUP($H41,Aux_Lista!$A$2:$K$12,8,FALSE)),"",VLOOKUP($H41,Aux_Lista!$A$2:$K$12,8,FALSE))</f>
        <v/>
      </c>
      <c r="U41" s="83" t="str">
        <f>IF(ISERROR(VLOOKUP($H41,Aux_Lista!$A$2:$K$12,9,FALSE)^-1),"",VLOOKUP($H41,Aux_Lista!$A$2:$K$12,9,FALSE)^-1)</f>
        <v/>
      </c>
      <c r="V41" s="83" t="str">
        <f>IF(ISERROR(VLOOKUP($H41,Aux_Lista!$A$2:$K$12,10,FALSE)),"",VLOOKUP($H41,Aux_Lista!$A$2:$K$12,10,FALSE))</f>
        <v/>
      </c>
      <c r="W41" s="2"/>
      <c r="X41" s="87">
        <f>ArCondicionado!F56</f>
        <v>0</v>
      </c>
      <c r="Y41" s="256" t="str">
        <f>ArCondicionado!AK56</f>
        <v/>
      </c>
      <c r="Z41" s="88"/>
      <c r="AA41" s="88"/>
      <c r="AB41" s="2"/>
    </row>
    <row r="42" spans="1:28" s="30" customFormat="1" ht="20.100000000000001" customHeight="1" x14ac:dyDescent="0.25">
      <c r="A42" s="167">
        <v>27</v>
      </c>
      <c r="B42" s="80"/>
      <c r="C42" s="80"/>
      <c r="D42" s="80"/>
      <c r="E42" s="80"/>
      <c r="F42" s="79"/>
      <c r="G42" s="79"/>
      <c r="H42" s="79"/>
      <c r="I42" s="79"/>
      <c r="J42" s="79"/>
      <c r="K42" s="80"/>
      <c r="L42" s="80"/>
      <c r="M42" s="80"/>
      <c r="N42" s="80"/>
      <c r="O42" s="79" t="s">
        <v>5905</v>
      </c>
      <c r="P42" s="80"/>
      <c r="Q42" s="80"/>
      <c r="R42" s="80"/>
      <c r="S42" s="80"/>
      <c r="T42" s="82" t="str">
        <f>IF(ISERROR(VLOOKUP($H42,Aux_Lista!$A$2:$K$12,8,FALSE)),"",VLOOKUP($H42,Aux_Lista!$A$2:$K$12,8,FALSE))</f>
        <v/>
      </c>
      <c r="U42" s="83" t="str">
        <f>IF(ISERROR(VLOOKUP($H42,Aux_Lista!$A$2:$K$12,9,FALSE)^-1),"",VLOOKUP($H42,Aux_Lista!$A$2:$K$12,9,FALSE)^-1)</f>
        <v/>
      </c>
      <c r="V42" s="83" t="str">
        <f>IF(ISERROR(VLOOKUP($H42,Aux_Lista!$A$2:$K$12,10,FALSE)),"",VLOOKUP($H42,Aux_Lista!$A$2:$K$12,10,FALSE))</f>
        <v/>
      </c>
      <c r="W42" s="2"/>
      <c r="X42" s="87">
        <f>ArCondicionado!F57</f>
        <v>0</v>
      </c>
      <c r="Y42" s="256" t="str">
        <f>ArCondicionado!AK57</f>
        <v/>
      </c>
      <c r="Z42" s="88"/>
      <c r="AA42" s="88"/>
      <c r="AB42" s="2"/>
    </row>
    <row r="43" spans="1:28" s="30" customFormat="1" ht="20.100000000000001" customHeight="1" x14ac:dyDescent="0.25">
      <c r="A43" s="168">
        <v>28</v>
      </c>
      <c r="B43" s="80"/>
      <c r="C43" s="80"/>
      <c r="D43" s="80"/>
      <c r="E43" s="80"/>
      <c r="F43" s="79"/>
      <c r="G43" s="79"/>
      <c r="H43" s="79"/>
      <c r="I43" s="79"/>
      <c r="J43" s="79"/>
      <c r="K43" s="80"/>
      <c r="L43" s="80"/>
      <c r="M43" s="80"/>
      <c r="N43" s="80"/>
      <c r="O43" s="79" t="s">
        <v>5905</v>
      </c>
      <c r="P43" s="80"/>
      <c r="Q43" s="80"/>
      <c r="R43" s="80"/>
      <c r="S43" s="80"/>
      <c r="T43" s="82" t="str">
        <f>IF(ISERROR(VLOOKUP($H43,Aux_Lista!$A$2:$K$12,8,FALSE)),"",VLOOKUP($H43,Aux_Lista!$A$2:$K$12,8,FALSE))</f>
        <v/>
      </c>
      <c r="U43" s="83" t="str">
        <f>IF(ISERROR(VLOOKUP($H43,Aux_Lista!$A$2:$K$12,9,FALSE)^-1),"",VLOOKUP($H43,Aux_Lista!$A$2:$K$12,9,FALSE)^-1)</f>
        <v/>
      </c>
      <c r="V43" s="83" t="str">
        <f>IF(ISERROR(VLOOKUP($H43,Aux_Lista!$A$2:$K$12,10,FALSE)),"",VLOOKUP($H43,Aux_Lista!$A$2:$K$12,10,FALSE))</f>
        <v/>
      </c>
      <c r="W43" s="2"/>
      <c r="X43" s="87">
        <f>ArCondicionado!F58</f>
        <v>0</v>
      </c>
      <c r="Y43" s="256" t="str">
        <f>ArCondicionado!AK58</f>
        <v/>
      </c>
      <c r="Z43" s="88"/>
      <c r="AA43" s="88"/>
      <c r="AB43" s="2"/>
    </row>
    <row r="44" spans="1:28" s="30" customFormat="1" ht="20.100000000000001" customHeight="1" x14ac:dyDescent="0.25">
      <c r="A44" s="167">
        <v>29</v>
      </c>
      <c r="B44" s="80"/>
      <c r="C44" s="80"/>
      <c r="D44" s="80"/>
      <c r="E44" s="80"/>
      <c r="F44" s="79"/>
      <c r="G44" s="79"/>
      <c r="H44" s="79"/>
      <c r="I44" s="79"/>
      <c r="J44" s="79"/>
      <c r="K44" s="80"/>
      <c r="L44" s="80"/>
      <c r="M44" s="80"/>
      <c r="N44" s="80"/>
      <c r="O44" s="79" t="s">
        <v>5905</v>
      </c>
      <c r="P44" s="80"/>
      <c r="Q44" s="80"/>
      <c r="R44" s="80"/>
      <c r="S44" s="80"/>
      <c r="T44" s="82" t="str">
        <f>IF(ISERROR(VLOOKUP($H44,Aux_Lista!$A$2:$K$12,8,FALSE)),"",VLOOKUP($H44,Aux_Lista!$A$2:$K$12,8,FALSE))</f>
        <v/>
      </c>
      <c r="U44" s="83" t="str">
        <f>IF(ISERROR(VLOOKUP($H44,Aux_Lista!$A$2:$K$12,9,FALSE)^-1),"",VLOOKUP($H44,Aux_Lista!$A$2:$K$12,9,FALSE)^-1)</f>
        <v/>
      </c>
      <c r="V44" s="83" t="str">
        <f>IF(ISERROR(VLOOKUP($H44,Aux_Lista!$A$2:$K$12,10,FALSE)),"",VLOOKUP($H44,Aux_Lista!$A$2:$K$12,10,FALSE))</f>
        <v/>
      </c>
      <c r="W44" s="2"/>
      <c r="X44" s="87">
        <f>ArCondicionado!F59</f>
        <v>0</v>
      </c>
      <c r="Y44" s="256" t="str">
        <f>ArCondicionado!AK59</f>
        <v/>
      </c>
      <c r="Z44" s="88"/>
      <c r="AA44" s="88"/>
      <c r="AB44" s="2"/>
    </row>
    <row r="45" spans="1:28" s="30" customFormat="1" ht="20.100000000000001" customHeight="1" x14ac:dyDescent="0.25">
      <c r="A45" s="168">
        <v>30</v>
      </c>
      <c r="B45" s="80"/>
      <c r="C45" s="80"/>
      <c r="D45" s="80"/>
      <c r="E45" s="80"/>
      <c r="F45" s="79"/>
      <c r="G45" s="79"/>
      <c r="H45" s="79"/>
      <c r="I45" s="79"/>
      <c r="J45" s="79"/>
      <c r="K45" s="80"/>
      <c r="L45" s="80"/>
      <c r="M45" s="80"/>
      <c r="N45" s="80"/>
      <c r="O45" s="79" t="s">
        <v>5905</v>
      </c>
      <c r="P45" s="80"/>
      <c r="Q45" s="80"/>
      <c r="R45" s="80"/>
      <c r="S45" s="80"/>
      <c r="T45" s="82" t="str">
        <f>IF(ISERROR(VLOOKUP($H45,Aux_Lista!$A$2:$K$12,8,FALSE)),"",VLOOKUP($H45,Aux_Lista!$A$2:$K$12,8,FALSE))</f>
        <v/>
      </c>
      <c r="U45" s="83" t="str">
        <f>IF(ISERROR(VLOOKUP($H45,Aux_Lista!$A$2:$K$12,9,FALSE)^-1),"",VLOOKUP($H45,Aux_Lista!$A$2:$K$12,9,FALSE)^-1)</f>
        <v/>
      </c>
      <c r="V45" s="83" t="str">
        <f>IF(ISERROR(VLOOKUP($H45,Aux_Lista!$A$2:$K$12,10,FALSE)),"",VLOOKUP($H45,Aux_Lista!$A$2:$K$12,10,FALSE))</f>
        <v/>
      </c>
      <c r="W45" s="2"/>
      <c r="X45" s="87">
        <f>ArCondicionado!F60</f>
        <v>0</v>
      </c>
      <c r="Y45" s="256" t="str">
        <f>ArCondicionado!AK60</f>
        <v/>
      </c>
      <c r="Z45" s="88"/>
      <c r="AA45" s="88"/>
      <c r="AB45" s="2"/>
    </row>
    <row r="46" spans="1:28" s="30" customFormat="1" ht="20.100000000000001" customHeight="1" x14ac:dyDescent="0.25">
      <c r="A46" s="167">
        <v>31</v>
      </c>
      <c r="B46" s="80"/>
      <c r="C46" s="80"/>
      <c r="D46" s="80"/>
      <c r="E46" s="80"/>
      <c r="F46" s="79"/>
      <c r="G46" s="79"/>
      <c r="H46" s="79"/>
      <c r="I46" s="79"/>
      <c r="J46" s="79"/>
      <c r="K46" s="80"/>
      <c r="L46" s="80"/>
      <c r="M46" s="80"/>
      <c r="N46" s="80"/>
      <c r="O46" s="79" t="s">
        <v>5905</v>
      </c>
      <c r="P46" s="80"/>
      <c r="Q46" s="80"/>
      <c r="R46" s="80"/>
      <c r="S46" s="80"/>
      <c r="T46" s="82" t="str">
        <f>IF(ISERROR(VLOOKUP($H46,Aux_Lista!$A$2:$K$12,8,FALSE)),"",VLOOKUP($H46,Aux_Lista!$A$2:$K$12,8,FALSE))</f>
        <v/>
      </c>
      <c r="U46" s="83" t="str">
        <f>IF(ISERROR(VLOOKUP($H46,Aux_Lista!$A$2:$K$12,9,FALSE)^-1),"",VLOOKUP($H46,Aux_Lista!$A$2:$K$12,9,FALSE)^-1)</f>
        <v/>
      </c>
      <c r="V46" s="83" t="str">
        <f>IF(ISERROR(VLOOKUP($H46,Aux_Lista!$A$2:$K$12,10,FALSE)),"",VLOOKUP($H46,Aux_Lista!$A$2:$K$12,10,FALSE))</f>
        <v/>
      </c>
      <c r="W46" s="2"/>
      <c r="X46" s="87">
        <f>ArCondicionado!F61</f>
        <v>0</v>
      </c>
      <c r="Y46" s="256" t="str">
        <f>ArCondicionado!AK61</f>
        <v/>
      </c>
      <c r="Z46" s="88"/>
      <c r="AA46" s="88"/>
      <c r="AB46" s="2"/>
    </row>
    <row r="47" spans="1:28" s="30" customFormat="1" ht="20.100000000000001" customHeight="1" x14ac:dyDescent="0.25">
      <c r="A47" s="168">
        <v>32</v>
      </c>
      <c r="B47" s="80"/>
      <c r="C47" s="80"/>
      <c r="D47" s="80"/>
      <c r="E47" s="80"/>
      <c r="F47" s="79"/>
      <c r="G47" s="79"/>
      <c r="H47" s="79"/>
      <c r="I47" s="79"/>
      <c r="J47" s="79"/>
      <c r="K47" s="80"/>
      <c r="L47" s="80"/>
      <c r="M47" s="80"/>
      <c r="N47" s="80"/>
      <c r="O47" s="79" t="s">
        <v>5905</v>
      </c>
      <c r="P47" s="80"/>
      <c r="Q47" s="80"/>
      <c r="R47" s="80"/>
      <c r="S47" s="80"/>
      <c r="T47" s="82" t="str">
        <f>IF(ISERROR(VLOOKUP($H47,Aux_Lista!$A$2:$K$12,8,FALSE)),"",VLOOKUP($H47,Aux_Lista!$A$2:$K$12,8,FALSE))</f>
        <v/>
      </c>
      <c r="U47" s="83" t="str">
        <f>IF(ISERROR(VLOOKUP($H47,Aux_Lista!$A$2:$K$12,9,FALSE)^-1),"",VLOOKUP($H47,Aux_Lista!$A$2:$K$12,9,FALSE)^-1)</f>
        <v/>
      </c>
      <c r="V47" s="83" t="str">
        <f>IF(ISERROR(VLOOKUP($H47,Aux_Lista!$A$2:$K$12,10,FALSE)),"",VLOOKUP($H47,Aux_Lista!$A$2:$K$12,10,FALSE))</f>
        <v/>
      </c>
      <c r="W47" s="2"/>
      <c r="X47" s="87">
        <f>ArCondicionado!F62</f>
        <v>0</v>
      </c>
      <c r="Y47" s="256" t="str">
        <f>ArCondicionado!AK62</f>
        <v/>
      </c>
      <c r="Z47" s="88"/>
      <c r="AA47" s="88"/>
      <c r="AB47" s="2"/>
    </row>
    <row r="48" spans="1:28" s="30" customFormat="1" ht="20.100000000000001" customHeight="1" x14ac:dyDescent="0.25">
      <c r="A48" s="167">
        <v>33</v>
      </c>
      <c r="B48" s="80"/>
      <c r="C48" s="80"/>
      <c r="D48" s="80"/>
      <c r="E48" s="80"/>
      <c r="F48" s="79"/>
      <c r="G48" s="79"/>
      <c r="H48" s="79"/>
      <c r="I48" s="79"/>
      <c r="J48" s="79"/>
      <c r="K48" s="80"/>
      <c r="L48" s="80"/>
      <c r="M48" s="80"/>
      <c r="N48" s="80"/>
      <c r="O48" s="79" t="s">
        <v>5905</v>
      </c>
      <c r="P48" s="80"/>
      <c r="Q48" s="80"/>
      <c r="R48" s="80"/>
      <c r="S48" s="80"/>
      <c r="T48" s="82" t="str">
        <f>IF(ISERROR(VLOOKUP($H48,Aux_Lista!$A$2:$K$12,8,FALSE)),"",VLOOKUP($H48,Aux_Lista!$A$2:$K$12,8,FALSE))</f>
        <v/>
      </c>
      <c r="U48" s="83" t="str">
        <f>IF(ISERROR(VLOOKUP($H48,Aux_Lista!$A$2:$K$12,9,FALSE)^-1),"",VLOOKUP($H48,Aux_Lista!$A$2:$K$12,9,FALSE)^-1)</f>
        <v/>
      </c>
      <c r="V48" s="83" t="str">
        <f>IF(ISERROR(VLOOKUP($H48,Aux_Lista!$A$2:$K$12,10,FALSE)),"",VLOOKUP($H48,Aux_Lista!$A$2:$K$12,10,FALSE))</f>
        <v/>
      </c>
      <c r="W48" s="2"/>
      <c r="X48" s="87">
        <f>ArCondicionado!F63</f>
        <v>0</v>
      </c>
      <c r="Y48" s="256" t="str">
        <f>ArCondicionado!AK63</f>
        <v/>
      </c>
      <c r="Z48" s="88"/>
      <c r="AA48" s="88"/>
      <c r="AB48" s="2"/>
    </row>
    <row r="49" spans="1:28" s="30" customFormat="1" ht="20.100000000000001" customHeight="1" x14ac:dyDescent="0.25">
      <c r="A49" s="168">
        <v>34</v>
      </c>
      <c r="B49" s="80"/>
      <c r="C49" s="80"/>
      <c r="D49" s="80"/>
      <c r="E49" s="80"/>
      <c r="F49" s="79"/>
      <c r="G49" s="79"/>
      <c r="H49" s="79"/>
      <c r="I49" s="79"/>
      <c r="J49" s="79"/>
      <c r="K49" s="80"/>
      <c r="L49" s="80"/>
      <c r="M49" s="80"/>
      <c r="N49" s="80"/>
      <c r="O49" s="79" t="s">
        <v>5905</v>
      </c>
      <c r="P49" s="80"/>
      <c r="Q49" s="80"/>
      <c r="R49" s="80"/>
      <c r="S49" s="80"/>
      <c r="T49" s="82" t="str">
        <f>IF(ISERROR(VLOOKUP($H49,Aux_Lista!$A$2:$K$12,8,FALSE)),"",VLOOKUP($H49,Aux_Lista!$A$2:$K$12,8,FALSE))</f>
        <v/>
      </c>
      <c r="U49" s="83" t="str">
        <f>IF(ISERROR(VLOOKUP($H49,Aux_Lista!$A$2:$K$12,9,FALSE)^-1),"",VLOOKUP($H49,Aux_Lista!$A$2:$K$12,9,FALSE)^-1)</f>
        <v/>
      </c>
      <c r="V49" s="83" t="str">
        <f>IF(ISERROR(VLOOKUP($H49,Aux_Lista!$A$2:$K$12,10,FALSE)),"",VLOOKUP($H49,Aux_Lista!$A$2:$K$12,10,FALSE))</f>
        <v/>
      </c>
      <c r="W49" s="2"/>
      <c r="X49" s="87">
        <f>ArCondicionado!F64</f>
        <v>0</v>
      </c>
      <c r="Y49" s="256" t="str">
        <f>ArCondicionado!AK64</f>
        <v/>
      </c>
      <c r="Z49" s="88"/>
      <c r="AA49" s="88"/>
      <c r="AB49" s="2"/>
    </row>
    <row r="50" spans="1:28" s="30" customFormat="1" ht="20.100000000000001" customHeight="1" x14ac:dyDescent="0.25">
      <c r="A50" s="167">
        <v>35</v>
      </c>
      <c r="B50" s="80"/>
      <c r="C50" s="80"/>
      <c r="D50" s="80"/>
      <c r="E50" s="80"/>
      <c r="F50" s="79"/>
      <c r="G50" s="79"/>
      <c r="H50" s="79"/>
      <c r="I50" s="79"/>
      <c r="J50" s="79"/>
      <c r="K50" s="80"/>
      <c r="L50" s="80"/>
      <c r="M50" s="80"/>
      <c r="N50" s="80"/>
      <c r="O50" s="79" t="s">
        <v>5905</v>
      </c>
      <c r="P50" s="80"/>
      <c r="Q50" s="80"/>
      <c r="R50" s="80"/>
      <c r="S50" s="80"/>
      <c r="T50" s="82" t="str">
        <f>IF(ISERROR(VLOOKUP($H50,Aux_Lista!$A$2:$K$12,8,FALSE)),"",VLOOKUP($H50,Aux_Lista!$A$2:$K$12,8,FALSE))</f>
        <v/>
      </c>
      <c r="U50" s="83" t="str">
        <f>IF(ISERROR(VLOOKUP($H50,Aux_Lista!$A$2:$K$12,9,FALSE)^-1),"",VLOOKUP($H50,Aux_Lista!$A$2:$K$12,9,FALSE)^-1)</f>
        <v/>
      </c>
      <c r="V50" s="83" t="str">
        <f>IF(ISERROR(VLOOKUP($H50,Aux_Lista!$A$2:$K$12,10,FALSE)),"",VLOOKUP($H50,Aux_Lista!$A$2:$K$12,10,FALSE))</f>
        <v/>
      </c>
      <c r="W50" s="2"/>
      <c r="X50" s="87">
        <f>ArCondicionado!F65</f>
        <v>0</v>
      </c>
      <c r="Y50" s="256" t="str">
        <f>ArCondicionado!AK65</f>
        <v/>
      </c>
      <c r="Z50" s="88"/>
      <c r="AA50" s="88"/>
      <c r="AB50" s="2"/>
    </row>
    <row r="51" spans="1:28" s="30" customFormat="1" ht="20.100000000000001" customHeight="1" x14ac:dyDescent="0.25">
      <c r="A51" s="168">
        <v>36</v>
      </c>
      <c r="B51" s="80"/>
      <c r="C51" s="80"/>
      <c r="D51" s="80"/>
      <c r="E51" s="80"/>
      <c r="F51" s="79"/>
      <c r="G51" s="79"/>
      <c r="H51" s="79"/>
      <c r="I51" s="79"/>
      <c r="J51" s="79"/>
      <c r="K51" s="80"/>
      <c r="L51" s="80"/>
      <c r="M51" s="80"/>
      <c r="N51" s="80"/>
      <c r="O51" s="79" t="s">
        <v>5905</v>
      </c>
      <c r="P51" s="80"/>
      <c r="Q51" s="80"/>
      <c r="R51" s="80"/>
      <c r="S51" s="80"/>
      <c r="T51" s="82" t="str">
        <f>IF(ISERROR(VLOOKUP($H51,Aux_Lista!$A$2:$K$12,8,FALSE)),"",VLOOKUP($H51,Aux_Lista!$A$2:$K$12,8,FALSE))</f>
        <v/>
      </c>
      <c r="U51" s="83" t="str">
        <f>IF(ISERROR(VLOOKUP($H51,Aux_Lista!$A$2:$K$12,9,FALSE)^-1),"",VLOOKUP($H51,Aux_Lista!$A$2:$K$12,9,FALSE)^-1)</f>
        <v/>
      </c>
      <c r="V51" s="83" t="str">
        <f>IF(ISERROR(VLOOKUP($H51,Aux_Lista!$A$2:$K$12,10,FALSE)),"",VLOOKUP($H51,Aux_Lista!$A$2:$K$12,10,FALSE))</f>
        <v/>
      </c>
      <c r="W51" s="2"/>
      <c r="X51" s="87">
        <f>ArCondicionado!F66</f>
        <v>0</v>
      </c>
      <c r="Y51" s="256" t="str">
        <f>ArCondicionado!AK66</f>
        <v/>
      </c>
      <c r="Z51" s="88"/>
      <c r="AA51" s="88"/>
      <c r="AB51" s="2"/>
    </row>
    <row r="52" spans="1:28" s="30" customFormat="1" ht="20.100000000000001" customHeight="1" x14ac:dyDescent="0.25">
      <c r="A52" s="167">
        <v>37</v>
      </c>
      <c r="B52" s="80"/>
      <c r="C52" s="80"/>
      <c r="D52" s="80"/>
      <c r="E52" s="80"/>
      <c r="F52" s="79"/>
      <c r="G52" s="79"/>
      <c r="H52" s="79"/>
      <c r="I52" s="79"/>
      <c r="J52" s="79"/>
      <c r="K52" s="80"/>
      <c r="L52" s="80"/>
      <c r="M52" s="80"/>
      <c r="N52" s="80"/>
      <c r="O52" s="79" t="s">
        <v>5905</v>
      </c>
      <c r="P52" s="80"/>
      <c r="Q52" s="80"/>
      <c r="R52" s="80"/>
      <c r="S52" s="80"/>
      <c r="T52" s="82" t="str">
        <f>IF(ISERROR(VLOOKUP($H52,Aux_Lista!$A$2:$K$12,8,FALSE)),"",VLOOKUP($H52,Aux_Lista!$A$2:$K$12,8,FALSE))</f>
        <v/>
      </c>
      <c r="U52" s="83" t="str">
        <f>IF(ISERROR(VLOOKUP($H52,Aux_Lista!$A$2:$K$12,9,FALSE)^-1),"",VLOOKUP($H52,Aux_Lista!$A$2:$K$12,9,FALSE)^-1)</f>
        <v/>
      </c>
      <c r="V52" s="83" t="str">
        <f>IF(ISERROR(VLOOKUP($H52,Aux_Lista!$A$2:$K$12,10,FALSE)),"",VLOOKUP($H52,Aux_Lista!$A$2:$K$12,10,FALSE))</f>
        <v/>
      </c>
      <c r="W52" s="2"/>
      <c r="X52" s="87">
        <f>ArCondicionado!F67</f>
        <v>0</v>
      </c>
      <c r="Y52" s="256" t="str">
        <f>ArCondicionado!AK67</f>
        <v/>
      </c>
      <c r="Z52" s="88"/>
      <c r="AA52" s="88"/>
      <c r="AB52" s="2"/>
    </row>
    <row r="53" spans="1:28" s="30" customFormat="1" ht="20.100000000000001" customHeight="1" x14ac:dyDescent="0.25">
      <c r="A53" s="168">
        <v>38</v>
      </c>
      <c r="B53" s="80"/>
      <c r="C53" s="80"/>
      <c r="D53" s="80"/>
      <c r="E53" s="80"/>
      <c r="F53" s="79"/>
      <c r="G53" s="79"/>
      <c r="H53" s="79"/>
      <c r="I53" s="79"/>
      <c r="J53" s="79"/>
      <c r="K53" s="80"/>
      <c r="L53" s="80"/>
      <c r="M53" s="80"/>
      <c r="N53" s="80"/>
      <c r="O53" s="79" t="s">
        <v>5905</v>
      </c>
      <c r="P53" s="80"/>
      <c r="Q53" s="80"/>
      <c r="R53" s="80"/>
      <c r="S53" s="80"/>
      <c r="T53" s="82" t="str">
        <f>IF(ISERROR(VLOOKUP($H53,Aux_Lista!$A$2:$K$12,8,FALSE)),"",VLOOKUP($H53,Aux_Lista!$A$2:$K$12,8,FALSE))</f>
        <v/>
      </c>
      <c r="U53" s="83" t="str">
        <f>IF(ISERROR(VLOOKUP($H53,Aux_Lista!$A$2:$K$12,9,FALSE)^-1),"",VLOOKUP($H53,Aux_Lista!$A$2:$K$12,9,FALSE)^-1)</f>
        <v/>
      </c>
      <c r="V53" s="83" t="str">
        <f>IF(ISERROR(VLOOKUP($H53,Aux_Lista!$A$2:$K$12,10,FALSE)),"",VLOOKUP($H53,Aux_Lista!$A$2:$K$12,10,FALSE))</f>
        <v/>
      </c>
      <c r="W53" s="2"/>
      <c r="X53" s="87">
        <f>ArCondicionado!F68</f>
        <v>0</v>
      </c>
      <c r="Y53" s="256" t="str">
        <f>ArCondicionado!AK68</f>
        <v/>
      </c>
      <c r="Z53" s="88"/>
      <c r="AA53" s="88"/>
      <c r="AB53" s="2"/>
    </row>
    <row r="54" spans="1:28" s="30" customFormat="1" ht="20.100000000000001" customHeight="1" x14ac:dyDescent="0.25">
      <c r="A54" s="167">
        <v>39</v>
      </c>
      <c r="B54" s="80"/>
      <c r="C54" s="80"/>
      <c r="D54" s="80"/>
      <c r="E54" s="80"/>
      <c r="F54" s="79"/>
      <c r="G54" s="79"/>
      <c r="H54" s="79"/>
      <c r="I54" s="79"/>
      <c r="J54" s="79"/>
      <c r="K54" s="80"/>
      <c r="L54" s="80"/>
      <c r="M54" s="80"/>
      <c r="N54" s="80"/>
      <c r="O54" s="79" t="s">
        <v>5905</v>
      </c>
      <c r="P54" s="80"/>
      <c r="Q54" s="80"/>
      <c r="R54" s="80"/>
      <c r="S54" s="80"/>
      <c r="T54" s="82" t="str">
        <f>IF(ISERROR(VLOOKUP($H54,Aux_Lista!$A$2:$K$12,8,FALSE)),"",VLOOKUP($H54,Aux_Lista!$A$2:$K$12,8,FALSE))</f>
        <v/>
      </c>
      <c r="U54" s="83" t="str">
        <f>IF(ISERROR(VLOOKUP($H54,Aux_Lista!$A$2:$K$12,9,FALSE)^-1),"",VLOOKUP($H54,Aux_Lista!$A$2:$K$12,9,FALSE)^-1)</f>
        <v/>
      </c>
      <c r="V54" s="83" t="str">
        <f>IF(ISERROR(VLOOKUP($H54,Aux_Lista!$A$2:$K$12,10,FALSE)),"",VLOOKUP($H54,Aux_Lista!$A$2:$K$12,10,FALSE))</f>
        <v/>
      </c>
      <c r="W54" s="2"/>
      <c r="X54" s="87">
        <f>ArCondicionado!F69</f>
        <v>0</v>
      </c>
      <c r="Y54" s="256" t="str">
        <f>ArCondicionado!AK69</f>
        <v/>
      </c>
      <c r="Z54" s="88"/>
      <c r="AA54" s="88"/>
      <c r="AB54" s="2"/>
    </row>
    <row r="55" spans="1:28" s="30" customFormat="1" ht="20.100000000000001" customHeight="1" x14ac:dyDescent="0.25">
      <c r="A55" s="168">
        <v>40</v>
      </c>
      <c r="B55" s="80"/>
      <c r="C55" s="80"/>
      <c r="D55" s="80"/>
      <c r="E55" s="80"/>
      <c r="F55" s="79"/>
      <c r="G55" s="79"/>
      <c r="H55" s="79"/>
      <c r="I55" s="79"/>
      <c r="J55" s="79"/>
      <c r="K55" s="80"/>
      <c r="L55" s="80"/>
      <c r="M55" s="80"/>
      <c r="N55" s="80"/>
      <c r="O55" s="79" t="s">
        <v>5905</v>
      </c>
      <c r="P55" s="80"/>
      <c r="Q55" s="80"/>
      <c r="R55" s="80"/>
      <c r="S55" s="80"/>
      <c r="T55" s="82" t="str">
        <f>IF(ISERROR(VLOOKUP($H55,Aux_Lista!$A$2:$K$12,8,FALSE)),"",VLOOKUP($H55,Aux_Lista!$A$2:$K$12,8,FALSE))</f>
        <v/>
      </c>
      <c r="U55" s="83" t="str">
        <f>IF(ISERROR(VLOOKUP($H55,Aux_Lista!$A$2:$K$12,9,FALSE)^-1),"",VLOOKUP($H55,Aux_Lista!$A$2:$K$12,9,FALSE)^-1)</f>
        <v/>
      </c>
      <c r="V55" s="83" t="str">
        <f>IF(ISERROR(VLOOKUP($H55,Aux_Lista!$A$2:$K$12,10,FALSE)),"",VLOOKUP($H55,Aux_Lista!$A$2:$K$12,10,FALSE))</f>
        <v/>
      </c>
      <c r="W55" s="2"/>
      <c r="X55" s="87">
        <f>ArCondicionado!F70</f>
        <v>0</v>
      </c>
      <c r="Y55" s="256" t="str">
        <f>ArCondicionado!AK70</f>
        <v/>
      </c>
      <c r="Z55" s="88"/>
      <c r="AA55" s="88"/>
      <c r="AB55" s="2"/>
    </row>
    <row r="56" spans="1:28" s="30" customFormat="1" ht="20.100000000000001" customHeight="1" x14ac:dyDescent="0.25">
      <c r="A56" s="167">
        <v>41</v>
      </c>
      <c r="B56" s="80"/>
      <c r="C56" s="80"/>
      <c r="D56" s="80"/>
      <c r="E56" s="80"/>
      <c r="F56" s="79"/>
      <c r="G56" s="79"/>
      <c r="H56" s="79"/>
      <c r="I56" s="79"/>
      <c r="J56" s="79"/>
      <c r="K56" s="80"/>
      <c r="L56" s="80"/>
      <c r="M56" s="80"/>
      <c r="N56" s="80"/>
      <c r="O56" s="79" t="s">
        <v>5905</v>
      </c>
      <c r="P56" s="80"/>
      <c r="Q56" s="80"/>
      <c r="R56" s="80"/>
      <c r="S56" s="80"/>
      <c r="T56" s="82" t="str">
        <f>IF(ISERROR(VLOOKUP($H56,Aux_Lista!$A$2:$K$12,8,FALSE)),"",VLOOKUP($H56,Aux_Lista!$A$2:$K$12,8,FALSE))</f>
        <v/>
      </c>
      <c r="U56" s="83" t="str">
        <f>IF(ISERROR(VLOOKUP($H56,Aux_Lista!$A$2:$K$12,9,FALSE)^-1),"",VLOOKUP($H56,Aux_Lista!$A$2:$K$12,9,FALSE)^-1)</f>
        <v/>
      </c>
      <c r="V56" s="83" t="str">
        <f>IF(ISERROR(VLOOKUP($H56,Aux_Lista!$A$2:$K$12,10,FALSE)),"",VLOOKUP($H56,Aux_Lista!$A$2:$K$12,10,FALSE))</f>
        <v/>
      </c>
      <c r="W56" s="2"/>
      <c r="X56" s="87">
        <f>ArCondicionado!F71</f>
        <v>0</v>
      </c>
      <c r="Y56" s="256" t="str">
        <f>ArCondicionado!AK71</f>
        <v/>
      </c>
      <c r="Z56" s="88"/>
      <c r="AA56" s="88"/>
      <c r="AB56" s="2"/>
    </row>
    <row r="57" spans="1:28" s="30" customFormat="1" ht="20.100000000000001" customHeight="1" x14ac:dyDescent="0.25">
      <c r="A57" s="168">
        <v>42</v>
      </c>
      <c r="B57" s="80"/>
      <c r="C57" s="80"/>
      <c r="D57" s="80"/>
      <c r="E57" s="80"/>
      <c r="F57" s="79"/>
      <c r="G57" s="79"/>
      <c r="H57" s="79"/>
      <c r="I57" s="79"/>
      <c r="J57" s="79"/>
      <c r="K57" s="80"/>
      <c r="L57" s="80"/>
      <c r="M57" s="80"/>
      <c r="N57" s="80"/>
      <c r="O57" s="79" t="s">
        <v>5905</v>
      </c>
      <c r="P57" s="80"/>
      <c r="Q57" s="80"/>
      <c r="R57" s="80"/>
      <c r="S57" s="80"/>
      <c r="T57" s="82" t="str">
        <f>IF(ISERROR(VLOOKUP($H57,Aux_Lista!$A$2:$K$12,8,FALSE)),"",VLOOKUP($H57,Aux_Lista!$A$2:$K$12,8,FALSE))</f>
        <v/>
      </c>
      <c r="U57" s="83" t="str">
        <f>IF(ISERROR(VLOOKUP($H57,Aux_Lista!$A$2:$K$12,9,FALSE)^-1),"",VLOOKUP($H57,Aux_Lista!$A$2:$K$12,9,FALSE)^-1)</f>
        <v/>
      </c>
      <c r="V57" s="83" t="str">
        <f>IF(ISERROR(VLOOKUP($H57,Aux_Lista!$A$2:$K$12,10,FALSE)),"",VLOOKUP($H57,Aux_Lista!$A$2:$K$12,10,FALSE))</f>
        <v/>
      </c>
      <c r="W57" s="2"/>
      <c r="X57" s="87">
        <f>ArCondicionado!F72</f>
        <v>0</v>
      </c>
      <c r="Y57" s="256" t="str">
        <f>ArCondicionado!AK72</f>
        <v/>
      </c>
      <c r="Z57" s="88"/>
      <c r="AA57" s="88"/>
      <c r="AB57" s="2"/>
    </row>
    <row r="58" spans="1:28" s="30" customFormat="1" ht="20.100000000000001" customHeight="1" x14ac:dyDescent="0.25">
      <c r="A58" s="167">
        <v>43</v>
      </c>
      <c r="B58" s="80"/>
      <c r="C58" s="80"/>
      <c r="D58" s="80"/>
      <c r="E58" s="80"/>
      <c r="F58" s="79"/>
      <c r="G58" s="79"/>
      <c r="H58" s="79"/>
      <c r="I58" s="79"/>
      <c r="J58" s="79"/>
      <c r="K58" s="80"/>
      <c r="L58" s="80"/>
      <c r="M58" s="80"/>
      <c r="N58" s="80"/>
      <c r="O58" s="79" t="s">
        <v>5905</v>
      </c>
      <c r="P58" s="80"/>
      <c r="Q58" s="80"/>
      <c r="R58" s="80"/>
      <c r="S58" s="80"/>
      <c r="T58" s="82" t="str">
        <f>IF(ISERROR(VLOOKUP($H58,Aux_Lista!$A$2:$K$12,8,FALSE)),"",VLOOKUP($H58,Aux_Lista!$A$2:$K$12,8,FALSE))</f>
        <v/>
      </c>
      <c r="U58" s="83" t="str">
        <f>IF(ISERROR(VLOOKUP($H58,Aux_Lista!$A$2:$K$12,9,FALSE)^-1),"",VLOOKUP($H58,Aux_Lista!$A$2:$K$12,9,FALSE)^-1)</f>
        <v/>
      </c>
      <c r="V58" s="83" t="str">
        <f>IF(ISERROR(VLOOKUP($H58,Aux_Lista!$A$2:$K$12,10,FALSE)),"",VLOOKUP($H58,Aux_Lista!$A$2:$K$12,10,FALSE))</f>
        <v/>
      </c>
      <c r="W58" s="2"/>
      <c r="X58" s="87">
        <f>ArCondicionado!F73</f>
        <v>0</v>
      </c>
      <c r="Y58" s="256" t="str">
        <f>ArCondicionado!AK73</f>
        <v/>
      </c>
      <c r="Z58" s="88"/>
      <c r="AA58" s="88"/>
      <c r="AB58" s="2"/>
    </row>
    <row r="59" spans="1:28" s="30" customFormat="1" ht="20.100000000000001" customHeight="1" x14ac:dyDescent="0.25">
      <c r="A59" s="168">
        <v>44</v>
      </c>
      <c r="B59" s="80"/>
      <c r="C59" s="80"/>
      <c r="D59" s="80"/>
      <c r="E59" s="80"/>
      <c r="F59" s="79"/>
      <c r="G59" s="79"/>
      <c r="H59" s="79"/>
      <c r="I59" s="79"/>
      <c r="J59" s="79"/>
      <c r="K59" s="80"/>
      <c r="L59" s="80"/>
      <c r="M59" s="80"/>
      <c r="N59" s="80"/>
      <c r="O59" s="79" t="s">
        <v>5905</v>
      </c>
      <c r="P59" s="80"/>
      <c r="Q59" s="80"/>
      <c r="R59" s="80"/>
      <c r="S59" s="80"/>
      <c r="T59" s="82" t="str">
        <f>IF(ISERROR(VLOOKUP($H59,Aux_Lista!$A$2:$K$12,8,FALSE)),"",VLOOKUP($H59,Aux_Lista!$A$2:$K$12,8,FALSE))</f>
        <v/>
      </c>
      <c r="U59" s="83" t="str">
        <f>IF(ISERROR(VLOOKUP($H59,Aux_Lista!$A$2:$K$12,9,FALSE)^-1),"",VLOOKUP($H59,Aux_Lista!$A$2:$K$12,9,FALSE)^-1)</f>
        <v/>
      </c>
      <c r="V59" s="83" t="str">
        <f>IF(ISERROR(VLOOKUP($H59,Aux_Lista!$A$2:$K$12,10,FALSE)),"",VLOOKUP($H59,Aux_Lista!$A$2:$K$12,10,FALSE))</f>
        <v/>
      </c>
      <c r="W59" s="2"/>
      <c r="X59" s="87">
        <f>ArCondicionado!F74</f>
        <v>0</v>
      </c>
      <c r="Y59" s="256" t="str">
        <f>ArCondicionado!AK74</f>
        <v/>
      </c>
      <c r="Z59" s="88"/>
      <c r="AA59" s="88"/>
      <c r="AB59" s="2"/>
    </row>
    <row r="60" spans="1:28" s="30" customFormat="1" ht="20.100000000000001" customHeight="1" x14ac:dyDescent="0.25">
      <c r="A60" s="167">
        <v>45</v>
      </c>
      <c r="B60" s="80"/>
      <c r="C60" s="80"/>
      <c r="D60" s="80"/>
      <c r="E60" s="80"/>
      <c r="F60" s="79"/>
      <c r="G60" s="79"/>
      <c r="H60" s="79"/>
      <c r="I60" s="79"/>
      <c r="J60" s="79"/>
      <c r="K60" s="80"/>
      <c r="L60" s="80"/>
      <c r="M60" s="80"/>
      <c r="N60" s="80"/>
      <c r="O60" s="79" t="s">
        <v>5905</v>
      </c>
      <c r="P60" s="80"/>
      <c r="Q60" s="80"/>
      <c r="R60" s="80"/>
      <c r="S60" s="80"/>
      <c r="T60" s="82" t="str">
        <f>IF(ISERROR(VLOOKUP($H60,Aux_Lista!$A$2:$K$12,8,FALSE)),"",VLOOKUP($H60,Aux_Lista!$A$2:$K$12,8,FALSE))</f>
        <v/>
      </c>
      <c r="U60" s="83" t="str">
        <f>IF(ISERROR(VLOOKUP($H60,Aux_Lista!$A$2:$K$12,9,FALSE)^-1),"",VLOOKUP($H60,Aux_Lista!$A$2:$K$12,9,FALSE)^-1)</f>
        <v/>
      </c>
      <c r="V60" s="83" t="str">
        <f>IF(ISERROR(VLOOKUP($H60,Aux_Lista!$A$2:$K$12,10,FALSE)),"",VLOOKUP($H60,Aux_Lista!$A$2:$K$12,10,FALSE))</f>
        <v/>
      </c>
      <c r="W60" s="2"/>
      <c r="X60" s="87">
        <f>ArCondicionado!F75</f>
        <v>0</v>
      </c>
      <c r="Y60" s="256" t="str">
        <f>ArCondicionado!AK75</f>
        <v/>
      </c>
      <c r="Z60" s="88"/>
      <c r="AA60" s="88"/>
      <c r="AB60" s="2"/>
    </row>
    <row r="61" spans="1:28" s="30" customFormat="1" ht="20.100000000000001" customHeight="1" x14ac:dyDescent="0.25">
      <c r="A61" s="168">
        <v>46</v>
      </c>
      <c r="B61" s="80"/>
      <c r="C61" s="80"/>
      <c r="D61" s="80"/>
      <c r="E61" s="80"/>
      <c r="F61" s="79"/>
      <c r="G61" s="79"/>
      <c r="H61" s="79"/>
      <c r="I61" s="79"/>
      <c r="J61" s="79"/>
      <c r="K61" s="80"/>
      <c r="L61" s="80"/>
      <c r="M61" s="80"/>
      <c r="N61" s="80"/>
      <c r="O61" s="79" t="s">
        <v>5905</v>
      </c>
      <c r="P61" s="80"/>
      <c r="Q61" s="80"/>
      <c r="R61" s="80"/>
      <c r="S61" s="80"/>
      <c r="T61" s="82" t="str">
        <f>IF(ISERROR(VLOOKUP($H61,Aux_Lista!$A$2:$K$12,8,FALSE)),"",VLOOKUP($H61,Aux_Lista!$A$2:$K$12,8,FALSE))</f>
        <v/>
      </c>
      <c r="U61" s="83" t="str">
        <f>IF(ISERROR(VLOOKUP($H61,Aux_Lista!$A$2:$K$12,9,FALSE)^-1),"",VLOOKUP($H61,Aux_Lista!$A$2:$K$12,9,FALSE)^-1)</f>
        <v/>
      </c>
      <c r="V61" s="83" t="str">
        <f>IF(ISERROR(VLOOKUP($H61,Aux_Lista!$A$2:$K$12,10,FALSE)),"",VLOOKUP($H61,Aux_Lista!$A$2:$K$12,10,FALSE))</f>
        <v/>
      </c>
      <c r="W61" s="2"/>
      <c r="X61" s="87">
        <f>ArCondicionado!F76</f>
        <v>0</v>
      </c>
      <c r="Y61" s="256" t="str">
        <f>ArCondicionado!AK76</f>
        <v/>
      </c>
      <c r="Z61" s="88"/>
      <c r="AA61" s="88"/>
      <c r="AB61" s="2"/>
    </row>
    <row r="62" spans="1:28" s="30" customFormat="1" ht="20.100000000000001" customHeight="1" x14ac:dyDescent="0.25">
      <c r="A62" s="167">
        <v>47</v>
      </c>
      <c r="B62" s="80"/>
      <c r="C62" s="80"/>
      <c r="D62" s="80"/>
      <c r="E62" s="80"/>
      <c r="F62" s="79"/>
      <c r="G62" s="79"/>
      <c r="H62" s="79"/>
      <c r="I62" s="79"/>
      <c r="J62" s="79"/>
      <c r="K62" s="80"/>
      <c r="L62" s="80"/>
      <c r="M62" s="80"/>
      <c r="N62" s="80"/>
      <c r="O62" s="79" t="s">
        <v>5905</v>
      </c>
      <c r="P62" s="80"/>
      <c r="Q62" s="80"/>
      <c r="R62" s="80"/>
      <c r="S62" s="80"/>
      <c r="T62" s="82" t="str">
        <f>IF(ISERROR(VLOOKUP($H62,Aux_Lista!$A$2:$K$12,8,FALSE)),"",VLOOKUP($H62,Aux_Lista!$A$2:$K$12,8,FALSE))</f>
        <v/>
      </c>
      <c r="U62" s="83" t="str">
        <f>IF(ISERROR(VLOOKUP($H62,Aux_Lista!$A$2:$K$12,9,FALSE)^-1),"",VLOOKUP($H62,Aux_Lista!$A$2:$K$12,9,FALSE)^-1)</f>
        <v/>
      </c>
      <c r="V62" s="83" t="str">
        <f>IF(ISERROR(VLOOKUP($H62,Aux_Lista!$A$2:$K$12,10,FALSE)),"",VLOOKUP($H62,Aux_Lista!$A$2:$K$12,10,FALSE))</f>
        <v/>
      </c>
      <c r="W62" s="2"/>
      <c r="X62" s="87">
        <f>ArCondicionado!F77</f>
        <v>0</v>
      </c>
      <c r="Y62" s="256" t="str">
        <f>ArCondicionado!AK77</f>
        <v/>
      </c>
      <c r="Z62" s="88"/>
      <c r="AA62" s="88"/>
      <c r="AB62" s="2"/>
    </row>
    <row r="63" spans="1:28" s="30" customFormat="1" ht="20.100000000000001" customHeight="1" x14ac:dyDescent="0.25">
      <c r="A63" s="168">
        <v>48</v>
      </c>
      <c r="B63" s="80"/>
      <c r="C63" s="80"/>
      <c r="D63" s="80"/>
      <c r="E63" s="80"/>
      <c r="F63" s="79"/>
      <c r="G63" s="79"/>
      <c r="H63" s="79"/>
      <c r="I63" s="79"/>
      <c r="J63" s="79"/>
      <c r="K63" s="80"/>
      <c r="L63" s="80"/>
      <c r="M63" s="80"/>
      <c r="N63" s="80"/>
      <c r="O63" s="79" t="s">
        <v>5905</v>
      </c>
      <c r="P63" s="80"/>
      <c r="Q63" s="80"/>
      <c r="R63" s="80"/>
      <c r="S63" s="80"/>
      <c r="T63" s="82" t="str">
        <f>IF(ISERROR(VLOOKUP($H63,Aux_Lista!$A$2:$K$12,8,FALSE)),"",VLOOKUP($H63,Aux_Lista!$A$2:$K$12,8,FALSE))</f>
        <v/>
      </c>
      <c r="U63" s="83" t="str">
        <f>IF(ISERROR(VLOOKUP($H63,Aux_Lista!$A$2:$K$12,9,FALSE)^-1),"",VLOOKUP($H63,Aux_Lista!$A$2:$K$12,9,FALSE)^-1)</f>
        <v/>
      </c>
      <c r="V63" s="83" t="str">
        <f>IF(ISERROR(VLOOKUP($H63,Aux_Lista!$A$2:$K$12,10,FALSE)),"",VLOOKUP($H63,Aux_Lista!$A$2:$K$12,10,FALSE))</f>
        <v/>
      </c>
      <c r="W63" s="2"/>
      <c r="X63" s="87">
        <f>ArCondicionado!F78</f>
        <v>0</v>
      </c>
      <c r="Y63" s="256" t="str">
        <f>ArCondicionado!AK78</f>
        <v/>
      </c>
      <c r="Z63" s="88"/>
      <c r="AA63" s="88"/>
      <c r="AB63" s="2"/>
    </row>
    <row r="64" spans="1:28" s="30" customFormat="1" ht="20.100000000000001" customHeight="1" x14ac:dyDescent="0.25">
      <c r="A64" s="167">
        <v>49</v>
      </c>
      <c r="B64" s="80"/>
      <c r="C64" s="80"/>
      <c r="D64" s="80"/>
      <c r="E64" s="80"/>
      <c r="F64" s="79"/>
      <c r="G64" s="79"/>
      <c r="H64" s="79"/>
      <c r="I64" s="79"/>
      <c r="J64" s="79"/>
      <c r="K64" s="80"/>
      <c r="L64" s="80"/>
      <c r="M64" s="80"/>
      <c r="N64" s="80"/>
      <c r="O64" s="79" t="s">
        <v>5905</v>
      </c>
      <c r="P64" s="80"/>
      <c r="Q64" s="80"/>
      <c r="R64" s="80"/>
      <c r="S64" s="80"/>
      <c r="T64" s="82" t="str">
        <f>IF(ISERROR(VLOOKUP($H64,Aux_Lista!$A$2:$K$12,8,FALSE)),"",VLOOKUP($H64,Aux_Lista!$A$2:$K$12,8,FALSE))</f>
        <v/>
      </c>
      <c r="U64" s="83" t="str">
        <f>IF(ISERROR(VLOOKUP($H64,Aux_Lista!$A$2:$K$12,9,FALSE)^-1),"",VLOOKUP($H64,Aux_Lista!$A$2:$K$12,9,FALSE)^-1)</f>
        <v/>
      </c>
      <c r="V64" s="83" t="str">
        <f>IF(ISERROR(VLOOKUP($H64,Aux_Lista!$A$2:$K$12,10,FALSE)),"",VLOOKUP($H64,Aux_Lista!$A$2:$K$12,10,FALSE))</f>
        <v/>
      </c>
      <c r="W64" s="2"/>
      <c r="X64" s="87">
        <f>ArCondicionado!F79</f>
        <v>0</v>
      </c>
      <c r="Y64" s="256" t="str">
        <f>ArCondicionado!AK79</f>
        <v/>
      </c>
      <c r="Z64" s="88"/>
      <c r="AA64" s="88"/>
      <c r="AB64" s="2"/>
    </row>
    <row r="65" spans="1:28" s="30" customFormat="1" ht="20.100000000000001" customHeight="1" x14ac:dyDescent="0.25">
      <c r="A65" s="168">
        <v>50</v>
      </c>
      <c r="B65" s="80"/>
      <c r="C65" s="80"/>
      <c r="D65" s="80"/>
      <c r="E65" s="80"/>
      <c r="F65" s="79"/>
      <c r="G65" s="79"/>
      <c r="H65" s="79"/>
      <c r="I65" s="79"/>
      <c r="J65" s="79"/>
      <c r="K65" s="80"/>
      <c r="L65" s="80"/>
      <c r="M65" s="80"/>
      <c r="N65" s="80"/>
      <c r="O65" s="79" t="s">
        <v>5905</v>
      </c>
      <c r="P65" s="80"/>
      <c r="Q65" s="80"/>
      <c r="R65" s="80"/>
      <c r="S65" s="80"/>
      <c r="T65" s="82" t="str">
        <f>IF(ISERROR(VLOOKUP($H65,Aux_Lista!$A$2:$K$12,8,FALSE)),"",VLOOKUP($H65,Aux_Lista!$A$2:$K$12,8,FALSE))</f>
        <v/>
      </c>
      <c r="U65" s="83" t="str">
        <f>IF(ISERROR(VLOOKUP($H65,Aux_Lista!$A$2:$K$12,9,FALSE)^-1),"",VLOOKUP($H65,Aux_Lista!$A$2:$K$12,9,FALSE)^-1)</f>
        <v/>
      </c>
      <c r="V65" s="83" t="str">
        <f>IF(ISERROR(VLOOKUP($H65,Aux_Lista!$A$2:$K$12,10,FALSE)),"",VLOOKUP($H65,Aux_Lista!$A$2:$K$12,10,FALSE))</f>
        <v/>
      </c>
      <c r="W65" s="2"/>
      <c r="X65" s="87">
        <f>ArCondicionado!F80</f>
        <v>0</v>
      </c>
      <c r="Y65" s="256" t="str">
        <f>ArCondicionado!AK80</f>
        <v/>
      </c>
      <c r="Z65" s="88"/>
      <c r="AA65" s="88"/>
      <c r="AB65" s="2"/>
    </row>
    <row r="66" spans="1:28" s="30" customFormat="1" ht="20.100000000000001" customHeight="1" x14ac:dyDescent="0.25">
      <c r="A66" s="167">
        <v>51</v>
      </c>
      <c r="B66" s="80"/>
      <c r="C66" s="80"/>
      <c r="D66" s="80"/>
      <c r="E66" s="80"/>
      <c r="F66" s="79"/>
      <c r="G66" s="79"/>
      <c r="H66" s="79"/>
      <c r="I66" s="79"/>
      <c r="J66" s="79"/>
      <c r="K66" s="80"/>
      <c r="L66" s="80"/>
      <c r="M66" s="80"/>
      <c r="N66" s="80"/>
      <c r="O66" s="79" t="s">
        <v>5905</v>
      </c>
      <c r="P66" s="80"/>
      <c r="Q66" s="80"/>
      <c r="R66" s="80"/>
      <c r="S66" s="80"/>
      <c r="T66" s="82" t="str">
        <f>IF(ISERROR(VLOOKUP($H66,Aux_Lista!$A$2:$K$12,8,FALSE)),"",VLOOKUP($H66,Aux_Lista!$A$2:$K$12,8,FALSE))</f>
        <v/>
      </c>
      <c r="U66" s="83" t="str">
        <f>IF(ISERROR(VLOOKUP($H66,Aux_Lista!$A$2:$K$12,9,FALSE)^-1),"",VLOOKUP($H66,Aux_Lista!$A$2:$K$12,9,FALSE)^-1)</f>
        <v/>
      </c>
      <c r="V66" s="83" t="str">
        <f>IF(ISERROR(VLOOKUP($H66,Aux_Lista!$A$2:$K$12,10,FALSE)),"",VLOOKUP($H66,Aux_Lista!$A$2:$K$12,10,FALSE))</f>
        <v/>
      </c>
      <c r="W66" s="2"/>
      <c r="X66" s="87">
        <f>ArCondicionado!F81</f>
        <v>0</v>
      </c>
      <c r="Y66" s="256" t="str">
        <f>ArCondicionado!AK81</f>
        <v/>
      </c>
      <c r="Z66" s="88"/>
      <c r="AA66" s="88"/>
      <c r="AB66" s="2"/>
    </row>
    <row r="67" spans="1:28" s="30" customFormat="1" ht="20.100000000000001" customHeight="1" x14ac:dyDescent="0.25">
      <c r="A67" s="168">
        <v>52</v>
      </c>
      <c r="B67" s="80"/>
      <c r="C67" s="80"/>
      <c r="D67" s="80"/>
      <c r="E67" s="80"/>
      <c r="F67" s="79"/>
      <c r="G67" s="79"/>
      <c r="H67" s="79"/>
      <c r="I67" s="79"/>
      <c r="J67" s="79"/>
      <c r="K67" s="80"/>
      <c r="L67" s="80"/>
      <c r="M67" s="80"/>
      <c r="N67" s="80"/>
      <c r="O67" s="79" t="s">
        <v>5905</v>
      </c>
      <c r="P67" s="80"/>
      <c r="Q67" s="80"/>
      <c r="R67" s="80"/>
      <c r="S67" s="80"/>
      <c r="T67" s="82" t="str">
        <f>IF(ISERROR(VLOOKUP($H67,Aux_Lista!$A$2:$K$12,8,FALSE)),"",VLOOKUP($H67,Aux_Lista!$A$2:$K$12,8,FALSE))</f>
        <v/>
      </c>
      <c r="U67" s="83" t="str">
        <f>IF(ISERROR(VLOOKUP($H67,Aux_Lista!$A$2:$K$12,9,FALSE)^-1),"",VLOOKUP($H67,Aux_Lista!$A$2:$K$12,9,FALSE)^-1)</f>
        <v/>
      </c>
      <c r="V67" s="83" t="str">
        <f>IF(ISERROR(VLOOKUP($H67,Aux_Lista!$A$2:$K$12,10,FALSE)),"",VLOOKUP($H67,Aux_Lista!$A$2:$K$12,10,FALSE))</f>
        <v/>
      </c>
      <c r="W67" s="2"/>
      <c r="X67" s="87">
        <f>ArCondicionado!F82</f>
        <v>0</v>
      </c>
      <c r="Y67" s="256" t="str">
        <f>ArCondicionado!AK82</f>
        <v/>
      </c>
      <c r="Z67" s="88"/>
      <c r="AA67" s="88"/>
      <c r="AB67" s="2"/>
    </row>
    <row r="68" spans="1:28" s="30" customFormat="1" ht="20.100000000000001" customHeight="1" x14ac:dyDescent="0.25">
      <c r="A68" s="167">
        <v>53</v>
      </c>
      <c r="B68" s="80"/>
      <c r="C68" s="80"/>
      <c r="D68" s="80"/>
      <c r="E68" s="80"/>
      <c r="F68" s="79"/>
      <c r="G68" s="79"/>
      <c r="H68" s="79"/>
      <c r="I68" s="79"/>
      <c r="J68" s="79"/>
      <c r="K68" s="80"/>
      <c r="L68" s="80"/>
      <c r="M68" s="80"/>
      <c r="N68" s="80"/>
      <c r="O68" s="79" t="s">
        <v>5905</v>
      </c>
      <c r="P68" s="80"/>
      <c r="Q68" s="80"/>
      <c r="R68" s="80"/>
      <c r="S68" s="80"/>
      <c r="T68" s="82" t="str">
        <f>IF(ISERROR(VLOOKUP($H68,Aux_Lista!$A$2:$K$12,8,FALSE)),"",VLOOKUP($H68,Aux_Lista!$A$2:$K$12,8,FALSE))</f>
        <v/>
      </c>
      <c r="U68" s="83" t="str">
        <f>IF(ISERROR(VLOOKUP($H68,Aux_Lista!$A$2:$K$12,9,FALSE)^-1),"",VLOOKUP($H68,Aux_Lista!$A$2:$K$12,9,FALSE)^-1)</f>
        <v/>
      </c>
      <c r="V68" s="83" t="str">
        <f>IF(ISERROR(VLOOKUP($H68,Aux_Lista!$A$2:$K$12,10,FALSE)),"",VLOOKUP($H68,Aux_Lista!$A$2:$K$12,10,FALSE))</f>
        <v/>
      </c>
      <c r="W68" s="2"/>
      <c r="X68" s="87">
        <f>ArCondicionado!F83</f>
        <v>0</v>
      </c>
      <c r="Y68" s="256" t="str">
        <f>ArCondicionado!AK83</f>
        <v/>
      </c>
      <c r="Z68" s="88"/>
      <c r="AA68" s="88"/>
      <c r="AB68" s="2"/>
    </row>
    <row r="69" spans="1:28" s="30" customFormat="1" ht="20.100000000000001" customHeight="1" x14ac:dyDescent="0.25">
      <c r="A69" s="168">
        <v>54</v>
      </c>
      <c r="B69" s="80"/>
      <c r="C69" s="80"/>
      <c r="D69" s="80"/>
      <c r="E69" s="80"/>
      <c r="F69" s="79"/>
      <c r="G69" s="79"/>
      <c r="H69" s="79"/>
      <c r="I69" s="79"/>
      <c r="J69" s="79"/>
      <c r="K69" s="80"/>
      <c r="L69" s="80"/>
      <c r="M69" s="80"/>
      <c r="N69" s="80"/>
      <c r="O69" s="79" t="s">
        <v>5905</v>
      </c>
      <c r="P69" s="80"/>
      <c r="Q69" s="80"/>
      <c r="R69" s="80"/>
      <c r="S69" s="80"/>
      <c r="T69" s="82" t="str">
        <f>IF(ISERROR(VLOOKUP($H69,Aux_Lista!$A$2:$K$12,8,FALSE)),"",VLOOKUP($H69,Aux_Lista!$A$2:$K$12,8,FALSE))</f>
        <v/>
      </c>
      <c r="U69" s="83" t="str">
        <f>IF(ISERROR(VLOOKUP($H69,Aux_Lista!$A$2:$K$12,9,FALSE)^-1),"",VLOOKUP($H69,Aux_Lista!$A$2:$K$12,9,FALSE)^-1)</f>
        <v/>
      </c>
      <c r="V69" s="83" t="str">
        <f>IF(ISERROR(VLOOKUP($H69,Aux_Lista!$A$2:$K$12,10,FALSE)),"",VLOOKUP($H69,Aux_Lista!$A$2:$K$12,10,FALSE))</f>
        <v/>
      </c>
      <c r="W69" s="2"/>
      <c r="X69" s="87">
        <f>ArCondicionado!F84</f>
        <v>0</v>
      </c>
      <c r="Y69" s="256" t="str">
        <f>ArCondicionado!AK84</f>
        <v/>
      </c>
      <c r="Z69" s="88"/>
      <c r="AA69" s="88"/>
      <c r="AB69" s="2"/>
    </row>
    <row r="70" spans="1:28" s="30" customFormat="1" ht="20.100000000000001" customHeight="1" x14ac:dyDescent="0.25">
      <c r="A70" s="167">
        <v>55</v>
      </c>
      <c r="B70" s="80"/>
      <c r="C70" s="80"/>
      <c r="D70" s="80"/>
      <c r="E70" s="80"/>
      <c r="F70" s="79"/>
      <c r="G70" s="79"/>
      <c r="H70" s="79"/>
      <c r="I70" s="79"/>
      <c r="J70" s="79"/>
      <c r="K70" s="80"/>
      <c r="L70" s="80"/>
      <c r="M70" s="80"/>
      <c r="N70" s="80"/>
      <c r="O70" s="79" t="s">
        <v>5905</v>
      </c>
      <c r="P70" s="80"/>
      <c r="Q70" s="80"/>
      <c r="R70" s="80"/>
      <c r="S70" s="80"/>
      <c r="T70" s="82" t="str">
        <f>IF(ISERROR(VLOOKUP($H70,Aux_Lista!$A$2:$K$12,8,FALSE)),"",VLOOKUP($H70,Aux_Lista!$A$2:$K$12,8,FALSE))</f>
        <v/>
      </c>
      <c r="U70" s="83" t="str">
        <f>IF(ISERROR(VLOOKUP($H70,Aux_Lista!$A$2:$K$12,9,FALSE)^-1),"",VLOOKUP($H70,Aux_Lista!$A$2:$K$12,9,FALSE)^-1)</f>
        <v/>
      </c>
      <c r="V70" s="83" t="str">
        <f>IF(ISERROR(VLOOKUP($H70,Aux_Lista!$A$2:$K$12,10,FALSE)),"",VLOOKUP($H70,Aux_Lista!$A$2:$K$12,10,FALSE))</f>
        <v/>
      </c>
      <c r="W70" s="2"/>
      <c r="X70" s="87">
        <f>ArCondicionado!F85</f>
        <v>0</v>
      </c>
      <c r="Y70" s="256" t="str">
        <f>ArCondicionado!AK85</f>
        <v/>
      </c>
      <c r="Z70" s="88"/>
      <c r="AA70" s="88"/>
      <c r="AB70" s="2"/>
    </row>
    <row r="71" spans="1:28" s="30" customFormat="1" ht="20.100000000000001" customHeight="1" x14ac:dyDescent="0.25">
      <c r="A71" s="168">
        <v>56</v>
      </c>
      <c r="B71" s="80"/>
      <c r="C71" s="80"/>
      <c r="D71" s="80"/>
      <c r="E71" s="80"/>
      <c r="F71" s="79"/>
      <c r="G71" s="79"/>
      <c r="H71" s="79"/>
      <c r="I71" s="79"/>
      <c r="J71" s="79"/>
      <c r="K71" s="80"/>
      <c r="L71" s="80"/>
      <c r="M71" s="80"/>
      <c r="N71" s="80"/>
      <c r="O71" s="79" t="s">
        <v>5905</v>
      </c>
      <c r="P71" s="80"/>
      <c r="Q71" s="80"/>
      <c r="R71" s="80"/>
      <c r="S71" s="80"/>
      <c r="T71" s="82" t="str">
        <f>IF(ISERROR(VLOOKUP($H71,Aux_Lista!$A$2:$K$12,8,FALSE)),"",VLOOKUP($H71,Aux_Lista!$A$2:$K$12,8,FALSE))</f>
        <v/>
      </c>
      <c r="U71" s="83" t="str">
        <f>IF(ISERROR(VLOOKUP($H71,Aux_Lista!$A$2:$K$12,9,FALSE)^-1),"",VLOOKUP($H71,Aux_Lista!$A$2:$K$12,9,FALSE)^-1)</f>
        <v/>
      </c>
      <c r="V71" s="83" t="str">
        <f>IF(ISERROR(VLOOKUP($H71,Aux_Lista!$A$2:$K$12,10,FALSE)),"",VLOOKUP($H71,Aux_Lista!$A$2:$K$12,10,FALSE))</f>
        <v/>
      </c>
      <c r="W71" s="2"/>
      <c r="X71" s="87">
        <f>ArCondicionado!F86</f>
        <v>0</v>
      </c>
      <c r="Y71" s="256" t="str">
        <f>ArCondicionado!AK86</f>
        <v/>
      </c>
      <c r="Z71" s="88"/>
      <c r="AA71" s="88"/>
      <c r="AB71" s="2"/>
    </row>
    <row r="72" spans="1:28" s="30" customFormat="1" ht="20.100000000000001" customHeight="1" x14ac:dyDescent="0.25">
      <c r="A72" s="167">
        <v>57</v>
      </c>
      <c r="B72" s="80"/>
      <c r="C72" s="80"/>
      <c r="D72" s="80"/>
      <c r="E72" s="80"/>
      <c r="F72" s="79"/>
      <c r="G72" s="79"/>
      <c r="H72" s="79"/>
      <c r="I72" s="79"/>
      <c r="J72" s="79"/>
      <c r="K72" s="80"/>
      <c r="L72" s="80"/>
      <c r="M72" s="80"/>
      <c r="N72" s="80"/>
      <c r="O72" s="79" t="s">
        <v>5905</v>
      </c>
      <c r="P72" s="80"/>
      <c r="Q72" s="80"/>
      <c r="R72" s="80"/>
      <c r="S72" s="80"/>
      <c r="T72" s="82" t="str">
        <f>IF(ISERROR(VLOOKUP($H72,Aux_Lista!$A$2:$K$12,8,FALSE)),"",VLOOKUP($H72,Aux_Lista!$A$2:$K$12,8,FALSE))</f>
        <v/>
      </c>
      <c r="U72" s="83" t="str">
        <f>IF(ISERROR(VLOOKUP($H72,Aux_Lista!$A$2:$K$12,9,FALSE)^-1),"",VLOOKUP($H72,Aux_Lista!$A$2:$K$12,9,FALSE)^-1)</f>
        <v/>
      </c>
      <c r="V72" s="83" t="str">
        <f>IF(ISERROR(VLOOKUP($H72,Aux_Lista!$A$2:$K$12,10,FALSE)),"",VLOOKUP($H72,Aux_Lista!$A$2:$K$12,10,FALSE))</f>
        <v/>
      </c>
      <c r="W72" s="2"/>
      <c r="X72" s="87">
        <f>ArCondicionado!F87</f>
        <v>0</v>
      </c>
      <c r="Y72" s="256" t="str">
        <f>ArCondicionado!AK87</f>
        <v/>
      </c>
      <c r="Z72" s="88"/>
      <c r="AA72" s="88"/>
      <c r="AB72" s="2"/>
    </row>
    <row r="73" spans="1:28" s="30" customFormat="1" ht="20.100000000000001" customHeight="1" x14ac:dyDescent="0.25">
      <c r="A73" s="168">
        <v>58</v>
      </c>
      <c r="B73" s="80"/>
      <c r="C73" s="80"/>
      <c r="D73" s="80"/>
      <c r="E73" s="80"/>
      <c r="F73" s="79"/>
      <c r="G73" s="79"/>
      <c r="H73" s="79"/>
      <c r="I73" s="79"/>
      <c r="J73" s="79"/>
      <c r="K73" s="80"/>
      <c r="L73" s="80"/>
      <c r="M73" s="80"/>
      <c r="N73" s="80"/>
      <c r="O73" s="79" t="s">
        <v>5905</v>
      </c>
      <c r="P73" s="80"/>
      <c r="Q73" s="80"/>
      <c r="R73" s="80"/>
      <c r="S73" s="80"/>
      <c r="T73" s="82" t="str">
        <f>IF(ISERROR(VLOOKUP($H73,Aux_Lista!$A$2:$K$12,8,FALSE)),"",VLOOKUP($H73,Aux_Lista!$A$2:$K$12,8,FALSE))</f>
        <v/>
      </c>
      <c r="U73" s="83" t="str">
        <f>IF(ISERROR(VLOOKUP($H73,Aux_Lista!$A$2:$K$12,9,FALSE)^-1),"",VLOOKUP($H73,Aux_Lista!$A$2:$K$12,9,FALSE)^-1)</f>
        <v/>
      </c>
      <c r="V73" s="83" t="str">
        <f>IF(ISERROR(VLOOKUP($H73,Aux_Lista!$A$2:$K$12,10,FALSE)),"",VLOOKUP($H73,Aux_Lista!$A$2:$K$12,10,FALSE))</f>
        <v/>
      </c>
      <c r="W73" s="2"/>
      <c r="X73" s="87">
        <f>ArCondicionado!F88</f>
        <v>0</v>
      </c>
      <c r="Y73" s="256" t="str">
        <f>ArCondicionado!AK88</f>
        <v/>
      </c>
      <c r="Z73" s="88"/>
      <c r="AA73" s="88"/>
      <c r="AB73" s="2"/>
    </row>
    <row r="74" spans="1:28" s="30" customFormat="1" ht="20.100000000000001" customHeight="1" x14ac:dyDescent="0.25">
      <c r="A74" s="167">
        <v>59</v>
      </c>
      <c r="B74" s="80"/>
      <c r="C74" s="80"/>
      <c r="D74" s="80"/>
      <c r="E74" s="80"/>
      <c r="F74" s="79"/>
      <c r="G74" s="79"/>
      <c r="H74" s="79"/>
      <c r="I74" s="79"/>
      <c r="J74" s="79"/>
      <c r="K74" s="80"/>
      <c r="L74" s="80"/>
      <c r="M74" s="80"/>
      <c r="N74" s="80"/>
      <c r="O74" s="79" t="s">
        <v>5905</v>
      </c>
      <c r="P74" s="80"/>
      <c r="Q74" s="80"/>
      <c r="R74" s="80"/>
      <c r="S74" s="80"/>
      <c r="T74" s="82" t="str">
        <f>IF(ISERROR(VLOOKUP($H74,Aux_Lista!$A$2:$K$12,8,FALSE)),"",VLOOKUP($H74,Aux_Lista!$A$2:$K$12,8,FALSE))</f>
        <v/>
      </c>
      <c r="U74" s="83" t="str">
        <f>IF(ISERROR(VLOOKUP($H74,Aux_Lista!$A$2:$K$12,9,FALSE)^-1),"",VLOOKUP($H74,Aux_Lista!$A$2:$K$12,9,FALSE)^-1)</f>
        <v/>
      </c>
      <c r="V74" s="83" t="str">
        <f>IF(ISERROR(VLOOKUP($H74,Aux_Lista!$A$2:$K$12,10,FALSE)),"",VLOOKUP($H74,Aux_Lista!$A$2:$K$12,10,FALSE))</f>
        <v/>
      </c>
      <c r="W74" s="2"/>
      <c r="X74" s="87">
        <f>ArCondicionado!F89</f>
        <v>0</v>
      </c>
      <c r="Y74" s="256" t="str">
        <f>ArCondicionado!AK89</f>
        <v/>
      </c>
      <c r="Z74" s="88"/>
      <c r="AA74" s="88"/>
      <c r="AB74" s="2"/>
    </row>
    <row r="75" spans="1:28" s="30" customFormat="1" ht="20.100000000000001" customHeight="1" x14ac:dyDescent="0.25">
      <c r="A75" s="168">
        <v>60</v>
      </c>
      <c r="B75" s="80"/>
      <c r="C75" s="80"/>
      <c r="D75" s="80"/>
      <c r="E75" s="80"/>
      <c r="F75" s="79"/>
      <c r="G75" s="79"/>
      <c r="H75" s="79"/>
      <c r="I75" s="79"/>
      <c r="J75" s="79"/>
      <c r="K75" s="80"/>
      <c r="L75" s="80"/>
      <c r="M75" s="80"/>
      <c r="N75" s="80"/>
      <c r="O75" s="79" t="s">
        <v>5905</v>
      </c>
      <c r="P75" s="80"/>
      <c r="Q75" s="80"/>
      <c r="R75" s="80"/>
      <c r="S75" s="80"/>
      <c r="T75" s="82" t="str">
        <f>IF(ISERROR(VLOOKUP($H75,Aux_Lista!$A$2:$K$12,8,FALSE)),"",VLOOKUP($H75,Aux_Lista!$A$2:$K$12,8,FALSE))</f>
        <v/>
      </c>
      <c r="U75" s="83" t="str">
        <f>IF(ISERROR(VLOOKUP($H75,Aux_Lista!$A$2:$K$12,9,FALSE)^-1),"",VLOOKUP($H75,Aux_Lista!$A$2:$K$12,9,FALSE)^-1)</f>
        <v/>
      </c>
      <c r="V75" s="83" t="str">
        <f>IF(ISERROR(VLOOKUP($H75,Aux_Lista!$A$2:$K$12,10,FALSE)),"",VLOOKUP($H75,Aux_Lista!$A$2:$K$12,10,FALSE))</f>
        <v/>
      </c>
      <c r="W75" s="2"/>
      <c r="X75" s="87">
        <f>ArCondicionado!F90</f>
        <v>0</v>
      </c>
      <c r="Y75" s="256" t="str">
        <f>ArCondicionado!AK90</f>
        <v/>
      </c>
      <c r="Z75" s="88"/>
      <c r="AA75" s="88"/>
      <c r="AB75" s="2"/>
    </row>
    <row r="76" spans="1:28" s="30" customFormat="1" ht="20.100000000000001" customHeight="1" x14ac:dyDescent="0.25">
      <c r="A76" s="167">
        <v>61</v>
      </c>
      <c r="B76" s="80"/>
      <c r="C76" s="80"/>
      <c r="D76" s="80"/>
      <c r="E76" s="80"/>
      <c r="F76" s="79"/>
      <c r="G76" s="79"/>
      <c r="H76" s="79"/>
      <c r="I76" s="79"/>
      <c r="J76" s="79"/>
      <c r="K76" s="80"/>
      <c r="L76" s="80"/>
      <c r="M76" s="80"/>
      <c r="N76" s="80"/>
      <c r="O76" s="79" t="s">
        <v>5905</v>
      </c>
      <c r="P76" s="80"/>
      <c r="Q76" s="80"/>
      <c r="R76" s="80"/>
      <c r="S76" s="80"/>
      <c r="T76" s="82" t="str">
        <f>IF(ISERROR(VLOOKUP($H76,Aux_Lista!$A$2:$K$12,8,FALSE)),"",VLOOKUP($H76,Aux_Lista!$A$2:$K$12,8,FALSE))</f>
        <v/>
      </c>
      <c r="U76" s="83" t="str">
        <f>IF(ISERROR(VLOOKUP($H76,Aux_Lista!$A$2:$K$12,9,FALSE)^-1),"",VLOOKUP($H76,Aux_Lista!$A$2:$K$12,9,FALSE)^-1)</f>
        <v/>
      </c>
      <c r="V76" s="83" t="str">
        <f>IF(ISERROR(VLOOKUP($H76,Aux_Lista!$A$2:$K$12,10,FALSE)),"",VLOOKUP($H76,Aux_Lista!$A$2:$K$12,10,FALSE))</f>
        <v/>
      </c>
      <c r="W76" s="2"/>
      <c r="X76" s="87">
        <f>ArCondicionado!F91</f>
        <v>0</v>
      </c>
      <c r="Y76" s="256" t="str">
        <f>ArCondicionado!AK91</f>
        <v/>
      </c>
      <c r="Z76" s="88"/>
      <c r="AA76" s="88"/>
      <c r="AB76" s="2"/>
    </row>
    <row r="77" spans="1:28" s="30" customFormat="1" ht="20.100000000000001" customHeight="1" x14ac:dyDescent="0.25">
      <c r="A77" s="168">
        <v>62</v>
      </c>
      <c r="B77" s="80"/>
      <c r="C77" s="80"/>
      <c r="D77" s="80"/>
      <c r="E77" s="80"/>
      <c r="F77" s="79"/>
      <c r="G77" s="79"/>
      <c r="H77" s="79"/>
      <c r="I77" s="79"/>
      <c r="J77" s="79"/>
      <c r="K77" s="80"/>
      <c r="L77" s="80"/>
      <c r="M77" s="80"/>
      <c r="N77" s="80"/>
      <c r="O77" s="79" t="s">
        <v>5905</v>
      </c>
      <c r="P77" s="80"/>
      <c r="Q77" s="80"/>
      <c r="R77" s="80"/>
      <c r="S77" s="80"/>
      <c r="T77" s="82" t="str">
        <f>IF(ISERROR(VLOOKUP($H77,Aux_Lista!$A$2:$K$12,8,FALSE)),"",VLOOKUP($H77,Aux_Lista!$A$2:$K$12,8,FALSE))</f>
        <v/>
      </c>
      <c r="U77" s="83" t="str">
        <f>IF(ISERROR(VLOOKUP($H77,Aux_Lista!$A$2:$K$12,9,FALSE)^-1),"",VLOOKUP($H77,Aux_Lista!$A$2:$K$12,9,FALSE)^-1)</f>
        <v/>
      </c>
      <c r="V77" s="83" t="str">
        <f>IF(ISERROR(VLOOKUP($H77,Aux_Lista!$A$2:$K$12,10,FALSE)),"",VLOOKUP($H77,Aux_Lista!$A$2:$K$12,10,FALSE))</f>
        <v/>
      </c>
      <c r="W77" s="2"/>
      <c r="X77" s="87">
        <f>ArCondicionado!F92</f>
        <v>0</v>
      </c>
      <c r="Y77" s="256" t="str">
        <f>ArCondicionado!AK92</f>
        <v/>
      </c>
      <c r="Z77" s="88"/>
      <c r="AA77" s="88"/>
      <c r="AB77" s="2"/>
    </row>
    <row r="78" spans="1:28" s="30" customFormat="1" ht="20.100000000000001" customHeight="1" x14ac:dyDescent="0.25">
      <c r="A78" s="167">
        <v>63</v>
      </c>
      <c r="B78" s="80"/>
      <c r="C78" s="80"/>
      <c r="D78" s="80"/>
      <c r="E78" s="80"/>
      <c r="F78" s="79"/>
      <c r="G78" s="79"/>
      <c r="H78" s="79"/>
      <c r="I78" s="79"/>
      <c r="J78" s="79"/>
      <c r="K78" s="80"/>
      <c r="L78" s="80"/>
      <c r="M78" s="80"/>
      <c r="N78" s="80"/>
      <c r="O78" s="79" t="s">
        <v>5905</v>
      </c>
      <c r="P78" s="80"/>
      <c r="Q78" s="80"/>
      <c r="R78" s="80"/>
      <c r="S78" s="80"/>
      <c r="T78" s="82" t="str">
        <f>IF(ISERROR(VLOOKUP($H78,Aux_Lista!$A$2:$K$12,8,FALSE)),"",VLOOKUP($H78,Aux_Lista!$A$2:$K$12,8,FALSE))</f>
        <v/>
      </c>
      <c r="U78" s="83" t="str">
        <f>IF(ISERROR(VLOOKUP($H78,Aux_Lista!$A$2:$K$12,9,FALSE)^-1),"",VLOOKUP($H78,Aux_Lista!$A$2:$K$12,9,FALSE)^-1)</f>
        <v/>
      </c>
      <c r="V78" s="83" t="str">
        <f>IF(ISERROR(VLOOKUP($H78,Aux_Lista!$A$2:$K$12,10,FALSE)),"",VLOOKUP($H78,Aux_Lista!$A$2:$K$12,10,FALSE))</f>
        <v/>
      </c>
      <c r="W78" s="2"/>
      <c r="X78" s="87">
        <f>ArCondicionado!F93</f>
        <v>0</v>
      </c>
      <c r="Y78" s="256" t="str">
        <f>ArCondicionado!AK93</f>
        <v/>
      </c>
      <c r="Z78" s="88"/>
      <c r="AA78" s="88"/>
      <c r="AB78" s="2"/>
    </row>
    <row r="79" spans="1:28" s="30" customFormat="1" ht="20.100000000000001" customHeight="1" x14ac:dyDescent="0.25">
      <c r="A79" s="168">
        <v>64</v>
      </c>
      <c r="B79" s="80"/>
      <c r="C79" s="80"/>
      <c r="D79" s="80"/>
      <c r="E79" s="80"/>
      <c r="F79" s="79"/>
      <c r="G79" s="79"/>
      <c r="H79" s="79"/>
      <c r="I79" s="79"/>
      <c r="J79" s="79"/>
      <c r="K79" s="80"/>
      <c r="L79" s="80"/>
      <c r="M79" s="80"/>
      <c r="N79" s="80"/>
      <c r="O79" s="79" t="s">
        <v>5905</v>
      </c>
      <c r="P79" s="80"/>
      <c r="Q79" s="80"/>
      <c r="R79" s="80"/>
      <c r="S79" s="80"/>
      <c r="T79" s="82" t="str">
        <f>IF(ISERROR(VLOOKUP($H79,Aux_Lista!$A$2:$K$12,8,FALSE)),"",VLOOKUP($H79,Aux_Lista!$A$2:$K$12,8,FALSE))</f>
        <v/>
      </c>
      <c r="U79" s="83" t="str">
        <f>IF(ISERROR(VLOOKUP($H79,Aux_Lista!$A$2:$K$12,9,FALSE)^-1),"",VLOOKUP($H79,Aux_Lista!$A$2:$K$12,9,FALSE)^-1)</f>
        <v/>
      </c>
      <c r="V79" s="83" t="str">
        <f>IF(ISERROR(VLOOKUP($H79,Aux_Lista!$A$2:$K$12,10,FALSE)),"",VLOOKUP($H79,Aux_Lista!$A$2:$K$12,10,FALSE))</f>
        <v/>
      </c>
      <c r="W79" s="2"/>
      <c r="X79" s="87">
        <f>ArCondicionado!F94</f>
        <v>0</v>
      </c>
      <c r="Y79" s="256" t="str">
        <f>ArCondicionado!AK94</f>
        <v/>
      </c>
      <c r="Z79" s="88"/>
      <c r="AA79" s="88"/>
      <c r="AB79" s="2"/>
    </row>
    <row r="80" spans="1:28" s="30" customFormat="1" ht="20.100000000000001" customHeight="1" x14ac:dyDescent="0.25">
      <c r="A80" s="167">
        <v>65</v>
      </c>
      <c r="B80" s="80"/>
      <c r="C80" s="80"/>
      <c r="D80" s="80"/>
      <c r="E80" s="80"/>
      <c r="F80" s="79"/>
      <c r="G80" s="79"/>
      <c r="H80" s="79"/>
      <c r="I80" s="79"/>
      <c r="J80" s="79"/>
      <c r="K80" s="80"/>
      <c r="L80" s="80"/>
      <c r="M80" s="80"/>
      <c r="N80" s="80"/>
      <c r="O80" s="79" t="s">
        <v>5905</v>
      </c>
      <c r="P80" s="80"/>
      <c r="Q80" s="80"/>
      <c r="R80" s="80"/>
      <c r="S80" s="80"/>
      <c r="T80" s="82" t="str">
        <f>IF(ISERROR(VLOOKUP($H80,Aux_Lista!$A$2:$K$12,8,FALSE)),"",VLOOKUP($H80,Aux_Lista!$A$2:$K$12,8,FALSE))</f>
        <v/>
      </c>
      <c r="U80" s="83" t="str">
        <f>IF(ISERROR(VLOOKUP($H80,Aux_Lista!$A$2:$K$12,9,FALSE)^-1),"",VLOOKUP($H80,Aux_Lista!$A$2:$K$12,9,FALSE)^-1)</f>
        <v/>
      </c>
      <c r="V80" s="83" t="str">
        <f>IF(ISERROR(VLOOKUP($H80,Aux_Lista!$A$2:$K$12,10,FALSE)),"",VLOOKUP($H80,Aux_Lista!$A$2:$K$12,10,FALSE))</f>
        <v/>
      </c>
      <c r="W80" s="2"/>
      <c r="X80" s="87">
        <f>ArCondicionado!F95</f>
        <v>0</v>
      </c>
      <c r="Y80" s="256" t="str">
        <f>ArCondicionado!AK95</f>
        <v/>
      </c>
      <c r="Z80" s="88"/>
      <c r="AA80" s="88"/>
      <c r="AB80" s="2"/>
    </row>
    <row r="81" spans="1:28" s="30" customFormat="1" ht="20.100000000000001" customHeight="1" x14ac:dyDescent="0.25">
      <c r="A81" s="168">
        <v>66</v>
      </c>
      <c r="B81" s="80"/>
      <c r="C81" s="80"/>
      <c r="D81" s="80"/>
      <c r="E81" s="80"/>
      <c r="F81" s="79"/>
      <c r="G81" s="79"/>
      <c r="H81" s="79"/>
      <c r="I81" s="79"/>
      <c r="J81" s="79"/>
      <c r="K81" s="80"/>
      <c r="L81" s="80"/>
      <c r="M81" s="80"/>
      <c r="N81" s="80"/>
      <c r="O81" s="79" t="s">
        <v>5905</v>
      </c>
      <c r="P81" s="80"/>
      <c r="Q81" s="80"/>
      <c r="R81" s="80"/>
      <c r="S81" s="80"/>
      <c r="T81" s="82" t="str">
        <f>IF(ISERROR(VLOOKUP($H81,Aux_Lista!$A$2:$K$12,8,FALSE)),"",VLOOKUP($H81,Aux_Lista!$A$2:$K$12,8,FALSE))</f>
        <v/>
      </c>
      <c r="U81" s="83" t="str">
        <f>IF(ISERROR(VLOOKUP($H81,Aux_Lista!$A$2:$K$12,9,FALSE)^-1),"",VLOOKUP($H81,Aux_Lista!$A$2:$K$12,9,FALSE)^-1)</f>
        <v/>
      </c>
      <c r="V81" s="83" t="str">
        <f>IF(ISERROR(VLOOKUP($H81,Aux_Lista!$A$2:$K$12,10,FALSE)),"",VLOOKUP($H81,Aux_Lista!$A$2:$K$12,10,FALSE))</f>
        <v/>
      </c>
      <c r="W81" s="2"/>
      <c r="X81" s="87">
        <f>ArCondicionado!F96</f>
        <v>0</v>
      </c>
      <c r="Y81" s="256" t="str">
        <f>ArCondicionado!AK96</f>
        <v/>
      </c>
      <c r="Z81" s="88"/>
      <c r="AA81" s="88"/>
      <c r="AB81" s="2"/>
    </row>
    <row r="82" spans="1:28" s="30" customFormat="1" ht="20.100000000000001" customHeight="1" x14ac:dyDescent="0.25">
      <c r="A82" s="167">
        <v>67</v>
      </c>
      <c r="B82" s="80"/>
      <c r="C82" s="80"/>
      <c r="D82" s="80"/>
      <c r="E82" s="80"/>
      <c r="F82" s="79"/>
      <c r="G82" s="79"/>
      <c r="H82" s="79"/>
      <c r="I82" s="79"/>
      <c r="J82" s="79"/>
      <c r="K82" s="80"/>
      <c r="L82" s="80"/>
      <c r="M82" s="80"/>
      <c r="N82" s="80"/>
      <c r="O82" s="79" t="s">
        <v>5905</v>
      </c>
      <c r="P82" s="80"/>
      <c r="Q82" s="80"/>
      <c r="R82" s="80"/>
      <c r="S82" s="80"/>
      <c r="T82" s="82" t="str">
        <f>IF(ISERROR(VLOOKUP($H82,Aux_Lista!$A$2:$K$12,8,FALSE)),"",VLOOKUP($H82,Aux_Lista!$A$2:$K$12,8,FALSE))</f>
        <v/>
      </c>
      <c r="U82" s="83" t="str">
        <f>IF(ISERROR(VLOOKUP($H82,Aux_Lista!$A$2:$K$12,9,FALSE)^-1),"",VLOOKUP($H82,Aux_Lista!$A$2:$K$12,9,FALSE)^-1)</f>
        <v/>
      </c>
      <c r="V82" s="83" t="str">
        <f>IF(ISERROR(VLOOKUP($H82,Aux_Lista!$A$2:$K$12,10,FALSE)),"",VLOOKUP($H82,Aux_Lista!$A$2:$K$12,10,FALSE))</f>
        <v/>
      </c>
      <c r="W82" s="2"/>
      <c r="X82" s="87">
        <f>ArCondicionado!F97</f>
        <v>0</v>
      </c>
      <c r="Y82" s="256" t="str">
        <f>ArCondicionado!AK97</f>
        <v/>
      </c>
      <c r="Z82" s="88"/>
      <c r="AA82" s="88"/>
      <c r="AB82" s="2"/>
    </row>
    <row r="83" spans="1:28" s="30" customFormat="1" ht="20.100000000000001" customHeight="1" x14ac:dyDescent="0.25">
      <c r="A83" s="168">
        <v>68</v>
      </c>
      <c r="B83" s="80"/>
      <c r="C83" s="80"/>
      <c r="D83" s="80"/>
      <c r="E83" s="80"/>
      <c r="F83" s="79"/>
      <c r="G83" s="79"/>
      <c r="H83" s="79"/>
      <c r="I83" s="79"/>
      <c r="J83" s="79"/>
      <c r="K83" s="80"/>
      <c r="L83" s="80"/>
      <c r="M83" s="80"/>
      <c r="N83" s="80"/>
      <c r="O83" s="79" t="s">
        <v>5905</v>
      </c>
      <c r="P83" s="80"/>
      <c r="Q83" s="80"/>
      <c r="R83" s="80"/>
      <c r="S83" s="80"/>
      <c r="T83" s="82" t="str">
        <f>IF(ISERROR(VLOOKUP($H83,Aux_Lista!$A$2:$K$12,8,FALSE)),"",VLOOKUP($H83,Aux_Lista!$A$2:$K$12,8,FALSE))</f>
        <v/>
      </c>
      <c r="U83" s="83" t="str">
        <f>IF(ISERROR(VLOOKUP($H83,Aux_Lista!$A$2:$K$12,9,FALSE)^-1),"",VLOOKUP($H83,Aux_Lista!$A$2:$K$12,9,FALSE)^-1)</f>
        <v/>
      </c>
      <c r="V83" s="83" t="str">
        <f>IF(ISERROR(VLOOKUP($H83,Aux_Lista!$A$2:$K$12,10,FALSE)),"",VLOOKUP($H83,Aux_Lista!$A$2:$K$12,10,FALSE))</f>
        <v/>
      </c>
      <c r="W83" s="2"/>
      <c r="X83" s="87">
        <f>ArCondicionado!F98</f>
        <v>0</v>
      </c>
      <c r="Y83" s="256" t="str">
        <f>ArCondicionado!AK98</f>
        <v/>
      </c>
      <c r="Z83" s="88"/>
      <c r="AA83" s="88"/>
      <c r="AB83" s="2"/>
    </row>
    <row r="84" spans="1:28" s="30" customFormat="1" ht="20.100000000000001" customHeight="1" x14ac:dyDescent="0.25">
      <c r="A84" s="167">
        <v>69</v>
      </c>
      <c r="B84" s="80"/>
      <c r="C84" s="80"/>
      <c r="D84" s="80"/>
      <c r="E84" s="80"/>
      <c r="F84" s="79"/>
      <c r="G84" s="79"/>
      <c r="H84" s="79"/>
      <c r="I84" s="79"/>
      <c r="J84" s="79"/>
      <c r="K84" s="80"/>
      <c r="L84" s="80"/>
      <c r="M84" s="80"/>
      <c r="N84" s="80"/>
      <c r="O84" s="79" t="s">
        <v>5905</v>
      </c>
      <c r="P84" s="80"/>
      <c r="Q84" s="80"/>
      <c r="R84" s="80"/>
      <c r="S84" s="80"/>
      <c r="T84" s="82" t="str">
        <f>IF(ISERROR(VLOOKUP($H84,Aux_Lista!$A$2:$K$12,8,FALSE)),"",VLOOKUP($H84,Aux_Lista!$A$2:$K$12,8,FALSE))</f>
        <v/>
      </c>
      <c r="U84" s="83" t="str">
        <f>IF(ISERROR(VLOOKUP($H84,Aux_Lista!$A$2:$K$12,9,FALSE)^-1),"",VLOOKUP($H84,Aux_Lista!$A$2:$K$12,9,FALSE)^-1)</f>
        <v/>
      </c>
      <c r="V84" s="83" t="str">
        <f>IF(ISERROR(VLOOKUP($H84,Aux_Lista!$A$2:$K$12,10,FALSE)),"",VLOOKUP($H84,Aux_Lista!$A$2:$K$12,10,FALSE))</f>
        <v/>
      </c>
      <c r="W84" s="2"/>
      <c r="X84" s="87">
        <f>ArCondicionado!F99</f>
        <v>0</v>
      </c>
      <c r="Y84" s="256" t="str">
        <f>ArCondicionado!AK99</f>
        <v/>
      </c>
      <c r="Z84" s="88"/>
      <c r="AA84" s="88"/>
      <c r="AB84" s="2"/>
    </row>
    <row r="85" spans="1:28" s="30" customFormat="1" ht="20.100000000000001" customHeight="1" x14ac:dyDescent="0.25">
      <c r="A85" s="168">
        <v>70</v>
      </c>
      <c r="B85" s="80"/>
      <c r="C85" s="80"/>
      <c r="D85" s="80"/>
      <c r="E85" s="80"/>
      <c r="F85" s="79"/>
      <c r="G85" s="79"/>
      <c r="H85" s="79"/>
      <c r="I85" s="79"/>
      <c r="J85" s="79"/>
      <c r="K85" s="80"/>
      <c r="L85" s="80"/>
      <c r="M85" s="80"/>
      <c r="N85" s="80"/>
      <c r="O85" s="79" t="s">
        <v>5905</v>
      </c>
      <c r="P85" s="80"/>
      <c r="Q85" s="80"/>
      <c r="R85" s="80"/>
      <c r="S85" s="80"/>
      <c r="T85" s="82" t="str">
        <f>IF(ISERROR(VLOOKUP($H85,Aux_Lista!$A$2:$K$12,8,FALSE)),"",VLOOKUP($H85,Aux_Lista!$A$2:$K$12,8,FALSE))</f>
        <v/>
      </c>
      <c r="U85" s="83" t="str">
        <f>IF(ISERROR(VLOOKUP($H85,Aux_Lista!$A$2:$K$12,9,FALSE)^-1),"",VLOOKUP($H85,Aux_Lista!$A$2:$K$12,9,FALSE)^-1)</f>
        <v/>
      </c>
      <c r="V85" s="83" t="str">
        <f>IF(ISERROR(VLOOKUP($H85,Aux_Lista!$A$2:$K$12,10,FALSE)),"",VLOOKUP($H85,Aux_Lista!$A$2:$K$12,10,FALSE))</f>
        <v/>
      </c>
      <c r="W85" s="2"/>
      <c r="X85" s="87">
        <f>ArCondicionado!F100</f>
        <v>0</v>
      </c>
      <c r="Y85" s="256" t="str">
        <f>ArCondicionado!AK100</f>
        <v/>
      </c>
      <c r="Z85" s="88"/>
      <c r="AA85" s="88"/>
      <c r="AB85" s="2"/>
    </row>
    <row r="86" spans="1:28" s="30" customFormat="1" ht="20.100000000000001" customHeight="1" x14ac:dyDescent="0.25">
      <c r="A86" s="167">
        <v>71</v>
      </c>
      <c r="B86" s="80"/>
      <c r="C86" s="80"/>
      <c r="D86" s="80"/>
      <c r="E86" s="80"/>
      <c r="F86" s="79"/>
      <c r="G86" s="79"/>
      <c r="H86" s="79"/>
      <c r="I86" s="79"/>
      <c r="J86" s="79"/>
      <c r="K86" s="80"/>
      <c r="L86" s="80"/>
      <c r="M86" s="80"/>
      <c r="N86" s="80"/>
      <c r="O86" s="79" t="s">
        <v>5905</v>
      </c>
      <c r="P86" s="80"/>
      <c r="Q86" s="80"/>
      <c r="R86" s="80"/>
      <c r="S86" s="80"/>
      <c r="T86" s="82" t="str">
        <f>IF(ISERROR(VLOOKUP($H86,Aux_Lista!$A$2:$K$12,8,FALSE)),"",VLOOKUP($H86,Aux_Lista!$A$2:$K$12,8,FALSE))</f>
        <v/>
      </c>
      <c r="U86" s="83" t="str">
        <f>IF(ISERROR(VLOOKUP($H86,Aux_Lista!$A$2:$K$12,9,FALSE)^-1),"",VLOOKUP($H86,Aux_Lista!$A$2:$K$12,9,FALSE)^-1)</f>
        <v/>
      </c>
      <c r="V86" s="83" t="str">
        <f>IF(ISERROR(VLOOKUP($H86,Aux_Lista!$A$2:$K$12,10,FALSE)),"",VLOOKUP($H86,Aux_Lista!$A$2:$K$12,10,FALSE))</f>
        <v/>
      </c>
      <c r="W86" s="2"/>
      <c r="X86" s="87">
        <f>ArCondicionado!F101</f>
        <v>0</v>
      </c>
      <c r="Y86" s="256" t="str">
        <f>ArCondicionado!AK101</f>
        <v/>
      </c>
      <c r="Z86" s="88"/>
      <c r="AA86" s="88"/>
      <c r="AB86" s="2"/>
    </row>
    <row r="87" spans="1:28" s="30" customFormat="1" ht="20.100000000000001" customHeight="1" x14ac:dyDescent="0.25">
      <c r="A87" s="168">
        <v>72</v>
      </c>
      <c r="B87" s="80"/>
      <c r="C87" s="80"/>
      <c r="D87" s="80"/>
      <c r="E87" s="80"/>
      <c r="F87" s="79"/>
      <c r="G87" s="79"/>
      <c r="H87" s="79"/>
      <c r="I87" s="79"/>
      <c r="J87" s="79"/>
      <c r="K87" s="80"/>
      <c r="L87" s="80"/>
      <c r="M87" s="80"/>
      <c r="N87" s="80"/>
      <c r="O87" s="79" t="s">
        <v>5905</v>
      </c>
      <c r="P87" s="80"/>
      <c r="Q87" s="80"/>
      <c r="R87" s="80"/>
      <c r="S87" s="80"/>
      <c r="T87" s="82" t="str">
        <f>IF(ISERROR(VLOOKUP($H87,Aux_Lista!$A$2:$K$12,8,FALSE)),"",VLOOKUP($H87,Aux_Lista!$A$2:$K$12,8,FALSE))</f>
        <v/>
      </c>
      <c r="U87" s="83" t="str">
        <f>IF(ISERROR(VLOOKUP($H87,Aux_Lista!$A$2:$K$12,9,FALSE)^-1),"",VLOOKUP($H87,Aux_Lista!$A$2:$K$12,9,FALSE)^-1)</f>
        <v/>
      </c>
      <c r="V87" s="83" t="str">
        <f>IF(ISERROR(VLOOKUP($H87,Aux_Lista!$A$2:$K$12,10,FALSE)),"",VLOOKUP($H87,Aux_Lista!$A$2:$K$12,10,FALSE))</f>
        <v/>
      </c>
      <c r="W87" s="2"/>
      <c r="X87" s="87">
        <f>ArCondicionado!F102</f>
        <v>0</v>
      </c>
      <c r="Y87" s="256" t="str">
        <f>ArCondicionado!AK102</f>
        <v/>
      </c>
      <c r="Z87" s="88"/>
      <c r="AA87" s="88"/>
      <c r="AB87" s="2"/>
    </row>
    <row r="88" spans="1:28" s="30" customFormat="1" ht="20.100000000000001" customHeight="1" x14ac:dyDescent="0.25">
      <c r="A88" s="167">
        <v>73</v>
      </c>
      <c r="B88" s="80"/>
      <c r="C88" s="80"/>
      <c r="D88" s="80"/>
      <c r="E88" s="80"/>
      <c r="F88" s="79"/>
      <c r="G88" s="79"/>
      <c r="H88" s="79"/>
      <c r="I88" s="79"/>
      <c r="J88" s="79"/>
      <c r="K88" s="80"/>
      <c r="L88" s="80"/>
      <c r="M88" s="80"/>
      <c r="N88" s="80"/>
      <c r="O88" s="79" t="s">
        <v>5905</v>
      </c>
      <c r="P88" s="80"/>
      <c r="Q88" s="80"/>
      <c r="R88" s="80"/>
      <c r="S88" s="80"/>
      <c r="T88" s="82" t="str">
        <f>IF(ISERROR(VLOOKUP($H88,Aux_Lista!$A$2:$K$12,8,FALSE)),"",VLOOKUP($H88,Aux_Lista!$A$2:$K$12,8,FALSE))</f>
        <v/>
      </c>
      <c r="U88" s="83" t="str">
        <f>IF(ISERROR(VLOOKUP($H88,Aux_Lista!$A$2:$K$12,9,FALSE)^-1),"",VLOOKUP($H88,Aux_Lista!$A$2:$K$12,9,FALSE)^-1)</f>
        <v/>
      </c>
      <c r="V88" s="83" t="str">
        <f>IF(ISERROR(VLOOKUP($H88,Aux_Lista!$A$2:$K$12,10,FALSE)),"",VLOOKUP($H88,Aux_Lista!$A$2:$K$12,10,FALSE))</f>
        <v/>
      </c>
      <c r="W88" s="2"/>
      <c r="X88" s="87">
        <f>ArCondicionado!F103</f>
        <v>0</v>
      </c>
      <c r="Y88" s="256" t="str">
        <f>ArCondicionado!AK103</f>
        <v/>
      </c>
      <c r="Z88" s="88"/>
      <c r="AA88" s="88"/>
      <c r="AB88" s="2"/>
    </row>
    <row r="89" spans="1:28" s="30" customFormat="1" ht="20.100000000000001" customHeight="1" x14ac:dyDescent="0.25">
      <c r="A89" s="168">
        <v>74</v>
      </c>
      <c r="B89" s="80"/>
      <c r="C89" s="80"/>
      <c r="D89" s="80"/>
      <c r="E89" s="80"/>
      <c r="F89" s="79"/>
      <c r="G89" s="79"/>
      <c r="H89" s="79"/>
      <c r="I89" s="79"/>
      <c r="J89" s="79"/>
      <c r="K89" s="80"/>
      <c r="L89" s="80"/>
      <c r="M89" s="80"/>
      <c r="N89" s="80"/>
      <c r="O89" s="79" t="s">
        <v>5905</v>
      </c>
      <c r="P89" s="80"/>
      <c r="Q89" s="80"/>
      <c r="R89" s="80"/>
      <c r="S89" s="80"/>
      <c r="T89" s="82" t="str">
        <f>IF(ISERROR(VLOOKUP($H89,Aux_Lista!$A$2:$K$12,8,FALSE)),"",VLOOKUP($H89,Aux_Lista!$A$2:$K$12,8,FALSE))</f>
        <v/>
      </c>
      <c r="U89" s="83" t="str">
        <f>IF(ISERROR(VLOOKUP($H89,Aux_Lista!$A$2:$K$12,9,FALSE)^-1),"",VLOOKUP($H89,Aux_Lista!$A$2:$K$12,9,FALSE)^-1)</f>
        <v/>
      </c>
      <c r="V89" s="83" t="str">
        <f>IF(ISERROR(VLOOKUP($H89,Aux_Lista!$A$2:$K$12,10,FALSE)),"",VLOOKUP($H89,Aux_Lista!$A$2:$K$12,10,FALSE))</f>
        <v/>
      </c>
      <c r="W89" s="2"/>
      <c r="X89" s="87">
        <f>ArCondicionado!F104</f>
        <v>0</v>
      </c>
      <c r="Y89" s="256" t="str">
        <f>ArCondicionado!AK104</f>
        <v/>
      </c>
      <c r="Z89" s="88"/>
      <c r="AA89" s="88"/>
      <c r="AB89" s="2"/>
    </row>
    <row r="90" spans="1:28" s="30" customFormat="1" ht="20.100000000000001" customHeight="1" x14ac:dyDescent="0.25">
      <c r="A90" s="167">
        <v>75</v>
      </c>
      <c r="B90" s="80"/>
      <c r="C90" s="80"/>
      <c r="D90" s="80"/>
      <c r="E90" s="80"/>
      <c r="F90" s="79"/>
      <c r="G90" s="79"/>
      <c r="H90" s="79"/>
      <c r="I90" s="79"/>
      <c r="J90" s="79"/>
      <c r="K90" s="80"/>
      <c r="L90" s="80"/>
      <c r="M90" s="80"/>
      <c r="N90" s="80"/>
      <c r="O90" s="79" t="s">
        <v>5905</v>
      </c>
      <c r="P90" s="80"/>
      <c r="Q90" s="80"/>
      <c r="R90" s="80"/>
      <c r="S90" s="80"/>
      <c r="T90" s="82" t="str">
        <f>IF(ISERROR(VLOOKUP($H90,Aux_Lista!$A$2:$K$12,8,FALSE)),"",VLOOKUP($H90,Aux_Lista!$A$2:$K$12,8,FALSE))</f>
        <v/>
      </c>
      <c r="U90" s="83" t="str">
        <f>IF(ISERROR(VLOOKUP($H90,Aux_Lista!$A$2:$K$12,9,FALSE)^-1),"",VLOOKUP($H90,Aux_Lista!$A$2:$K$12,9,FALSE)^-1)</f>
        <v/>
      </c>
      <c r="V90" s="83" t="str">
        <f>IF(ISERROR(VLOOKUP($H90,Aux_Lista!$A$2:$K$12,10,FALSE)),"",VLOOKUP($H90,Aux_Lista!$A$2:$K$12,10,FALSE))</f>
        <v/>
      </c>
      <c r="W90" s="2"/>
      <c r="X90" s="87">
        <f>ArCondicionado!F105</f>
        <v>0</v>
      </c>
      <c r="Y90" s="256" t="str">
        <f>ArCondicionado!AK105</f>
        <v/>
      </c>
      <c r="Z90" s="88"/>
      <c r="AA90" s="88"/>
      <c r="AB90" s="2"/>
    </row>
    <row r="91" spans="1:28" s="30" customFormat="1" ht="20.100000000000001" customHeight="1" x14ac:dyDescent="0.25">
      <c r="A91" s="168">
        <v>76</v>
      </c>
      <c r="B91" s="80"/>
      <c r="C91" s="80"/>
      <c r="D91" s="80"/>
      <c r="E91" s="80"/>
      <c r="F91" s="79"/>
      <c r="G91" s="79"/>
      <c r="H91" s="79"/>
      <c r="I91" s="79"/>
      <c r="J91" s="79"/>
      <c r="K91" s="80"/>
      <c r="L91" s="80"/>
      <c r="M91" s="80"/>
      <c r="N91" s="80"/>
      <c r="O91" s="79" t="s">
        <v>5905</v>
      </c>
      <c r="P91" s="80"/>
      <c r="Q91" s="80"/>
      <c r="R91" s="80"/>
      <c r="S91" s="80"/>
      <c r="T91" s="82" t="str">
        <f>IF(ISERROR(VLOOKUP($H91,Aux_Lista!$A$2:$K$12,8,FALSE)),"",VLOOKUP($H91,Aux_Lista!$A$2:$K$12,8,FALSE))</f>
        <v/>
      </c>
      <c r="U91" s="83" t="str">
        <f>IF(ISERROR(VLOOKUP($H91,Aux_Lista!$A$2:$K$12,9,FALSE)^-1),"",VLOOKUP($H91,Aux_Lista!$A$2:$K$12,9,FALSE)^-1)</f>
        <v/>
      </c>
      <c r="V91" s="83" t="str">
        <f>IF(ISERROR(VLOOKUP($H91,Aux_Lista!$A$2:$K$12,10,FALSE)),"",VLOOKUP($H91,Aux_Lista!$A$2:$K$12,10,FALSE))</f>
        <v/>
      </c>
      <c r="W91" s="2"/>
      <c r="X91" s="87">
        <f>ArCondicionado!F106</f>
        <v>0</v>
      </c>
      <c r="Y91" s="256" t="str">
        <f>ArCondicionado!AK106</f>
        <v/>
      </c>
      <c r="Z91" s="88"/>
      <c r="AA91" s="88"/>
      <c r="AB91" s="2"/>
    </row>
    <row r="92" spans="1:28" s="30" customFormat="1" ht="20.100000000000001" customHeight="1" x14ac:dyDescent="0.25">
      <c r="A92" s="167">
        <v>77</v>
      </c>
      <c r="B92" s="80"/>
      <c r="C92" s="80"/>
      <c r="D92" s="80"/>
      <c r="E92" s="80"/>
      <c r="F92" s="79"/>
      <c r="G92" s="79"/>
      <c r="H92" s="79"/>
      <c r="I92" s="79"/>
      <c r="J92" s="79"/>
      <c r="K92" s="80"/>
      <c r="L92" s="80"/>
      <c r="M92" s="80"/>
      <c r="N92" s="80"/>
      <c r="O92" s="79" t="s">
        <v>5905</v>
      </c>
      <c r="P92" s="80"/>
      <c r="Q92" s="80"/>
      <c r="R92" s="80"/>
      <c r="S92" s="80"/>
      <c r="T92" s="82" t="str">
        <f>IF(ISERROR(VLOOKUP($H92,Aux_Lista!$A$2:$K$12,8,FALSE)),"",VLOOKUP($H92,Aux_Lista!$A$2:$K$12,8,FALSE))</f>
        <v/>
      </c>
      <c r="U92" s="83" t="str">
        <f>IF(ISERROR(VLOOKUP($H92,Aux_Lista!$A$2:$K$12,9,FALSE)^-1),"",VLOOKUP($H92,Aux_Lista!$A$2:$K$12,9,FALSE)^-1)</f>
        <v/>
      </c>
      <c r="V92" s="83" t="str">
        <f>IF(ISERROR(VLOOKUP($H92,Aux_Lista!$A$2:$K$12,10,FALSE)),"",VLOOKUP($H92,Aux_Lista!$A$2:$K$12,10,FALSE))</f>
        <v/>
      </c>
      <c r="W92" s="2"/>
      <c r="X92" s="87">
        <f>ArCondicionado!F107</f>
        <v>0</v>
      </c>
      <c r="Y92" s="256" t="str">
        <f>ArCondicionado!AK107</f>
        <v/>
      </c>
      <c r="Z92" s="88"/>
      <c r="AA92" s="88"/>
      <c r="AB92" s="2"/>
    </row>
    <row r="93" spans="1:28" s="30" customFormat="1" ht="20.100000000000001" customHeight="1" x14ac:dyDescent="0.25">
      <c r="A93" s="168">
        <v>78</v>
      </c>
      <c r="B93" s="80"/>
      <c r="C93" s="80"/>
      <c r="D93" s="80"/>
      <c r="E93" s="80"/>
      <c r="F93" s="79"/>
      <c r="G93" s="79"/>
      <c r="H93" s="79"/>
      <c r="I93" s="79"/>
      <c r="J93" s="79"/>
      <c r="K93" s="80"/>
      <c r="L93" s="80"/>
      <c r="M93" s="80"/>
      <c r="N93" s="80"/>
      <c r="O93" s="79" t="s">
        <v>5905</v>
      </c>
      <c r="P93" s="80"/>
      <c r="Q93" s="80"/>
      <c r="R93" s="80"/>
      <c r="S93" s="80"/>
      <c r="T93" s="82" t="str">
        <f>IF(ISERROR(VLOOKUP($H93,Aux_Lista!$A$2:$K$12,8,FALSE)),"",VLOOKUP($H93,Aux_Lista!$A$2:$K$12,8,FALSE))</f>
        <v/>
      </c>
      <c r="U93" s="83" t="str">
        <f>IF(ISERROR(VLOOKUP($H93,Aux_Lista!$A$2:$K$12,9,FALSE)^-1),"",VLOOKUP($H93,Aux_Lista!$A$2:$K$12,9,FALSE)^-1)</f>
        <v/>
      </c>
      <c r="V93" s="83" t="str">
        <f>IF(ISERROR(VLOOKUP($H93,Aux_Lista!$A$2:$K$12,10,FALSE)),"",VLOOKUP($H93,Aux_Lista!$A$2:$K$12,10,FALSE))</f>
        <v/>
      </c>
      <c r="W93" s="2"/>
      <c r="X93" s="87">
        <f>ArCondicionado!F108</f>
        <v>0</v>
      </c>
      <c r="Y93" s="256" t="str">
        <f>ArCondicionado!AK108</f>
        <v/>
      </c>
      <c r="Z93" s="88"/>
      <c r="AA93" s="88"/>
      <c r="AB93" s="2"/>
    </row>
    <row r="94" spans="1:28" s="30" customFormat="1" ht="20.100000000000001" customHeight="1" x14ac:dyDescent="0.25">
      <c r="A94" s="167">
        <v>79</v>
      </c>
      <c r="B94" s="80"/>
      <c r="C94" s="80"/>
      <c r="D94" s="80"/>
      <c r="E94" s="80"/>
      <c r="F94" s="79"/>
      <c r="G94" s="79"/>
      <c r="H94" s="79"/>
      <c r="I94" s="79"/>
      <c r="J94" s="79"/>
      <c r="K94" s="80"/>
      <c r="L94" s="80"/>
      <c r="M94" s="80"/>
      <c r="N94" s="80"/>
      <c r="O94" s="79" t="s">
        <v>5905</v>
      </c>
      <c r="P94" s="80"/>
      <c r="Q94" s="80"/>
      <c r="R94" s="80"/>
      <c r="S94" s="80"/>
      <c r="T94" s="82" t="str">
        <f>IF(ISERROR(VLOOKUP($H94,Aux_Lista!$A$2:$K$12,8,FALSE)),"",VLOOKUP($H94,Aux_Lista!$A$2:$K$12,8,FALSE))</f>
        <v/>
      </c>
      <c r="U94" s="83" t="str">
        <f>IF(ISERROR(VLOOKUP($H94,Aux_Lista!$A$2:$K$12,9,FALSE)^-1),"",VLOOKUP($H94,Aux_Lista!$A$2:$K$12,9,FALSE)^-1)</f>
        <v/>
      </c>
      <c r="V94" s="83" t="str">
        <f>IF(ISERROR(VLOOKUP($H94,Aux_Lista!$A$2:$K$12,10,FALSE)),"",VLOOKUP($H94,Aux_Lista!$A$2:$K$12,10,FALSE))</f>
        <v/>
      </c>
      <c r="W94" s="2"/>
      <c r="X94" s="87">
        <f>ArCondicionado!F109</f>
        <v>0</v>
      </c>
      <c r="Y94" s="256" t="str">
        <f>ArCondicionado!AK109</f>
        <v/>
      </c>
      <c r="Z94" s="88"/>
      <c r="AA94" s="88"/>
      <c r="AB94" s="2"/>
    </row>
    <row r="95" spans="1:28" s="30" customFormat="1" ht="20.100000000000001" customHeight="1" x14ac:dyDescent="0.25">
      <c r="A95" s="168">
        <v>80</v>
      </c>
      <c r="B95" s="80"/>
      <c r="C95" s="80"/>
      <c r="D95" s="80"/>
      <c r="E95" s="80"/>
      <c r="F95" s="79"/>
      <c r="G95" s="79"/>
      <c r="H95" s="79"/>
      <c r="I95" s="79"/>
      <c r="J95" s="79"/>
      <c r="K95" s="80"/>
      <c r="L95" s="80"/>
      <c r="M95" s="80"/>
      <c r="N95" s="80"/>
      <c r="O95" s="79" t="s">
        <v>5905</v>
      </c>
      <c r="P95" s="80"/>
      <c r="Q95" s="80"/>
      <c r="R95" s="80"/>
      <c r="S95" s="80"/>
      <c r="T95" s="82" t="str">
        <f>IF(ISERROR(VLOOKUP($H95,Aux_Lista!$A$2:$K$12,8,FALSE)),"",VLOOKUP($H95,Aux_Lista!$A$2:$K$12,8,FALSE))</f>
        <v/>
      </c>
      <c r="U95" s="83" t="str">
        <f>IF(ISERROR(VLOOKUP($H95,Aux_Lista!$A$2:$K$12,9,FALSE)^-1),"",VLOOKUP($H95,Aux_Lista!$A$2:$K$12,9,FALSE)^-1)</f>
        <v/>
      </c>
      <c r="V95" s="83" t="str">
        <f>IF(ISERROR(VLOOKUP($H95,Aux_Lista!$A$2:$K$12,10,FALSE)),"",VLOOKUP($H95,Aux_Lista!$A$2:$K$12,10,FALSE))</f>
        <v/>
      </c>
      <c r="W95" s="2"/>
      <c r="X95" s="87">
        <f>ArCondicionado!F110</f>
        <v>0</v>
      </c>
      <c r="Y95" s="256" t="str">
        <f>ArCondicionado!AK110</f>
        <v/>
      </c>
      <c r="Z95" s="88"/>
      <c r="AA95" s="88"/>
      <c r="AB95" s="2"/>
    </row>
    <row r="96" spans="1:28" s="30" customFormat="1" ht="20.100000000000001" customHeight="1" x14ac:dyDescent="0.25">
      <c r="A96" s="167">
        <v>81</v>
      </c>
      <c r="B96" s="80"/>
      <c r="C96" s="80"/>
      <c r="D96" s="80"/>
      <c r="E96" s="80"/>
      <c r="F96" s="79"/>
      <c r="G96" s="79"/>
      <c r="H96" s="79"/>
      <c r="I96" s="79"/>
      <c r="J96" s="79"/>
      <c r="K96" s="80"/>
      <c r="L96" s="80"/>
      <c r="M96" s="80"/>
      <c r="N96" s="80"/>
      <c r="O96" s="79" t="s">
        <v>5905</v>
      </c>
      <c r="P96" s="80"/>
      <c r="Q96" s="80"/>
      <c r="R96" s="80"/>
      <c r="S96" s="80"/>
      <c r="T96" s="82" t="str">
        <f>IF(ISERROR(VLOOKUP($H96,Aux_Lista!$A$2:$K$12,8,FALSE)),"",VLOOKUP($H96,Aux_Lista!$A$2:$K$12,8,FALSE))</f>
        <v/>
      </c>
      <c r="U96" s="83" t="str">
        <f>IF(ISERROR(VLOOKUP($H96,Aux_Lista!$A$2:$K$12,9,FALSE)^-1),"",VLOOKUP($H96,Aux_Lista!$A$2:$K$12,9,FALSE)^-1)</f>
        <v/>
      </c>
      <c r="V96" s="83" t="str">
        <f>IF(ISERROR(VLOOKUP($H96,Aux_Lista!$A$2:$K$12,10,FALSE)),"",VLOOKUP($H96,Aux_Lista!$A$2:$K$12,10,FALSE))</f>
        <v/>
      </c>
      <c r="W96" s="2"/>
      <c r="X96" s="87">
        <f>ArCondicionado!F111</f>
        <v>0</v>
      </c>
      <c r="Y96" s="256" t="str">
        <f>ArCondicionado!AK111</f>
        <v/>
      </c>
      <c r="Z96" s="88"/>
      <c r="AA96" s="88"/>
      <c r="AB96" s="2"/>
    </row>
    <row r="97" spans="1:28" s="30" customFormat="1" ht="20.100000000000001" customHeight="1" x14ac:dyDescent="0.25">
      <c r="A97" s="168">
        <v>82</v>
      </c>
      <c r="B97" s="80"/>
      <c r="C97" s="80"/>
      <c r="D97" s="80"/>
      <c r="E97" s="80"/>
      <c r="F97" s="79"/>
      <c r="G97" s="79"/>
      <c r="H97" s="79"/>
      <c r="I97" s="79"/>
      <c r="J97" s="79"/>
      <c r="K97" s="80"/>
      <c r="L97" s="80"/>
      <c r="M97" s="80"/>
      <c r="N97" s="80"/>
      <c r="O97" s="79" t="s">
        <v>5905</v>
      </c>
      <c r="P97" s="80"/>
      <c r="Q97" s="80"/>
      <c r="R97" s="80"/>
      <c r="S97" s="80"/>
      <c r="T97" s="82" t="str">
        <f>IF(ISERROR(VLOOKUP($H97,Aux_Lista!$A$2:$K$12,8,FALSE)),"",VLOOKUP($H97,Aux_Lista!$A$2:$K$12,8,FALSE))</f>
        <v/>
      </c>
      <c r="U97" s="83" t="str">
        <f>IF(ISERROR(VLOOKUP($H97,Aux_Lista!$A$2:$K$12,9,FALSE)^-1),"",VLOOKUP($H97,Aux_Lista!$A$2:$K$12,9,FALSE)^-1)</f>
        <v/>
      </c>
      <c r="V97" s="83" t="str">
        <f>IF(ISERROR(VLOOKUP($H97,Aux_Lista!$A$2:$K$12,10,FALSE)),"",VLOOKUP($H97,Aux_Lista!$A$2:$K$12,10,FALSE))</f>
        <v/>
      </c>
      <c r="W97" s="2"/>
      <c r="X97" s="87">
        <f>ArCondicionado!F112</f>
        <v>0</v>
      </c>
      <c r="Y97" s="256" t="str">
        <f>ArCondicionado!AK112</f>
        <v/>
      </c>
      <c r="Z97" s="88"/>
      <c r="AA97" s="88"/>
      <c r="AB97" s="2"/>
    </row>
    <row r="98" spans="1:28" s="30" customFormat="1" ht="20.100000000000001" customHeight="1" x14ac:dyDescent="0.25">
      <c r="A98" s="167">
        <v>83</v>
      </c>
      <c r="B98" s="80"/>
      <c r="C98" s="80"/>
      <c r="D98" s="80"/>
      <c r="E98" s="80"/>
      <c r="F98" s="79"/>
      <c r="G98" s="79"/>
      <c r="H98" s="79"/>
      <c r="I98" s="79"/>
      <c r="J98" s="79"/>
      <c r="K98" s="80"/>
      <c r="L98" s="80"/>
      <c r="M98" s="80"/>
      <c r="N98" s="80"/>
      <c r="O98" s="79" t="s">
        <v>5905</v>
      </c>
      <c r="P98" s="80"/>
      <c r="Q98" s="80"/>
      <c r="R98" s="80"/>
      <c r="S98" s="80"/>
      <c r="T98" s="82" t="str">
        <f>IF(ISERROR(VLOOKUP($H98,Aux_Lista!$A$2:$K$12,8,FALSE)),"",VLOOKUP($H98,Aux_Lista!$A$2:$K$12,8,FALSE))</f>
        <v/>
      </c>
      <c r="U98" s="83" t="str">
        <f>IF(ISERROR(VLOOKUP($H98,Aux_Lista!$A$2:$K$12,9,FALSE)^-1),"",VLOOKUP($H98,Aux_Lista!$A$2:$K$12,9,FALSE)^-1)</f>
        <v/>
      </c>
      <c r="V98" s="83" t="str">
        <f>IF(ISERROR(VLOOKUP($H98,Aux_Lista!$A$2:$K$12,10,FALSE)),"",VLOOKUP($H98,Aux_Lista!$A$2:$K$12,10,FALSE))</f>
        <v/>
      </c>
      <c r="W98" s="2"/>
      <c r="X98" s="87">
        <f>ArCondicionado!F113</f>
        <v>0</v>
      </c>
      <c r="Y98" s="256" t="str">
        <f>ArCondicionado!AK113</f>
        <v/>
      </c>
      <c r="Z98" s="88"/>
      <c r="AA98" s="88"/>
      <c r="AB98" s="2"/>
    </row>
    <row r="99" spans="1:28" s="30" customFormat="1" ht="20.100000000000001" customHeight="1" x14ac:dyDescent="0.25">
      <c r="A99" s="168">
        <v>84</v>
      </c>
      <c r="B99" s="80"/>
      <c r="C99" s="80"/>
      <c r="D99" s="80"/>
      <c r="E99" s="80"/>
      <c r="F99" s="79"/>
      <c r="G99" s="79"/>
      <c r="H99" s="79"/>
      <c r="I99" s="79"/>
      <c r="J99" s="79"/>
      <c r="K99" s="80"/>
      <c r="L99" s="80"/>
      <c r="M99" s="80"/>
      <c r="N99" s="80"/>
      <c r="O99" s="79" t="s">
        <v>5905</v>
      </c>
      <c r="P99" s="80"/>
      <c r="Q99" s="80"/>
      <c r="R99" s="80"/>
      <c r="S99" s="80"/>
      <c r="T99" s="82" t="str">
        <f>IF(ISERROR(VLOOKUP($H99,Aux_Lista!$A$2:$K$12,8,FALSE)),"",VLOOKUP($H99,Aux_Lista!$A$2:$K$12,8,FALSE))</f>
        <v/>
      </c>
      <c r="U99" s="83" t="str">
        <f>IF(ISERROR(VLOOKUP($H99,Aux_Lista!$A$2:$K$12,9,FALSE)^-1),"",VLOOKUP($H99,Aux_Lista!$A$2:$K$12,9,FALSE)^-1)</f>
        <v/>
      </c>
      <c r="V99" s="83" t="str">
        <f>IF(ISERROR(VLOOKUP($H99,Aux_Lista!$A$2:$K$12,10,FALSE)),"",VLOOKUP($H99,Aux_Lista!$A$2:$K$12,10,FALSE))</f>
        <v/>
      </c>
      <c r="W99" s="2"/>
      <c r="X99" s="87">
        <f>ArCondicionado!F114</f>
        <v>0</v>
      </c>
      <c r="Y99" s="256" t="str">
        <f>ArCondicionado!AK114</f>
        <v/>
      </c>
      <c r="Z99" s="88"/>
      <c r="AA99" s="88"/>
      <c r="AB99" s="2"/>
    </row>
    <row r="100" spans="1:28" s="30" customFormat="1" ht="20.100000000000001" customHeight="1" x14ac:dyDescent="0.25">
      <c r="A100" s="167">
        <v>85</v>
      </c>
      <c r="B100" s="80"/>
      <c r="C100" s="80"/>
      <c r="D100" s="80"/>
      <c r="E100" s="80"/>
      <c r="F100" s="79"/>
      <c r="G100" s="79"/>
      <c r="H100" s="79"/>
      <c r="I100" s="79"/>
      <c r="J100" s="79"/>
      <c r="K100" s="80"/>
      <c r="L100" s="80"/>
      <c r="M100" s="80"/>
      <c r="N100" s="80"/>
      <c r="O100" s="79" t="s">
        <v>5905</v>
      </c>
      <c r="P100" s="80"/>
      <c r="Q100" s="80"/>
      <c r="R100" s="80"/>
      <c r="S100" s="80"/>
      <c r="T100" s="82" t="str">
        <f>IF(ISERROR(VLOOKUP($H100,Aux_Lista!$A$2:$K$12,8,FALSE)),"",VLOOKUP($H100,Aux_Lista!$A$2:$K$12,8,FALSE))</f>
        <v/>
      </c>
      <c r="U100" s="83" t="str">
        <f>IF(ISERROR(VLOOKUP($H100,Aux_Lista!$A$2:$K$12,9,FALSE)^-1),"",VLOOKUP($H100,Aux_Lista!$A$2:$K$12,9,FALSE)^-1)</f>
        <v/>
      </c>
      <c r="V100" s="83" t="str">
        <f>IF(ISERROR(VLOOKUP($H100,Aux_Lista!$A$2:$K$12,10,FALSE)),"",VLOOKUP($H100,Aux_Lista!$A$2:$K$12,10,FALSE))</f>
        <v/>
      </c>
      <c r="W100" s="2"/>
      <c r="X100" s="87">
        <f>ArCondicionado!F115</f>
        <v>0</v>
      </c>
      <c r="Y100" s="256" t="str">
        <f>ArCondicionado!AK115</f>
        <v/>
      </c>
      <c r="Z100" s="88"/>
      <c r="AA100" s="88"/>
      <c r="AB100" s="2"/>
    </row>
    <row r="101" spans="1:28" s="30" customFormat="1" ht="20.100000000000001" customHeight="1" x14ac:dyDescent="0.25">
      <c r="A101" s="168">
        <v>86</v>
      </c>
      <c r="B101" s="80"/>
      <c r="C101" s="80"/>
      <c r="D101" s="80"/>
      <c r="E101" s="80"/>
      <c r="F101" s="79"/>
      <c r="G101" s="79"/>
      <c r="H101" s="79"/>
      <c r="I101" s="79"/>
      <c r="J101" s="79"/>
      <c r="K101" s="80"/>
      <c r="L101" s="80"/>
      <c r="M101" s="80"/>
      <c r="N101" s="80"/>
      <c r="O101" s="79" t="s">
        <v>5905</v>
      </c>
      <c r="P101" s="80"/>
      <c r="Q101" s="80"/>
      <c r="R101" s="80"/>
      <c r="S101" s="80"/>
      <c r="T101" s="82" t="str">
        <f>IF(ISERROR(VLOOKUP($H101,Aux_Lista!$A$2:$K$12,8,FALSE)),"",VLOOKUP($H101,Aux_Lista!$A$2:$K$12,8,FALSE))</f>
        <v/>
      </c>
      <c r="U101" s="83" t="str">
        <f>IF(ISERROR(VLOOKUP($H101,Aux_Lista!$A$2:$K$12,9,FALSE)^-1),"",VLOOKUP($H101,Aux_Lista!$A$2:$K$12,9,FALSE)^-1)</f>
        <v/>
      </c>
      <c r="V101" s="83" t="str">
        <f>IF(ISERROR(VLOOKUP($H101,Aux_Lista!$A$2:$K$12,10,FALSE)),"",VLOOKUP($H101,Aux_Lista!$A$2:$K$12,10,FALSE))</f>
        <v/>
      </c>
      <c r="W101" s="2"/>
      <c r="X101" s="87">
        <f>ArCondicionado!F116</f>
        <v>0</v>
      </c>
      <c r="Y101" s="256" t="str">
        <f>ArCondicionado!AK116</f>
        <v/>
      </c>
      <c r="Z101" s="88"/>
      <c r="AA101" s="88"/>
      <c r="AB101" s="2"/>
    </row>
    <row r="102" spans="1:28" s="30" customFormat="1" ht="20.100000000000001" customHeight="1" x14ac:dyDescent="0.25">
      <c r="A102" s="167">
        <v>87</v>
      </c>
      <c r="B102" s="80"/>
      <c r="C102" s="80"/>
      <c r="D102" s="80"/>
      <c r="E102" s="80"/>
      <c r="F102" s="79"/>
      <c r="G102" s="79"/>
      <c r="H102" s="79"/>
      <c r="I102" s="79"/>
      <c r="J102" s="79"/>
      <c r="K102" s="80"/>
      <c r="L102" s="80"/>
      <c r="M102" s="80"/>
      <c r="N102" s="80"/>
      <c r="O102" s="79" t="s">
        <v>5905</v>
      </c>
      <c r="P102" s="80"/>
      <c r="Q102" s="80"/>
      <c r="R102" s="80"/>
      <c r="S102" s="80"/>
      <c r="T102" s="82" t="str">
        <f>IF(ISERROR(VLOOKUP($H102,Aux_Lista!$A$2:$K$12,8,FALSE)),"",VLOOKUP($H102,Aux_Lista!$A$2:$K$12,8,FALSE))</f>
        <v/>
      </c>
      <c r="U102" s="83" t="str">
        <f>IF(ISERROR(VLOOKUP($H102,Aux_Lista!$A$2:$K$12,9,FALSE)^-1),"",VLOOKUP($H102,Aux_Lista!$A$2:$K$12,9,FALSE)^-1)</f>
        <v/>
      </c>
      <c r="V102" s="83" t="str">
        <f>IF(ISERROR(VLOOKUP($H102,Aux_Lista!$A$2:$K$12,10,FALSE)),"",VLOOKUP($H102,Aux_Lista!$A$2:$K$12,10,FALSE))</f>
        <v/>
      </c>
      <c r="W102" s="2"/>
      <c r="X102" s="87">
        <f>ArCondicionado!F117</f>
        <v>0</v>
      </c>
      <c r="Y102" s="256" t="str">
        <f>ArCondicionado!AK117</f>
        <v/>
      </c>
      <c r="Z102" s="88"/>
      <c r="AA102" s="88"/>
      <c r="AB102" s="2"/>
    </row>
    <row r="103" spans="1:28" s="30" customFormat="1" ht="20.100000000000001" customHeight="1" x14ac:dyDescent="0.25">
      <c r="A103" s="168">
        <v>88</v>
      </c>
      <c r="B103" s="80"/>
      <c r="C103" s="80"/>
      <c r="D103" s="80"/>
      <c r="E103" s="80"/>
      <c r="F103" s="79"/>
      <c r="G103" s="79"/>
      <c r="H103" s="79"/>
      <c r="I103" s="79"/>
      <c r="J103" s="79"/>
      <c r="K103" s="80"/>
      <c r="L103" s="80"/>
      <c r="M103" s="80"/>
      <c r="N103" s="80"/>
      <c r="O103" s="79" t="s">
        <v>5905</v>
      </c>
      <c r="P103" s="80"/>
      <c r="Q103" s="80"/>
      <c r="R103" s="80"/>
      <c r="S103" s="80"/>
      <c r="T103" s="82" t="str">
        <f>IF(ISERROR(VLOOKUP($H103,Aux_Lista!$A$2:$K$12,8,FALSE)),"",VLOOKUP($H103,Aux_Lista!$A$2:$K$12,8,FALSE))</f>
        <v/>
      </c>
      <c r="U103" s="83" t="str">
        <f>IF(ISERROR(VLOOKUP($H103,Aux_Lista!$A$2:$K$12,9,FALSE)^-1),"",VLOOKUP($H103,Aux_Lista!$A$2:$K$12,9,FALSE)^-1)</f>
        <v/>
      </c>
      <c r="V103" s="83" t="str">
        <f>IF(ISERROR(VLOOKUP($H103,Aux_Lista!$A$2:$K$12,10,FALSE)),"",VLOOKUP($H103,Aux_Lista!$A$2:$K$12,10,FALSE))</f>
        <v/>
      </c>
      <c r="W103" s="2"/>
      <c r="X103" s="87">
        <f>ArCondicionado!F118</f>
        <v>0</v>
      </c>
      <c r="Y103" s="256" t="str">
        <f>ArCondicionado!AK118</f>
        <v/>
      </c>
      <c r="Z103" s="88"/>
      <c r="AA103" s="88"/>
      <c r="AB103" s="2"/>
    </row>
    <row r="104" spans="1:28" s="30" customFormat="1" ht="20.100000000000001" customHeight="1" x14ac:dyDescent="0.25">
      <c r="A104" s="167">
        <v>89</v>
      </c>
      <c r="B104" s="80"/>
      <c r="C104" s="80"/>
      <c r="D104" s="80"/>
      <c r="E104" s="80"/>
      <c r="F104" s="79"/>
      <c r="G104" s="79"/>
      <c r="H104" s="79"/>
      <c r="I104" s="79"/>
      <c r="J104" s="79"/>
      <c r="K104" s="80"/>
      <c r="L104" s="80"/>
      <c r="M104" s="80"/>
      <c r="N104" s="80"/>
      <c r="O104" s="79" t="s">
        <v>5905</v>
      </c>
      <c r="P104" s="80"/>
      <c r="Q104" s="80"/>
      <c r="R104" s="80"/>
      <c r="S104" s="80"/>
      <c r="T104" s="82" t="str">
        <f>IF(ISERROR(VLOOKUP($H104,Aux_Lista!$A$2:$K$12,8,FALSE)),"",VLOOKUP($H104,Aux_Lista!$A$2:$K$12,8,FALSE))</f>
        <v/>
      </c>
      <c r="U104" s="83" t="str">
        <f>IF(ISERROR(VLOOKUP($H104,Aux_Lista!$A$2:$K$12,9,FALSE)^-1),"",VLOOKUP($H104,Aux_Lista!$A$2:$K$12,9,FALSE)^-1)</f>
        <v/>
      </c>
      <c r="V104" s="83" t="str">
        <f>IF(ISERROR(VLOOKUP($H104,Aux_Lista!$A$2:$K$12,10,FALSE)),"",VLOOKUP($H104,Aux_Lista!$A$2:$K$12,10,FALSE))</f>
        <v/>
      </c>
      <c r="W104" s="2"/>
      <c r="X104" s="87">
        <f>ArCondicionado!F119</f>
        <v>0</v>
      </c>
      <c r="Y104" s="256" t="str">
        <f>ArCondicionado!AK119</f>
        <v/>
      </c>
      <c r="Z104" s="88"/>
      <c r="AA104" s="88"/>
      <c r="AB104" s="2"/>
    </row>
    <row r="105" spans="1:28" s="30" customFormat="1" ht="20.100000000000001" customHeight="1" x14ac:dyDescent="0.25">
      <c r="A105" s="168">
        <v>90</v>
      </c>
      <c r="B105" s="80"/>
      <c r="C105" s="80"/>
      <c r="D105" s="80"/>
      <c r="E105" s="80"/>
      <c r="F105" s="79"/>
      <c r="G105" s="79"/>
      <c r="H105" s="79"/>
      <c r="I105" s="79"/>
      <c r="J105" s="79"/>
      <c r="K105" s="80"/>
      <c r="L105" s="80"/>
      <c r="M105" s="80"/>
      <c r="N105" s="80"/>
      <c r="O105" s="79" t="s">
        <v>5905</v>
      </c>
      <c r="P105" s="80"/>
      <c r="Q105" s="80"/>
      <c r="R105" s="80"/>
      <c r="S105" s="80"/>
      <c r="T105" s="82" t="str">
        <f>IF(ISERROR(VLOOKUP($H105,Aux_Lista!$A$2:$K$12,8,FALSE)),"",VLOOKUP($H105,Aux_Lista!$A$2:$K$12,8,FALSE))</f>
        <v/>
      </c>
      <c r="U105" s="83" t="str">
        <f>IF(ISERROR(VLOOKUP($H105,Aux_Lista!$A$2:$K$12,9,FALSE)^-1),"",VLOOKUP($H105,Aux_Lista!$A$2:$K$12,9,FALSE)^-1)</f>
        <v/>
      </c>
      <c r="V105" s="83" t="str">
        <f>IF(ISERROR(VLOOKUP($H105,Aux_Lista!$A$2:$K$12,10,FALSE)),"",VLOOKUP($H105,Aux_Lista!$A$2:$K$12,10,FALSE))</f>
        <v/>
      </c>
      <c r="W105" s="2"/>
      <c r="X105" s="87">
        <f>ArCondicionado!F120</f>
        <v>0</v>
      </c>
      <c r="Y105" s="256" t="str">
        <f>ArCondicionado!AK120</f>
        <v/>
      </c>
      <c r="Z105" s="88"/>
      <c r="AA105" s="88"/>
      <c r="AB105" s="2"/>
    </row>
    <row r="106" spans="1:28" s="30" customFormat="1" ht="20.100000000000001" customHeight="1" x14ac:dyDescent="0.25">
      <c r="A106" s="167">
        <v>91</v>
      </c>
      <c r="B106" s="80"/>
      <c r="C106" s="80"/>
      <c r="D106" s="80"/>
      <c r="E106" s="80"/>
      <c r="F106" s="79"/>
      <c r="G106" s="79"/>
      <c r="H106" s="79"/>
      <c r="I106" s="79"/>
      <c r="J106" s="79"/>
      <c r="K106" s="80"/>
      <c r="L106" s="80"/>
      <c r="M106" s="80"/>
      <c r="N106" s="80"/>
      <c r="O106" s="79" t="s">
        <v>5905</v>
      </c>
      <c r="P106" s="80"/>
      <c r="Q106" s="80"/>
      <c r="R106" s="80"/>
      <c r="S106" s="80"/>
      <c r="T106" s="82" t="str">
        <f>IF(ISERROR(VLOOKUP($H106,Aux_Lista!$A$2:$K$12,8,FALSE)),"",VLOOKUP($H106,Aux_Lista!$A$2:$K$12,8,FALSE))</f>
        <v/>
      </c>
      <c r="U106" s="83" t="str">
        <f>IF(ISERROR(VLOOKUP($H106,Aux_Lista!$A$2:$K$12,9,FALSE)^-1),"",VLOOKUP($H106,Aux_Lista!$A$2:$K$12,9,FALSE)^-1)</f>
        <v/>
      </c>
      <c r="V106" s="83" t="str">
        <f>IF(ISERROR(VLOOKUP($H106,Aux_Lista!$A$2:$K$12,10,FALSE)),"",VLOOKUP($H106,Aux_Lista!$A$2:$K$12,10,FALSE))</f>
        <v/>
      </c>
      <c r="W106" s="2"/>
      <c r="X106" s="87">
        <f>ArCondicionado!F121</f>
        <v>0</v>
      </c>
      <c r="Y106" s="256" t="str">
        <f>ArCondicionado!AK121</f>
        <v/>
      </c>
      <c r="Z106" s="88"/>
      <c r="AA106" s="88"/>
      <c r="AB106" s="2"/>
    </row>
    <row r="107" spans="1:28" s="30" customFormat="1" ht="20.100000000000001" customHeight="1" x14ac:dyDescent="0.25">
      <c r="A107" s="168">
        <v>92</v>
      </c>
      <c r="B107" s="80"/>
      <c r="C107" s="80"/>
      <c r="D107" s="80"/>
      <c r="E107" s="80"/>
      <c r="F107" s="79"/>
      <c r="G107" s="79"/>
      <c r="H107" s="79"/>
      <c r="I107" s="79"/>
      <c r="J107" s="79"/>
      <c r="K107" s="80"/>
      <c r="L107" s="80"/>
      <c r="M107" s="80"/>
      <c r="N107" s="80"/>
      <c r="O107" s="79" t="s">
        <v>5905</v>
      </c>
      <c r="P107" s="80"/>
      <c r="Q107" s="80"/>
      <c r="R107" s="80"/>
      <c r="S107" s="80"/>
      <c r="T107" s="82" t="str">
        <f>IF(ISERROR(VLOOKUP($H107,Aux_Lista!$A$2:$K$12,8,FALSE)),"",VLOOKUP($H107,Aux_Lista!$A$2:$K$12,8,FALSE))</f>
        <v/>
      </c>
      <c r="U107" s="83" t="str">
        <f>IF(ISERROR(VLOOKUP($H107,Aux_Lista!$A$2:$K$12,9,FALSE)^-1),"",VLOOKUP($H107,Aux_Lista!$A$2:$K$12,9,FALSE)^-1)</f>
        <v/>
      </c>
      <c r="V107" s="83" t="str">
        <f>IF(ISERROR(VLOOKUP($H107,Aux_Lista!$A$2:$K$12,10,FALSE)),"",VLOOKUP($H107,Aux_Lista!$A$2:$K$12,10,FALSE))</f>
        <v/>
      </c>
      <c r="W107" s="2"/>
      <c r="X107" s="87">
        <f>ArCondicionado!F122</f>
        <v>0</v>
      </c>
      <c r="Y107" s="256" t="str">
        <f>ArCondicionado!AK122</f>
        <v/>
      </c>
      <c r="Z107" s="88"/>
      <c r="AA107" s="88"/>
      <c r="AB107" s="2"/>
    </row>
    <row r="108" spans="1:28" s="30" customFormat="1" ht="20.100000000000001" customHeight="1" x14ac:dyDescent="0.25">
      <c r="A108" s="167">
        <v>93</v>
      </c>
      <c r="B108" s="80"/>
      <c r="C108" s="80"/>
      <c r="D108" s="80"/>
      <c r="E108" s="80"/>
      <c r="F108" s="79"/>
      <c r="G108" s="79"/>
      <c r="H108" s="79"/>
      <c r="I108" s="79"/>
      <c r="J108" s="79"/>
      <c r="K108" s="80"/>
      <c r="L108" s="80"/>
      <c r="M108" s="80"/>
      <c r="N108" s="80"/>
      <c r="O108" s="79" t="s">
        <v>5905</v>
      </c>
      <c r="P108" s="80"/>
      <c r="Q108" s="80"/>
      <c r="R108" s="80"/>
      <c r="S108" s="80"/>
      <c r="T108" s="82" t="str">
        <f>IF(ISERROR(VLOOKUP($H108,Aux_Lista!$A$2:$K$12,8,FALSE)),"",VLOOKUP($H108,Aux_Lista!$A$2:$K$12,8,FALSE))</f>
        <v/>
      </c>
      <c r="U108" s="83" t="str">
        <f>IF(ISERROR(VLOOKUP($H108,Aux_Lista!$A$2:$K$12,9,FALSE)^-1),"",VLOOKUP($H108,Aux_Lista!$A$2:$K$12,9,FALSE)^-1)</f>
        <v/>
      </c>
      <c r="V108" s="83" t="str">
        <f>IF(ISERROR(VLOOKUP($H108,Aux_Lista!$A$2:$K$12,10,FALSE)),"",VLOOKUP($H108,Aux_Lista!$A$2:$K$12,10,FALSE))</f>
        <v/>
      </c>
      <c r="W108" s="2"/>
      <c r="X108" s="87">
        <f>ArCondicionado!F123</f>
        <v>0</v>
      </c>
      <c r="Y108" s="256" t="str">
        <f>ArCondicionado!AK123</f>
        <v/>
      </c>
      <c r="Z108" s="88"/>
      <c r="AA108" s="88"/>
      <c r="AB108" s="2"/>
    </row>
    <row r="109" spans="1:28" s="30" customFormat="1" ht="20.100000000000001" customHeight="1" x14ac:dyDescent="0.25">
      <c r="A109" s="168">
        <v>94</v>
      </c>
      <c r="B109" s="80"/>
      <c r="C109" s="80"/>
      <c r="D109" s="80"/>
      <c r="E109" s="80"/>
      <c r="F109" s="79"/>
      <c r="G109" s="79"/>
      <c r="H109" s="79"/>
      <c r="I109" s="79"/>
      <c r="J109" s="79"/>
      <c r="K109" s="80"/>
      <c r="L109" s="80"/>
      <c r="M109" s="80"/>
      <c r="N109" s="80"/>
      <c r="O109" s="79" t="s">
        <v>5905</v>
      </c>
      <c r="P109" s="80"/>
      <c r="Q109" s="80"/>
      <c r="R109" s="80"/>
      <c r="S109" s="80"/>
      <c r="T109" s="82" t="str">
        <f>IF(ISERROR(VLOOKUP($H109,Aux_Lista!$A$2:$K$12,8,FALSE)),"",VLOOKUP($H109,Aux_Lista!$A$2:$K$12,8,FALSE))</f>
        <v/>
      </c>
      <c r="U109" s="83" t="str">
        <f>IF(ISERROR(VLOOKUP($H109,Aux_Lista!$A$2:$K$12,9,FALSE)^-1),"",VLOOKUP($H109,Aux_Lista!$A$2:$K$12,9,FALSE)^-1)</f>
        <v/>
      </c>
      <c r="V109" s="83" t="str">
        <f>IF(ISERROR(VLOOKUP($H109,Aux_Lista!$A$2:$K$12,10,FALSE)),"",VLOOKUP($H109,Aux_Lista!$A$2:$K$12,10,FALSE))</f>
        <v/>
      </c>
      <c r="W109" s="2"/>
      <c r="X109" s="87">
        <f>ArCondicionado!F124</f>
        <v>0</v>
      </c>
      <c r="Y109" s="256" t="str">
        <f>ArCondicionado!AK124</f>
        <v/>
      </c>
      <c r="Z109" s="88"/>
      <c r="AA109" s="88"/>
      <c r="AB109" s="2"/>
    </row>
    <row r="110" spans="1:28" s="30" customFormat="1" ht="20.100000000000001" customHeight="1" x14ac:dyDescent="0.25">
      <c r="A110" s="167">
        <v>95</v>
      </c>
      <c r="B110" s="80"/>
      <c r="C110" s="80"/>
      <c r="D110" s="80"/>
      <c r="E110" s="80"/>
      <c r="F110" s="79"/>
      <c r="G110" s="79"/>
      <c r="H110" s="79"/>
      <c r="I110" s="79"/>
      <c r="J110" s="79"/>
      <c r="K110" s="80"/>
      <c r="L110" s="80"/>
      <c r="M110" s="80"/>
      <c r="N110" s="80"/>
      <c r="O110" s="79" t="s">
        <v>5905</v>
      </c>
      <c r="P110" s="80"/>
      <c r="Q110" s="80"/>
      <c r="R110" s="80"/>
      <c r="S110" s="80"/>
      <c r="T110" s="82" t="str">
        <f>IF(ISERROR(VLOOKUP($H110,Aux_Lista!$A$2:$K$12,8,FALSE)),"",VLOOKUP($H110,Aux_Lista!$A$2:$K$12,8,FALSE))</f>
        <v/>
      </c>
      <c r="U110" s="83" t="str">
        <f>IF(ISERROR(VLOOKUP($H110,Aux_Lista!$A$2:$K$12,9,FALSE)^-1),"",VLOOKUP($H110,Aux_Lista!$A$2:$K$12,9,FALSE)^-1)</f>
        <v/>
      </c>
      <c r="V110" s="83" t="str">
        <f>IF(ISERROR(VLOOKUP($H110,Aux_Lista!$A$2:$K$12,10,FALSE)),"",VLOOKUP($H110,Aux_Lista!$A$2:$K$12,10,FALSE))</f>
        <v/>
      </c>
      <c r="W110" s="2"/>
      <c r="X110" s="87">
        <f>ArCondicionado!F125</f>
        <v>0</v>
      </c>
      <c r="Y110" s="256" t="str">
        <f>ArCondicionado!AK125</f>
        <v/>
      </c>
      <c r="Z110" s="88"/>
      <c r="AA110" s="88"/>
      <c r="AB110" s="2"/>
    </row>
    <row r="111" spans="1:28" s="30" customFormat="1" ht="20.100000000000001" customHeight="1" x14ac:dyDescent="0.25">
      <c r="A111" s="168">
        <v>96</v>
      </c>
      <c r="B111" s="80"/>
      <c r="C111" s="80"/>
      <c r="D111" s="80"/>
      <c r="E111" s="80"/>
      <c r="F111" s="79"/>
      <c r="G111" s="79"/>
      <c r="H111" s="79"/>
      <c r="I111" s="79"/>
      <c r="J111" s="79"/>
      <c r="K111" s="80"/>
      <c r="L111" s="80"/>
      <c r="M111" s="80"/>
      <c r="N111" s="80"/>
      <c r="O111" s="79" t="s">
        <v>5905</v>
      </c>
      <c r="P111" s="80"/>
      <c r="Q111" s="80"/>
      <c r="R111" s="80"/>
      <c r="S111" s="80"/>
      <c r="T111" s="82" t="str">
        <f>IF(ISERROR(VLOOKUP($H111,Aux_Lista!$A$2:$K$12,8,FALSE)),"",VLOOKUP($H111,Aux_Lista!$A$2:$K$12,8,FALSE))</f>
        <v/>
      </c>
      <c r="U111" s="83" t="str">
        <f>IF(ISERROR(VLOOKUP($H111,Aux_Lista!$A$2:$K$12,9,FALSE)^-1),"",VLOOKUP($H111,Aux_Lista!$A$2:$K$12,9,FALSE)^-1)</f>
        <v/>
      </c>
      <c r="V111" s="83" t="str">
        <f>IF(ISERROR(VLOOKUP($H111,Aux_Lista!$A$2:$K$12,10,FALSE)),"",VLOOKUP($H111,Aux_Lista!$A$2:$K$12,10,FALSE))</f>
        <v/>
      </c>
      <c r="W111" s="2"/>
      <c r="X111" s="87">
        <f>ArCondicionado!F126</f>
        <v>0</v>
      </c>
      <c r="Y111" s="256" t="str">
        <f>ArCondicionado!AK126</f>
        <v/>
      </c>
      <c r="Z111" s="88"/>
      <c r="AA111" s="88"/>
      <c r="AB111" s="2"/>
    </row>
    <row r="112" spans="1:28" s="30" customFormat="1" ht="20.100000000000001" customHeight="1" x14ac:dyDescent="0.25">
      <c r="A112" s="167">
        <v>97</v>
      </c>
      <c r="B112" s="80"/>
      <c r="C112" s="80"/>
      <c r="D112" s="80"/>
      <c r="E112" s="80"/>
      <c r="F112" s="79"/>
      <c r="G112" s="79"/>
      <c r="H112" s="79"/>
      <c r="I112" s="79"/>
      <c r="J112" s="79"/>
      <c r="K112" s="80"/>
      <c r="L112" s="80"/>
      <c r="M112" s="80"/>
      <c r="N112" s="80"/>
      <c r="O112" s="79" t="s">
        <v>5905</v>
      </c>
      <c r="P112" s="80"/>
      <c r="Q112" s="80"/>
      <c r="R112" s="80"/>
      <c r="S112" s="80"/>
      <c r="T112" s="82" t="str">
        <f>IF(ISERROR(VLOOKUP($H112,Aux_Lista!$A$2:$K$12,8,FALSE)),"",VLOOKUP($H112,Aux_Lista!$A$2:$K$12,8,FALSE))</f>
        <v/>
      </c>
      <c r="U112" s="83" t="str">
        <f>IF(ISERROR(VLOOKUP($H112,Aux_Lista!$A$2:$K$12,9,FALSE)^-1),"",VLOOKUP($H112,Aux_Lista!$A$2:$K$12,9,FALSE)^-1)</f>
        <v/>
      </c>
      <c r="V112" s="83" t="str">
        <f>IF(ISERROR(VLOOKUP($H112,Aux_Lista!$A$2:$K$12,10,FALSE)),"",VLOOKUP($H112,Aux_Lista!$A$2:$K$12,10,FALSE))</f>
        <v/>
      </c>
      <c r="W112" s="2"/>
      <c r="X112" s="87">
        <f>ArCondicionado!F127</f>
        <v>0</v>
      </c>
      <c r="Y112" s="256" t="str">
        <f>ArCondicionado!AK127</f>
        <v/>
      </c>
      <c r="Z112" s="88"/>
      <c r="AA112" s="88"/>
      <c r="AB112" s="2"/>
    </row>
    <row r="113" spans="1:28" s="30" customFormat="1" ht="20.100000000000001" customHeight="1" x14ac:dyDescent="0.25">
      <c r="A113" s="168">
        <v>98</v>
      </c>
      <c r="B113" s="80"/>
      <c r="C113" s="80"/>
      <c r="D113" s="80"/>
      <c r="E113" s="80"/>
      <c r="F113" s="79"/>
      <c r="G113" s="79"/>
      <c r="H113" s="79"/>
      <c r="I113" s="79"/>
      <c r="J113" s="79"/>
      <c r="K113" s="80"/>
      <c r="L113" s="80"/>
      <c r="M113" s="80"/>
      <c r="N113" s="80"/>
      <c r="O113" s="79" t="s">
        <v>5905</v>
      </c>
      <c r="P113" s="80"/>
      <c r="Q113" s="80"/>
      <c r="R113" s="80"/>
      <c r="S113" s="80"/>
      <c r="T113" s="82" t="str">
        <f>IF(ISERROR(VLOOKUP($H113,Aux_Lista!$A$2:$K$12,8,FALSE)),"",VLOOKUP($H113,Aux_Lista!$A$2:$K$12,8,FALSE))</f>
        <v/>
      </c>
      <c r="U113" s="83" t="str">
        <f>IF(ISERROR(VLOOKUP($H113,Aux_Lista!$A$2:$K$12,9,FALSE)^-1),"",VLOOKUP($H113,Aux_Lista!$A$2:$K$12,9,FALSE)^-1)</f>
        <v/>
      </c>
      <c r="V113" s="83" t="str">
        <f>IF(ISERROR(VLOOKUP($H113,Aux_Lista!$A$2:$K$12,10,FALSE)),"",VLOOKUP($H113,Aux_Lista!$A$2:$K$12,10,FALSE))</f>
        <v/>
      </c>
      <c r="W113" s="2"/>
      <c r="X113" s="87">
        <f>ArCondicionado!F128</f>
        <v>0</v>
      </c>
      <c r="Y113" s="256" t="str">
        <f>ArCondicionado!AK128</f>
        <v/>
      </c>
      <c r="Z113" s="88"/>
      <c r="AA113" s="88"/>
      <c r="AB113" s="2"/>
    </row>
    <row r="114" spans="1:28" s="30" customFormat="1" ht="20.100000000000001" customHeight="1" x14ac:dyDescent="0.25">
      <c r="A114" s="167">
        <v>99</v>
      </c>
      <c r="B114" s="80"/>
      <c r="C114" s="80"/>
      <c r="D114" s="80"/>
      <c r="E114" s="80"/>
      <c r="F114" s="79"/>
      <c r="G114" s="79"/>
      <c r="H114" s="79"/>
      <c r="I114" s="79"/>
      <c r="J114" s="79"/>
      <c r="K114" s="80"/>
      <c r="L114" s="80"/>
      <c r="M114" s="80"/>
      <c r="N114" s="80"/>
      <c r="O114" s="79" t="s">
        <v>5905</v>
      </c>
      <c r="P114" s="80"/>
      <c r="Q114" s="80"/>
      <c r="R114" s="80"/>
      <c r="S114" s="80"/>
      <c r="T114" s="82" t="str">
        <f>IF(ISERROR(VLOOKUP($H114,Aux_Lista!$A$2:$K$12,8,FALSE)),"",VLOOKUP($H114,Aux_Lista!$A$2:$K$12,8,FALSE))</f>
        <v/>
      </c>
      <c r="U114" s="83" t="str">
        <f>IF(ISERROR(VLOOKUP($H114,Aux_Lista!$A$2:$K$12,9,FALSE)^-1),"",VLOOKUP($H114,Aux_Lista!$A$2:$K$12,9,FALSE)^-1)</f>
        <v/>
      </c>
      <c r="V114" s="83" t="str">
        <f>IF(ISERROR(VLOOKUP($H114,Aux_Lista!$A$2:$K$12,10,FALSE)),"",VLOOKUP($H114,Aux_Lista!$A$2:$K$12,10,FALSE))</f>
        <v/>
      </c>
      <c r="W114" s="2"/>
      <c r="X114" s="87">
        <f>ArCondicionado!F129</f>
        <v>0</v>
      </c>
      <c r="Y114" s="256" t="str">
        <f>ArCondicionado!AK129</f>
        <v/>
      </c>
      <c r="Z114" s="88"/>
      <c r="AA114" s="88"/>
      <c r="AB114" s="2"/>
    </row>
    <row r="115" spans="1:28" s="30" customFormat="1" ht="20.100000000000001" customHeight="1" x14ac:dyDescent="0.25">
      <c r="A115" s="168">
        <v>100</v>
      </c>
      <c r="B115" s="80"/>
      <c r="C115" s="80"/>
      <c r="D115" s="80"/>
      <c r="E115" s="80"/>
      <c r="F115" s="79"/>
      <c r="G115" s="79"/>
      <c r="H115" s="79"/>
      <c r="I115" s="79"/>
      <c r="J115" s="79"/>
      <c r="K115" s="80"/>
      <c r="L115" s="80"/>
      <c r="M115" s="80"/>
      <c r="N115" s="80"/>
      <c r="O115" s="79" t="s">
        <v>5905</v>
      </c>
      <c r="P115" s="80"/>
      <c r="Q115" s="80"/>
      <c r="R115" s="80"/>
      <c r="S115" s="80"/>
      <c r="T115" s="82" t="str">
        <f>IF(ISERROR(VLOOKUP($H115,Aux_Lista!$A$2:$K$12,8,FALSE)),"",VLOOKUP($H115,Aux_Lista!$A$2:$K$12,8,FALSE))</f>
        <v/>
      </c>
      <c r="U115" s="83" t="str">
        <f>IF(ISERROR(VLOOKUP($H115,Aux_Lista!$A$2:$K$12,9,FALSE)^-1),"",VLOOKUP($H115,Aux_Lista!$A$2:$K$12,9,FALSE)^-1)</f>
        <v/>
      </c>
      <c r="V115" s="83" t="str">
        <f>IF(ISERROR(VLOOKUP($H115,Aux_Lista!$A$2:$K$12,10,FALSE)),"",VLOOKUP($H115,Aux_Lista!$A$2:$K$12,10,FALSE))</f>
        <v/>
      </c>
      <c r="W115" s="2"/>
      <c r="X115" s="87">
        <f>ArCondicionado!F130</f>
        <v>0</v>
      </c>
      <c r="Y115" s="256" t="str">
        <f>ArCondicionado!AK130</f>
        <v/>
      </c>
      <c r="Z115" s="88"/>
      <c r="AA115" s="88"/>
      <c r="AB115" s="2"/>
    </row>
  </sheetData>
  <protectedRanges>
    <protectedRange sqref="C9" name="MetodoEnvoltoria"/>
    <protectedRange sqref="B16:T115" name="envoltoria"/>
    <protectedRange sqref="Z16:AA115" name="cargatermica"/>
  </protectedRanges>
  <mergeCells count="3">
    <mergeCell ref="X10:X11"/>
    <mergeCell ref="S14:V14"/>
    <mergeCell ref="F7:I11"/>
  </mergeCells>
  <phoneticPr fontId="34" type="noConversion"/>
  <conditionalFormatting sqref="Y16:Y115">
    <cfRule type="cellIs" dxfId="90" priority="12" operator="equal">
      <formula>"Não se aplica"</formula>
    </cfRule>
    <cfRule type="cellIs" dxfId="89" priority="13" operator="equal">
      <formula>"Não"</formula>
    </cfRule>
    <cfRule type="cellIs" dxfId="88" priority="14" operator="equal">
      <formula>"Sim"</formula>
    </cfRule>
  </conditionalFormatting>
  <conditionalFormatting sqref="N16:N115">
    <cfRule type="expression" dxfId="87" priority="11">
      <formula>$G16="Interna"</formula>
    </cfRule>
  </conditionalFormatting>
  <conditionalFormatting sqref="P16:R115">
    <cfRule type="expression" dxfId="86" priority="10">
      <formula>$G16="Interna"</formula>
    </cfRule>
  </conditionalFormatting>
  <conditionalFormatting sqref="K16">
    <cfRule type="expression" dxfId="85" priority="9">
      <formula>$G16="Interna"</formula>
    </cfRule>
  </conditionalFormatting>
  <conditionalFormatting sqref="L16:M16">
    <cfRule type="expression" dxfId="84" priority="8">
      <formula>$G16="Interna"</formula>
    </cfRule>
  </conditionalFormatting>
  <conditionalFormatting sqref="O16">
    <cfRule type="expression" dxfId="83" priority="7">
      <formula>$G16="Interna"</formula>
    </cfRule>
  </conditionalFormatting>
  <conditionalFormatting sqref="P16:P115">
    <cfRule type="expression" dxfId="82" priority="6">
      <formula>$N16=0</formula>
    </cfRule>
  </conditionalFormatting>
  <conditionalFormatting sqref="Q16:Q115">
    <cfRule type="expression" dxfId="81" priority="5">
      <formula>$N16=0</formula>
    </cfRule>
  </conditionalFormatting>
  <conditionalFormatting sqref="R16:R115">
    <cfRule type="expression" dxfId="80" priority="4">
      <formula>$N16=0</formula>
    </cfRule>
  </conditionalFormatting>
  <conditionalFormatting sqref="K21">
    <cfRule type="expression" dxfId="79" priority="3">
      <formula>$G21="Interna"</formula>
    </cfRule>
  </conditionalFormatting>
  <conditionalFormatting sqref="L21:M21">
    <cfRule type="expression" dxfId="78" priority="2">
      <formula>$G21="Interna"</formula>
    </cfRule>
  </conditionalFormatting>
  <dataValidations count="7">
    <dataValidation type="custom" allowBlank="1" showInputMessage="1" showErrorMessage="1" sqref="E20 E25:E115" xr:uid="{1415FA02-1149-4BBA-AC46-0E3BB8350FFF}">
      <formula1>AND(E20&gt;=2.6,E20&lt;=6.6)</formula1>
    </dataValidation>
    <dataValidation type="custom" allowBlank="1" showInputMessage="1" showErrorMessage="1" errorTitle="FORA DO INTERVALO!" error="VERIFIQUE O INTERVALO ACEITÁVEL!" promptTitle="VERIFIQUE O INTERVALO ACEITÁVEL!" sqref="E16:E19 E21:E24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P16:R115 N16:N115" xr:uid="{CA30FC85-452C-49D0-ACF4-596FF2CDE61B}">
      <formula1>AND(N16&gt;=0,N16&lt;=90)</formula1>
    </dataValidation>
    <dataValidation type="custom" allowBlank="1" showInputMessage="1" showErrorMessage="1" errorTitle="FORA DO INTERVALO!" error="VERIFIQUE O INTERVALO ACEITÁVEL!" promptTitle="VERIFIQUE O INTERVALO ACEITÁVEL!" sqref="S16:S115" xr:uid="{B7532E24-54D6-4D1D-B66E-1BA92DCB2A61}">
      <formula1>AND(S16&gt;=4,S16&lt;=40)</formula1>
    </dataValidation>
    <dataValidation type="custom" allowBlank="1" showInputMessage="1" showErrorMessage="1" errorTitle="FORA DO INTERVALO!" error="VERIFIQUE O INTERVALO ACEITÁVEL!" sqref="T16:T115" xr:uid="{990F065E-2D5F-4D0B-AC57-A6FB4750D309}">
      <formula1>AND(T16&gt;=4,T16&lt;=40)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list" allowBlank="1" showInputMessage="1" showErrorMessage="1" sqref="O16:O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8662EF6-FB5A-4D3A-BAF8-1FC03DABA20E}">
          <x14:formula1>
            <xm:f>Aux_Lista!$R$2:$R$3</xm:f>
          </x14:formula1>
          <xm:sqref>J16:J115</xm:sqref>
        </x14:dataValidation>
        <x14:dataValidation type="list" allowBlank="1" showInputMessage="1" showErrorMessage="1" xr:uid="{EBE3AEAB-9A27-4A84-BE7D-3A57E9CE7EF4}">
          <x14:formula1>
            <xm:f>Aux_Lista!$C$2:$C$3</xm:f>
          </x14:formula1>
          <xm:sqref>G16:G115</xm:sqref>
        </x14:dataValidation>
        <x14:dataValidation type="list" allowBlank="1" showInputMessage="1" showErrorMessage="1" xr:uid="{4CEE3317-5CBA-4055-A16D-9633D8083175}">
          <x14:formula1>
            <xm:f>Aux_Lista!$M$3:$M$7</xm:f>
          </x14:formula1>
          <xm:sqref>I26:I115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K16:K25</xm:sqref>
        </x14:dataValidation>
        <x14:dataValidation type="list" allowBlank="1" showInputMessage="1" showErrorMessage="1" xr:uid="{F7DBFC5D-D028-4149-8C90-4B4EBA7FB615}">
          <x14:formula1>
            <xm:f>Componentes!$G$12:$G$61</xm:f>
          </x14:formula1>
          <xm:sqref>L16:M25</xm:sqref>
        </x14:dataValidation>
        <x14:dataValidation type="list" allowBlank="1" showInputMessage="1" showErrorMessage="1" xr:uid="{8A249324-10DA-44B9-B9C6-7FA652EB0466}">
          <x14:formula1>
            <xm:f>Componentes!$L$12:$L$61</xm:f>
          </x14:formula1>
          <xm:sqref>M16:M25</xm:sqref>
        </x14:dataValidation>
        <x14:dataValidation type="list" allowBlank="1" showInputMessage="1" showErrorMessage="1" xr:uid="{B21AD4C8-728A-48A8-B03B-457C99146AC1}">
          <x14:formula1>
            <xm:f>Aux_Lista!$M$2:$M$7</xm:f>
          </x14:formula1>
          <xm:sqref>I16:I25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F16:F115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H16:H115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zoomScale="85" zoomScaleNormal="85" workbookViewId="0">
      <selection activeCell="P31" sqref="P31"/>
    </sheetView>
  </sheetViews>
  <sheetFormatPr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55" customWidth="1"/>
    <col min="39" max="16384" width="9.140625" style="28"/>
  </cols>
  <sheetData>
    <row r="1" spans="1:38" ht="20.100000000000001" customHeight="1" x14ac:dyDescent="0.25">
      <c r="R1" t="s">
        <v>6108</v>
      </c>
      <c r="S1">
        <f>VLOOKUP(Geral!C16,Aux_Lista!A:K,10,FALSE)</f>
        <v>10</v>
      </c>
    </row>
    <row r="2" spans="1:38" ht="20.100000000000001" customHeight="1" x14ac:dyDescent="0.25">
      <c r="G2" s="48" t="s">
        <v>223</v>
      </c>
      <c r="H2" s="151" t="s">
        <v>222</v>
      </c>
      <c r="I2" s="152" t="s">
        <v>221</v>
      </c>
      <c r="J2" s="153" t="s">
        <v>220</v>
      </c>
      <c r="K2" s="154" t="s">
        <v>5518</v>
      </c>
      <c r="L2" s="196" t="s">
        <v>5826</v>
      </c>
      <c r="R2" t="s">
        <v>6109</v>
      </c>
      <c r="S2">
        <f>VLOOKUP(Geral!C16,Aux_Lista!A:K,11,FALSE)</f>
        <v>260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37"/>
    </row>
    <row r="5" spans="1:38" ht="18.75" x14ac:dyDescent="0.3">
      <c r="A5" s="40"/>
      <c r="B5" s="41" t="s">
        <v>191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338"/>
    </row>
    <row r="6" spans="1:38" x14ac:dyDescent="0.25">
      <c r="X6" s="325"/>
      <c r="Y6" s="325"/>
      <c r="Z6" s="325"/>
      <c r="AA6" s="325"/>
    </row>
    <row r="7" spans="1:38" ht="30" customHeight="1" x14ac:dyDescent="0.25">
      <c r="B7" s="75" t="s">
        <v>184</v>
      </c>
      <c r="C7" s="76" t="str">
        <f>Geral!C7</f>
        <v>Exemplo Ltda</v>
      </c>
      <c r="E7" s="389" t="str">
        <f>IF(C9="Método de Simulação","PREENCHER A ABA 'Opc_Simulação' PRIMEIRO!","")</f>
        <v/>
      </c>
      <c r="F7" s="389"/>
      <c r="G7" s="389"/>
      <c r="H7" s="389"/>
      <c r="I7" s="389"/>
      <c r="J7" s="389"/>
      <c r="K7" s="389"/>
      <c r="L7" s="389"/>
      <c r="X7" s="325"/>
      <c r="Y7" s="325"/>
      <c r="Z7" s="325"/>
      <c r="AA7" s="325"/>
      <c r="AC7" s="189" t="s">
        <v>5513</v>
      </c>
      <c r="AD7" s="188">
        <f>Geral!C14</f>
        <v>3</v>
      </c>
    </row>
    <row r="8" spans="1:38" ht="30" customHeight="1" x14ac:dyDescent="0.25">
      <c r="B8" s="75" t="s">
        <v>135</v>
      </c>
      <c r="C8" s="76" t="str">
        <f>Geral!C10</f>
        <v>Projeto</v>
      </c>
      <c r="D8" s="13"/>
      <c r="E8" s="389"/>
      <c r="F8" s="389"/>
      <c r="G8" s="389"/>
      <c r="H8" s="389"/>
      <c r="I8" s="389"/>
      <c r="J8" s="389"/>
      <c r="K8" s="389"/>
      <c r="L8" s="389"/>
      <c r="X8" s="325"/>
      <c r="Y8" s="325"/>
      <c r="Z8" s="325"/>
      <c r="AA8" s="325"/>
    </row>
    <row r="9" spans="1:38" ht="30" customHeight="1" x14ac:dyDescent="0.25">
      <c r="B9" s="75" t="s">
        <v>5793</v>
      </c>
      <c r="C9" s="322" t="str">
        <f>Envoltória!C9</f>
        <v>Método Simplificado</v>
      </c>
      <c r="D9" s="13"/>
      <c r="E9" s="389"/>
      <c r="F9" s="389"/>
      <c r="G9" s="389"/>
      <c r="H9" s="389"/>
      <c r="I9" s="389"/>
      <c r="J9" s="389"/>
      <c r="K9" s="389"/>
      <c r="L9" s="389"/>
      <c r="X9" s="325"/>
      <c r="Y9" s="325"/>
      <c r="Z9" s="325"/>
      <c r="AA9" s="325"/>
    </row>
    <row r="10" spans="1:38" ht="30" customHeight="1" x14ac:dyDescent="0.25">
      <c r="B10" s="75" t="s">
        <v>6004</v>
      </c>
      <c r="C10" s="322">
        <f>((Envoltória!C10/Aux_Lista!B17)+(L23))</f>
        <v>23659.615384615383</v>
      </c>
      <c r="D10" s="13"/>
      <c r="E10" s="389"/>
      <c r="F10" s="389"/>
      <c r="G10" s="389"/>
      <c r="H10" s="389"/>
      <c r="I10" s="389"/>
      <c r="J10" s="389"/>
      <c r="K10" s="389"/>
      <c r="L10" s="389"/>
      <c r="X10" s="325"/>
      <c r="Y10" s="325"/>
      <c r="Z10" s="325"/>
      <c r="AA10" s="325"/>
      <c r="AC10" s="142" t="s">
        <v>34</v>
      </c>
      <c r="AD10" s="143" t="s">
        <v>25</v>
      </c>
      <c r="AE10" s="144" t="s">
        <v>118</v>
      </c>
      <c r="AF10" s="145" t="s">
        <v>5766</v>
      </c>
      <c r="AG10" s="146" t="s">
        <v>5767</v>
      </c>
      <c r="AH10" s="59"/>
      <c r="AI10" s="73" t="s">
        <v>5772</v>
      </c>
      <c r="AJ10" s="67"/>
      <c r="AK10" s="67"/>
    </row>
    <row r="11" spans="1:38" ht="30" customHeight="1" x14ac:dyDescent="0.25">
      <c r="B11" s="75" t="s">
        <v>6005</v>
      </c>
      <c r="C11" s="322">
        <f>IF(C9="Método de Simulação",Opc_Simulação!X12,C21+C22)</f>
        <v>7688.9999999999991</v>
      </c>
      <c r="D11" s="13"/>
      <c r="E11" s="389"/>
      <c r="F11" s="389"/>
      <c r="G11" s="389"/>
      <c r="H11" s="389"/>
      <c r="I11" s="389"/>
      <c r="J11" s="389"/>
      <c r="K11" s="389"/>
      <c r="L11" s="389"/>
      <c r="X11" s="325"/>
      <c r="Y11" s="325"/>
      <c r="Z11" s="325"/>
      <c r="AA11" s="325"/>
      <c r="AB11" s="75" t="s">
        <v>5771</v>
      </c>
      <c r="AC11" s="189" t="s">
        <v>14</v>
      </c>
      <c r="AD11" s="189">
        <f>AC12</f>
        <v>0.51</v>
      </c>
      <c r="AE11" s="189">
        <f>AD12</f>
        <v>0.34</v>
      </c>
      <c r="AF11" s="189">
        <f>AE12</f>
        <v>0.17</v>
      </c>
      <c r="AG11" s="189">
        <f>AF12</f>
        <v>0</v>
      </c>
      <c r="AH11" s="59"/>
      <c r="AI11" s="385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A</v>
      </c>
      <c r="AJ11" s="248"/>
      <c r="AK11" s="248"/>
    </row>
    <row r="12" spans="1:38" ht="30" customHeight="1" x14ac:dyDescent="0.25">
      <c r="B12" s="75" t="s">
        <v>5825</v>
      </c>
      <c r="C12" s="190">
        <f>IF(ISERROR((C10-C11)/C10),0,(C10-C11)/C10)</f>
        <v>0.67501584979273344</v>
      </c>
      <c r="D12" s="13"/>
      <c r="E12" s="389"/>
      <c r="F12" s="389"/>
      <c r="G12" s="389"/>
      <c r="H12" s="389"/>
      <c r="I12" s="389"/>
      <c r="J12" s="389"/>
      <c r="K12" s="389"/>
      <c r="L12" s="389"/>
      <c r="X12" s="325"/>
      <c r="Y12" s="325"/>
      <c r="Z12" s="325"/>
      <c r="AA12" s="325"/>
      <c r="AB12" s="75" t="s">
        <v>5770</v>
      </c>
      <c r="AC12" s="189">
        <f>IF($AD$7&lt;=3,0.51,IF($AD$7&lt;=6,0.48,0.43))</f>
        <v>0.51</v>
      </c>
      <c r="AD12" s="189">
        <f>IF($AD$7&lt;=3,0.34,IF($AD$7&lt;=6,0.32,0.29))</f>
        <v>0.34</v>
      </c>
      <c r="AE12" s="189">
        <f>IF($AD$7&lt;=3,0.17,IF($AD$7&lt;=6,0.16,0.14))</f>
        <v>0.17</v>
      </c>
      <c r="AF12" s="189">
        <v>0</v>
      </c>
      <c r="AG12" s="189" t="s">
        <v>14</v>
      </c>
      <c r="AI12" s="385"/>
      <c r="AJ12" s="248"/>
      <c r="AK12" s="248"/>
    </row>
    <row r="13" spans="1:38" ht="30" customHeight="1" x14ac:dyDescent="0.25">
      <c r="B13" s="75" t="s">
        <v>5798</v>
      </c>
      <c r="C13" s="86" t="str">
        <f>AI11</f>
        <v>A</v>
      </c>
      <c r="D13" s="13"/>
      <c r="E13" s="389"/>
      <c r="F13" s="389"/>
      <c r="G13" s="389"/>
      <c r="H13" s="389"/>
      <c r="I13" s="389"/>
      <c r="J13" s="389"/>
      <c r="K13" s="389"/>
      <c r="L13" s="389"/>
      <c r="X13" s="325"/>
      <c r="Y13" s="325"/>
      <c r="Z13" s="325"/>
      <c r="AA13" s="325"/>
      <c r="AK13" s="255">
        <f>COUNTBLANK(AK31:AK130)+SUM(AL:AL)-100</f>
        <v>0</v>
      </c>
    </row>
    <row r="14" spans="1:38" ht="15" customHeight="1" x14ac:dyDescent="0.25">
      <c r="K14" s="161"/>
      <c r="L14" s="161"/>
      <c r="M14" s="161"/>
      <c r="N14" s="161"/>
      <c r="O14" s="161"/>
      <c r="Q14" s="161"/>
      <c r="R14" s="161"/>
      <c r="S14" s="161"/>
      <c r="X14" s="325"/>
      <c r="Y14" s="325"/>
      <c r="Z14" s="325"/>
      <c r="AA14" s="325"/>
      <c r="AK14" s="255">
        <f>COUNTBLANK(AK32:AK131)+SUM(AL:AL)-100</f>
        <v>1</v>
      </c>
    </row>
    <row r="15" spans="1:38" ht="30" customHeight="1" x14ac:dyDescent="0.25">
      <c r="B15" s="75" t="s">
        <v>6100</v>
      </c>
      <c r="C15" s="332" t="s">
        <v>6122</v>
      </c>
      <c r="K15" s="161"/>
      <c r="L15" s="161"/>
      <c r="M15" s="161"/>
      <c r="N15" s="161"/>
      <c r="O15" s="161"/>
      <c r="Q15" s="161"/>
      <c r="R15" s="161"/>
      <c r="S15" s="161"/>
      <c r="X15" s="325"/>
      <c r="Y15" s="325"/>
      <c r="Z15" s="325"/>
      <c r="AA15" s="325"/>
      <c r="AK15" s="255"/>
    </row>
    <row r="16" spans="1:38" ht="45" customHeight="1" x14ac:dyDescent="0.25">
      <c r="B16" s="75" t="s">
        <v>6099</v>
      </c>
      <c r="C16" s="84">
        <f>SUM(H31:H130)</f>
        <v>52.721999999999994</v>
      </c>
      <c r="K16" s="161"/>
      <c r="L16" s="161"/>
      <c r="M16" s="161"/>
      <c r="N16" s="161"/>
      <c r="O16" s="161"/>
      <c r="Q16" s="161"/>
      <c r="R16" s="161"/>
      <c r="S16" s="161"/>
      <c r="X16" s="325"/>
      <c r="Y16" s="325"/>
      <c r="Z16" s="325"/>
      <c r="AA16" s="325"/>
      <c r="AK16" s="255"/>
    </row>
    <row r="17" spans="1:38" ht="15" customHeight="1" x14ac:dyDescent="0.25">
      <c r="K17" s="161"/>
      <c r="L17" s="161"/>
      <c r="M17" s="161"/>
      <c r="N17" s="161"/>
      <c r="O17" s="161"/>
      <c r="Q17" s="161"/>
      <c r="R17" s="161"/>
      <c r="S17" s="161"/>
      <c r="X17" s="325"/>
      <c r="Y17" s="325"/>
      <c r="Z17" s="325"/>
      <c r="AA17" s="325"/>
      <c r="AK17" s="255"/>
    </row>
    <row r="18" spans="1:38" ht="45" customHeight="1" x14ac:dyDescent="0.25">
      <c r="B18" s="75" t="s">
        <v>6147</v>
      </c>
      <c r="C18" s="84">
        <f>IF(ISERROR(SUMIFS(E:E,G:G,"Baixa capacidade (até 17.6kW)")/((SUMIFS(E:E,G:G,"Baixa capacidade (até 17.6kW)")/L22)+L23)),0,
SUMIFS(E:E,G:G,"Baixa capacidade (até 17.6kW)")/((SUMIFS(E:E,G:G,"Baixa capacidade (até 17.6kW)")/L22)+L23))</f>
        <v>5.5059121621621632</v>
      </c>
      <c r="K18" s="161"/>
      <c r="L18" s="161"/>
      <c r="M18" s="161"/>
      <c r="N18" s="161"/>
      <c r="O18" s="161"/>
      <c r="Q18" s="161"/>
      <c r="R18" s="161"/>
      <c r="S18" s="161"/>
      <c r="X18" s="325"/>
      <c r="Y18" s="325"/>
      <c r="Z18" s="325"/>
      <c r="AA18" s="325"/>
      <c r="AK18" s="255"/>
    </row>
    <row r="19" spans="1:38" ht="45" customHeight="1" x14ac:dyDescent="0.25">
      <c r="B19" s="75" t="s">
        <v>6111</v>
      </c>
      <c r="C19" s="336">
        <v>0</v>
      </c>
      <c r="K19" s="161"/>
      <c r="L19" s="161"/>
      <c r="M19" s="161"/>
      <c r="N19" s="161"/>
      <c r="O19" s="365"/>
      <c r="Q19" s="161"/>
      <c r="R19" s="161"/>
      <c r="S19" s="161"/>
      <c r="X19" s="325"/>
      <c r="Y19" s="325"/>
      <c r="Z19" s="325"/>
      <c r="AA19" s="325"/>
      <c r="AK19" s="255"/>
    </row>
    <row r="20" spans="1:38" ht="15" customHeight="1" x14ac:dyDescent="0.25">
      <c r="J20" s="422" t="s">
        <v>6148</v>
      </c>
      <c r="K20" s="422"/>
      <c r="L20" s="422"/>
      <c r="M20" s="161"/>
      <c r="N20" s="161"/>
      <c r="O20" s="161"/>
      <c r="Q20" s="161"/>
      <c r="R20" s="161"/>
      <c r="S20" s="161"/>
      <c r="AH20" s="325"/>
      <c r="AI20" s="325"/>
      <c r="AJ20" s="325"/>
      <c r="AK20" s="325"/>
    </row>
    <row r="21" spans="1:38" ht="35.1" customHeight="1" x14ac:dyDescent="0.25">
      <c r="B21" s="75" t="s">
        <v>6102</v>
      </c>
      <c r="C21" s="323">
        <f>IF(C15="Naturalmente ventilada",0,
(SUMIFS(E:E,G:G,"Baixa capacidade (até 17.6kW)")/C18)+L23
)</f>
        <v>7688.9999999999991</v>
      </c>
      <c r="J21" s="423"/>
      <c r="K21" s="423"/>
      <c r="L21" s="423"/>
      <c r="M21" s="161"/>
      <c r="N21" s="161"/>
      <c r="O21" s="161"/>
      <c r="Q21" s="161"/>
      <c r="R21" s="161"/>
      <c r="S21" s="161"/>
      <c r="AH21" s="325"/>
      <c r="AI21" s="325"/>
      <c r="AJ21" s="325"/>
      <c r="AK21" s="325"/>
    </row>
    <row r="22" spans="1:38" ht="35.1" customHeight="1" x14ac:dyDescent="0.25">
      <c r="B22" s="75" t="s">
        <v>6103</v>
      </c>
      <c r="C22" s="327">
        <f>SUM(N:N)</f>
        <v>0</v>
      </c>
      <c r="I22" s="365"/>
      <c r="J22" s="420" t="s">
        <v>6146</v>
      </c>
      <c r="K22" s="421"/>
      <c r="L22" s="367">
        <f>SUM(L31:L130)/SUM(H31:H130)</f>
        <v>6.0000000000000009</v>
      </c>
      <c r="M22" s="161"/>
      <c r="N22" s="161"/>
      <c r="O22" s="161"/>
      <c r="Q22" s="161"/>
      <c r="R22" s="161"/>
      <c r="S22" s="161"/>
      <c r="AH22" s="325"/>
      <c r="AI22" s="325"/>
      <c r="AJ22" s="325"/>
      <c r="AK22" s="325"/>
    </row>
    <row r="23" spans="1:38" ht="35.1" customHeight="1" x14ac:dyDescent="0.25">
      <c r="B23" s="326" t="s">
        <v>6104</v>
      </c>
      <c r="C23" s="328" t="str">
        <f>IF(AK13=0,"Sim","Não")</f>
        <v>Sim</v>
      </c>
      <c r="J23" s="420" t="s">
        <v>6144</v>
      </c>
      <c r="K23" s="421"/>
      <c r="L23" s="366">
        <f>SUM(P:P)</f>
        <v>585</v>
      </c>
      <c r="M23" s="161"/>
      <c r="N23" s="161"/>
      <c r="O23" s="161"/>
      <c r="Q23" s="161"/>
      <c r="R23" s="161"/>
      <c r="S23" s="161"/>
      <c r="AH23" s="325"/>
      <c r="AI23" s="325"/>
      <c r="AJ23" s="325"/>
      <c r="AK23" s="325"/>
    </row>
    <row r="24" spans="1:38" ht="15" customHeight="1" x14ac:dyDescent="0.25">
      <c r="M24" s="161"/>
      <c r="N24" s="161"/>
      <c r="O24" s="161"/>
      <c r="Q24" s="161"/>
      <c r="R24" s="161"/>
      <c r="S24" s="161"/>
      <c r="AH24" s="325"/>
      <c r="AI24" s="325"/>
      <c r="AJ24" s="325"/>
      <c r="AK24" s="325"/>
    </row>
    <row r="25" spans="1:38" ht="20.100000000000001" customHeight="1" x14ac:dyDescent="0.25">
      <c r="A25" s="329"/>
      <c r="B25" s="74" t="s">
        <v>6105</v>
      </c>
      <c r="C25" s="329"/>
      <c r="D25" s="329"/>
      <c r="E25" s="329"/>
      <c r="F25" s="329"/>
      <c r="G25" s="329"/>
      <c r="H25" s="329"/>
      <c r="I25" s="329"/>
      <c r="J25" s="329"/>
      <c r="K25" s="330"/>
      <c r="L25" s="330"/>
      <c r="M25" s="330"/>
      <c r="N25" s="330"/>
      <c r="O25" s="330"/>
      <c r="P25" s="329"/>
      <c r="Q25" s="330"/>
      <c r="R25" s="330"/>
      <c r="S25" s="330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31"/>
      <c r="AI25" s="331"/>
      <c r="AJ25" s="331"/>
      <c r="AK25" s="331"/>
      <c r="AL25" s="339"/>
    </row>
    <row r="26" spans="1:38" ht="15" customHeight="1" x14ac:dyDescent="0.25">
      <c r="M26" s="161"/>
      <c r="N26" s="161"/>
      <c r="O26" s="161"/>
      <c r="Q26" s="161"/>
      <c r="R26" s="161"/>
      <c r="S26" s="161"/>
      <c r="AH26" s="325"/>
      <c r="AI26" s="325"/>
      <c r="AJ26" s="325"/>
      <c r="AK26" s="325"/>
    </row>
    <row r="27" spans="1:38" ht="15" customHeight="1" x14ac:dyDescent="0.25">
      <c r="Q27" s="394" t="s">
        <v>78</v>
      </c>
      <c r="R27" s="395"/>
      <c r="S27" s="395"/>
      <c r="T27" s="395"/>
      <c r="U27" s="395"/>
      <c r="V27" s="395"/>
      <c r="W27" s="395"/>
      <c r="X27" s="395"/>
      <c r="Y27" s="395"/>
      <c r="Z27" s="395"/>
      <c r="AA27" s="395"/>
      <c r="AB27" s="395"/>
      <c r="AC27" s="395"/>
      <c r="AD27" s="395"/>
      <c r="AE27" s="395"/>
      <c r="AF27" s="395"/>
      <c r="AG27" s="395"/>
      <c r="AH27" s="395"/>
      <c r="AI27" s="395"/>
      <c r="AJ27" s="395"/>
      <c r="AK27" s="395"/>
    </row>
    <row r="28" spans="1:38" s="30" customFormat="1" ht="35.1" customHeight="1" x14ac:dyDescent="0.25">
      <c r="A28" s="2"/>
      <c r="B28" s="45"/>
      <c r="C28" s="45"/>
      <c r="D28" s="45"/>
      <c r="E28" s="45"/>
      <c r="F28" s="45"/>
      <c r="G28" s="45"/>
      <c r="H28" s="45"/>
      <c r="I28" s="45"/>
      <c r="J28" s="45"/>
      <c r="K28" s="407" t="s">
        <v>6150</v>
      </c>
      <c r="L28" s="408"/>
      <c r="M28" s="396" t="s">
        <v>6149</v>
      </c>
      <c r="N28" s="396"/>
      <c r="O28" s="397"/>
      <c r="P28"/>
      <c r="Q28" s="412" t="s">
        <v>79</v>
      </c>
      <c r="R28" s="413"/>
      <c r="S28" s="398" t="s">
        <v>80</v>
      </c>
      <c r="T28" s="399"/>
      <c r="U28" s="399"/>
      <c r="V28" s="399"/>
      <c r="W28" s="399"/>
      <c r="X28" s="399"/>
      <c r="Y28" s="399"/>
      <c r="Z28" s="399"/>
      <c r="AA28" s="399"/>
      <c r="AB28" s="399"/>
      <c r="AC28" s="399"/>
      <c r="AD28" s="399"/>
      <c r="AE28" s="399"/>
      <c r="AF28" s="399"/>
      <c r="AG28" s="399"/>
      <c r="AH28" s="399"/>
      <c r="AI28" s="399"/>
      <c r="AJ28" s="400"/>
      <c r="AK28" s="250"/>
      <c r="AL28" s="340"/>
    </row>
    <row r="29" spans="1:38" s="31" customFormat="1" ht="15" customHeight="1" x14ac:dyDescent="0.25">
      <c r="A29" s="3"/>
      <c r="B29" s="424" t="s">
        <v>99</v>
      </c>
      <c r="C29" s="390" t="s">
        <v>194</v>
      </c>
      <c r="D29" s="390" t="s">
        <v>100</v>
      </c>
      <c r="E29" s="390" t="s">
        <v>6101</v>
      </c>
      <c r="F29" s="390" t="s">
        <v>6116</v>
      </c>
      <c r="G29" s="390" t="s">
        <v>6117</v>
      </c>
      <c r="H29" s="390" t="s">
        <v>6153</v>
      </c>
      <c r="I29" s="416" t="s">
        <v>6113</v>
      </c>
      <c r="J29" s="418" t="s">
        <v>6107</v>
      </c>
      <c r="K29" s="414" t="s">
        <v>6106</v>
      </c>
      <c r="L29" s="409" t="s">
        <v>6145</v>
      </c>
      <c r="M29" s="414" t="s">
        <v>6106</v>
      </c>
      <c r="N29" s="409" t="s">
        <v>6110</v>
      </c>
      <c r="O29" s="405" t="s">
        <v>6118</v>
      </c>
      <c r="P29"/>
      <c r="Q29" s="401" t="s">
        <v>5914</v>
      </c>
      <c r="R29" s="246"/>
      <c r="S29" s="401" t="s">
        <v>5916</v>
      </c>
      <c r="T29" s="403" t="s">
        <v>81</v>
      </c>
      <c r="U29" s="403" t="s">
        <v>82</v>
      </c>
      <c r="V29" s="403" t="s">
        <v>83</v>
      </c>
      <c r="W29" s="403" t="s">
        <v>84</v>
      </c>
      <c r="X29" s="403" t="s">
        <v>85</v>
      </c>
      <c r="Y29" s="403" t="s">
        <v>86</v>
      </c>
      <c r="Z29" s="403" t="s">
        <v>87</v>
      </c>
      <c r="AA29" s="403" t="s">
        <v>89</v>
      </c>
      <c r="AB29" s="403" t="s">
        <v>96</v>
      </c>
      <c r="AC29" s="403" t="s">
        <v>91</v>
      </c>
      <c r="AD29" s="403" t="s">
        <v>92</v>
      </c>
      <c r="AE29" s="411" t="s">
        <v>90</v>
      </c>
      <c r="AF29" s="411"/>
      <c r="AG29" s="411"/>
      <c r="AH29" s="403" t="s">
        <v>88</v>
      </c>
      <c r="AI29" s="403" t="s">
        <v>5914</v>
      </c>
      <c r="AJ29" s="253"/>
      <c r="AK29" s="392" t="s">
        <v>5910</v>
      </c>
      <c r="AL29" s="341"/>
    </row>
    <row r="30" spans="1:38" s="31" customFormat="1" ht="33.75" customHeight="1" x14ac:dyDescent="0.25">
      <c r="A30" s="3"/>
      <c r="B30" s="425"/>
      <c r="C30" s="391"/>
      <c r="D30" s="391"/>
      <c r="E30" s="391"/>
      <c r="F30" s="391"/>
      <c r="G30" s="391"/>
      <c r="H30" s="391"/>
      <c r="I30" s="417"/>
      <c r="J30" s="419"/>
      <c r="K30" s="415"/>
      <c r="L30" s="410"/>
      <c r="M30" s="415"/>
      <c r="N30" s="410"/>
      <c r="O30" s="406"/>
      <c r="P30"/>
      <c r="Q30" s="402"/>
      <c r="R30" s="247" t="s">
        <v>5913</v>
      </c>
      <c r="S30" s="402"/>
      <c r="T30" s="404"/>
      <c r="U30" s="404"/>
      <c r="V30" s="404"/>
      <c r="W30" s="404"/>
      <c r="X30" s="404"/>
      <c r="Y30" s="404"/>
      <c r="Z30" s="404"/>
      <c r="AA30" s="404"/>
      <c r="AB30" s="404"/>
      <c r="AC30" s="404"/>
      <c r="AD30" s="404"/>
      <c r="AE30" s="254" t="s">
        <v>93</v>
      </c>
      <c r="AF30" s="254" t="s">
        <v>94</v>
      </c>
      <c r="AG30" s="254" t="s">
        <v>95</v>
      </c>
      <c r="AH30" s="404"/>
      <c r="AI30" s="404"/>
      <c r="AJ30" s="254" t="s">
        <v>5913</v>
      </c>
      <c r="AK30" s="393"/>
      <c r="AL30" s="341"/>
    </row>
    <row r="31" spans="1:38" s="32" customFormat="1" x14ac:dyDescent="0.25">
      <c r="A31" s="162">
        <v>1</v>
      </c>
      <c r="B31" s="225" t="s">
        <v>5824</v>
      </c>
      <c r="C31" s="197" t="str">
        <f>IF(Envoltória!C16="","",Envoltória!C16)</f>
        <v>Sala 01 ZT1</v>
      </c>
      <c r="D31" s="197">
        <f>IF(Envoltória!D16="","",Envoltória!D16)</f>
        <v>92.25</v>
      </c>
      <c r="E31" s="324">
        <f>Envoltória!AA16</f>
        <v>6221</v>
      </c>
      <c r="F31" s="225" t="s">
        <v>6143</v>
      </c>
      <c r="G31" s="324" t="str">
        <f>IF(C31="","",VLOOKUP(F31,Componentes!$P:$U,2,FALSE))</f>
        <v>Baixa capacidade (até 17.6kW)</v>
      </c>
      <c r="H31" s="324">
        <f>IF(F31="","",VLOOKUP(F31,Componentes!$P:$U,3,FALSE))</f>
        <v>10.5444</v>
      </c>
      <c r="I31" s="197" t="str">
        <f>IF(F31="","",VLOOKUP(F31,Componentes!$P:$U,4,FALSE))</f>
        <v>IDRS</v>
      </c>
      <c r="J31" s="197">
        <f>IF(F31="","",VLOOKUP(F31,Componentes!$P:$U,6,FALSE))</f>
        <v>45</v>
      </c>
      <c r="K31" s="197">
        <f>IF(F31="","",IF(I31&lt;&gt;"SPLV",VLOOKUP(F31,Componentes!$P:$U,5,FALSE),""))</f>
        <v>6</v>
      </c>
      <c r="L31" s="191">
        <f>IF(F31="","",IF(K31="","",IF(I31="COP",1.062*K31*H31,K31*H31)))</f>
        <v>63.266399999999997</v>
      </c>
      <c r="M31" s="197" t="str">
        <f>IF(OR(I31="SPLV",I31="k"),VLOOKUP(F31,Componentes!$P:$U,5,FALSE),"")</f>
        <v/>
      </c>
      <c r="N31" s="192" t="str">
        <f t="shared" ref="N31:N62" si="0">IF(M31="","",E31/M31)</f>
        <v/>
      </c>
      <c r="O31" s="193"/>
      <c r="P31">
        <f>IF(Envoltória!D16="","",J31*VLOOKUP(Envoltória!H16,Aux_Lista!$A$1:$K$9,10,FALSE)*VLOOKUP(Envoltória!H16,Aux_Lista!$A$1:$K$9,11,FALSE)/1000)</f>
        <v>117</v>
      </c>
      <c r="Q31" s="249"/>
      <c r="R31" s="99" t="s">
        <v>5862</v>
      </c>
      <c r="S31" s="251" t="s">
        <v>5862</v>
      </c>
      <c r="T31" s="251" t="s">
        <v>5862</v>
      </c>
      <c r="U31" s="251" t="s">
        <v>5862</v>
      </c>
      <c r="V31" s="251" t="s">
        <v>5862</v>
      </c>
      <c r="W31" s="251" t="s">
        <v>5862</v>
      </c>
      <c r="X31" s="251" t="s">
        <v>5862</v>
      </c>
      <c r="Y31" s="251" t="s">
        <v>5862</v>
      </c>
      <c r="Z31" s="251" t="s">
        <v>5862</v>
      </c>
      <c r="AA31" s="251" t="s">
        <v>5862</v>
      </c>
      <c r="AB31" s="251" t="s">
        <v>5862</v>
      </c>
      <c r="AC31" s="251" t="s">
        <v>5862</v>
      </c>
      <c r="AD31" s="251" t="s">
        <v>5862</v>
      </c>
      <c r="AE31" s="251" t="s">
        <v>5862</v>
      </c>
      <c r="AF31" s="251" t="s">
        <v>5862</v>
      </c>
      <c r="AG31" s="251" t="s">
        <v>5862</v>
      </c>
      <c r="AH31" s="251" t="s">
        <v>5862</v>
      </c>
      <c r="AI31" s="251"/>
      <c r="AJ31" s="251" t="s">
        <v>5862</v>
      </c>
      <c r="AK31" s="252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>Sim</v>
      </c>
      <c r="AL31" s="342">
        <f>IF(AK31="Sim",1,0)</f>
        <v>1</v>
      </c>
    </row>
    <row r="32" spans="1:38" s="32" customFormat="1" x14ac:dyDescent="0.25">
      <c r="A32" s="162">
        <v>2</v>
      </c>
      <c r="B32" s="225" t="s">
        <v>5824</v>
      </c>
      <c r="C32" s="197" t="str">
        <f>IF(Envoltória!C17="","",Envoltória!C17)</f>
        <v>Sala 01 ZT2</v>
      </c>
      <c r="D32" s="197">
        <f>IF(Envoltória!D17="","",Envoltória!D17)</f>
        <v>92.25</v>
      </c>
      <c r="E32" s="324">
        <f>Envoltória!AA17</f>
        <v>6302</v>
      </c>
      <c r="F32" s="225" t="s">
        <v>6143</v>
      </c>
      <c r="G32" s="324" t="str">
        <f>IF(C32="","",VLOOKUP(F32,Componentes!$P:$U,2,FALSE))</f>
        <v>Baixa capacidade (até 17.6kW)</v>
      </c>
      <c r="H32" s="324">
        <f>IF(F32="","",VLOOKUP(F32,Componentes!$P:$U,3,FALSE))</f>
        <v>10.5444</v>
      </c>
      <c r="I32" s="197" t="str">
        <f>IF(F32="","",VLOOKUP(F32,Componentes!$P:$U,4,FALSE))</f>
        <v>IDRS</v>
      </c>
      <c r="J32" s="197">
        <f>IF(F32="","",VLOOKUP(F32,Componentes!$P:$U,6,FALSE))</f>
        <v>45</v>
      </c>
      <c r="K32" s="197">
        <f>IF(F32="","",IF(I32&lt;&gt;"SPLV",VLOOKUP(F32,Componentes!$P:$U,5,FALSE),""))</f>
        <v>6</v>
      </c>
      <c r="L32" s="191">
        <f t="shared" ref="L32:L95" si="1">IF(F32="","",IF(K32="","",IF(I32="COP",1.062*K32*H32,K32*H32)))</f>
        <v>63.266399999999997</v>
      </c>
      <c r="M32" s="197" t="str">
        <f>IF(OR(I32="SPLV",I32="k"),VLOOKUP(F32,Componentes!$P:$U,5,FALSE),"")</f>
        <v/>
      </c>
      <c r="N32" s="192" t="str">
        <f t="shared" si="0"/>
        <v/>
      </c>
      <c r="O32" s="193"/>
      <c r="P32">
        <f>IF(Envoltória!D17="","",J32*VLOOKUP(Envoltória!H17,Aux_Lista!$A$1:$K$9,10,FALSE)*VLOOKUP(Envoltória!H17,Aux_Lista!$A$1:$K$9,11,FALSE)/1000)</f>
        <v>117</v>
      </c>
      <c r="Q32" s="249"/>
      <c r="R32" s="99" t="s">
        <v>5862</v>
      </c>
      <c r="S32" s="251" t="s">
        <v>5862</v>
      </c>
      <c r="T32" s="251" t="s">
        <v>5862</v>
      </c>
      <c r="U32" s="251" t="s">
        <v>5862</v>
      </c>
      <c r="V32" s="251" t="s">
        <v>5862</v>
      </c>
      <c r="W32" s="251" t="s">
        <v>5862</v>
      </c>
      <c r="X32" s="251" t="s">
        <v>5862</v>
      </c>
      <c r="Y32" s="251" t="s">
        <v>5862</v>
      </c>
      <c r="Z32" s="251" t="s">
        <v>5862</v>
      </c>
      <c r="AA32" s="251" t="s">
        <v>5862</v>
      </c>
      <c r="AB32" s="251" t="s">
        <v>5915</v>
      </c>
      <c r="AC32" s="251" t="s">
        <v>5862</v>
      </c>
      <c r="AD32" s="251" t="s">
        <v>5862</v>
      </c>
      <c r="AE32" s="251" t="s">
        <v>5862</v>
      </c>
      <c r="AF32" s="251" t="s">
        <v>5915</v>
      </c>
      <c r="AG32" s="251" t="s">
        <v>5862</v>
      </c>
      <c r="AH32" s="251" t="s">
        <v>5862</v>
      </c>
      <c r="AI32" s="251"/>
      <c r="AJ32" s="251" t="s">
        <v>5862</v>
      </c>
      <c r="AK32" s="252" t="str">
        <f t="shared" ref="AK32:AK95" si="2"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>Sim</v>
      </c>
      <c r="AL32" s="342">
        <f t="shared" ref="AL32:AL95" si="3">IF(AK32="Sim",1,0)</f>
        <v>1</v>
      </c>
    </row>
    <row r="33" spans="1:38" s="32" customFormat="1" x14ac:dyDescent="0.25">
      <c r="A33" s="162">
        <v>3</v>
      </c>
      <c r="B33" s="225" t="s">
        <v>5824</v>
      </c>
      <c r="C33" s="197" t="str">
        <f>IF(Envoltória!C18="","",Envoltória!C18)</f>
        <v>Sala 01 ZT3</v>
      </c>
      <c r="D33" s="197">
        <f>IF(Envoltória!D18="","",Envoltória!D18)</f>
        <v>92.25</v>
      </c>
      <c r="E33" s="324">
        <f>Envoltória!AA18</f>
        <v>6882</v>
      </c>
      <c r="F33" s="225" t="s">
        <v>6143</v>
      </c>
      <c r="G33" s="324" t="str">
        <f>IF(C33="","",VLOOKUP(F33,Componentes!$P:$U,2,FALSE))</f>
        <v>Baixa capacidade (até 17.6kW)</v>
      </c>
      <c r="H33" s="324">
        <f>IF(F33="","",VLOOKUP(F33,Componentes!$P:$U,3,FALSE))</f>
        <v>10.5444</v>
      </c>
      <c r="I33" s="197" t="str">
        <f>IF(F33="","",VLOOKUP(F33,Componentes!$P:$U,4,FALSE))</f>
        <v>IDRS</v>
      </c>
      <c r="J33" s="197">
        <f>IF(F33="","",VLOOKUP(F33,Componentes!$P:$U,6,FALSE))</f>
        <v>45</v>
      </c>
      <c r="K33" s="197">
        <f>IF(F33="","",IF(I33&lt;&gt;"SPLV",VLOOKUP(F33,Componentes!$P:$U,5,FALSE),""))</f>
        <v>6</v>
      </c>
      <c r="L33" s="191">
        <f t="shared" si="1"/>
        <v>63.266399999999997</v>
      </c>
      <c r="M33" s="197" t="str">
        <f>IF(OR(I33="SPLV",I33="k"),VLOOKUP(F33,Componentes!$P:$U,5,FALSE),"")</f>
        <v/>
      </c>
      <c r="N33" s="192" t="str">
        <f t="shared" si="0"/>
        <v/>
      </c>
      <c r="O33" s="193"/>
      <c r="P33">
        <f>IF(Envoltória!D18="","",J33*VLOOKUP(Envoltória!H18,Aux_Lista!$A$1:$K$9,10,FALSE)*VLOOKUP(Envoltória!H18,Aux_Lista!$A$1:$K$9,11,FALSE)/1000)</f>
        <v>117</v>
      </c>
      <c r="Q33" s="249"/>
      <c r="R33" s="99" t="s">
        <v>5862</v>
      </c>
      <c r="S33" s="98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2" t="str">
        <f t="shared" si="2"/>
        <v>Sim</v>
      </c>
      <c r="AL33" s="342">
        <f t="shared" si="3"/>
        <v>1</v>
      </c>
    </row>
    <row r="34" spans="1:38" s="32" customFormat="1" x14ac:dyDescent="0.25">
      <c r="A34" s="162">
        <v>4</v>
      </c>
      <c r="B34" s="225" t="s">
        <v>5824</v>
      </c>
      <c r="C34" s="197" t="str">
        <f>IF(Envoltória!C19="","",Envoltória!C19)</f>
        <v>Sala 01 ZT4</v>
      </c>
      <c r="D34" s="197">
        <f>IF(Envoltória!D19="","",Envoltória!D19)</f>
        <v>92.25</v>
      </c>
      <c r="E34" s="324">
        <f>Envoltória!AA19</f>
        <v>6097</v>
      </c>
      <c r="F34" s="225" t="s">
        <v>6143</v>
      </c>
      <c r="G34" s="324" t="str">
        <f>IF(C34="","",VLOOKUP(F34,Componentes!$P:$U,2,FALSE))</f>
        <v>Baixa capacidade (até 17.6kW)</v>
      </c>
      <c r="H34" s="324">
        <f>IF(F34="","",VLOOKUP(F34,Componentes!$P:$U,3,FALSE))</f>
        <v>10.5444</v>
      </c>
      <c r="I34" s="197" t="str">
        <f>IF(F34="","",VLOOKUP(F34,Componentes!$P:$U,4,FALSE))</f>
        <v>IDRS</v>
      </c>
      <c r="J34" s="197">
        <f>IF(F34="","",VLOOKUP(F34,Componentes!$P:$U,6,FALSE))</f>
        <v>45</v>
      </c>
      <c r="K34" s="197">
        <f>IF(F34="","",IF(I34&lt;&gt;"SPLV",VLOOKUP(F34,Componentes!$P:$U,5,FALSE),""))</f>
        <v>6</v>
      </c>
      <c r="L34" s="191">
        <f t="shared" si="1"/>
        <v>63.266399999999997</v>
      </c>
      <c r="M34" s="197" t="str">
        <f>IF(OR(I34="SPLV",I34="k"),VLOOKUP(F34,Componentes!$P:$U,5,FALSE),"")</f>
        <v/>
      </c>
      <c r="N34" s="192" t="str">
        <f t="shared" si="0"/>
        <v/>
      </c>
      <c r="O34" s="193"/>
      <c r="P34">
        <f>IF(Envoltória!D19="","",J34*VLOOKUP(Envoltória!H19,Aux_Lista!$A$1:$K$9,10,FALSE)*VLOOKUP(Envoltória!H19,Aux_Lista!$A$1:$K$9,11,FALSE)/1000)</f>
        <v>117</v>
      </c>
      <c r="Q34" s="249"/>
      <c r="R34" s="99" t="s">
        <v>5862</v>
      </c>
      <c r="S34" s="98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2" t="str">
        <f t="shared" si="2"/>
        <v>Sim</v>
      </c>
      <c r="AL34" s="342">
        <f t="shared" si="3"/>
        <v>1</v>
      </c>
    </row>
    <row r="35" spans="1:38" s="32" customFormat="1" x14ac:dyDescent="0.25">
      <c r="A35" s="162">
        <v>5</v>
      </c>
      <c r="B35" s="225" t="s">
        <v>5824</v>
      </c>
      <c r="C35" s="197" t="str">
        <f>IF(Envoltória!C20="","",Envoltória!C20)</f>
        <v>Sala 01 ZT5</v>
      </c>
      <c r="D35" s="197">
        <f>IF(Envoltória!D20="","",Envoltória!D20)</f>
        <v>256</v>
      </c>
      <c r="E35" s="324">
        <f>Envoltória!AA20</f>
        <v>13612</v>
      </c>
      <c r="F35" s="225" t="s">
        <v>6143</v>
      </c>
      <c r="G35" s="324" t="str">
        <f>IF(C35="","",VLOOKUP(F35,Componentes!$P:$U,2,FALSE))</f>
        <v>Baixa capacidade (até 17.6kW)</v>
      </c>
      <c r="H35" s="324">
        <f>IF(F35="","",VLOOKUP(F35,Componentes!$P:$U,3,FALSE))</f>
        <v>10.5444</v>
      </c>
      <c r="I35" s="197" t="str">
        <f>IF(F35="","",VLOOKUP(F35,Componentes!$P:$U,4,FALSE))</f>
        <v>IDRS</v>
      </c>
      <c r="J35" s="197">
        <f>IF(F35="","",VLOOKUP(F35,Componentes!$P:$U,6,FALSE))</f>
        <v>45</v>
      </c>
      <c r="K35" s="197">
        <f>IF(F35="","",IF(I35&lt;&gt;"SPLV",VLOOKUP(F35,Componentes!$P:$U,5,FALSE),""))</f>
        <v>6</v>
      </c>
      <c r="L35" s="191">
        <f t="shared" si="1"/>
        <v>63.266399999999997</v>
      </c>
      <c r="M35" s="197" t="str">
        <f>IF(OR(I35="SPLV",I35="k"),VLOOKUP(F35,Componentes!$P:$U,5,FALSE),"")</f>
        <v/>
      </c>
      <c r="N35" s="192" t="str">
        <f t="shared" si="0"/>
        <v/>
      </c>
      <c r="O35" s="193"/>
      <c r="P35">
        <f>IF(Envoltória!D20="","",J35*VLOOKUP(Envoltória!H20,Aux_Lista!$A$1:$K$9,10,FALSE)*VLOOKUP(Envoltória!H20,Aux_Lista!$A$1:$K$9,11,FALSE)/1000)</f>
        <v>117</v>
      </c>
      <c r="Q35" s="249"/>
      <c r="R35" s="99" t="s">
        <v>5862</v>
      </c>
      <c r="S35" s="98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  <c r="AG35" s="251"/>
      <c r="AH35" s="251"/>
      <c r="AI35" s="251"/>
      <c r="AJ35" s="251"/>
      <c r="AK35" s="252" t="str">
        <f t="shared" si="2"/>
        <v>Sim</v>
      </c>
      <c r="AL35" s="342">
        <f t="shared" si="3"/>
        <v>1</v>
      </c>
    </row>
    <row r="36" spans="1:38" x14ac:dyDescent="0.25">
      <c r="A36" s="162">
        <v>6</v>
      </c>
      <c r="B36" s="225"/>
      <c r="C36" s="197" t="str">
        <f>IF(Envoltória!C21="","",Envoltória!C21)</f>
        <v/>
      </c>
      <c r="D36" s="197" t="str">
        <f>IF(Envoltória!D21="","",Envoltória!D21)</f>
        <v/>
      </c>
      <c r="E36" s="324">
        <f>Envoltória!AA21</f>
        <v>0</v>
      </c>
      <c r="F36" s="225"/>
      <c r="G36" s="324" t="str">
        <f>IF(C36="","",VLOOKUP(F36,Componentes!$P:$U,2,FALSE))</f>
        <v/>
      </c>
      <c r="H36" s="324" t="str">
        <f>IF(F36="","",VLOOKUP(F36,Componentes!$P:$U,3,FALSE))</f>
        <v/>
      </c>
      <c r="I36" s="197" t="str">
        <f>IF(F36="","",VLOOKUP(F36,Componentes!$P:$U,4,FALSE))</f>
        <v/>
      </c>
      <c r="J36" s="197" t="str">
        <f>IF(F36="","",VLOOKUP(F36,Componentes!$P:$U,6,FALSE))</f>
        <v/>
      </c>
      <c r="K36" s="197" t="str">
        <f>IF(F36="","",IF(I36&lt;&gt;"SPLV",VLOOKUP(F36,Componentes!$P:$U,5,FALSE),""))</f>
        <v/>
      </c>
      <c r="L36" s="191" t="str">
        <f t="shared" si="1"/>
        <v/>
      </c>
      <c r="M36" s="197" t="str">
        <f>IF(OR(I36="SPLV",I36="k"),VLOOKUP(F36,Componentes!$P:$U,5,FALSE),"")</f>
        <v/>
      </c>
      <c r="N36" s="192" t="str">
        <f t="shared" si="0"/>
        <v/>
      </c>
      <c r="O36" s="193"/>
      <c r="P36" t="str">
        <f>IF(Envoltória!D21="","",J36*VLOOKUP(Envoltória!H21,Aux_Lista!$A$1:$K$9,10,FALSE)*VLOOKUP(Envoltória!H21,Aux_Lista!$A$1:$K$9,11,FALSE)/1000)</f>
        <v/>
      </c>
      <c r="Q36" s="249"/>
      <c r="R36" s="99"/>
      <c r="S36" s="98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1"/>
      <c r="AG36" s="251"/>
      <c r="AH36" s="251"/>
      <c r="AI36" s="251"/>
      <c r="AJ36" s="251"/>
      <c r="AK36" s="252" t="str">
        <f t="shared" si="2"/>
        <v/>
      </c>
      <c r="AL36" s="342">
        <f t="shared" si="3"/>
        <v>0</v>
      </c>
    </row>
    <row r="37" spans="1:38" x14ac:dyDescent="0.25">
      <c r="A37" s="162">
        <v>7</v>
      </c>
      <c r="B37" s="225"/>
      <c r="C37" s="197" t="str">
        <f>IF(Envoltória!C22="","",Envoltória!C22)</f>
        <v/>
      </c>
      <c r="D37" s="197" t="str">
        <f>IF(Envoltória!D22="","",Envoltória!D22)</f>
        <v/>
      </c>
      <c r="E37" s="324">
        <f>Envoltória!AA22</f>
        <v>0</v>
      </c>
      <c r="F37" s="225"/>
      <c r="G37" s="324" t="str">
        <f>IF(C37="","",VLOOKUP(F37,Componentes!$P:$U,2,FALSE))</f>
        <v/>
      </c>
      <c r="H37" s="324" t="str">
        <f>IF(F37="","",VLOOKUP(F37,Componentes!$P:$U,3,FALSE))</f>
        <v/>
      </c>
      <c r="I37" s="197" t="str">
        <f>IF(F37="","",VLOOKUP(F37,Componentes!$P:$U,4,FALSE))</f>
        <v/>
      </c>
      <c r="J37" s="197" t="str">
        <f>IF(F37="","",VLOOKUP(F37,Componentes!$P:$U,6,FALSE))</f>
        <v/>
      </c>
      <c r="K37" s="197" t="str">
        <f>IF(F37="","",IF(I37&lt;&gt;"SPLV",VLOOKUP(F37,Componentes!$P:$U,5,FALSE),""))</f>
        <v/>
      </c>
      <c r="L37" s="191" t="str">
        <f t="shared" si="1"/>
        <v/>
      </c>
      <c r="M37" s="197" t="str">
        <f>IF(OR(I37="SPLV",I37="k"),VLOOKUP(F37,Componentes!$P:$U,5,FALSE),"")</f>
        <v/>
      </c>
      <c r="N37" s="192" t="str">
        <f t="shared" si="0"/>
        <v/>
      </c>
      <c r="O37" s="193"/>
      <c r="P37" t="str">
        <f>IF(Envoltória!D22="","",J37*VLOOKUP(Envoltória!H22,Aux_Lista!$A$1:$K$9,10,FALSE)*VLOOKUP(Envoltória!H22,Aux_Lista!$A$1:$K$9,11,FALSE)/1000)</f>
        <v/>
      </c>
      <c r="Q37" s="249"/>
      <c r="R37" s="99"/>
      <c r="S37" s="98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51"/>
      <c r="AE37" s="251"/>
      <c r="AF37" s="251"/>
      <c r="AG37" s="251"/>
      <c r="AH37" s="251"/>
      <c r="AI37" s="251"/>
      <c r="AJ37" s="251"/>
      <c r="AK37" s="252" t="str">
        <f t="shared" si="2"/>
        <v/>
      </c>
      <c r="AL37" s="342">
        <f t="shared" si="3"/>
        <v>0</v>
      </c>
    </row>
    <row r="38" spans="1:38" x14ac:dyDescent="0.25">
      <c r="A38" s="162">
        <v>8</v>
      </c>
      <c r="B38" s="225"/>
      <c r="C38" s="197" t="str">
        <f>IF(Envoltória!C23="","",Envoltória!C23)</f>
        <v/>
      </c>
      <c r="D38" s="197" t="str">
        <f>IF(Envoltória!D23="","",Envoltória!D23)</f>
        <v/>
      </c>
      <c r="E38" s="324">
        <f>Envoltória!AA23</f>
        <v>0</v>
      </c>
      <c r="F38" s="225"/>
      <c r="G38" s="324" t="str">
        <f>IF(C38="","",VLOOKUP(F38,Componentes!$P:$U,2,FALSE))</f>
        <v/>
      </c>
      <c r="H38" s="324" t="str">
        <f>IF(F38="","",VLOOKUP(F38,Componentes!$P:$U,3,FALSE))</f>
        <v/>
      </c>
      <c r="I38" s="197" t="str">
        <f>IF(F38="","",VLOOKUP(F38,Componentes!$P:$U,4,FALSE))</f>
        <v/>
      </c>
      <c r="J38" s="197" t="str">
        <f>IF(F38="","",VLOOKUP(F38,Componentes!$P:$U,6,FALSE))</f>
        <v/>
      </c>
      <c r="K38" s="197" t="str">
        <f>IF(F38="","",IF(I38&lt;&gt;"SPLV",VLOOKUP(F38,Componentes!$P:$U,5,FALSE),""))</f>
        <v/>
      </c>
      <c r="L38" s="191" t="str">
        <f t="shared" si="1"/>
        <v/>
      </c>
      <c r="M38" s="197" t="str">
        <f>IF(OR(I38="SPLV",I38="k"),VLOOKUP(F38,Componentes!$P:$U,5,FALSE),"")</f>
        <v/>
      </c>
      <c r="N38" s="192" t="str">
        <f t="shared" si="0"/>
        <v/>
      </c>
      <c r="O38" s="193"/>
      <c r="P38" t="str">
        <f>IF(Envoltória!D23="","",J38*VLOOKUP(Envoltória!H23,Aux_Lista!$A$1:$K$9,10,FALSE)*VLOOKUP(Envoltória!H23,Aux_Lista!$A$1:$K$9,11,FALSE)/1000)</f>
        <v/>
      </c>
      <c r="Q38" s="249"/>
      <c r="R38" s="99"/>
      <c r="S38" s="98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2" t="str">
        <f t="shared" si="2"/>
        <v/>
      </c>
      <c r="AL38" s="342">
        <f t="shared" si="3"/>
        <v>0</v>
      </c>
    </row>
    <row r="39" spans="1:38" x14ac:dyDescent="0.25">
      <c r="A39" s="162">
        <v>9</v>
      </c>
      <c r="B39" s="225"/>
      <c r="C39" s="197" t="str">
        <f>IF(Envoltória!C24="","",Envoltória!C24)</f>
        <v/>
      </c>
      <c r="D39" s="197" t="str">
        <f>IF(Envoltória!D24="","",Envoltória!D24)</f>
        <v/>
      </c>
      <c r="E39" s="324">
        <f>Envoltória!AA24</f>
        <v>0</v>
      </c>
      <c r="F39" s="225"/>
      <c r="G39" s="324" t="str">
        <f>IF(C39="","",VLOOKUP(F39,Componentes!$P:$U,2,FALSE))</f>
        <v/>
      </c>
      <c r="H39" s="324" t="str">
        <f>IF(F39="","",VLOOKUP(F39,Componentes!$P:$U,3,FALSE))</f>
        <v/>
      </c>
      <c r="I39" s="197" t="str">
        <f>IF(F39="","",VLOOKUP(F39,Componentes!$P:$U,4,FALSE))</f>
        <v/>
      </c>
      <c r="J39" s="197" t="str">
        <f>IF(F39="","",VLOOKUP(F39,Componentes!$P:$U,6,FALSE))</f>
        <v/>
      </c>
      <c r="K39" s="197" t="str">
        <f>IF(F39="","",IF(I39&lt;&gt;"SPLV",VLOOKUP(F39,Componentes!$P:$U,5,FALSE),""))</f>
        <v/>
      </c>
      <c r="L39" s="191" t="str">
        <f t="shared" si="1"/>
        <v/>
      </c>
      <c r="M39" s="197" t="str">
        <f>IF(OR(I39="SPLV",I39="k"),VLOOKUP(F39,Componentes!$P:$U,5,FALSE),"")</f>
        <v/>
      </c>
      <c r="N39" s="192" t="str">
        <f t="shared" si="0"/>
        <v/>
      </c>
      <c r="O39" s="193"/>
      <c r="P39" t="str">
        <f>IF(Envoltória!D24="","",J39*VLOOKUP(Envoltória!H24,Aux_Lista!$A$1:$K$9,10,FALSE)*VLOOKUP(Envoltória!H24,Aux_Lista!$A$1:$K$9,11,FALSE)/1000)</f>
        <v/>
      </c>
      <c r="Q39" s="249"/>
      <c r="R39" s="99"/>
      <c r="S39" s="98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1"/>
      <c r="AG39" s="251"/>
      <c r="AH39" s="251"/>
      <c r="AI39" s="251"/>
      <c r="AJ39" s="251"/>
      <c r="AK39" s="252" t="str">
        <f t="shared" si="2"/>
        <v/>
      </c>
      <c r="AL39" s="342">
        <f t="shared" si="3"/>
        <v>0</v>
      </c>
    </row>
    <row r="40" spans="1:38" x14ac:dyDescent="0.25">
      <c r="A40" s="162">
        <v>10</v>
      </c>
      <c r="B40" s="225"/>
      <c r="C40" s="197" t="str">
        <f>IF(Envoltória!C25="","",Envoltória!C25)</f>
        <v/>
      </c>
      <c r="D40" s="197" t="str">
        <f>IF(Envoltória!D25="","",Envoltória!D25)</f>
        <v/>
      </c>
      <c r="E40" s="324">
        <f>Envoltória!AA25</f>
        <v>0</v>
      </c>
      <c r="F40" s="225"/>
      <c r="G40" s="324" t="str">
        <f>IF(C40="","",VLOOKUP(F40,Componentes!$P:$U,2,FALSE))</f>
        <v/>
      </c>
      <c r="H40" s="324" t="str">
        <f>IF(F40="","",VLOOKUP(F40,Componentes!$P:$U,3,FALSE))</f>
        <v/>
      </c>
      <c r="I40" s="197" t="str">
        <f>IF(F40="","",VLOOKUP(F40,Componentes!$P:$U,4,FALSE))</f>
        <v/>
      </c>
      <c r="J40" s="197" t="str">
        <f>IF(F40="","",VLOOKUP(F40,Componentes!$P:$U,6,FALSE))</f>
        <v/>
      </c>
      <c r="K40" s="197" t="str">
        <f>IF(F40="","",IF(I40&lt;&gt;"SPLV",VLOOKUP(F40,Componentes!$P:$U,5,FALSE),""))</f>
        <v/>
      </c>
      <c r="L40" s="191" t="str">
        <f t="shared" si="1"/>
        <v/>
      </c>
      <c r="M40" s="197" t="str">
        <f>IF(OR(I40="SPLV",I40="k"),VLOOKUP(F40,Componentes!$P:$U,5,FALSE),"")</f>
        <v/>
      </c>
      <c r="N40" s="192" t="str">
        <f t="shared" si="0"/>
        <v/>
      </c>
      <c r="O40" s="193"/>
      <c r="P40" t="str">
        <f>IF(Envoltória!D25="","",J40*VLOOKUP(Envoltória!H25,Aux_Lista!$A$1:$K$9,10,FALSE)*VLOOKUP(Envoltória!H25,Aux_Lista!$A$1:$K$9,11,FALSE)/1000)</f>
        <v/>
      </c>
      <c r="Q40" s="249"/>
      <c r="R40" s="99"/>
      <c r="S40" s="98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1"/>
      <c r="AG40" s="251"/>
      <c r="AH40" s="251"/>
      <c r="AI40" s="251"/>
      <c r="AJ40" s="251"/>
      <c r="AK40" s="252" t="str">
        <f t="shared" si="2"/>
        <v/>
      </c>
      <c r="AL40" s="342">
        <f t="shared" si="3"/>
        <v>0</v>
      </c>
    </row>
    <row r="41" spans="1:38" x14ac:dyDescent="0.25">
      <c r="A41" s="162">
        <v>11</v>
      </c>
      <c r="B41" s="225"/>
      <c r="C41" s="197" t="str">
        <f>IF(Envoltória!C26="","",Envoltória!C26)</f>
        <v/>
      </c>
      <c r="D41" s="197" t="str">
        <f>IF(Envoltória!D26="","",Envoltória!D26)</f>
        <v/>
      </c>
      <c r="E41" s="324">
        <f>Envoltória!AA26</f>
        <v>0</v>
      </c>
      <c r="F41" s="225"/>
      <c r="G41" s="324" t="str">
        <f>IF(C41="","",VLOOKUP(F41,Componentes!$P:$U,2,FALSE))</f>
        <v/>
      </c>
      <c r="H41" s="324" t="str">
        <f>IF(F41="","",VLOOKUP(F41,Componentes!$P:$U,3,FALSE))</f>
        <v/>
      </c>
      <c r="I41" s="197" t="str">
        <f>IF(F41="","",VLOOKUP(F41,Componentes!$P:$U,4,FALSE))</f>
        <v/>
      </c>
      <c r="J41" s="197" t="str">
        <f>IF(F41="","",VLOOKUP(F41,Componentes!$P:$U,6,FALSE))</f>
        <v/>
      </c>
      <c r="K41" s="197" t="str">
        <f>IF(F41="","",IF(I41&lt;&gt;"SPLV",VLOOKUP(F41,Componentes!$P:$U,5,FALSE),""))</f>
        <v/>
      </c>
      <c r="L41" s="191" t="str">
        <f t="shared" si="1"/>
        <v/>
      </c>
      <c r="M41" s="197" t="str">
        <f>IF(OR(I41="SPLV",I41="k"),VLOOKUP(F41,Componentes!$P:$U,5,FALSE),"")</f>
        <v/>
      </c>
      <c r="N41" s="192" t="str">
        <f t="shared" si="0"/>
        <v/>
      </c>
      <c r="O41" s="193"/>
      <c r="P41" t="str">
        <f>IF(Envoltória!D26="","",J41*VLOOKUP(Envoltória!H26,Aux_Lista!$A$1:$K$9,10,FALSE)*VLOOKUP(Envoltória!H26,Aux_Lista!$A$1:$K$9,11,FALSE)/1000)</f>
        <v/>
      </c>
      <c r="Q41" s="249"/>
      <c r="R41" s="99"/>
      <c r="S41" s="98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51"/>
      <c r="AE41" s="251"/>
      <c r="AF41" s="251"/>
      <c r="AG41" s="251"/>
      <c r="AH41" s="251"/>
      <c r="AI41" s="251"/>
      <c r="AJ41" s="251"/>
      <c r="AK41" s="252" t="str">
        <f t="shared" si="2"/>
        <v/>
      </c>
      <c r="AL41" s="342">
        <f t="shared" si="3"/>
        <v>0</v>
      </c>
    </row>
    <row r="42" spans="1:38" x14ac:dyDescent="0.25">
      <c r="A42" s="162">
        <v>12</v>
      </c>
      <c r="B42" s="225"/>
      <c r="C42" s="197" t="str">
        <f>IF(Envoltória!C27="","",Envoltória!C27)</f>
        <v/>
      </c>
      <c r="D42" s="197" t="str">
        <f>IF(Envoltória!D27="","",Envoltória!D27)</f>
        <v/>
      </c>
      <c r="E42" s="324">
        <f>Envoltória!AA27</f>
        <v>0</v>
      </c>
      <c r="F42" s="225"/>
      <c r="G42" s="324" t="str">
        <f>IF(C42="","",VLOOKUP(F42,Componentes!$P:$U,2,FALSE))</f>
        <v/>
      </c>
      <c r="H42" s="324" t="str">
        <f>IF(F42="","",VLOOKUP(F42,Componentes!$P:$U,3,FALSE))</f>
        <v/>
      </c>
      <c r="I42" s="197" t="str">
        <f>IF(F42="","",VLOOKUP(F42,Componentes!$P:$U,4,FALSE))</f>
        <v/>
      </c>
      <c r="J42" s="197" t="str">
        <f>IF(F42="","",VLOOKUP(F42,Componentes!$P:$U,6,FALSE))</f>
        <v/>
      </c>
      <c r="K42" s="197" t="str">
        <f>IF(F42="","",IF(I42&lt;&gt;"SPLV",VLOOKUP(F42,Componentes!$P:$U,5,FALSE),""))</f>
        <v/>
      </c>
      <c r="L42" s="191" t="str">
        <f t="shared" si="1"/>
        <v/>
      </c>
      <c r="M42" s="197" t="str">
        <f>IF(OR(I42="SPLV",I42="k"),VLOOKUP(F42,Componentes!$P:$U,5,FALSE),"")</f>
        <v/>
      </c>
      <c r="N42" s="192" t="str">
        <f t="shared" si="0"/>
        <v/>
      </c>
      <c r="O42" s="193"/>
      <c r="P42" t="str">
        <f>IF(Envoltória!D27="","",J42*VLOOKUP(Envoltória!H27,Aux_Lista!$A$1:$K$9,10,FALSE)*VLOOKUP(Envoltória!H27,Aux_Lista!$A$1:$K$9,11,FALSE)/1000)</f>
        <v/>
      </c>
      <c r="Q42" s="249"/>
      <c r="R42" s="99"/>
      <c r="S42" s="98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51"/>
      <c r="AE42" s="251"/>
      <c r="AF42" s="251"/>
      <c r="AG42" s="251"/>
      <c r="AH42" s="251"/>
      <c r="AI42" s="251"/>
      <c r="AJ42" s="251"/>
      <c r="AK42" s="252" t="str">
        <f t="shared" si="2"/>
        <v/>
      </c>
      <c r="AL42" s="342">
        <f t="shared" si="3"/>
        <v>0</v>
      </c>
    </row>
    <row r="43" spans="1:38" x14ac:dyDescent="0.25">
      <c r="A43" s="162">
        <v>13</v>
      </c>
      <c r="B43" s="225"/>
      <c r="C43" s="197" t="str">
        <f>IF(Envoltória!C28="","",Envoltória!C28)</f>
        <v/>
      </c>
      <c r="D43" s="197" t="str">
        <f>IF(Envoltória!D28="","",Envoltória!D28)</f>
        <v/>
      </c>
      <c r="E43" s="324">
        <f>Envoltória!AA28</f>
        <v>0</v>
      </c>
      <c r="F43" s="225"/>
      <c r="G43" s="324" t="str">
        <f>IF(C43="","",VLOOKUP(F43,Componentes!$P:$U,2,FALSE))</f>
        <v/>
      </c>
      <c r="H43" s="324" t="str">
        <f>IF(F43="","",VLOOKUP(F43,Componentes!$P:$U,3,FALSE))</f>
        <v/>
      </c>
      <c r="I43" s="197" t="str">
        <f>IF(F43="","",VLOOKUP(F43,Componentes!$P:$U,4,FALSE))</f>
        <v/>
      </c>
      <c r="J43" s="197" t="str">
        <f>IF(F43="","",VLOOKUP(F43,Componentes!$P:$U,6,FALSE))</f>
        <v/>
      </c>
      <c r="K43" s="197" t="str">
        <f>IF(F43="","",IF(I43&lt;&gt;"SPLV",VLOOKUP(F43,Componentes!$P:$U,5,FALSE),""))</f>
        <v/>
      </c>
      <c r="L43" s="191" t="str">
        <f t="shared" si="1"/>
        <v/>
      </c>
      <c r="M43" s="197" t="str">
        <f>IF(OR(I43="SPLV",I43="k"),VLOOKUP(F43,Componentes!$P:$U,5,FALSE),"")</f>
        <v/>
      </c>
      <c r="N43" s="192" t="str">
        <f t="shared" si="0"/>
        <v/>
      </c>
      <c r="O43" s="193"/>
      <c r="P43" t="str">
        <f>IF(Envoltória!D28="","",J43*VLOOKUP(Envoltória!H28,Aux_Lista!$A$1:$K$9,10,FALSE)*VLOOKUP(Envoltória!H28,Aux_Lista!$A$1:$K$9,11,FALSE)/1000)</f>
        <v/>
      </c>
      <c r="Q43" s="249"/>
      <c r="R43" s="99"/>
      <c r="S43" s="98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  <c r="AE43" s="251"/>
      <c r="AF43" s="251"/>
      <c r="AG43" s="251"/>
      <c r="AH43" s="251"/>
      <c r="AI43" s="251"/>
      <c r="AJ43" s="251"/>
      <c r="AK43" s="252" t="str">
        <f t="shared" si="2"/>
        <v/>
      </c>
      <c r="AL43" s="342">
        <f t="shared" si="3"/>
        <v>0</v>
      </c>
    </row>
    <row r="44" spans="1:38" x14ac:dyDescent="0.25">
      <c r="A44" s="162">
        <v>14</v>
      </c>
      <c r="B44" s="225"/>
      <c r="C44" s="197" t="str">
        <f>IF(Envoltória!C29="","",Envoltória!C29)</f>
        <v/>
      </c>
      <c r="D44" s="197" t="str">
        <f>IF(Envoltória!D29="","",Envoltória!D29)</f>
        <v/>
      </c>
      <c r="E44" s="324">
        <f>Envoltória!AA29</f>
        <v>0</v>
      </c>
      <c r="F44" s="225"/>
      <c r="G44" s="324" t="str">
        <f>IF(C44="","",VLOOKUP(F44,Componentes!$P:$U,2,FALSE))</f>
        <v/>
      </c>
      <c r="H44" s="324" t="str">
        <f>IF(F44="","",VLOOKUP(F44,Componentes!$P:$U,3,FALSE))</f>
        <v/>
      </c>
      <c r="I44" s="197" t="str">
        <f>IF(F44="","",VLOOKUP(F44,Componentes!$P:$U,4,FALSE))</f>
        <v/>
      </c>
      <c r="J44" s="197" t="str">
        <f>IF(F44="","",VLOOKUP(F44,Componentes!$P:$U,6,FALSE))</f>
        <v/>
      </c>
      <c r="K44" s="197" t="str">
        <f>IF(F44="","",IF(I44&lt;&gt;"SPLV",VLOOKUP(F44,Componentes!$P:$U,5,FALSE),""))</f>
        <v/>
      </c>
      <c r="L44" s="191" t="str">
        <f t="shared" si="1"/>
        <v/>
      </c>
      <c r="M44" s="197" t="str">
        <f>IF(OR(I44="SPLV",I44="k"),VLOOKUP(F44,Componentes!$P:$U,5,FALSE),"")</f>
        <v/>
      </c>
      <c r="N44" s="192" t="str">
        <f t="shared" si="0"/>
        <v/>
      </c>
      <c r="O44" s="193"/>
      <c r="P44" t="str">
        <f>IF(Envoltória!D29="","",J44*VLOOKUP(Envoltória!H29,Aux_Lista!$A$1:$K$9,10,FALSE)*VLOOKUP(Envoltória!H29,Aux_Lista!$A$1:$K$9,11,FALSE)/1000)</f>
        <v/>
      </c>
      <c r="Q44" s="249"/>
      <c r="R44" s="99"/>
      <c r="S44" s="98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1"/>
      <c r="AG44" s="251"/>
      <c r="AH44" s="251"/>
      <c r="AI44" s="251"/>
      <c r="AJ44" s="251"/>
      <c r="AK44" s="252" t="str">
        <f t="shared" si="2"/>
        <v/>
      </c>
      <c r="AL44" s="342">
        <f t="shared" si="3"/>
        <v>0</v>
      </c>
    </row>
    <row r="45" spans="1:38" x14ac:dyDescent="0.25">
      <c r="A45" s="162">
        <v>15</v>
      </c>
      <c r="B45" s="225"/>
      <c r="C45" s="197" t="str">
        <f>IF(Envoltória!C30="","",Envoltória!C30)</f>
        <v/>
      </c>
      <c r="D45" s="197" t="str">
        <f>IF(Envoltória!D30="","",Envoltória!D30)</f>
        <v/>
      </c>
      <c r="E45" s="324">
        <f>Envoltória!AA30</f>
        <v>0</v>
      </c>
      <c r="F45" s="225"/>
      <c r="G45" s="324" t="str">
        <f>IF(C45="","",VLOOKUP(F45,Componentes!$P:$U,2,FALSE))</f>
        <v/>
      </c>
      <c r="H45" s="324" t="str">
        <f>IF(F45="","",VLOOKUP(F45,Componentes!$P:$U,3,FALSE))</f>
        <v/>
      </c>
      <c r="I45" s="197" t="str">
        <f>IF(F45="","",VLOOKUP(F45,Componentes!$P:$U,4,FALSE))</f>
        <v/>
      </c>
      <c r="J45" s="197" t="str">
        <f>IF(F45="","",VLOOKUP(F45,Componentes!$P:$U,6,FALSE))</f>
        <v/>
      </c>
      <c r="K45" s="197" t="str">
        <f>IF(F45="","",IF(I45&lt;&gt;"SPLV",VLOOKUP(F45,Componentes!$P:$U,5,FALSE),""))</f>
        <v/>
      </c>
      <c r="L45" s="191" t="str">
        <f t="shared" si="1"/>
        <v/>
      </c>
      <c r="M45" s="197" t="str">
        <f>IF(OR(I45="SPLV",I45="k"),VLOOKUP(F45,Componentes!$P:$U,5,FALSE),"")</f>
        <v/>
      </c>
      <c r="N45" s="192" t="str">
        <f t="shared" si="0"/>
        <v/>
      </c>
      <c r="O45" s="193"/>
      <c r="P45" t="str">
        <f>IF(Envoltória!D30="","",J45*VLOOKUP(Envoltória!H30,Aux_Lista!$A$1:$K$9,10,FALSE)*VLOOKUP(Envoltória!H30,Aux_Lista!$A$1:$K$9,11,FALSE)/1000)</f>
        <v/>
      </c>
      <c r="Q45" s="249"/>
      <c r="R45" s="99"/>
      <c r="S45" s="98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51"/>
      <c r="AE45" s="251"/>
      <c r="AF45" s="251"/>
      <c r="AG45" s="251"/>
      <c r="AH45" s="251"/>
      <c r="AI45" s="251"/>
      <c r="AJ45" s="251"/>
      <c r="AK45" s="252" t="str">
        <f t="shared" si="2"/>
        <v/>
      </c>
      <c r="AL45" s="342">
        <f t="shared" si="3"/>
        <v>0</v>
      </c>
    </row>
    <row r="46" spans="1:38" x14ac:dyDescent="0.25">
      <c r="A46" s="162">
        <v>16</v>
      </c>
      <c r="B46" s="225"/>
      <c r="C46" s="197" t="str">
        <f>IF(Envoltória!C31="","",Envoltória!C31)</f>
        <v/>
      </c>
      <c r="D46" s="197" t="str">
        <f>IF(Envoltória!D31="","",Envoltória!D31)</f>
        <v/>
      </c>
      <c r="E46" s="324">
        <f>Envoltória!AA31</f>
        <v>0</v>
      </c>
      <c r="F46" s="225"/>
      <c r="G46" s="324" t="str">
        <f>IF(C46="","",VLOOKUP(F46,Componentes!$P:$U,2,FALSE))</f>
        <v/>
      </c>
      <c r="H46" s="324" t="str">
        <f>IF(F46="","",VLOOKUP(F46,Componentes!$P:$U,3,FALSE))</f>
        <v/>
      </c>
      <c r="I46" s="197" t="str">
        <f>IF(F46="","",VLOOKUP(F46,Componentes!$P:$U,4,FALSE))</f>
        <v/>
      </c>
      <c r="J46" s="197" t="str">
        <f>IF(F46="","",VLOOKUP(F46,Componentes!$P:$U,6,FALSE))</f>
        <v/>
      </c>
      <c r="K46" s="197" t="str">
        <f>IF(F46="","",IF(I46&lt;&gt;"SPLV",VLOOKUP(F46,Componentes!$P:$U,5,FALSE),""))</f>
        <v/>
      </c>
      <c r="L46" s="191" t="str">
        <f t="shared" si="1"/>
        <v/>
      </c>
      <c r="M46" s="197" t="str">
        <f>IF(OR(I46="SPLV",I46="k"),VLOOKUP(F46,Componentes!$P:$U,5,FALSE),"")</f>
        <v/>
      </c>
      <c r="N46" s="192" t="str">
        <f t="shared" si="0"/>
        <v/>
      </c>
      <c r="O46" s="193"/>
      <c r="P46" t="str">
        <f>IF(Envoltória!D31="","",J46*VLOOKUP(Envoltória!H31,Aux_Lista!$A$1:$K$9,10,FALSE)*VLOOKUP(Envoltória!H31,Aux_Lista!$A$1:$K$9,11,FALSE)/1000)</f>
        <v/>
      </c>
      <c r="Q46" s="249"/>
      <c r="R46" s="99"/>
      <c r="S46" s="98"/>
      <c r="T46" s="251"/>
      <c r="U46" s="251"/>
      <c r="V46" s="251"/>
      <c r="W46" s="251"/>
      <c r="X46" s="251"/>
      <c r="Y46" s="251"/>
      <c r="Z46" s="251"/>
      <c r="AA46" s="251"/>
      <c r="AB46" s="251"/>
      <c r="AC46" s="251"/>
      <c r="AD46" s="251"/>
      <c r="AE46" s="251"/>
      <c r="AF46" s="251"/>
      <c r="AG46" s="251"/>
      <c r="AH46" s="251"/>
      <c r="AI46" s="251"/>
      <c r="AJ46" s="251"/>
      <c r="AK46" s="252" t="str">
        <f t="shared" si="2"/>
        <v/>
      </c>
      <c r="AL46" s="342">
        <f t="shared" si="3"/>
        <v>0</v>
      </c>
    </row>
    <row r="47" spans="1:38" x14ac:dyDescent="0.25">
      <c r="A47" s="162">
        <v>17</v>
      </c>
      <c r="B47" s="225"/>
      <c r="C47" s="197" t="str">
        <f>IF(Envoltória!C32="","",Envoltória!C32)</f>
        <v/>
      </c>
      <c r="D47" s="197" t="str">
        <f>IF(Envoltória!D32="","",Envoltória!D32)</f>
        <v/>
      </c>
      <c r="E47" s="324">
        <f>Envoltória!AA32</f>
        <v>0</v>
      </c>
      <c r="F47" s="225"/>
      <c r="G47" s="324" t="str">
        <f>IF(C47="","",VLOOKUP(F47,Componentes!$P:$U,2,FALSE))</f>
        <v/>
      </c>
      <c r="H47" s="324" t="str">
        <f>IF(F47="","",VLOOKUP(F47,Componentes!$P:$U,3,FALSE))</f>
        <v/>
      </c>
      <c r="I47" s="197" t="str">
        <f>IF(F47="","",VLOOKUP(F47,Componentes!$P:$U,4,FALSE))</f>
        <v/>
      </c>
      <c r="J47" s="197" t="str">
        <f>IF(F47="","",VLOOKUP(F47,Componentes!$P:$U,6,FALSE))</f>
        <v/>
      </c>
      <c r="K47" s="197" t="str">
        <f>IF(F47="","",IF(I47&lt;&gt;"SPLV",VLOOKUP(F47,Componentes!$P:$U,5,FALSE),""))</f>
        <v/>
      </c>
      <c r="L47" s="191" t="str">
        <f t="shared" si="1"/>
        <v/>
      </c>
      <c r="M47" s="197" t="str">
        <f>IF(OR(I47="SPLV",I47="k"),VLOOKUP(F47,Componentes!$P:$U,5,FALSE),"")</f>
        <v/>
      </c>
      <c r="N47" s="192" t="str">
        <f t="shared" si="0"/>
        <v/>
      </c>
      <c r="O47" s="193"/>
      <c r="P47" t="str">
        <f>IF(Envoltória!D32="","",J47*VLOOKUP(Envoltória!H32,Aux_Lista!$A$1:$K$9,10,FALSE)*VLOOKUP(Envoltória!H32,Aux_Lista!$A$1:$K$9,11,FALSE)/1000)</f>
        <v/>
      </c>
      <c r="Q47" s="249"/>
      <c r="R47" s="99"/>
      <c r="S47" s="98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  <c r="AD47" s="251"/>
      <c r="AE47" s="251"/>
      <c r="AF47" s="251"/>
      <c r="AG47" s="251"/>
      <c r="AH47" s="251"/>
      <c r="AI47" s="251"/>
      <c r="AJ47" s="251"/>
      <c r="AK47" s="252" t="str">
        <f t="shared" si="2"/>
        <v/>
      </c>
      <c r="AL47" s="342">
        <f t="shared" si="3"/>
        <v>0</v>
      </c>
    </row>
    <row r="48" spans="1:38" x14ac:dyDescent="0.25">
      <c r="A48" s="162">
        <v>18</v>
      </c>
      <c r="B48" s="225"/>
      <c r="C48" s="197" t="str">
        <f>IF(Envoltória!C33="","",Envoltória!C33)</f>
        <v/>
      </c>
      <c r="D48" s="197" t="str">
        <f>IF(Envoltória!D33="","",Envoltória!D33)</f>
        <v/>
      </c>
      <c r="E48" s="324">
        <f>Envoltória!AA33</f>
        <v>0</v>
      </c>
      <c r="F48" s="225"/>
      <c r="G48" s="324" t="str">
        <f>IF(C48="","",VLOOKUP(F48,Componentes!$P:$U,2,FALSE))</f>
        <v/>
      </c>
      <c r="H48" s="324" t="str">
        <f>IF(F48="","",VLOOKUP(F48,Componentes!$P:$U,3,FALSE))</f>
        <v/>
      </c>
      <c r="I48" s="197" t="str">
        <f>IF(F48="","",VLOOKUP(F48,Componentes!$P:$U,4,FALSE))</f>
        <v/>
      </c>
      <c r="J48" s="197" t="str">
        <f>IF(F48="","",VLOOKUP(F48,Componentes!$P:$U,6,FALSE))</f>
        <v/>
      </c>
      <c r="K48" s="197" t="str">
        <f>IF(F48="","",IF(I48&lt;&gt;"SPLV",VLOOKUP(F48,Componentes!$P:$U,5,FALSE),""))</f>
        <v/>
      </c>
      <c r="L48" s="191" t="str">
        <f t="shared" si="1"/>
        <v/>
      </c>
      <c r="M48" s="197" t="str">
        <f>IF(OR(I48="SPLV",I48="k"),VLOOKUP(F48,Componentes!$P:$U,5,FALSE),"")</f>
        <v/>
      </c>
      <c r="N48" s="192" t="str">
        <f t="shared" si="0"/>
        <v/>
      </c>
      <c r="O48" s="193"/>
      <c r="P48" t="str">
        <f>IF(Envoltória!D33="","",J48*VLOOKUP(Envoltória!H33,Aux_Lista!$A$1:$K$9,10,FALSE)*VLOOKUP(Envoltória!H33,Aux_Lista!$A$1:$K$9,11,FALSE)/1000)</f>
        <v/>
      </c>
      <c r="Q48" s="249"/>
      <c r="R48" s="99"/>
      <c r="S48" s="98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  <c r="AD48" s="251"/>
      <c r="AE48" s="251"/>
      <c r="AF48" s="251"/>
      <c r="AG48" s="251"/>
      <c r="AH48" s="251"/>
      <c r="AI48" s="251"/>
      <c r="AJ48" s="251"/>
      <c r="AK48" s="252" t="str">
        <f t="shared" si="2"/>
        <v/>
      </c>
      <c r="AL48" s="342">
        <f t="shared" si="3"/>
        <v>0</v>
      </c>
    </row>
    <row r="49" spans="1:38" x14ac:dyDescent="0.25">
      <c r="A49" s="162">
        <v>19</v>
      </c>
      <c r="B49" s="225"/>
      <c r="C49" s="197" t="str">
        <f>IF(Envoltória!C34="","",Envoltória!C34)</f>
        <v/>
      </c>
      <c r="D49" s="197" t="str">
        <f>IF(Envoltória!D34="","",Envoltória!D34)</f>
        <v/>
      </c>
      <c r="E49" s="324">
        <f>Envoltória!AA34</f>
        <v>0</v>
      </c>
      <c r="F49" s="225"/>
      <c r="G49" s="324" t="str">
        <f>IF(C49="","",VLOOKUP(F49,Componentes!$P:$U,2,FALSE))</f>
        <v/>
      </c>
      <c r="H49" s="324" t="str">
        <f>IF(F49="","",VLOOKUP(F49,Componentes!$P:$U,3,FALSE))</f>
        <v/>
      </c>
      <c r="I49" s="197" t="str">
        <f>IF(F49="","",VLOOKUP(F49,Componentes!$P:$U,4,FALSE))</f>
        <v/>
      </c>
      <c r="J49" s="197" t="str">
        <f>IF(F49="","",VLOOKUP(F49,Componentes!$P:$U,6,FALSE))</f>
        <v/>
      </c>
      <c r="K49" s="197" t="str">
        <f>IF(F49="","",IF(I49&lt;&gt;"SPLV",VLOOKUP(F49,Componentes!$P:$U,5,FALSE),""))</f>
        <v/>
      </c>
      <c r="L49" s="191" t="str">
        <f t="shared" si="1"/>
        <v/>
      </c>
      <c r="M49" s="197" t="str">
        <f>IF(OR(I49="SPLV",I49="k"),VLOOKUP(F49,Componentes!$P:$U,5,FALSE),"")</f>
        <v/>
      </c>
      <c r="N49" s="192" t="str">
        <f t="shared" si="0"/>
        <v/>
      </c>
      <c r="O49" s="193"/>
      <c r="P49" t="str">
        <f>IF(Envoltória!D34="","",J49*VLOOKUP(Envoltória!H34,Aux_Lista!$A$1:$K$9,10,FALSE)*VLOOKUP(Envoltória!H34,Aux_Lista!$A$1:$K$9,11,FALSE)/1000)</f>
        <v/>
      </c>
      <c r="Q49" s="249"/>
      <c r="R49" s="99"/>
      <c r="S49" s="98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2" t="str">
        <f t="shared" si="2"/>
        <v/>
      </c>
      <c r="AL49" s="342">
        <f t="shared" si="3"/>
        <v>0</v>
      </c>
    </row>
    <row r="50" spans="1:38" x14ac:dyDescent="0.25">
      <c r="A50" s="162">
        <v>20</v>
      </c>
      <c r="B50" s="225"/>
      <c r="C50" s="197" t="str">
        <f>IF(Envoltória!C35="","",Envoltória!C35)</f>
        <v/>
      </c>
      <c r="D50" s="197" t="str">
        <f>IF(Envoltória!D35="","",Envoltória!D35)</f>
        <v/>
      </c>
      <c r="E50" s="324">
        <f>Envoltória!AA35</f>
        <v>0</v>
      </c>
      <c r="F50" s="225"/>
      <c r="G50" s="324" t="str">
        <f>IF(C50="","",VLOOKUP(F50,Componentes!$P:$U,2,FALSE))</f>
        <v/>
      </c>
      <c r="H50" s="324" t="str">
        <f>IF(F50="","",VLOOKUP(F50,Componentes!$P:$U,3,FALSE))</f>
        <v/>
      </c>
      <c r="I50" s="197" t="str">
        <f>IF(F50="","",VLOOKUP(F50,Componentes!$P:$U,4,FALSE))</f>
        <v/>
      </c>
      <c r="J50" s="197" t="str">
        <f>IF(F50="","",VLOOKUP(F50,Componentes!$P:$U,6,FALSE))</f>
        <v/>
      </c>
      <c r="K50" s="197" t="str">
        <f>IF(F50="","",IF(I50&lt;&gt;"SPLV",VLOOKUP(F50,Componentes!$P:$U,5,FALSE),""))</f>
        <v/>
      </c>
      <c r="L50" s="191" t="str">
        <f t="shared" si="1"/>
        <v/>
      </c>
      <c r="M50" s="197" t="str">
        <f>IF(OR(I50="SPLV",I50="k"),VLOOKUP(F50,Componentes!$P:$U,5,FALSE),"")</f>
        <v/>
      </c>
      <c r="N50" s="192" t="str">
        <f t="shared" si="0"/>
        <v/>
      </c>
      <c r="O50" s="193"/>
      <c r="P50" t="str">
        <f>IF(Envoltória!D35="","",J50*VLOOKUP(Envoltória!H35,Aux_Lista!$A$1:$K$9,10,FALSE)*VLOOKUP(Envoltória!H35,Aux_Lista!$A$1:$K$9,11,FALSE)/1000)</f>
        <v/>
      </c>
      <c r="Q50" s="249"/>
      <c r="R50" s="99"/>
      <c r="S50" s="98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  <c r="AE50" s="251"/>
      <c r="AF50" s="251"/>
      <c r="AG50" s="251"/>
      <c r="AH50" s="251"/>
      <c r="AI50" s="251"/>
      <c r="AJ50" s="251"/>
      <c r="AK50" s="252" t="str">
        <f t="shared" si="2"/>
        <v/>
      </c>
      <c r="AL50" s="342">
        <f t="shared" si="3"/>
        <v>0</v>
      </c>
    </row>
    <row r="51" spans="1:38" x14ac:dyDescent="0.25">
      <c r="A51" s="162">
        <v>21</v>
      </c>
      <c r="B51" s="225"/>
      <c r="C51" s="197" t="str">
        <f>IF(Envoltória!C36="","",Envoltória!C36)</f>
        <v/>
      </c>
      <c r="D51" s="197" t="str">
        <f>IF(Envoltória!D36="","",Envoltória!D36)</f>
        <v/>
      </c>
      <c r="E51" s="324">
        <f>Envoltória!AA36</f>
        <v>0</v>
      </c>
      <c r="F51" s="225"/>
      <c r="G51" s="324" t="str">
        <f>IF(C51="","",VLOOKUP(F51,Componentes!$P:$U,2,FALSE))</f>
        <v/>
      </c>
      <c r="H51" s="324" t="str">
        <f>IF(F51="","",VLOOKUP(F51,Componentes!$P:$U,3,FALSE))</f>
        <v/>
      </c>
      <c r="I51" s="197" t="str">
        <f>IF(F51="","",VLOOKUP(F51,Componentes!$P:$U,4,FALSE))</f>
        <v/>
      </c>
      <c r="J51" s="197" t="str">
        <f>IF(F51="","",VLOOKUP(F51,Componentes!$P:$U,6,FALSE))</f>
        <v/>
      </c>
      <c r="K51" s="197" t="str">
        <f>IF(F51="","",IF(I51&lt;&gt;"SPLV",VLOOKUP(F51,Componentes!$P:$U,5,FALSE),""))</f>
        <v/>
      </c>
      <c r="L51" s="191" t="str">
        <f t="shared" si="1"/>
        <v/>
      </c>
      <c r="M51" s="197" t="str">
        <f>IF(OR(I51="SPLV",I51="k"),VLOOKUP(F51,Componentes!$P:$U,5,FALSE),"")</f>
        <v/>
      </c>
      <c r="N51" s="192" t="str">
        <f t="shared" si="0"/>
        <v/>
      </c>
      <c r="O51" s="193"/>
      <c r="P51" t="str">
        <f>IF(Envoltória!D36="","",J51*VLOOKUP(Envoltória!H36,Aux_Lista!$A$1:$K$9,10,FALSE)*VLOOKUP(Envoltória!H36,Aux_Lista!$A$1:$K$9,11,FALSE)/1000)</f>
        <v/>
      </c>
      <c r="Q51" s="249"/>
      <c r="R51" s="99"/>
      <c r="S51" s="98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1"/>
      <c r="AG51" s="251"/>
      <c r="AH51" s="251"/>
      <c r="AI51" s="251"/>
      <c r="AJ51" s="251"/>
      <c r="AK51" s="252" t="str">
        <f t="shared" si="2"/>
        <v/>
      </c>
      <c r="AL51" s="342">
        <f t="shared" si="3"/>
        <v>0</v>
      </c>
    </row>
    <row r="52" spans="1:38" x14ac:dyDescent="0.25">
      <c r="A52" s="162">
        <v>22</v>
      </c>
      <c r="B52" s="225"/>
      <c r="C52" s="197" t="str">
        <f>IF(Envoltória!C37="","",Envoltória!C37)</f>
        <v/>
      </c>
      <c r="D52" s="197" t="str">
        <f>IF(Envoltória!D37="","",Envoltória!D37)</f>
        <v/>
      </c>
      <c r="E52" s="324">
        <f>Envoltória!AA37</f>
        <v>0</v>
      </c>
      <c r="F52" s="225"/>
      <c r="G52" s="324" t="str">
        <f>IF(C52="","",VLOOKUP(F52,Componentes!$P:$U,2,FALSE))</f>
        <v/>
      </c>
      <c r="H52" s="324" t="str">
        <f>IF(F52="","",VLOOKUP(F52,Componentes!$P:$U,3,FALSE))</f>
        <v/>
      </c>
      <c r="I52" s="197" t="str">
        <f>IF(F52="","",VLOOKUP(F52,Componentes!$P:$U,4,FALSE))</f>
        <v/>
      </c>
      <c r="J52" s="197" t="str">
        <f>IF(F52="","",VLOOKUP(F52,Componentes!$P:$U,6,FALSE))</f>
        <v/>
      </c>
      <c r="K52" s="197" t="str">
        <f>IF(F52="","",IF(I52&lt;&gt;"SPLV",VLOOKUP(F52,Componentes!$P:$U,5,FALSE),""))</f>
        <v/>
      </c>
      <c r="L52" s="191" t="str">
        <f t="shared" si="1"/>
        <v/>
      </c>
      <c r="M52" s="197" t="str">
        <f>IF(OR(I52="SPLV",I52="k"),VLOOKUP(F52,Componentes!$P:$U,5,FALSE),"")</f>
        <v/>
      </c>
      <c r="N52" s="192" t="str">
        <f t="shared" si="0"/>
        <v/>
      </c>
      <c r="O52" s="193"/>
      <c r="P52" t="str">
        <f>IF(Envoltória!D37="","",J52*VLOOKUP(Envoltória!H37,Aux_Lista!$A$1:$K$9,10,FALSE)*VLOOKUP(Envoltória!H37,Aux_Lista!$A$1:$K$9,11,FALSE)/1000)</f>
        <v/>
      </c>
      <c r="Q52" s="249"/>
      <c r="R52" s="99"/>
      <c r="S52" s="98"/>
      <c r="T52" s="251"/>
      <c r="U52" s="251"/>
      <c r="V52" s="251"/>
      <c r="W52" s="251"/>
      <c r="X52" s="251"/>
      <c r="Y52" s="251"/>
      <c r="Z52" s="251"/>
      <c r="AA52" s="251"/>
      <c r="AB52" s="251"/>
      <c r="AC52" s="251"/>
      <c r="AD52" s="251"/>
      <c r="AE52" s="251"/>
      <c r="AF52" s="251"/>
      <c r="AG52" s="251"/>
      <c r="AH52" s="251"/>
      <c r="AI52" s="251"/>
      <c r="AJ52" s="251"/>
      <c r="AK52" s="252" t="str">
        <f t="shared" si="2"/>
        <v/>
      </c>
      <c r="AL52" s="342">
        <f t="shared" si="3"/>
        <v>0</v>
      </c>
    </row>
    <row r="53" spans="1:38" x14ac:dyDescent="0.25">
      <c r="A53" s="162">
        <v>23</v>
      </c>
      <c r="B53" s="225"/>
      <c r="C53" s="197" t="str">
        <f>IF(Envoltória!C38="","",Envoltória!C38)</f>
        <v/>
      </c>
      <c r="D53" s="197" t="str">
        <f>IF(Envoltória!D38="","",Envoltória!D38)</f>
        <v/>
      </c>
      <c r="E53" s="324">
        <f>Envoltória!AA38</f>
        <v>0</v>
      </c>
      <c r="F53" s="225"/>
      <c r="G53" s="324" t="str">
        <f>IF(C53="","",VLOOKUP(F53,Componentes!$P:$U,2,FALSE))</f>
        <v/>
      </c>
      <c r="H53" s="324" t="str">
        <f>IF(F53="","",VLOOKUP(F53,Componentes!$P:$U,3,FALSE))</f>
        <v/>
      </c>
      <c r="I53" s="197" t="str">
        <f>IF(F53="","",VLOOKUP(F53,Componentes!$P:$U,4,FALSE))</f>
        <v/>
      </c>
      <c r="J53" s="197" t="str">
        <f>IF(F53="","",VLOOKUP(F53,Componentes!$P:$U,6,FALSE))</f>
        <v/>
      </c>
      <c r="K53" s="197" t="str">
        <f>IF(F53="","",IF(I53&lt;&gt;"SPLV",VLOOKUP(F53,Componentes!$P:$U,5,FALSE),""))</f>
        <v/>
      </c>
      <c r="L53" s="191" t="str">
        <f t="shared" si="1"/>
        <v/>
      </c>
      <c r="M53" s="197" t="str">
        <f>IF(OR(I53="SPLV",I53="k"),VLOOKUP(F53,Componentes!$P:$U,5,FALSE),"")</f>
        <v/>
      </c>
      <c r="N53" s="192" t="str">
        <f t="shared" si="0"/>
        <v/>
      </c>
      <c r="O53" s="193"/>
      <c r="P53" t="str">
        <f>IF(Envoltória!D38="","",J53*VLOOKUP(Envoltória!H38,Aux_Lista!$A$1:$K$9,10,FALSE)*VLOOKUP(Envoltória!H38,Aux_Lista!$A$1:$K$9,11,FALSE)/1000)</f>
        <v/>
      </c>
      <c r="Q53" s="249"/>
      <c r="R53" s="99"/>
      <c r="S53" s="98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  <c r="AD53" s="251"/>
      <c r="AE53" s="251"/>
      <c r="AF53" s="251"/>
      <c r="AG53" s="251"/>
      <c r="AH53" s="251"/>
      <c r="AI53" s="251"/>
      <c r="AJ53" s="251"/>
      <c r="AK53" s="252" t="str">
        <f t="shared" si="2"/>
        <v/>
      </c>
      <c r="AL53" s="342">
        <f t="shared" si="3"/>
        <v>0</v>
      </c>
    </row>
    <row r="54" spans="1:38" x14ac:dyDescent="0.25">
      <c r="A54" s="162">
        <v>24</v>
      </c>
      <c r="B54" s="225"/>
      <c r="C54" s="197" t="str">
        <f>IF(Envoltória!C39="","",Envoltória!C39)</f>
        <v/>
      </c>
      <c r="D54" s="197" t="str">
        <f>IF(Envoltória!D39="","",Envoltória!D39)</f>
        <v/>
      </c>
      <c r="E54" s="324">
        <f>Envoltória!AA39</f>
        <v>0</v>
      </c>
      <c r="F54" s="225"/>
      <c r="G54" s="324" t="str">
        <f>IF(C54="","",VLOOKUP(F54,Componentes!$P:$U,2,FALSE))</f>
        <v/>
      </c>
      <c r="H54" s="324" t="str">
        <f>IF(F54="","",VLOOKUP(F54,Componentes!$P:$U,3,FALSE))</f>
        <v/>
      </c>
      <c r="I54" s="197" t="str">
        <f>IF(F54="","",VLOOKUP(F54,Componentes!$P:$U,4,FALSE))</f>
        <v/>
      </c>
      <c r="J54" s="197" t="str">
        <f>IF(F54="","",VLOOKUP(F54,Componentes!$P:$U,6,FALSE))</f>
        <v/>
      </c>
      <c r="K54" s="197" t="str">
        <f>IF(F54="","",IF(I54&lt;&gt;"SPLV",VLOOKUP(F54,Componentes!$P:$U,5,FALSE),""))</f>
        <v/>
      </c>
      <c r="L54" s="191" t="str">
        <f t="shared" si="1"/>
        <v/>
      </c>
      <c r="M54" s="197" t="str">
        <f>IF(OR(I54="SPLV",I54="k"),VLOOKUP(F54,Componentes!$P:$U,5,FALSE),"")</f>
        <v/>
      </c>
      <c r="N54" s="192" t="str">
        <f t="shared" si="0"/>
        <v/>
      </c>
      <c r="O54" s="193"/>
      <c r="P54" t="str">
        <f>IF(Envoltória!D39="","",J54*VLOOKUP(Envoltória!H39,Aux_Lista!$A$1:$K$9,10,FALSE)*VLOOKUP(Envoltória!H39,Aux_Lista!$A$1:$K$9,11,FALSE)/1000)</f>
        <v/>
      </c>
      <c r="Q54" s="249"/>
      <c r="R54" s="99"/>
      <c r="S54" s="98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251"/>
      <c r="AG54" s="251"/>
      <c r="AH54" s="251"/>
      <c r="AI54" s="251"/>
      <c r="AJ54" s="251"/>
      <c r="AK54" s="252" t="str">
        <f t="shared" si="2"/>
        <v/>
      </c>
      <c r="AL54" s="342">
        <f t="shared" si="3"/>
        <v>0</v>
      </c>
    </row>
    <row r="55" spans="1:38" x14ac:dyDescent="0.25">
      <c r="A55" s="162">
        <v>25</v>
      </c>
      <c r="B55" s="225"/>
      <c r="C55" s="197" t="str">
        <f>IF(Envoltória!C40="","",Envoltória!C40)</f>
        <v/>
      </c>
      <c r="D55" s="197" t="str">
        <f>IF(Envoltória!D40="","",Envoltória!D40)</f>
        <v/>
      </c>
      <c r="E55" s="324">
        <f>Envoltória!AA40</f>
        <v>0</v>
      </c>
      <c r="F55" s="225"/>
      <c r="G55" s="324" t="str">
        <f>IF(C55="","",VLOOKUP(F55,Componentes!$P:$U,2,FALSE))</f>
        <v/>
      </c>
      <c r="H55" s="324" t="str">
        <f>IF(F55="","",VLOOKUP(F55,Componentes!$P:$U,3,FALSE))</f>
        <v/>
      </c>
      <c r="I55" s="197" t="str">
        <f>IF(F55="","",VLOOKUP(F55,Componentes!$P:$U,4,FALSE))</f>
        <v/>
      </c>
      <c r="J55" s="197" t="str">
        <f>IF(F55="","",VLOOKUP(F55,Componentes!$P:$U,6,FALSE))</f>
        <v/>
      </c>
      <c r="K55" s="197" t="str">
        <f>IF(F55="","",IF(I55&lt;&gt;"SPLV",VLOOKUP(F55,Componentes!$P:$U,5,FALSE),""))</f>
        <v/>
      </c>
      <c r="L55" s="191" t="str">
        <f t="shared" si="1"/>
        <v/>
      </c>
      <c r="M55" s="197" t="str">
        <f>IF(OR(I55="SPLV",I55="k"),VLOOKUP(F55,Componentes!$P:$U,5,FALSE),"")</f>
        <v/>
      </c>
      <c r="N55" s="192" t="str">
        <f t="shared" si="0"/>
        <v/>
      </c>
      <c r="O55" s="193"/>
      <c r="P55" t="str">
        <f>IF(Envoltória!D40="","",J55*VLOOKUP(Envoltória!H40,Aux_Lista!$A$1:$K$9,10,FALSE)*VLOOKUP(Envoltória!H40,Aux_Lista!$A$1:$K$9,11,FALSE)/1000)</f>
        <v/>
      </c>
      <c r="Q55" s="249"/>
      <c r="R55" s="99"/>
      <c r="S55" s="98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2" t="str">
        <f t="shared" si="2"/>
        <v/>
      </c>
      <c r="AL55" s="342">
        <f t="shared" si="3"/>
        <v>0</v>
      </c>
    </row>
    <row r="56" spans="1:38" x14ac:dyDescent="0.25">
      <c r="A56" s="162">
        <v>26</v>
      </c>
      <c r="B56" s="225"/>
      <c r="C56" s="197" t="str">
        <f>IF(Envoltória!C41="","",Envoltória!C41)</f>
        <v/>
      </c>
      <c r="D56" s="197" t="str">
        <f>IF(Envoltória!D41="","",Envoltória!D41)</f>
        <v/>
      </c>
      <c r="E56" s="324">
        <f>Envoltória!AA41</f>
        <v>0</v>
      </c>
      <c r="F56" s="225"/>
      <c r="G56" s="324" t="str">
        <f>IF(C56="","",VLOOKUP(F56,Componentes!$P:$U,2,FALSE))</f>
        <v/>
      </c>
      <c r="H56" s="324" t="str">
        <f>IF(F56="","",VLOOKUP(F56,Componentes!$P:$U,3,FALSE))</f>
        <v/>
      </c>
      <c r="I56" s="197" t="str">
        <f>IF(F56="","",VLOOKUP(F56,Componentes!$P:$U,4,FALSE))</f>
        <v/>
      </c>
      <c r="J56" s="197" t="str">
        <f>IF(F56="","",VLOOKUP(F56,Componentes!$P:$U,6,FALSE))</f>
        <v/>
      </c>
      <c r="K56" s="197" t="str">
        <f>IF(F56="","",IF(I56&lt;&gt;"SPLV",VLOOKUP(F56,Componentes!$P:$U,5,FALSE),""))</f>
        <v/>
      </c>
      <c r="L56" s="191" t="str">
        <f t="shared" si="1"/>
        <v/>
      </c>
      <c r="M56" s="197" t="str">
        <f>IF(OR(I56="SPLV",I56="k"),VLOOKUP(F56,Componentes!$P:$U,5,FALSE),"")</f>
        <v/>
      </c>
      <c r="N56" s="192" t="str">
        <f t="shared" si="0"/>
        <v/>
      </c>
      <c r="O56" s="193"/>
      <c r="P56" t="str">
        <f>IF(Envoltória!D41="","",J56*VLOOKUP(Envoltória!H41,Aux_Lista!$A$1:$K$9,10,FALSE)*VLOOKUP(Envoltória!H41,Aux_Lista!$A$1:$K$9,11,FALSE)/1000)</f>
        <v/>
      </c>
      <c r="Q56" s="249"/>
      <c r="R56" s="99"/>
      <c r="S56" s="98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2" t="str">
        <f t="shared" si="2"/>
        <v/>
      </c>
      <c r="AL56" s="342">
        <f t="shared" si="3"/>
        <v>0</v>
      </c>
    </row>
    <row r="57" spans="1:38" x14ac:dyDescent="0.25">
      <c r="A57" s="162">
        <v>27</v>
      </c>
      <c r="B57" s="225"/>
      <c r="C57" s="197" t="str">
        <f>IF(Envoltória!C42="","",Envoltória!C42)</f>
        <v/>
      </c>
      <c r="D57" s="197" t="str">
        <f>IF(Envoltória!D42="","",Envoltória!D42)</f>
        <v/>
      </c>
      <c r="E57" s="324">
        <f>Envoltória!AA42</f>
        <v>0</v>
      </c>
      <c r="F57" s="225"/>
      <c r="G57" s="324" t="str">
        <f>IF(C57="","",VLOOKUP(F57,Componentes!$P:$U,2,FALSE))</f>
        <v/>
      </c>
      <c r="H57" s="324" t="str">
        <f>IF(F57="","",VLOOKUP(F57,Componentes!$P:$U,3,FALSE))</f>
        <v/>
      </c>
      <c r="I57" s="197" t="str">
        <f>IF(F57="","",VLOOKUP(F57,Componentes!$P:$U,4,FALSE))</f>
        <v/>
      </c>
      <c r="J57" s="197" t="str">
        <f>IF(F57="","",VLOOKUP(F57,Componentes!$P:$U,6,FALSE))</f>
        <v/>
      </c>
      <c r="K57" s="197" t="str">
        <f>IF(F57="","",IF(I57&lt;&gt;"SPLV",VLOOKUP(F57,Componentes!$P:$U,5,FALSE),""))</f>
        <v/>
      </c>
      <c r="L57" s="191" t="str">
        <f t="shared" si="1"/>
        <v/>
      </c>
      <c r="M57" s="197" t="str">
        <f>IF(OR(I57="SPLV",I57="k"),VLOOKUP(F57,Componentes!$P:$U,5,FALSE),"")</f>
        <v/>
      </c>
      <c r="N57" s="192" t="str">
        <f t="shared" si="0"/>
        <v/>
      </c>
      <c r="O57" s="193"/>
      <c r="P57" t="str">
        <f>IF(Envoltória!D42="","",J57*VLOOKUP(Envoltória!H42,Aux_Lista!$A$1:$K$9,10,FALSE)*VLOOKUP(Envoltória!H42,Aux_Lista!$A$1:$K$9,11,FALSE)/1000)</f>
        <v/>
      </c>
      <c r="Q57" s="249"/>
      <c r="R57" s="99"/>
      <c r="S57" s="98"/>
      <c r="T57" s="251"/>
      <c r="U57" s="251"/>
      <c r="V57" s="251"/>
      <c r="W57" s="251"/>
      <c r="X57" s="251"/>
      <c r="Y57" s="251"/>
      <c r="Z57" s="251"/>
      <c r="AA57" s="25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2" t="str">
        <f t="shared" si="2"/>
        <v/>
      </c>
      <c r="AL57" s="342">
        <f t="shared" si="3"/>
        <v>0</v>
      </c>
    </row>
    <row r="58" spans="1:38" x14ac:dyDescent="0.25">
      <c r="A58" s="162">
        <v>28</v>
      </c>
      <c r="B58" s="225"/>
      <c r="C58" s="197" t="str">
        <f>IF(Envoltória!C43="","",Envoltória!C43)</f>
        <v/>
      </c>
      <c r="D58" s="197" t="str">
        <f>IF(Envoltória!D43="","",Envoltória!D43)</f>
        <v/>
      </c>
      <c r="E58" s="324">
        <f>Envoltória!AA43</f>
        <v>0</v>
      </c>
      <c r="F58" s="225"/>
      <c r="G58" s="324" t="str">
        <f>IF(C58="","",VLOOKUP(F58,Componentes!$P:$U,2,FALSE))</f>
        <v/>
      </c>
      <c r="H58" s="324" t="str">
        <f>IF(F58="","",VLOOKUP(F58,Componentes!$P:$U,3,FALSE))</f>
        <v/>
      </c>
      <c r="I58" s="197" t="str">
        <f>IF(F58="","",VLOOKUP(F58,Componentes!$P:$U,4,FALSE))</f>
        <v/>
      </c>
      <c r="J58" s="197" t="str">
        <f>IF(F58="","",VLOOKUP(F58,Componentes!$P:$U,6,FALSE))</f>
        <v/>
      </c>
      <c r="K58" s="197" t="str">
        <f>IF(F58="","",IF(I58&lt;&gt;"SPLV",VLOOKUP(F58,Componentes!$P:$U,5,FALSE),""))</f>
        <v/>
      </c>
      <c r="L58" s="191" t="str">
        <f t="shared" si="1"/>
        <v/>
      </c>
      <c r="M58" s="197" t="str">
        <f>IF(OR(I58="SPLV",I58="k"),VLOOKUP(F58,Componentes!$P:$U,5,FALSE),"")</f>
        <v/>
      </c>
      <c r="N58" s="192" t="str">
        <f t="shared" si="0"/>
        <v/>
      </c>
      <c r="O58" s="193"/>
      <c r="P58" t="str">
        <f>IF(Envoltória!D43="","",J58*VLOOKUP(Envoltória!H43,Aux_Lista!$A$1:$K$9,10,FALSE)*VLOOKUP(Envoltória!H43,Aux_Lista!$A$1:$K$9,11,FALSE)/1000)</f>
        <v/>
      </c>
      <c r="Q58" s="249"/>
      <c r="R58" s="99"/>
      <c r="S58" s="98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2" t="str">
        <f t="shared" si="2"/>
        <v/>
      </c>
      <c r="AL58" s="342">
        <f t="shared" si="3"/>
        <v>0</v>
      </c>
    </row>
    <row r="59" spans="1:38" x14ac:dyDescent="0.25">
      <c r="A59" s="162">
        <v>29</v>
      </c>
      <c r="B59" s="225"/>
      <c r="C59" s="197" t="str">
        <f>IF(Envoltória!C44="","",Envoltória!C44)</f>
        <v/>
      </c>
      <c r="D59" s="197" t="str">
        <f>IF(Envoltória!D44="","",Envoltória!D44)</f>
        <v/>
      </c>
      <c r="E59" s="324">
        <f>Envoltória!AA44</f>
        <v>0</v>
      </c>
      <c r="F59" s="225"/>
      <c r="G59" s="324" t="str">
        <f>IF(C59="","",VLOOKUP(F59,Componentes!$P:$U,2,FALSE))</f>
        <v/>
      </c>
      <c r="H59" s="324" t="str">
        <f>IF(F59="","",VLOOKUP(F59,Componentes!$P:$U,3,FALSE))</f>
        <v/>
      </c>
      <c r="I59" s="197" t="str">
        <f>IF(F59="","",VLOOKUP(F59,Componentes!$P:$U,4,FALSE))</f>
        <v/>
      </c>
      <c r="J59" s="197" t="str">
        <f>IF(F59="","",VLOOKUP(F59,Componentes!$P:$U,6,FALSE))</f>
        <v/>
      </c>
      <c r="K59" s="197" t="str">
        <f>IF(F59="","",IF(I59&lt;&gt;"SPLV",VLOOKUP(F59,Componentes!$P:$U,5,FALSE),""))</f>
        <v/>
      </c>
      <c r="L59" s="191" t="str">
        <f t="shared" si="1"/>
        <v/>
      </c>
      <c r="M59" s="197" t="str">
        <f>IF(OR(I59="SPLV",I59="k"),VLOOKUP(F59,Componentes!$P:$U,5,FALSE),"")</f>
        <v/>
      </c>
      <c r="N59" s="192" t="str">
        <f t="shared" si="0"/>
        <v/>
      </c>
      <c r="O59" s="193"/>
      <c r="P59" t="str">
        <f>IF(Envoltória!D44="","",J59*VLOOKUP(Envoltória!H44,Aux_Lista!$A$1:$K$9,10,FALSE)*VLOOKUP(Envoltória!H44,Aux_Lista!$A$1:$K$9,11,FALSE)/1000)</f>
        <v/>
      </c>
      <c r="Q59" s="249"/>
      <c r="R59" s="99"/>
      <c r="S59" s="98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2" t="str">
        <f t="shared" si="2"/>
        <v/>
      </c>
      <c r="AL59" s="342">
        <f t="shared" si="3"/>
        <v>0</v>
      </c>
    </row>
    <row r="60" spans="1:38" x14ac:dyDescent="0.25">
      <c r="A60" s="162">
        <v>30</v>
      </c>
      <c r="B60" s="225"/>
      <c r="C60" s="197" t="str">
        <f>IF(Envoltória!C45="","",Envoltória!C45)</f>
        <v/>
      </c>
      <c r="D60" s="197" t="str">
        <f>IF(Envoltória!D45="","",Envoltória!D45)</f>
        <v/>
      </c>
      <c r="E60" s="324">
        <f>Envoltória!AA45</f>
        <v>0</v>
      </c>
      <c r="F60" s="225"/>
      <c r="G60" s="324" t="str">
        <f>IF(C60="","",VLOOKUP(F60,Componentes!$P:$U,2,FALSE))</f>
        <v/>
      </c>
      <c r="H60" s="324" t="str">
        <f>IF(F60="","",VLOOKUP(F60,Componentes!$P:$U,3,FALSE))</f>
        <v/>
      </c>
      <c r="I60" s="197" t="str">
        <f>IF(F60="","",VLOOKUP(F60,Componentes!$P:$U,4,FALSE))</f>
        <v/>
      </c>
      <c r="J60" s="197" t="str">
        <f>IF(F60="","",VLOOKUP(F60,Componentes!$P:$U,6,FALSE))</f>
        <v/>
      </c>
      <c r="K60" s="197" t="str">
        <f>IF(F60="","",IF(I60&lt;&gt;"SPLV",VLOOKUP(F60,Componentes!$P:$U,5,FALSE),""))</f>
        <v/>
      </c>
      <c r="L60" s="191" t="str">
        <f t="shared" si="1"/>
        <v/>
      </c>
      <c r="M60" s="197" t="str">
        <f>IF(OR(I60="SPLV",I60="k"),VLOOKUP(F60,Componentes!$P:$U,5,FALSE),"")</f>
        <v/>
      </c>
      <c r="N60" s="192" t="str">
        <f t="shared" si="0"/>
        <v/>
      </c>
      <c r="O60" s="193"/>
      <c r="P60" t="str">
        <f>IF(Envoltória!D45="","",J60*VLOOKUP(Envoltória!H45,Aux_Lista!$A$1:$K$9,10,FALSE)*VLOOKUP(Envoltória!H45,Aux_Lista!$A$1:$K$9,11,FALSE)/1000)</f>
        <v/>
      </c>
      <c r="Q60" s="249"/>
      <c r="R60" s="99"/>
      <c r="S60" s="98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2" t="str">
        <f t="shared" si="2"/>
        <v/>
      </c>
      <c r="AL60" s="342">
        <f t="shared" si="3"/>
        <v>0</v>
      </c>
    </row>
    <row r="61" spans="1:38" x14ac:dyDescent="0.25">
      <c r="A61" s="162">
        <v>31</v>
      </c>
      <c r="B61" s="225"/>
      <c r="C61" s="197" t="str">
        <f>IF(Envoltória!C46="","",Envoltória!C46)</f>
        <v/>
      </c>
      <c r="D61" s="197" t="str">
        <f>IF(Envoltória!D46="","",Envoltória!D46)</f>
        <v/>
      </c>
      <c r="E61" s="324">
        <f>Envoltória!AA46</f>
        <v>0</v>
      </c>
      <c r="F61" s="225"/>
      <c r="G61" s="324" t="str">
        <f>IF(C61="","",VLOOKUP(F61,Componentes!$P:$U,2,FALSE))</f>
        <v/>
      </c>
      <c r="H61" s="324" t="str">
        <f>IF(F61="","",VLOOKUP(F61,Componentes!$P:$U,3,FALSE))</f>
        <v/>
      </c>
      <c r="I61" s="197" t="str">
        <f>IF(F61="","",VLOOKUP(F61,Componentes!$P:$U,4,FALSE))</f>
        <v/>
      </c>
      <c r="J61" s="197" t="str">
        <f>IF(F61="","",VLOOKUP(F61,Componentes!$P:$U,6,FALSE))</f>
        <v/>
      </c>
      <c r="K61" s="197" t="str">
        <f>IF(F61="","",IF(I61&lt;&gt;"SPLV",VLOOKUP(F61,Componentes!$P:$U,5,FALSE),""))</f>
        <v/>
      </c>
      <c r="L61" s="191" t="str">
        <f t="shared" si="1"/>
        <v/>
      </c>
      <c r="M61" s="197" t="str">
        <f>IF(OR(I61="SPLV",I61="k"),VLOOKUP(F61,Componentes!$P:$U,5,FALSE),"")</f>
        <v/>
      </c>
      <c r="N61" s="192" t="str">
        <f t="shared" si="0"/>
        <v/>
      </c>
      <c r="O61" s="193"/>
      <c r="P61" t="str">
        <f>IF(Envoltória!D46="","",J61*VLOOKUP(Envoltória!H46,Aux_Lista!$A$1:$K$9,10,FALSE)*VLOOKUP(Envoltória!H46,Aux_Lista!$A$1:$K$9,11,FALSE)/1000)</f>
        <v/>
      </c>
      <c r="Q61" s="249"/>
      <c r="R61" s="99"/>
      <c r="S61" s="98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1"/>
      <c r="AG61" s="251"/>
      <c r="AH61" s="251"/>
      <c r="AI61" s="251"/>
      <c r="AJ61" s="251"/>
      <c r="AK61" s="252" t="str">
        <f t="shared" si="2"/>
        <v/>
      </c>
      <c r="AL61" s="342">
        <f t="shared" si="3"/>
        <v>0</v>
      </c>
    </row>
    <row r="62" spans="1:38" x14ac:dyDescent="0.25">
      <c r="A62" s="162">
        <v>32</v>
      </c>
      <c r="B62" s="225"/>
      <c r="C62" s="197" t="str">
        <f>IF(Envoltória!C47="","",Envoltória!C47)</f>
        <v/>
      </c>
      <c r="D62" s="197" t="str">
        <f>IF(Envoltória!D47="","",Envoltória!D47)</f>
        <v/>
      </c>
      <c r="E62" s="324">
        <f>Envoltória!AA47</f>
        <v>0</v>
      </c>
      <c r="F62" s="225"/>
      <c r="G62" s="324" t="str">
        <f>IF(C62="","",VLOOKUP(F62,Componentes!$P:$U,2,FALSE))</f>
        <v/>
      </c>
      <c r="H62" s="324" t="str">
        <f>IF(F62="","",VLOOKUP(F62,Componentes!$P:$U,3,FALSE))</f>
        <v/>
      </c>
      <c r="I62" s="197" t="str">
        <f>IF(F62="","",VLOOKUP(F62,Componentes!$P:$U,4,FALSE))</f>
        <v/>
      </c>
      <c r="J62" s="197" t="str">
        <f>IF(F62="","",VLOOKUP(F62,Componentes!$P:$U,6,FALSE))</f>
        <v/>
      </c>
      <c r="K62" s="197" t="str">
        <f>IF(F62="","",IF(I62&lt;&gt;"SPLV",VLOOKUP(F62,Componentes!$P:$U,5,FALSE),""))</f>
        <v/>
      </c>
      <c r="L62" s="191" t="str">
        <f t="shared" si="1"/>
        <v/>
      </c>
      <c r="M62" s="197" t="str">
        <f>IF(OR(I62="SPLV",I62="k"),VLOOKUP(F62,Componentes!$P:$U,5,FALSE),"")</f>
        <v/>
      </c>
      <c r="N62" s="192" t="str">
        <f t="shared" si="0"/>
        <v/>
      </c>
      <c r="O62" s="193"/>
      <c r="P62" t="str">
        <f>IF(Envoltória!D47="","",J62*VLOOKUP(Envoltória!H47,Aux_Lista!$A$1:$K$9,10,FALSE)*VLOOKUP(Envoltória!H47,Aux_Lista!$A$1:$K$9,11,FALSE)/1000)</f>
        <v/>
      </c>
      <c r="Q62" s="249"/>
      <c r="R62" s="99"/>
      <c r="S62" s="98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  <c r="AD62" s="251"/>
      <c r="AE62" s="251"/>
      <c r="AF62" s="251"/>
      <c r="AG62" s="251"/>
      <c r="AH62" s="251"/>
      <c r="AI62" s="251"/>
      <c r="AJ62" s="251"/>
      <c r="AK62" s="252" t="str">
        <f t="shared" si="2"/>
        <v/>
      </c>
      <c r="AL62" s="342">
        <f t="shared" si="3"/>
        <v>0</v>
      </c>
    </row>
    <row r="63" spans="1:38" x14ac:dyDescent="0.25">
      <c r="A63" s="162">
        <v>33</v>
      </c>
      <c r="B63" s="225"/>
      <c r="C63" s="197" t="str">
        <f>IF(Envoltória!C48="","",Envoltória!C48)</f>
        <v/>
      </c>
      <c r="D63" s="197" t="str">
        <f>IF(Envoltória!D48="","",Envoltória!D48)</f>
        <v/>
      </c>
      <c r="E63" s="324">
        <f>Envoltória!AA48</f>
        <v>0</v>
      </c>
      <c r="F63" s="225"/>
      <c r="G63" s="324" t="str">
        <f>IF(C63="","",VLOOKUP(F63,Componentes!$P:$U,2,FALSE))</f>
        <v/>
      </c>
      <c r="H63" s="324" t="str">
        <f>IF(F63="","",VLOOKUP(F63,Componentes!$P:$U,3,FALSE))</f>
        <v/>
      </c>
      <c r="I63" s="197" t="str">
        <f>IF(F63="","",VLOOKUP(F63,Componentes!$P:$U,4,FALSE))</f>
        <v/>
      </c>
      <c r="J63" s="197" t="str">
        <f>IF(F63="","",VLOOKUP(F63,Componentes!$P:$U,6,FALSE))</f>
        <v/>
      </c>
      <c r="K63" s="197" t="str">
        <f>IF(F63="","",IF(I63&lt;&gt;"SPLV",VLOOKUP(F63,Componentes!$P:$U,5,FALSE),""))</f>
        <v/>
      </c>
      <c r="L63" s="191" t="str">
        <f t="shared" si="1"/>
        <v/>
      </c>
      <c r="M63" s="197" t="str">
        <f>IF(OR(I63="SPLV",I63="k"),VLOOKUP(F63,Componentes!$P:$U,5,FALSE),"")</f>
        <v/>
      </c>
      <c r="N63" s="192" t="str">
        <f t="shared" ref="N63:N94" si="4">IF(M63="","",E63/M63)</f>
        <v/>
      </c>
      <c r="O63" s="193"/>
      <c r="P63" t="str">
        <f>IF(Envoltória!D48="","",J63*VLOOKUP(Envoltória!H48,Aux_Lista!$A$1:$K$9,10,FALSE)*VLOOKUP(Envoltória!H48,Aux_Lista!$A$1:$K$9,11,FALSE)/1000)</f>
        <v/>
      </c>
      <c r="Q63" s="249"/>
      <c r="R63" s="99"/>
      <c r="S63" s="98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1"/>
      <c r="AE63" s="251"/>
      <c r="AF63" s="251"/>
      <c r="AG63" s="251"/>
      <c r="AH63" s="251"/>
      <c r="AI63" s="251"/>
      <c r="AJ63" s="251"/>
      <c r="AK63" s="252" t="str">
        <f t="shared" si="2"/>
        <v/>
      </c>
      <c r="AL63" s="342">
        <f t="shared" si="3"/>
        <v>0</v>
      </c>
    </row>
    <row r="64" spans="1:38" x14ac:dyDescent="0.25">
      <c r="A64" s="162">
        <v>34</v>
      </c>
      <c r="B64" s="225"/>
      <c r="C64" s="197" t="str">
        <f>IF(Envoltória!C49="","",Envoltória!C49)</f>
        <v/>
      </c>
      <c r="D64" s="197" t="str">
        <f>IF(Envoltória!D49="","",Envoltória!D49)</f>
        <v/>
      </c>
      <c r="E64" s="324">
        <f>Envoltória!AA49</f>
        <v>0</v>
      </c>
      <c r="F64" s="225"/>
      <c r="G64" s="324" t="str">
        <f>IF(C64="","",VLOOKUP(F64,Componentes!$P:$U,2,FALSE))</f>
        <v/>
      </c>
      <c r="H64" s="324" t="str">
        <f>IF(F64="","",VLOOKUP(F64,Componentes!$P:$U,3,FALSE))</f>
        <v/>
      </c>
      <c r="I64" s="197" t="str">
        <f>IF(F64="","",VLOOKUP(F64,Componentes!$P:$U,4,FALSE))</f>
        <v/>
      </c>
      <c r="J64" s="197" t="str">
        <f>IF(F64="","",VLOOKUP(F64,Componentes!$P:$U,6,FALSE))</f>
        <v/>
      </c>
      <c r="K64" s="197" t="str">
        <f>IF(F64="","",IF(I64&lt;&gt;"SPLV",VLOOKUP(F64,Componentes!$P:$U,5,FALSE),""))</f>
        <v/>
      </c>
      <c r="L64" s="191" t="str">
        <f t="shared" si="1"/>
        <v/>
      </c>
      <c r="M64" s="197" t="str">
        <f>IF(OR(I64="SPLV",I64="k"),VLOOKUP(F64,Componentes!$P:$U,5,FALSE),"")</f>
        <v/>
      </c>
      <c r="N64" s="192" t="str">
        <f t="shared" si="4"/>
        <v/>
      </c>
      <c r="O64" s="193"/>
      <c r="P64" t="str">
        <f>IF(Envoltória!D49="","",J64*VLOOKUP(Envoltória!H49,Aux_Lista!$A$1:$K$9,10,FALSE)*VLOOKUP(Envoltória!H49,Aux_Lista!$A$1:$K$9,11,FALSE)/1000)</f>
        <v/>
      </c>
      <c r="Q64" s="249"/>
      <c r="R64" s="99"/>
      <c r="S64" s="98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  <c r="AD64" s="251"/>
      <c r="AE64" s="251"/>
      <c r="AF64" s="251"/>
      <c r="AG64" s="251"/>
      <c r="AH64" s="251"/>
      <c r="AI64" s="251"/>
      <c r="AJ64" s="251"/>
      <c r="AK64" s="252" t="str">
        <f t="shared" si="2"/>
        <v/>
      </c>
      <c r="AL64" s="342">
        <f t="shared" si="3"/>
        <v>0</v>
      </c>
    </row>
    <row r="65" spans="1:38" x14ac:dyDescent="0.25">
      <c r="A65" s="162">
        <v>35</v>
      </c>
      <c r="B65" s="225"/>
      <c r="C65" s="197" t="str">
        <f>IF(Envoltória!C50="","",Envoltória!C50)</f>
        <v/>
      </c>
      <c r="D65" s="197" t="str">
        <f>IF(Envoltória!D50="","",Envoltória!D50)</f>
        <v/>
      </c>
      <c r="E65" s="324">
        <f>Envoltória!AA50</f>
        <v>0</v>
      </c>
      <c r="F65" s="225"/>
      <c r="G65" s="324" t="str">
        <f>IF(C65="","",VLOOKUP(F65,Componentes!$P:$U,2,FALSE))</f>
        <v/>
      </c>
      <c r="H65" s="324" t="str">
        <f>IF(F65="","",VLOOKUP(F65,Componentes!$P:$U,3,FALSE))</f>
        <v/>
      </c>
      <c r="I65" s="197" t="str">
        <f>IF(F65="","",VLOOKUP(F65,Componentes!$P:$U,4,FALSE))</f>
        <v/>
      </c>
      <c r="J65" s="197" t="str">
        <f>IF(F65="","",VLOOKUP(F65,Componentes!$P:$U,6,FALSE))</f>
        <v/>
      </c>
      <c r="K65" s="197" t="str">
        <f>IF(F65="","",IF(I65&lt;&gt;"SPLV",VLOOKUP(F65,Componentes!$P:$U,5,FALSE),""))</f>
        <v/>
      </c>
      <c r="L65" s="191" t="str">
        <f t="shared" si="1"/>
        <v/>
      </c>
      <c r="M65" s="197" t="str">
        <f>IF(OR(I65="SPLV",I65="k"),VLOOKUP(F65,Componentes!$P:$U,5,FALSE),"")</f>
        <v/>
      </c>
      <c r="N65" s="192" t="str">
        <f t="shared" si="4"/>
        <v/>
      </c>
      <c r="O65" s="193"/>
      <c r="P65" t="str">
        <f>IF(Envoltória!D50="","",J65*VLOOKUP(Envoltória!H50,Aux_Lista!$A$1:$K$9,10,FALSE)*VLOOKUP(Envoltória!H50,Aux_Lista!$A$1:$K$9,11,FALSE)/1000)</f>
        <v/>
      </c>
      <c r="Q65" s="249"/>
      <c r="R65" s="99"/>
      <c r="S65" s="98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1"/>
      <c r="AE65" s="251"/>
      <c r="AF65" s="251"/>
      <c r="AG65" s="251"/>
      <c r="AH65" s="251"/>
      <c r="AI65" s="251"/>
      <c r="AJ65" s="251"/>
      <c r="AK65" s="252" t="str">
        <f t="shared" si="2"/>
        <v/>
      </c>
      <c r="AL65" s="342">
        <f t="shared" si="3"/>
        <v>0</v>
      </c>
    </row>
    <row r="66" spans="1:38" x14ac:dyDescent="0.25">
      <c r="A66" s="162">
        <v>36</v>
      </c>
      <c r="B66" s="225"/>
      <c r="C66" s="197" t="str">
        <f>IF(Envoltória!C51="","",Envoltória!C51)</f>
        <v/>
      </c>
      <c r="D66" s="197" t="str">
        <f>IF(Envoltória!D51="","",Envoltória!D51)</f>
        <v/>
      </c>
      <c r="E66" s="324">
        <f>Envoltória!AA51</f>
        <v>0</v>
      </c>
      <c r="F66" s="225"/>
      <c r="G66" s="324" t="str">
        <f>IF(C66="","",VLOOKUP(F66,Componentes!$P:$U,2,FALSE))</f>
        <v/>
      </c>
      <c r="H66" s="324" t="str">
        <f>IF(F66="","",VLOOKUP(F66,Componentes!$P:$U,3,FALSE))</f>
        <v/>
      </c>
      <c r="I66" s="197" t="str">
        <f>IF(F66="","",VLOOKUP(F66,Componentes!$P:$U,4,FALSE))</f>
        <v/>
      </c>
      <c r="J66" s="197" t="str">
        <f>IF(F66="","",VLOOKUP(F66,Componentes!$P:$U,6,FALSE))</f>
        <v/>
      </c>
      <c r="K66" s="197" t="str">
        <f>IF(F66="","",IF(I66&lt;&gt;"SPLV",VLOOKUP(F66,Componentes!$P:$U,5,FALSE),""))</f>
        <v/>
      </c>
      <c r="L66" s="191" t="str">
        <f t="shared" si="1"/>
        <v/>
      </c>
      <c r="M66" s="197" t="str">
        <f>IF(OR(I66="SPLV",I66="k"),VLOOKUP(F66,Componentes!$P:$U,5,FALSE),"")</f>
        <v/>
      </c>
      <c r="N66" s="192" t="str">
        <f t="shared" si="4"/>
        <v/>
      </c>
      <c r="O66" s="193"/>
      <c r="P66" t="str">
        <f>IF(Envoltória!D51="","",J66*VLOOKUP(Envoltória!H51,Aux_Lista!$A$1:$K$9,10,FALSE)*VLOOKUP(Envoltória!H51,Aux_Lista!$A$1:$K$9,11,FALSE)/1000)</f>
        <v/>
      </c>
      <c r="Q66" s="249"/>
      <c r="R66" s="99"/>
      <c r="S66" s="98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1"/>
      <c r="AG66" s="251"/>
      <c r="AH66" s="251"/>
      <c r="AI66" s="251"/>
      <c r="AJ66" s="251"/>
      <c r="AK66" s="252" t="str">
        <f t="shared" si="2"/>
        <v/>
      </c>
      <c r="AL66" s="342">
        <f t="shared" si="3"/>
        <v>0</v>
      </c>
    </row>
    <row r="67" spans="1:38" x14ac:dyDescent="0.25">
      <c r="A67" s="162">
        <v>37</v>
      </c>
      <c r="B67" s="225"/>
      <c r="C67" s="197" t="str">
        <f>IF(Envoltória!C52="","",Envoltória!C52)</f>
        <v/>
      </c>
      <c r="D67" s="197" t="str">
        <f>IF(Envoltória!D52="","",Envoltória!D52)</f>
        <v/>
      </c>
      <c r="E67" s="324">
        <f>Envoltória!AA52</f>
        <v>0</v>
      </c>
      <c r="F67" s="225"/>
      <c r="G67" s="324" t="str">
        <f>IF(C67="","",VLOOKUP(F67,Componentes!$P:$U,2,FALSE))</f>
        <v/>
      </c>
      <c r="H67" s="324" t="str">
        <f>IF(F67="","",VLOOKUP(F67,Componentes!$P:$U,3,FALSE))</f>
        <v/>
      </c>
      <c r="I67" s="197" t="str">
        <f>IF(F67="","",VLOOKUP(F67,Componentes!$P:$U,4,FALSE))</f>
        <v/>
      </c>
      <c r="J67" s="197" t="str">
        <f>IF(F67="","",VLOOKUP(F67,Componentes!$P:$U,6,FALSE))</f>
        <v/>
      </c>
      <c r="K67" s="197" t="str">
        <f>IF(F67="","",IF(I67&lt;&gt;"SPLV",VLOOKUP(F67,Componentes!$P:$U,5,FALSE),""))</f>
        <v/>
      </c>
      <c r="L67" s="191" t="str">
        <f t="shared" si="1"/>
        <v/>
      </c>
      <c r="M67" s="197" t="str">
        <f>IF(OR(I67="SPLV",I67="k"),VLOOKUP(F67,Componentes!$P:$U,5,FALSE),"")</f>
        <v/>
      </c>
      <c r="N67" s="192" t="str">
        <f t="shared" si="4"/>
        <v/>
      </c>
      <c r="O67" s="193"/>
      <c r="P67" t="str">
        <f>IF(Envoltória!D52="","",J67*VLOOKUP(Envoltória!H52,Aux_Lista!$A$1:$K$9,10,FALSE)*VLOOKUP(Envoltória!H52,Aux_Lista!$A$1:$K$9,11,FALSE)/1000)</f>
        <v/>
      </c>
      <c r="Q67" s="249"/>
      <c r="R67" s="99"/>
      <c r="S67" s="98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1"/>
      <c r="AE67" s="251"/>
      <c r="AF67" s="251"/>
      <c r="AG67" s="251"/>
      <c r="AH67" s="251"/>
      <c r="AI67" s="251"/>
      <c r="AJ67" s="251"/>
      <c r="AK67" s="252" t="str">
        <f t="shared" si="2"/>
        <v/>
      </c>
      <c r="AL67" s="342">
        <f t="shared" si="3"/>
        <v>0</v>
      </c>
    </row>
    <row r="68" spans="1:38" x14ac:dyDescent="0.25">
      <c r="A68" s="162">
        <v>38</v>
      </c>
      <c r="B68" s="225"/>
      <c r="C68" s="197" t="str">
        <f>IF(Envoltória!C53="","",Envoltória!C53)</f>
        <v/>
      </c>
      <c r="D68" s="197" t="str">
        <f>IF(Envoltória!D53="","",Envoltória!D53)</f>
        <v/>
      </c>
      <c r="E68" s="324">
        <f>Envoltória!AA53</f>
        <v>0</v>
      </c>
      <c r="F68" s="225"/>
      <c r="G68" s="324" t="str">
        <f>IF(C68="","",VLOOKUP(F68,Componentes!$P:$U,2,FALSE))</f>
        <v/>
      </c>
      <c r="H68" s="324" t="str">
        <f>IF(F68="","",VLOOKUP(F68,Componentes!$P:$U,3,FALSE))</f>
        <v/>
      </c>
      <c r="I68" s="197" t="str">
        <f>IF(F68="","",VLOOKUP(F68,Componentes!$P:$U,4,FALSE))</f>
        <v/>
      </c>
      <c r="J68" s="197" t="str">
        <f>IF(F68="","",VLOOKUP(F68,Componentes!$P:$U,6,FALSE))</f>
        <v/>
      </c>
      <c r="K68" s="197" t="str">
        <f>IF(F68="","",IF(I68&lt;&gt;"SPLV",VLOOKUP(F68,Componentes!$P:$U,5,FALSE),""))</f>
        <v/>
      </c>
      <c r="L68" s="191" t="str">
        <f t="shared" si="1"/>
        <v/>
      </c>
      <c r="M68" s="197" t="str">
        <f>IF(OR(I68="SPLV",I68="k"),VLOOKUP(F68,Componentes!$P:$U,5,FALSE),"")</f>
        <v/>
      </c>
      <c r="N68" s="192" t="str">
        <f t="shared" si="4"/>
        <v/>
      </c>
      <c r="O68" s="193"/>
      <c r="P68" t="str">
        <f>IF(Envoltória!D53="","",J68*VLOOKUP(Envoltória!H53,Aux_Lista!$A$1:$K$9,10,FALSE)*VLOOKUP(Envoltória!H53,Aux_Lista!$A$1:$K$9,11,FALSE)/1000)</f>
        <v/>
      </c>
      <c r="Q68" s="249"/>
      <c r="R68" s="99"/>
      <c r="S68" s="98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1"/>
      <c r="AG68" s="251"/>
      <c r="AH68" s="251"/>
      <c r="AI68" s="251"/>
      <c r="AJ68" s="251"/>
      <c r="AK68" s="252" t="str">
        <f t="shared" si="2"/>
        <v/>
      </c>
      <c r="AL68" s="342">
        <f t="shared" si="3"/>
        <v>0</v>
      </c>
    </row>
    <row r="69" spans="1:38" x14ac:dyDescent="0.25">
      <c r="A69" s="162">
        <v>39</v>
      </c>
      <c r="B69" s="225"/>
      <c r="C69" s="197" t="str">
        <f>IF(Envoltória!C54="","",Envoltória!C54)</f>
        <v/>
      </c>
      <c r="D69" s="197" t="str">
        <f>IF(Envoltória!D54="","",Envoltória!D54)</f>
        <v/>
      </c>
      <c r="E69" s="324">
        <f>Envoltória!AA54</f>
        <v>0</v>
      </c>
      <c r="F69" s="225"/>
      <c r="G69" s="324" t="str">
        <f>IF(C69="","",VLOOKUP(F69,Componentes!$P:$U,2,FALSE))</f>
        <v/>
      </c>
      <c r="H69" s="324" t="str">
        <f>IF(F69="","",VLOOKUP(F69,Componentes!$P:$U,3,FALSE))</f>
        <v/>
      </c>
      <c r="I69" s="197" t="str">
        <f>IF(F69="","",VLOOKUP(F69,Componentes!$P:$U,4,FALSE))</f>
        <v/>
      </c>
      <c r="J69" s="197" t="str">
        <f>IF(F69="","",VLOOKUP(F69,Componentes!$P:$U,6,FALSE))</f>
        <v/>
      </c>
      <c r="K69" s="197" t="str">
        <f>IF(F69="","",IF(I69&lt;&gt;"SPLV",VLOOKUP(F69,Componentes!$P:$U,5,FALSE),""))</f>
        <v/>
      </c>
      <c r="L69" s="191" t="str">
        <f t="shared" si="1"/>
        <v/>
      </c>
      <c r="M69" s="197" t="str">
        <f>IF(OR(I69="SPLV",I69="k"),VLOOKUP(F69,Componentes!$P:$U,5,FALSE),"")</f>
        <v/>
      </c>
      <c r="N69" s="192" t="str">
        <f t="shared" si="4"/>
        <v/>
      </c>
      <c r="O69" s="193"/>
      <c r="P69" t="str">
        <f>IF(Envoltória!D54="","",J69*VLOOKUP(Envoltória!H54,Aux_Lista!$A$1:$K$9,10,FALSE)*VLOOKUP(Envoltória!H54,Aux_Lista!$A$1:$K$9,11,FALSE)/1000)</f>
        <v/>
      </c>
      <c r="Q69" s="249"/>
      <c r="R69" s="99"/>
      <c r="S69" s="98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1"/>
      <c r="AE69" s="251"/>
      <c r="AF69" s="251"/>
      <c r="AG69" s="251"/>
      <c r="AH69" s="251"/>
      <c r="AI69" s="251"/>
      <c r="AJ69" s="251"/>
      <c r="AK69" s="252" t="str">
        <f t="shared" si="2"/>
        <v/>
      </c>
      <c r="AL69" s="342">
        <f t="shared" si="3"/>
        <v>0</v>
      </c>
    </row>
    <row r="70" spans="1:38" x14ac:dyDescent="0.25">
      <c r="A70" s="162">
        <v>40</v>
      </c>
      <c r="B70" s="225"/>
      <c r="C70" s="197" t="str">
        <f>IF(Envoltória!C55="","",Envoltória!C55)</f>
        <v/>
      </c>
      <c r="D70" s="197" t="str">
        <f>IF(Envoltória!D55="","",Envoltória!D55)</f>
        <v/>
      </c>
      <c r="E70" s="324">
        <f>Envoltória!AA55</f>
        <v>0</v>
      </c>
      <c r="F70" s="225"/>
      <c r="G70" s="324" t="str">
        <f>IF(C70="","",VLOOKUP(F70,Componentes!$P:$U,2,FALSE))</f>
        <v/>
      </c>
      <c r="H70" s="324" t="str">
        <f>IF(F70="","",VLOOKUP(F70,Componentes!$P:$U,3,FALSE))</f>
        <v/>
      </c>
      <c r="I70" s="197" t="str">
        <f>IF(F70="","",VLOOKUP(F70,Componentes!$P:$U,4,FALSE))</f>
        <v/>
      </c>
      <c r="J70" s="197" t="str">
        <f>IF(F70="","",VLOOKUP(F70,Componentes!$P:$U,6,FALSE))</f>
        <v/>
      </c>
      <c r="K70" s="197" t="str">
        <f>IF(F70="","",IF(I70&lt;&gt;"SPLV",VLOOKUP(F70,Componentes!$P:$U,5,FALSE),""))</f>
        <v/>
      </c>
      <c r="L70" s="191" t="str">
        <f t="shared" si="1"/>
        <v/>
      </c>
      <c r="M70" s="197" t="str">
        <f>IF(OR(I70="SPLV",I70="k"),VLOOKUP(F70,Componentes!$P:$U,5,FALSE),"")</f>
        <v/>
      </c>
      <c r="N70" s="192" t="str">
        <f t="shared" si="4"/>
        <v/>
      </c>
      <c r="O70" s="193"/>
      <c r="P70" t="str">
        <f>IF(Envoltória!D55="","",J70*VLOOKUP(Envoltória!H55,Aux_Lista!$A$1:$K$9,10,FALSE)*VLOOKUP(Envoltória!H55,Aux_Lista!$A$1:$K$9,11,FALSE)/1000)</f>
        <v/>
      </c>
      <c r="Q70" s="249"/>
      <c r="R70" s="99"/>
      <c r="S70" s="98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1"/>
      <c r="AE70" s="251"/>
      <c r="AF70" s="251"/>
      <c r="AG70" s="251"/>
      <c r="AH70" s="251"/>
      <c r="AI70" s="251"/>
      <c r="AJ70" s="251"/>
      <c r="AK70" s="252" t="str">
        <f t="shared" si="2"/>
        <v/>
      </c>
      <c r="AL70" s="342">
        <f t="shared" si="3"/>
        <v>0</v>
      </c>
    </row>
    <row r="71" spans="1:38" x14ac:dyDescent="0.25">
      <c r="A71" s="162">
        <v>41</v>
      </c>
      <c r="B71" s="225"/>
      <c r="C71" s="197" t="str">
        <f>IF(Envoltória!C56="","",Envoltória!C56)</f>
        <v/>
      </c>
      <c r="D71" s="197" t="str">
        <f>IF(Envoltória!D56="","",Envoltória!D56)</f>
        <v/>
      </c>
      <c r="E71" s="324">
        <f>Envoltória!AA56</f>
        <v>0</v>
      </c>
      <c r="F71" s="225"/>
      <c r="G71" s="324" t="str">
        <f>IF(C71="","",VLOOKUP(F71,Componentes!$P:$U,2,FALSE))</f>
        <v/>
      </c>
      <c r="H71" s="324" t="str">
        <f>IF(F71="","",VLOOKUP(F71,Componentes!$P:$U,3,FALSE))</f>
        <v/>
      </c>
      <c r="I71" s="197" t="str">
        <f>IF(F71="","",VLOOKUP(F71,Componentes!$P:$U,4,FALSE))</f>
        <v/>
      </c>
      <c r="J71" s="197" t="str">
        <f>IF(F71="","",VLOOKUP(F71,Componentes!$P:$U,6,FALSE))</f>
        <v/>
      </c>
      <c r="K71" s="197" t="str">
        <f>IF(F71="","",IF(I71&lt;&gt;"SPLV",VLOOKUP(F71,Componentes!$P:$U,5,FALSE),""))</f>
        <v/>
      </c>
      <c r="L71" s="191" t="str">
        <f t="shared" si="1"/>
        <v/>
      </c>
      <c r="M71" s="197" t="str">
        <f>IF(OR(I71="SPLV",I71="k"),VLOOKUP(F71,Componentes!$P:$U,5,FALSE),"")</f>
        <v/>
      </c>
      <c r="N71" s="192" t="str">
        <f t="shared" si="4"/>
        <v/>
      </c>
      <c r="O71" s="193"/>
      <c r="P71" t="str">
        <f>IF(Envoltória!D56="","",J71*VLOOKUP(Envoltória!H56,Aux_Lista!$A$1:$K$9,10,FALSE)*VLOOKUP(Envoltória!H56,Aux_Lista!$A$1:$K$9,11,FALSE)/1000)</f>
        <v/>
      </c>
      <c r="Q71" s="249"/>
      <c r="R71" s="99"/>
      <c r="S71" s="98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1"/>
      <c r="AE71" s="251"/>
      <c r="AF71" s="251"/>
      <c r="AG71" s="251"/>
      <c r="AH71" s="251"/>
      <c r="AI71" s="251"/>
      <c r="AJ71" s="251"/>
      <c r="AK71" s="252" t="str">
        <f t="shared" si="2"/>
        <v/>
      </c>
      <c r="AL71" s="342">
        <f t="shared" si="3"/>
        <v>0</v>
      </c>
    </row>
    <row r="72" spans="1:38" x14ac:dyDescent="0.25">
      <c r="A72" s="162">
        <v>42</v>
      </c>
      <c r="B72" s="225"/>
      <c r="C72" s="197" t="str">
        <f>IF(Envoltória!C57="","",Envoltória!C57)</f>
        <v/>
      </c>
      <c r="D72" s="197" t="str">
        <f>IF(Envoltória!D57="","",Envoltória!D57)</f>
        <v/>
      </c>
      <c r="E72" s="324">
        <f>Envoltória!AA57</f>
        <v>0</v>
      </c>
      <c r="F72" s="225"/>
      <c r="G72" s="324" t="str">
        <f>IF(C72="","",VLOOKUP(F72,Componentes!$P:$U,2,FALSE))</f>
        <v/>
      </c>
      <c r="H72" s="324" t="str">
        <f>IF(F72="","",VLOOKUP(F72,Componentes!$P:$U,3,FALSE))</f>
        <v/>
      </c>
      <c r="I72" s="197" t="str">
        <f>IF(F72="","",VLOOKUP(F72,Componentes!$P:$U,4,FALSE))</f>
        <v/>
      </c>
      <c r="J72" s="197" t="str">
        <f>IF(F72="","",VLOOKUP(F72,Componentes!$P:$U,6,FALSE))</f>
        <v/>
      </c>
      <c r="K72" s="197" t="str">
        <f>IF(F72="","",IF(I72&lt;&gt;"SPLV",VLOOKUP(F72,Componentes!$P:$U,5,FALSE),""))</f>
        <v/>
      </c>
      <c r="L72" s="191" t="str">
        <f t="shared" si="1"/>
        <v/>
      </c>
      <c r="M72" s="197" t="str">
        <f>IF(OR(I72="SPLV",I72="k"),VLOOKUP(F72,Componentes!$P:$U,5,FALSE),"")</f>
        <v/>
      </c>
      <c r="N72" s="192" t="str">
        <f t="shared" si="4"/>
        <v/>
      </c>
      <c r="O72" s="193"/>
      <c r="P72" t="str">
        <f>IF(Envoltória!D57="","",J72*VLOOKUP(Envoltória!H57,Aux_Lista!$A$1:$K$9,10,FALSE)*VLOOKUP(Envoltória!H57,Aux_Lista!$A$1:$K$9,11,FALSE)/1000)</f>
        <v/>
      </c>
      <c r="Q72" s="249"/>
      <c r="R72" s="99"/>
      <c r="S72" s="98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1"/>
      <c r="AG72" s="251"/>
      <c r="AH72" s="251"/>
      <c r="AI72" s="251"/>
      <c r="AJ72" s="251"/>
      <c r="AK72" s="252" t="str">
        <f t="shared" si="2"/>
        <v/>
      </c>
      <c r="AL72" s="342">
        <f t="shared" si="3"/>
        <v>0</v>
      </c>
    </row>
    <row r="73" spans="1:38" x14ac:dyDescent="0.25">
      <c r="A73" s="162">
        <v>43</v>
      </c>
      <c r="B73" s="225"/>
      <c r="C73" s="197" t="str">
        <f>IF(Envoltória!C58="","",Envoltória!C58)</f>
        <v/>
      </c>
      <c r="D73" s="197" t="str">
        <f>IF(Envoltória!D58="","",Envoltória!D58)</f>
        <v/>
      </c>
      <c r="E73" s="324">
        <f>Envoltória!AA58</f>
        <v>0</v>
      </c>
      <c r="F73" s="225"/>
      <c r="G73" s="324" t="str">
        <f>IF(C73="","",VLOOKUP(F73,Componentes!$P:$U,2,FALSE))</f>
        <v/>
      </c>
      <c r="H73" s="324" t="str">
        <f>IF(F73="","",VLOOKUP(F73,Componentes!$P:$U,3,FALSE))</f>
        <v/>
      </c>
      <c r="I73" s="197" t="str">
        <f>IF(F73="","",VLOOKUP(F73,Componentes!$P:$U,4,FALSE))</f>
        <v/>
      </c>
      <c r="J73" s="197" t="str">
        <f>IF(F73="","",VLOOKUP(F73,Componentes!$P:$U,6,FALSE))</f>
        <v/>
      </c>
      <c r="K73" s="197" t="str">
        <f>IF(F73="","",IF(I73&lt;&gt;"SPLV",VLOOKUP(F73,Componentes!$P:$U,5,FALSE),""))</f>
        <v/>
      </c>
      <c r="L73" s="191" t="str">
        <f t="shared" si="1"/>
        <v/>
      </c>
      <c r="M73" s="197" t="str">
        <f>IF(OR(I73="SPLV",I73="k"),VLOOKUP(F73,Componentes!$P:$U,5,FALSE),"")</f>
        <v/>
      </c>
      <c r="N73" s="192" t="str">
        <f t="shared" si="4"/>
        <v/>
      </c>
      <c r="O73" s="193"/>
      <c r="P73" t="str">
        <f>IF(Envoltória!D58="","",J73*VLOOKUP(Envoltória!H58,Aux_Lista!$A$1:$K$9,10,FALSE)*VLOOKUP(Envoltória!H58,Aux_Lista!$A$1:$K$9,11,FALSE)/1000)</f>
        <v/>
      </c>
      <c r="Q73" s="249"/>
      <c r="R73" s="99"/>
      <c r="S73" s="98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2" t="str">
        <f t="shared" si="2"/>
        <v/>
      </c>
      <c r="AL73" s="342">
        <f t="shared" si="3"/>
        <v>0</v>
      </c>
    </row>
    <row r="74" spans="1:38" x14ac:dyDescent="0.25">
      <c r="A74" s="162">
        <v>44</v>
      </c>
      <c r="B74" s="225"/>
      <c r="C74" s="197" t="str">
        <f>IF(Envoltória!C59="","",Envoltória!C59)</f>
        <v/>
      </c>
      <c r="D74" s="197" t="str">
        <f>IF(Envoltória!D59="","",Envoltória!D59)</f>
        <v/>
      </c>
      <c r="E74" s="324">
        <f>Envoltória!AA59</f>
        <v>0</v>
      </c>
      <c r="F74" s="225"/>
      <c r="G74" s="324" t="str">
        <f>IF(C74="","",VLOOKUP(F74,Componentes!$P:$U,2,FALSE))</f>
        <v/>
      </c>
      <c r="H74" s="324" t="str">
        <f>IF(F74="","",VLOOKUP(F74,Componentes!$P:$U,3,FALSE))</f>
        <v/>
      </c>
      <c r="I74" s="197" t="str">
        <f>IF(F74="","",VLOOKUP(F74,Componentes!$P:$U,4,FALSE))</f>
        <v/>
      </c>
      <c r="J74" s="197" t="str">
        <f>IF(F74="","",VLOOKUP(F74,Componentes!$P:$U,6,FALSE))</f>
        <v/>
      </c>
      <c r="K74" s="197" t="str">
        <f>IF(F74="","",IF(I74&lt;&gt;"SPLV",VLOOKUP(F74,Componentes!$P:$U,5,FALSE),""))</f>
        <v/>
      </c>
      <c r="L74" s="191" t="str">
        <f t="shared" si="1"/>
        <v/>
      </c>
      <c r="M74" s="197" t="str">
        <f>IF(OR(I74="SPLV",I74="k"),VLOOKUP(F74,Componentes!$P:$U,5,FALSE),"")</f>
        <v/>
      </c>
      <c r="N74" s="192" t="str">
        <f t="shared" si="4"/>
        <v/>
      </c>
      <c r="O74" s="193"/>
      <c r="P74" t="str">
        <f>IF(Envoltória!D59="","",J74*VLOOKUP(Envoltória!H59,Aux_Lista!$A$1:$K$9,10,FALSE)*VLOOKUP(Envoltória!H59,Aux_Lista!$A$1:$K$9,11,FALSE)/1000)</f>
        <v/>
      </c>
      <c r="Q74" s="249"/>
      <c r="R74" s="99"/>
      <c r="S74" s="98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  <c r="AD74" s="251"/>
      <c r="AE74" s="251"/>
      <c r="AF74" s="251"/>
      <c r="AG74" s="251"/>
      <c r="AH74" s="251"/>
      <c r="AI74" s="251"/>
      <c r="AJ74" s="251"/>
      <c r="AK74" s="252" t="str">
        <f t="shared" si="2"/>
        <v/>
      </c>
      <c r="AL74" s="342">
        <f t="shared" si="3"/>
        <v>0</v>
      </c>
    </row>
    <row r="75" spans="1:38" x14ac:dyDescent="0.25">
      <c r="A75" s="162">
        <v>45</v>
      </c>
      <c r="B75" s="225"/>
      <c r="C75" s="197" t="str">
        <f>IF(Envoltória!C60="","",Envoltória!C60)</f>
        <v/>
      </c>
      <c r="D75" s="197" t="str">
        <f>IF(Envoltória!D60="","",Envoltória!D60)</f>
        <v/>
      </c>
      <c r="E75" s="324">
        <f>Envoltória!AA60</f>
        <v>0</v>
      </c>
      <c r="F75" s="225"/>
      <c r="G75" s="324" t="str">
        <f>IF(C75="","",VLOOKUP(F75,Componentes!$P:$U,2,FALSE))</f>
        <v/>
      </c>
      <c r="H75" s="324" t="str">
        <f>IF(F75="","",VLOOKUP(F75,Componentes!$P:$U,3,FALSE))</f>
        <v/>
      </c>
      <c r="I75" s="197" t="str">
        <f>IF(F75="","",VLOOKUP(F75,Componentes!$P:$U,4,FALSE))</f>
        <v/>
      </c>
      <c r="J75" s="197" t="str">
        <f>IF(F75="","",VLOOKUP(F75,Componentes!$P:$U,6,FALSE))</f>
        <v/>
      </c>
      <c r="K75" s="197" t="str">
        <f>IF(F75="","",IF(I75&lt;&gt;"SPLV",VLOOKUP(F75,Componentes!$P:$U,5,FALSE),""))</f>
        <v/>
      </c>
      <c r="L75" s="191" t="str">
        <f t="shared" si="1"/>
        <v/>
      </c>
      <c r="M75" s="197" t="str">
        <f>IF(OR(I75="SPLV",I75="k"),VLOOKUP(F75,Componentes!$P:$U,5,FALSE),"")</f>
        <v/>
      </c>
      <c r="N75" s="192" t="str">
        <f t="shared" si="4"/>
        <v/>
      </c>
      <c r="O75" s="193"/>
      <c r="P75" t="str">
        <f>IF(Envoltória!D60="","",J75*VLOOKUP(Envoltória!H60,Aux_Lista!$A$1:$K$9,10,FALSE)*VLOOKUP(Envoltória!H60,Aux_Lista!$A$1:$K$9,11,FALSE)/1000)</f>
        <v/>
      </c>
      <c r="Q75" s="249"/>
      <c r="R75" s="99"/>
      <c r="S75" s="98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  <c r="AG75" s="251"/>
      <c r="AH75" s="251"/>
      <c r="AI75" s="251"/>
      <c r="AJ75" s="251"/>
      <c r="AK75" s="252" t="str">
        <f t="shared" si="2"/>
        <v/>
      </c>
      <c r="AL75" s="342">
        <f t="shared" si="3"/>
        <v>0</v>
      </c>
    </row>
    <row r="76" spans="1:38" x14ac:dyDescent="0.25">
      <c r="A76" s="162">
        <v>46</v>
      </c>
      <c r="B76" s="225"/>
      <c r="C76" s="197" t="str">
        <f>IF(Envoltória!C61="","",Envoltória!C61)</f>
        <v/>
      </c>
      <c r="D76" s="197" t="str">
        <f>IF(Envoltória!D61="","",Envoltória!D61)</f>
        <v/>
      </c>
      <c r="E76" s="324">
        <f>Envoltória!AA61</f>
        <v>0</v>
      </c>
      <c r="F76" s="225"/>
      <c r="G76" s="324" t="str">
        <f>IF(C76="","",VLOOKUP(F76,Componentes!$P:$U,2,FALSE))</f>
        <v/>
      </c>
      <c r="H76" s="324" t="str">
        <f>IF(F76="","",VLOOKUP(F76,Componentes!$P:$U,3,FALSE))</f>
        <v/>
      </c>
      <c r="I76" s="197" t="str">
        <f>IF(F76="","",VLOOKUP(F76,Componentes!$P:$U,4,FALSE))</f>
        <v/>
      </c>
      <c r="J76" s="197" t="str">
        <f>IF(F76="","",VLOOKUP(F76,Componentes!$P:$U,6,FALSE))</f>
        <v/>
      </c>
      <c r="K76" s="197" t="str">
        <f>IF(F76="","",IF(I76&lt;&gt;"SPLV",VLOOKUP(F76,Componentes!$P:$U,5,FALSE),""))</f>
        <v/>
      </c>
      <c r="L76" s="191" t="str">
        <f t="shared" si="1"/>
        <v/>
      </c>
      <c r="M76" s="197" t="str">
        <f>IF(OR(I76="SPLV",I76="k"),VLOOKUP(F76,Componentes!$P:$U,5,FALSE),"")</f>
        <v/>
      </c>
      <c r="N76" s="192" t="str">
        <f t="shared" si="4"/>
        <v/>
      </c>
      <c r="O76" s="193"/>
      <c r="P76" t="str">
        <f>IF(Envoltória!D61="","",J76*VLOOKUP(Envoltória!H61,Aux_Lista!$A$1:$K$9,10,FALSE)*VLOOKUP(Envoltória!H61,Aux_Lista!$A$1:$K$9,11,FALSE)/1000)</f>
        <v/>
      </c>
      <c r="Q76" s="249"/>
      <c r="R76" s="99"/>
      <c r="S76" s="98"/>
      <c r="T76" s="251"/>
      <c r="U76" s="251"/>
      <c r="V76" s="251"/>
      <c r="W76" s="251"/>
      <c r="X76" s="251"/>
      <c r="Y76" s="251"/>
      <c r="Z76" s="251"/>
      <c r="AA76" s="251"/>
      <c r="AB76" s="251"/>
      <c r="AC76" s="251"/>
      <c r="AD76" s="251"/>
      <c r="AE76" s="251"/>
      <c r="AF76" s="251"/>
      <c r="AG76" s="251"/>
      <c r="AH76" s="251"/>
      <c r="AI76" s="251"/>
      <c r="AJ76" s="251"/>
      <c r="AK76" s="252" t="str">
        <f t="shared" si="2"/>
        <v/>
      </c>
      <c r="AL76" s="342">
        <f t="shared" si="3"/>
        <v>0</v>
      </c>
    </row>
    <row r="77" spans="1:38" x14ac:dyDescent="0.25">
      <c r="A77" s="162">
        <v>47</v>
      </c>
      <c r="B77" s="225"/>
      <c r="C77" s="197" t="str">
        <f>IF(Envoltória!C62="","",Envoltória!C62)</f>
        <v/>
      </c>
      <c r="D77" s="197" t="str">
        <f>IF(Envoltória!D62="","",Envoltória!D62)</f>
        <v/>
      </c>
      <c r="E77" s="324">
        <f>Envoltória!AA62</f>
        <v>0</v>
      </c>
      <c r="F77" s="225"/>
      <c r="G77" s="324" t="str">
        <f>IF(C77="","",VLOOKUP(F77,Componentes!$P:$U,2,FALSE))</f>
        <v/>
      </c>
      <c r="H77" s="324" t="str">
        <f>IF(F77="","",VLOOKUP(F77,Componentes!$P:$U,3,FALSE))</f>
        <v/>
      </c>
      <c r="I77" s="197" t="str">
        <f>IF(F77="","",VLOOKUP(F77,Componentes!$P:$U,4,FALSE))</f>
        <v/>
      </c>
      <c r="J77" s="197" t="str">
        <f>IF(F77="","",VLOOKUP(F77,Componentes!$P:$U,6,FALSE))</f>
        <v/>
      </c>
      <c r="K77" s="197" t="str">
        <f>IF(F77="","",IF(I77&lt;&gt;"SPLV",VLOOKUP(F77,Componentes!$P:$U,5,FALSE),""))</f>
        <v/>
      </c>
      <c r="L77" s="191" t="str">
        <f t="shared" si="1"/>
        <v/>
      </c>
      <c r="M77" s="197" t="str">
        <f>IF(OR(I77="SPLV",I77="k"),VLOOKUP(F77,Componentes!$P:$U,5,FALSE),"")</f>
        <v/>
      </c>
      <c r="N77" s="192" t="str">
        <f t="shared" si="4"/>
        <v/>
      </c>
      <c r="O77" s="193"/>
      <c r="P77" t="str">
        <f>IF(Envoltória!D62="","",J77*VLOOKUP(Envoltória!H62,Aux_Lista!$A$1:$K$9,10,FALSE)*VLOOKUP(Envoltória!H62,Aux_Lista!$A$1:$K$9,11,FALSE)/1000)</f>
        <v/>
      </c>
      <c r="Q77" s="249"/>
      <c r="R77" s="99"/>
      <c r="S77" s="98"/>
      <c r="T77" s="251"/>
      <c r="U77" s="251"/>
      <c r="V77" s="251"/>
      <c r="W77" s="251"/>
      <c r="X77" s="251"/>
      <c r="Y77" s="251"/>
      <c r="Z77" s="251"/>
      <c r="AA77" s="251"/>
      <c r="AB77" s="251"/>
      <c r="AC77" s="251"/>
      <c r="AD77" s="251"/>
      <c r="AE77" s="251"/>
      <c r="AF77" s="251"/>
      <c r="AG77" s="251"/>
      <c r="AH77" s="251"/>
      <c r="AI77" s="251"/>
      <c r="AJ77" s="251"/>
      <c r="AK77" s="252" t="str">
        <f t="shared" si="2"/>
        <v/>
      </c>
      <c r="AL77" s="342">
        <f t="shared" si="3"/>
        <v>0</v>
      </c>
    </row>
    <row r="78" spans="1:38" x14ac:dyDescent="0.25">
      <c r="A78" s="162">
        <v>48</v>
      </c>
      <c r="B78" s="225"/>
      <c r="C78" s="197" t="str">
        <f>IF(Envoltória!C63="","",Envoltória!C63)</f>
        <v/>
      </c>
      <c r="D78" s="197" t="str">
        <f>IF(Envoltória!D63="","",Envoltória!D63)</f>
        <v/>
      </c>
      <c r="E78" s="324">
        <f>Envoltória!AA63</f>
        <v>0</v>
      </c>
      <c r="F78" s="225"/>
      <c r="G78" s="324" t="str">
        <f>IF(C78="","",VLOOKUP(F78,Componentes!$P:$U,2,FALSE))</f>
        <v/>
      </c>
      <c r="H78" s="324" t="str">
        <f>IF(F78="","",VLOOKUP(F78,Componentes!$P:$U,3,FALSE))</f>
        <v/>
      </c>
      <c r="I78" s="197" t="str">
        <f>IF(F78="","",VLOOKUP(F78,Componentes!$P:$U,4,FALSE))</f>
        <v/>
      </c>
      <c r="J78" s="197" t="str">
        <f>IF(F78="","",VLOOKUP(F78,Componentes!$P:$U,6,FALSE))</f>
        <v/>
      </c>
      <c r="K78" s="197" t="str">
        <f>IF(F78="","",IF(I78&lt;&gt;"SPLV",VLOOKUP(F78,Componentes!$P:$U,5,FALSE),""))</f>
        <v/>
      </c>
      <c r="L78" s="191" t="str">
        <f t="shared" si="1"/>
        <v/>
      </c>
      <c r="M78" s="197" t="str">
        <f>IF(OR(I78="SPLV",I78="k"),VLOOKUP(F78,Componentes!$P:$U,5,FALSE),"")</f>
        <v/>
      </c>
      <c r="N78" s="192" t="str">
        <f t="shared" si="4"/>
        <v/>
      </c>
      <c r="O78" s="193"/>
      <c r="P78" t="str">
        <f>IF(Envoltória!D63="","",J78*VLOOKUP(Envoltória!H63,Aux_Lista!$A$1:$K$9,10,FALSE)*VLOOKUP(Envoltória!H63,Aux_Lista!$A$1:$K$9,11,FALSE)/1000)</f>
        <v/>
      </c>
      <c r="Q78" s="249"/>
      <c r="R78" s="99"/>
      <c r="S78" s="98"/>
      <c r="T78" s="251"/>
      <c r="U78" s="251"/>
      <c r="V78" s="251"/>
      <c r="W78" s="251"/>
      <c r="X78" s="251"/>
      <c r="Y78" s="251"/>
      <c r="Z78" s="251"/>
      <c r="AA78" s="251"/>
      <c r="AB78" s="251"/>
      <c r="AC78" s="251"/>
      <c r="AD78" s="251"/>
      <c r="AE78" s="251"/>
      <c r="AF78" s="251"/>
      <c r="AG78" s="251"/>
      <c r="AH78" s="251"/>
      <c r="AI78" s="251"/>
      <c r="AJ78" s="251"/>
      <c r="AK78" s="252" t="str">
        <f t="shared" si="2"/>
        <v/>
      </c>
      <c r="AL78" s="342">
        <f t="shared" si="3"/>
        <v>0</v>
      </c>
    </row>
    <row r="79" spans="1:38" x14ac:dyDescent="0.25">
      <c r="A79" s="162">
        <v>49</v>
      </c>
      <c r="B79" s="225"/>
      <c r="C79" s="197" t="str">
        <f>IF(Envoltória!C64="","",Envoltória!C64)</f>
        <v/>
      </c>
      <c r="D79" s="197" t="str">
        <f>IF(Envoltória!D64="","",Envoltória!D64)</f>
        <v/>
      </c>
      <c r="E79" s="324">
        <f>Envoltória!AA64</f>
        <v>0</v>
      </c>
      <c r="F79" s="225"/>
      <c r="G79" s="324" t="str">
        <f>IF(C79="","",VLOOKUP(F79,Componentes!$P:$U,2,FALSE))</f>
        <v/>
      </c>
      <c r="H79" s="324" t="str">
        <f>IF(F79="","",VLOOKUP(F79,Componentes!$P:$U,3,FALSE))</f>
        <v/>
      </c>
      <c r="I79" s="197" t="str">
        <f>IF(F79="","",VLOOKUP(F79,Componentes!$P:$U,4,FALSE))</f>
        <v/>
      </c>
      <c r="J79" s="197" t="str">
        <f>IF(F79="","",VLOOKUP(F79,Componentes!$P:$U,6,FALSE))</f>
        <v/>
      </c>
      <c r="K79" s="197" t="str">
        <f>IF(F79="","",IF(I79&lt;&gt;"SPLV",VLOOKUP(F79,Componentes!$P:$U,5,FALSE),""))</f>
        <v/>
      </c>
      <c r="L79" s="191" t="str">
        <f t="shared" si="1"/>
        <v/>
      </c>
      <c r="M79" s="197" t="str">
        <f>IF(OR(I79="SPLV",I79="k"),VLOOKUP(F79,Componentes!$P:$U,5,FALSE),"")</f>
        <v/>
      </c>
      <c r="N79" s="192" t="str">
        <f t="shared" si="4"/>
        <v/>
      </c>
      <c r="O79" s="193"/>
      <c r="P79" t="str">
        <f>IF(Envoltória!D64="","",J79*VLOOKUP(Envoltória!H64,Aux_Lista!$A$1:$K$9,10,FALSE)*VLOOKUP(Envoltória!H64,Aux_Lista!$A$1:$K$9,11,FALSE)/1000)</f>
        <v/>
      </c>
      <c r="Q79" s="249"/>
      <c r="R79" s="99"/>
      <c r="S79" s="98"/>
      <c r="T79" s="251"/>
      <c r="U79" s="251"/>
      <c r="V79" s="251"/>
      <c r="W79" s="251"/>
      <c r="X79" s="251"/>
      <c r="Y79" s="251"/>
      <c r="Z79" s="251"/>
      <c r="AA79" s="251"/>
      <c r="AB79" s="251"/>
      <c r="AC79" s="251"/>
      <c r="AD79" s="251"/>
      <c r="AE79" s="251"/>
      <c r="AF79" s="251"/>
      <c r="AG79" s="251"/>
      <c r="AH79" s="251"/>
      <c r="AI79" s="251"/>
      <c r="AJ79" s="251"/>
      <c r="AK79" s="252" t="str">
        <f t="shared" si="2"/>
        <v/>
      </c>
      <c r="AL79" s="342">
        <f t="shared" si="3"/>
        <v>0</v>
      </c>
    </row>
    <row r="80" spans="1:38" x14ac:dyDescent="0.25">
      <c r="A80" s="162">
        <v>50</v>
      </c>
      <c r="B80" s="225"/>
      <c r="C80" s="197" t="str">
        <f>IF(Envoltória!C65="","",Envoltória!C65)</f>
        <v/>
      </c>
      <c r="D80" s="197" t="str">
        <f>IF(Envoltória!D65="","",Envoltória!D65)</f>
        <v/>
      </c>
      <c r="E80" s="324">
        <f>Envoltória!AA65</f>
        <v>0</v>
      </c>
      <c r="F80" s="225"/>
      <c r="G80" s="324" t="str">
        <f>IF(C80="","",VLOOKUP(F80,Componentes!$P:$U,2,FALSE))</f>
        <v/>
      </c>
      <c r="H80" s="324" t="str">
        <f>IF(F80="","",VLOOKUP(F80,Componentes!$P:$U,3,FALSE))</f>
        <v/>
      </c>
      <c r="I80" s="197" t="str">
        <f>IF(F80="","",VLOOKUP(F80,Componentes!$P:$U,4,FALSE))</f>
        <v/>
      </c>
      <c r="J80" s="197" t="str">
        <f>IF(F80="","",VLOOKUP(F80,Componentes!$P:$U,6,FALSE))</f>
        <v/>
      </c>
      <c r="K80" s="197" t="str">
        <f>IF(F80="","",IF(I80&lt;&gt;"SPLV",VLOOKUP(F80,Componentes!$P:$U,5,FALSE),""))</f>
        <v/>
      </c>
      <c r="L80" s="191" t="str">
        <f t="shared" si="1"/>
        <v/>
      </c>
      <c r="M80" s="197" t="str">
        <f>IF(OR(I80="SPLV",I80="k"),VLOOKUP(F80,Componentes!$P:$U,5,FALSE),"")</f>
        <v/>
      </c>
      <c r="N80" s="192" t="str">
        <f t="shared" si="4"/>
        <v/>
      </c>
      <c r="O80" s="193"/>
      <c r="P80" t="str">
        <f>IF(Envoltória!D65="","",J80*VLOOKUP(Envoltória!H65,Aux_Lista!$A$1:$K$9,10,FALSE)*VLOOKUP(Envoltória!H65,Aux_Lista!$A$1:$K$9,11,FALSE)/1000)</f>
        <v/>
      </c>
      <c r="Q80" s="249"/>
      <c r="R80" s="99"/>
      <c r="S80" s="98"/>
      <c r="T80" s="251"/>
      <c r="U80" s="251"/>
      <c r="V80" s="251"/>
      <c r="W80" s="251"/>
      <c r="X80" s="251"/>
      <c r="Y80" s="251"/>
      <c r="Z80" s="251"/>
      <c r="AA80" s="251"/>
      <c r="AB80" s="251"/>
      <c r="AC80" s="251"/>
      <c r="AD80" s="251"/>
      <c r="AE80" s="251"/>
      <c r="AF80" s="251"/>
      <c r="AG80" s="251"/>
      <c r="AH80" s="251"/>
      <c r="AI80" s="251"/>
      <c r="AJ80" s="251"/>
      <c r="AK80" s="252" t="str">
        <f t="shared" si="2"/>
        <v/>
      </c>
      <c r="AL80" s="342">
        <f t="shared" si="3"/>
        <v>0</v>
      </c>
    </row>
    <row r="81" spans="1:38" x14ac:dyDescent="0.25">
      <c r="A81" s="162">
        <v>51</v>
      </c>
      <c r="B81" s="225"/>
      <c r="C81" s="197" t="str">
        <f>IF(Envoltória!C66="","",Envoltória!C66)</f>
        <v/>
      </c>
      <c r="D81" s="197" t="str">
        <f>IF(Envoltória!D66="","",Envoltória!D66)</f>
        <v/>
      </c>
      <c r="E81" s="324">
        <f>Envoltória!AA66</f>
        <v>0</v>
      </c>
      <c r="F81" s="225"/>
      <c r="G81" s="324" t="str">
        <f>IF(C81="","",VLOOKUP(F81,Componentes!$P:$U,2,FALSE))</f>
        <v/>
      </c>
      <c r="H81" s="324" t="str">
        <f>IF(F81="","",VLOOKUP(F81,Componentes!$P:$U,3,FALSE))</f>
        <v/>
      </c>
      <c r="I81" s="197" t="str">
        <f>IF(F81="","",VLOOKUP(F81,Componentes!$P:$U,4,FALSE))</f>
        <v/>
      </c>
      <c r="J81" s="197" t="str">
        <f>IF(F81="","",VLOOKUP(F81,Componentes!$P:$U,6,FALSE))</f>
        <v/>
      </c>
      <c r="K81" s="197" t="str">
        <f>IF(F81="","",IF(I81&lt;&gt;"SPLV",VLOOKUP(F81,Componentes!$P:$U,5,FALSE),""))</f>
        <v/>
      </c>
      <c r="L81" s="191" t="str">
        <f t="shared" si="1"/>
        <v/>
      </c>
      <c r="M81" s="197" t="str">
        <f>IF(OR(I81="SPLV",I81="k"),VLOOKUP(F81,Componentes!$P:$U,5,FALSE),"")</f>
        <v/>
      </c>
      <c r="N81" s="192" t="str">
        <f t="shared" si="4"/>
        <v/>
      </c>
      <c r="O81" s="193"/>
      <c r="P81" t="str">
        <f>IF(Envoltória!D66="","",J81*VLOOKUP(Envoltória!H66,Aux_Lista!$A$1:$K$9,10,FALSE)*VLOOKUP(Envoltória!H66,Aux_Lista!$A$1:$K$9,11,FALSE)/1000)</f>
        <v/>
      </c>
      <c r="Q81" s="249"/>
      <c r="R81" s="99"/>
      <c r="S81" s="98"/>
      <c r="T81" s="251"/>
      <c r="U81" s="251"/>
      <c r="V81" s="251"/>
      <c r="W81" s="251"/>
      <c r="X81" s="251"/>
      <c r="Y81" s="251"/>
      <c r="Z81" s="251"/>
      <c r="AA81" s="251"/>
      <c r="AB81" s="251"/>
      <c r="AC81" s="251"/>
      <c r="AD81" s="251"/>
      <c r="AE81" s="251"/>
      <c r="AF81" s="251"/>
      <c r="AG81" s="251"/>
      <c r="AH81" s="251"/>
      <c r="AI81" s="251"/>
      <c r="AJ81" s="251"/>
      <c r="AK81" s="252" t="str">
        <f t="shared" si="2"/>
        <v/>
      </c>
      <c r="AL81" s="342">
        <f t="shared" si="3"/>
        <v>0</v>
      </c>
    </row>
    <row r="82" spans="1:38" x14ac:dyDescent="0.25">
      <c r="A82" s="162">
        <v>52</v>
      </c>
      <c r="B82" s="225"/>
      <c r="C82" s="197" t="str">
        <f>IF(Envoltória!C67="","",Envoltória!C67)</f>
        <v/>
      </c>
      <c r="D82" s="197" t="str">
        <f>IF(Envoltória!D67="","",Envoltória!D67)</f>
        <v/>
      </c>
      <c r="E82" s="324">
        <f>Envoltória!AA67</f>
        <v>0</v>
      </c>
      <c r="F82" s="225"/>
      <c r="G82" s="324" t="str">
        <f>IF(C82="","",VLOOKUP(F82,Componentes!$P:$U,2,FALSE))</f>
        <v/>
      </c>
      <c r="H82" s="324" t="str">
        <f>IF(F82="","",VLOOKUP(F82,Componentes!$P:$U,3,FALSE))</f>
        <v/>
      </c>
      <c r="I82" s="197" t="str">
        <f>IF(F82="","",VLOOKUP(F82,Componentes!$P:$U,4,FALSE))</f>
        <v/>
      </c>
      <c r="J82" s="197" t="str">
        <f>IF(F82="","",VLOOKUP(F82,Componentes!$P:$U,6,FALSE))</f>
        <v/>
      </c>
      <c r="K82" s="197" t="str">
        <f>IF(F82="","",IF(I82&lt;&gt;"SPLV",VLOOKUP(F82,Componentes!$P:$U,5,FALSE),""))</f>
        <v/>
      </c>
      <c r="L82" s="191" t="str">
        <f t="shared" si="1"/>
        <v/>
      </c>
      <c r="M82" s="197" t="str">
        <f>IF(OR(I82="SPLV",I82="k"),VLOOKUP(F82,Componentes!$P:$U,5,FALSE),"")</f>
        <v/>
      </c>
      <c r="N82" s="192" t="str">
        <f t="shared" si="4"/>
        <v/>
      </c>
      <c r="O82" s="193"/>
      <c r="P82" t="str">
        <f>IF(Envoltória!D67="","",J82*VLOOKUP(Envoltória!H67,Aux_Lista!$A$1:$K$9,10,FALSE)*VLOOKUP(Envoltória!H67,Aux_Lista!$A$1:$K$9,11,FALSE)/1000)</f>
        <v/>
      </c>
      <c r="Q82" s="249"/>
      <c r="R82" s="99"/>
      <c r="S82" s="98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1"/>
      <c r="AG82" s="251"/>
      <c r="AH82" s="251"/>
      <c r="AI82" s="251"/>
      <c r="AJ82" s="251"/>
      <c r="AK82" s="252" t="str">
        <f t="shared" si="2"/>
        <v/>
      </c>
      <c r="AL82" s="342">
        <f t="shared" si="3"/>
        <v>0</v>
      </c>
    </row>
    <row r="83" spans="1:38" x14ac:dyDescent="0.25">
      <c r="A83" s="162">
        <v>53</v>
      </c>
      <c r="B83" s="225"/>
      <c r="C83" s="197" t="str">
        <f>IF(Envoltória!C68="","",Envoltória!C68)</f>
        <v/>
      </c>
      <c r="D83" s="197" t="str">
        <f>IF(Envoltória!D68="","",Envoltória!D68)</f>
        <v/>
      </c>
      <c r="E83" s="324">
        <f>Envoltória!AA68</f>
        <v>0</v>
      </c>
      <c r="F83" s="225"/>
      <c r="G83" s="324" t="str">
        <f>IF(C83="","",VLOOKUP(F83,Componentes!$P:$U,2,FALSE))</f>
        <v/>
      </c>
      <c r="H83" s="324" t="str">
        <f>IF(F83="","",VLOOKUP(F83,Componentes!$P:$U,3,FALSE))</f>
        <v/>
      </c>
      <c r="I83" s="197" t="str">
        <f>IF(F83="","",VLOOKUP(F83,Componentes!$P:$U,4,FALSE))</f>
        <v/>
      </c>
      <c r="J83" s="197" t="str">
        <f>IF(F83="","",VLOOKUP(F83,Componentes!$P:$U,6,FALSE))</f>
        <v/>
      </c>
      <c r="K83" s="197" t="str">
        <f>IF(F83="","",IF(I83&lt;&gt;"SPLV",VLOOKUP(F83,Componentes!$P:$U,5,FALSE),""))</f>
        <v/>
      </c>
      <c r="L83" s="191" t="str">
        <f t="shared" si="1"/>
        <v/>
      </c>
      <c r="M83" s="197" t="str">
        <f>IF(OR(I83="SPLV",I83="k"),VLOOKUP(F83,Componentes!$P:$U,5,FALSE),"")</f>
        <v/>
      </c>
      <c r="N83" s="192" t="str">
        <f t="shared" si="4"/>
        <v/>
      </c>
      <c r="O83" s="193"/>
      <c r="P83" t="str">
        <f>IF(Envoltória!D68="","",J83*VLOOKUP(Envoltória!H68,Aux_Lista!$A$1:$K$9,10,FALSE)*VLOOKUP(Envoltória!H68,Aux_Lista!$A$1:$K$9,11,FALSE)/1000)</f>
        <v/>
      </c>
      <c r="Q83" s="249"/>
      <c r="R83" s="99"/>
      <c r="S83" s="98"/>
      <c r="T83" s="251"/>
      <c r="U83" s="251"/>
      <c r="V83" s="251"/>
      <c r="W83" s="251"/>
      <c r="X83" s="251"/>
      <c r="Y83" s="251"/>
      <c r="Z83" s="251"/>
      <c r="AA83" s="251"/>
      <c r="AB83" s="251"/>
      <c r="AC83" s="251"/>
      <c r="AD83" s="251"/>
      <c r="AE83" s="251"/>
      <c r="AF83" s="251"/>
      <c r="AG83" s="251"/>
      <c r="AH83" s="251"/>
      <c r="AI83" s="251"/>
      <c r="AJ83" s="251"/>
      <c r="AK83" s="252" t="str">
        <f t="shared" si="2"/>
        <v/>
      </c>
      <c r="AL83" s="342">
        <f t="shared" si="3"/>
        <v>0</v>
      </c>
    </row>
    <row r="84" spans="1:38" x14ac:dyDescent="0.25">
      <c r="A84" s="162">
        <v>54</v>
      </c>
      <c r="B84" s="225"/>
      <c r="C84" s="197" t="str">
        <f>IF(Envoltória!C69="","",Envoltória!C69)</f>
        <v/>
      </c>
      <c r="D84" s="197" t="str">
        <f>IF(Envoltória!D69="","",Envoltória!D69)</f>
        <v/>
      </c>
      <c r="E84" s="324">
        <f>Envoltória!AA69</f>
        <v>0</v>
      </c>
      <c r="F84" s="225"/>
      <c r="G84" s="324" t="str">
        <f>IF(C84="","",VLOOKUP(F84,Componentes!$P:$U,2,FALSE))</f>
        <v/>
      </c>
      <c r="H84" s="324" t="str">
        <f>IF(F84="","",VLOOKUP(F84,Componentes!$P:$U,3,FALSE))</f>
        <v/>
      </c>
      <c r="I84" s="197" t="str">
        <f>IF(F84="","",VLOOKUP(F84,Componentes!$P:$U,4,FALSE))</f>
        <v/>
      </c>
      <c r="J84" s="197" t="str">
        <f>IF(F84="","",VLOOKUP(F84,Componentes!$P:$U,6,FALSE))</f>
        <v/>
      </c>
      <c r="K84" s="197" t="str">
        <f>IF(F84="","",IF(I84&lt;&gt;"SPLV",VLOOKUP(F84,Componentes!$P:$U,5,FALSE),""))</f>
        <v/>
      </c>
      <c r="L84" s="191" t="str">
        <f t="shared" si="1"/>
        <v/>
      </c>
      <c r="M84" s="197" t="str">
        <f>IF(OR(I84="SPLV",I84="k"),VLOOKUP(F84,Componentes!$P:$U,5,FALSE),"")</f>
        <v/>
      </c>
      <c r="N84" s="192" t="str">
        <f t="shared" si="4"/>
        <v/>
      </c>
      <c r="O84" s="193"/>
      <c r="P84" t="str">
        <f>IF(Envoltória!D69="","",J84*VLOOKUP(Envoltória!H69,Aux_Lista!$A$1:$K$9,10,FALSE)*VLOOKUP(Envoltória!H69,Aux_Lista!$A$1:$K$9,11,FALSE)/1000)</f>
        <v/>
      </c>
      <c r="Q84" s="249"/>
      <c r="R84" s="99"/>
      <c r="S84" s="98"/>
      <c r="T84" s="251"/>
      <c r="U84" s="251"/>
      <c r="V84" s="251"/>
      <c r="W84" s="251"/>
      <c r="X84" s="251"/>
      <c r="Y84" s="251"/>
      <c r="Z84" s="251"/>
      <c r="AA84" s="251"/>
      <c r="AB84" s="251"/>
      <c r="AC84" s="251"/>
      <c r="AD84" s="251"/>
      <c r="AE84" s="251"/>
      <c r="AF84" s="251"/>
      <c r="AG84" s="251"/>
      <c r="AH84" s="251"/>
      <c r="AI84" s="251"/>
      <c r="AJ84" s="251"/>
      <c r="AK84" s="252" t="str">
        <f t="shared" si="2"/>
        <v/>
      </c>
      <c r="AL84" s="342">
        <f t="shared" si="3"/>
        <v>0</v>
      </c>
    </row>
    <row r="85" spans="1:38" x14ac:dyDescent="0.25">
      <c r="A85" s="162">
        <v>55</v>
      </c>
      <c r="B85" s="225"/>
      <c r="C85" s="197" t="str">
        <f>IF(Envoltória!C70="","",Envoltória!C70)</f>
        <v/>
      </c>
      <c r="D85" s="197" t="str">
        <f>IF(Envoltória!D70="","",Envoltória!D70)</f>
        <v/>
      </c>
      <c r="E85" s="324">
        <f>Envoltória!AA70</f>
        <v>0</v>
      </c>
      <c r="F85" s="225"/>
      <c r="G85" s="324" t="str">
        <f>IF(C85="","",VLOOKUP(F85,Componentes!$P:$U,2,FALSE))</f>
        <v/>
      </c>
      <c r="H85" s="324" t="str">
        <f>IF(F85="","",VLOOKUP(F85,Componentes!$P:$U,3,FALSE))</f>
        <v/>
      </c>
      <c r="I85" s="197" t="str">
        <f>IF(F85="","",VLOOKUP(F85,Componentes!$P:$U,4,FALSE))</f>
        <v/>
      </c>
      <c r="J85" s="197" t="str">
        <f>IF(F85="","",VLOOKUP(F85,Componentes!$P:$U,6,FALSE))</f>
        <v/>
      </c>
      <c r="K85" s="197" t="str">
        <f>IF(F85="","",IF(I85&lt;&gt;"SPLV",VLOOKUP(F85,Componentes!$P:$U,5,FALSE),""))</f>
        <v/>
      </c>
      <c r="L85" s="191" t="str">
        <f t="shared" si="1"/>
        <v/>
      </c>
      <c r="M85" s="197" t="str">
        <f>IF(OR(I85="SPLV",I85="k"),VLOOKUP(F85,Componentes!$P:$U,5,FALSE),"")</f>
        <v/>
      </c>
      <c r="N85" s="192" t="str">
        <f t="shared" si="4"/>
        <v/>
      </c>
      <c r="O85" s="193"/>
      <c r="P85" t="str">
        <f>IF(Envoltória!D70="","",J85*VLOOKUP(Envoltória!H70,Aux_Lista!$A$1:$K$9,10,FALSE)*VLOOKUP(Envoltória!H70,Aux_Lista!$A$1:$K$9,11,FALSE)/1000)</f>
        <v/>
      </c>
      <c r="Q85" s="249"/>
      <c r="R85" s="99"/>
      <c r="S85" s="98"/>
      <c r="T85" s="251"/>
      <c r="U85" s="251"/>
      <c r="V85" s="251"/>
      <c r="W85" s="251"/>
      <c r="X85" s="251"/>
      <c r="Y85" s="251"/>
      <c r="Z85" s="251"/>
      <c r="AA85" s="251"/>
      <c r="AB85" s="251"/>
      <c r="AC85" s="251"/>
      <c r="AD85" s="251"/>
      <c r="AE85" s="251"/>
      <c r="AF85" s="251"/>
      <c r="AG85" s="251"/>
      <c r="AH85" s="251"/>
      <c r="AI85" s="251"/>
      <c r="AJ85" s="251"/>
      <c r="AK85" s="252" t="str">
        <f t="shared" si="2"/>
        <v/>
      </c>
      <c r="AL85" s="342">
        <f t="shared" si="3"/>
        <v>0</v>
      </c>
    </row>
    <row r="86" spans="1:38" x14ac:dyDescent="0.25">
      <c r="A86" s="162">
        <v>56</v>
      </c>
      <c r="B86" s="225"/>
      <c r="C86" s="197" t="str">
        <f>IF(Envoltória!C71="","",Envoltória!C71)</f>
        <v/>
      </c>
      <c r="D86" s="197" t="str">
        <f>IF(Envoltória!D71="","",Envoltória!D71)</f>
        <v/>
      </c>
      <c r="E86" s="324">
        <f>Envoltória!AA71</f>
        <v>0</v>
      </c>
      <c r="F86" s="225"/>
      <c r="G86" s="324" t="str">
        <f>IF(C86="","",VLOOKUP(F86,Componentes!$P:$U,2,FALSE))</f>
        <v/>
      </c>
      <c r="H86" s="324" t="str">
        <f>IF(F86="","",VLOOKUP(F86,Componentes!$P:$U,3,FALSE))</f>
        <v/>
      </c>
      <c r="I86" s="197" t="str">
        <f>IF(F86="","",VLOOKUP(F86,Componentes!$P:$U,4,FALSE))</f>
        <v/>
      </c>
      <c r="J86" s="197" t="str">
        <f>IF(F86="","",VLOOKUP(F86,Componentes!$P:$U,6,FALSE))</f>
        <v/>
      </c>
      <c r="K86" s="197" t="str">
        <f>IF(F86="","",IF(I86&lt;&gt;"SPLV",VLOOKUP(F86,Componentes!$P:$U,5,FALSE),""))</f>
        <v/>
      </c>
      <c r="L86" s="191" t="str">
        <f t="shared" si="1"/>
        <v/>
      </c>
      <c r="M86" s="197" t="str">
        <f>IF(OR(I86="SPLV",I86="k"),VLOOKUP(F86,Componentes!$P:$U,5,FALSE),"")</f>
        <v/>
      </c>
      <c r="N86" s="192" t="str">
        <f t="shared" si="4"/>
        <v/>
      </c>
      <c r="O86" s="193"/>
      <c r="P86" t="str">
        <f>IF(Envoltória!D71="","",J86*VLOOKUP(Envoltória!H71,Aux_Lista!$A$1:$K$9,10,FALSE)*VLOOKUP(Envoltória!H71,Aux_Lista!$A$1:$K$9,11,FALSE)/1000)</f>
        <v/>
      </c>
      <c r="Q86" s="249"/>
      <c r="R86" s="99"/>
      <c r="S86" s="98"/>
      <c r="T86" s="251"/>
      <c r="U86" s="251"/>
      <c r="V86" s="251"/>
      <c r="W86" s="251"/>
      <c r="X86" s="251"/>
      <c r="Y86" s="251"/>
      <c r="Z86" s="251"/>
      <c r="AA86" s="251"/>
      <c r="AB86" s="251"/>
      <c r="AC86" s="251"/>
      <c r="AD86" s="251"/>
      <c r="AE86" s="251"/>
      <c r="AF86" s="251"/>
      <c r="AG86" s="251"/>
      <c r="AH86" s="251"/>
      <c r="AI86" s="251"/>
      <c r="AJ86" s="251"/>
      <c r="AK86" s="252" t="str">
        <f t="shared" si="2"/>
        <v/>
      </c>
      <c r="AL86" s="342">
        <f t="shared" si="3"/>
        <v>0</v>
      </c>
    </row>
    <row r="87" spans="1:38" x14ac:dyDescent="0.25">
      <c r="A87" s="162">
        <v>57</v>
      </c>
      <c r="B87" s="225"/>
      <c r="C87" s="197" t="str">
        <f>IF(Envoltória!C72="","",Envoltória!C72)</f>
        <v/>
      </c>
      <c r="D87" s="197" t="str">
        <f>IF(Envoltória!D72="","",Envoltória!D72)</f>
        <v/>
      </c>
      <c r="E87" s="324">
        <f>Envoltória!AA72</f>
        <v>0</v>
      </c>
      <c r="F87" s="225"/>
      <c r="G87" s="324" t="str">
        <f>IF(C87="","",VLOOKUP(F87,Componentes!$P:$U,2,FALSE))</f>
        <v/>
      </c>
      <c r="H87" s="324" t="str">
        <f>IF(F87="","",VLOOKUP(F87,Componentes!$P:$U,3,FALSE))</f>
        <v/>
      </c>
      <c r="I87" s="197" t="str">
        <f>IF(F87="","",VLOOKUP(F87,Componentes!$P:$U,4,FALSE))</f>
        <v/>
      </c>
      <c r="J87" s="197" t="str">
        <f>IF(F87="","",VLOOKUP(F87,Componentes!$P:$U,6,FALSE))</f>
        <v/>
      </c>
      <c r="K87" s="197" t="str">
        <f>IF(F87="","",IF(I87&lt;&gt;"SPLV",VLOOKUP(F87,Componentes!$P:$U,5,FALSE),""))</f>
        <v/>
      </c>
      <c r="L87" s="191" t="str">
        <f t="shared" si="1"/>
        <v/>
      </c>
      <c r="M87" s="197" t="str">
        <f>IF(OR(I87="SPLV",I87="k"),VLOOKUP(F87,Componentes!$P:$U,5,FALSE),"")</f>
        <v/>
      </c>
      <c r="N87" s="192" t="str">
        <f t="shared" si="4"/>
        <v/>
      </c>
      <c r="O87" s="193"/>
      <c r="P87" t="str">
        <f>IF(Envoltória!D72="","",J87*VLOOKUP(Envoltória!H72,Aux_Lista!$A$1:$K$9,10,FALSE)*VLOOKUP(Envoltória!H72,Aux_Lista!$A$1:$K$9,11,FALSE)/1000)</f>
        <v/>
      </c>
      <c r="Q87" s="249"/>
      <c r="R87" s="99"/>
      <c r="S87" s="98"/>
      <c r="T87" s="251"/>
      <c r="U87" s="251"/>
      <c r="V87" s="251"/>
      <c r="W87" s="251"/>
      <c r="X87" s="251"/>
      <c r="Y87" s="251"/>
      <c r="Z87" s="251"/>
      <c r="AA87" s="251"/>
      <c r="AB87" s="251"/>
      <c r="AC87" s="251"/>
      <c r="AD87" s="251"/>
      <c r="AE87" s="251"/>
      <c r="AF87" s="251"/>
      <c r="AG87" s="251"/>
      <c r="AH87" s="251"/>
      <c r="AI87" s="251"/>
      <c r="AJ87" s="251"/>
      <c r="AK87" s="252" t="str">
        <f t="shared" si="2"/>
        <v/>
      </c>
      <c r="AL87" s="342">
        <f t="shared" si="3"/>
        <v>0</v>
      </c>
    </row>
    <row r="88" spans="1:38" x14ac:dyDescent="0.25">
      <c r="A88" s="162">
        <v>58</v>
      </c>
      <c r="B88" s="225"/>
      <c r="C88" s="197" t="str">
        <f>IF(Envoltória!C73="","",Envoltória!C73)</f>
        <v/>
      </c>
      <c r="D88" s="197" t="str">
        <f>IF(Envoltória!D73="","",Envoltória!D73)</f>
        <v/>
      </c>
      <c r="E88" s="324">
        <f>Envoltória!AA73</f>
        <v>0</v>
      </c>
      <c r="F88" s="225"/>
      <c r="G88" s="324" t="str">
        <f>IF(C88="","",VLOOKUP(F88,Componentes!$P:$U,2,FALSE))</f>
        <v/>
      </c>
      <c r="H88" s="324" t="str">
        <f>IF(F88="","",VLOOKUP(F88,Componentes!$P:$U,3,FALSE))</f>
        <v/>
      </c>
      <c r="I88" s="197" t="str">
        <f>IF(F88="","",VLOOKUP(F88,Componentes!$P:$U,4,FALSE))</f>
        <v/>
      </c>
      <c r="J88" s="197" t="str">
        <f>IF(F88="","",VLOOKUP(F88,Componentes!$P:$U,6,FALSE))</f>
        <v/>
      </c>
      <c r="K88" s="197" t="str">
        <f>IF(F88="","",IF(I88&lt;&gt;"SPLV",VLOOKUP(F88,Componentes!$P:$U,5,FALSE),""))</f>
        <v/>
      </c>
      <c r="L88" s="191" t="str">
        <f t="shared" si="1"/>
        <v/>
      </c>
      <c r="M88" s="197" t="str">
        <f>IF(OR(I88="SPLV",I88="k"),VLOOKUP(F88,Componentes!$P:$U,5,FALSE),"")</f>
        <v/>
      </c>
      <c r="N88" s="192" t="str">
        <f t="shared" si="4"/>
        <v/>
      </c>
      <c r="O88" s="193"/>
      <c r="P88" t="str">
        <f>IF(Envoltória!D73="","",J88*VLOOKUP(Envoltória!H73,Aux_Lista!$A$1:$K$9,10,FALSE)*VLOOKUP(Envoltória!H73,Aux_Lista!$A$1:$K$9,11,FALSE)/1000)</f>
        <v/>
      </c>
      <c r="Q88" s="249"/>
      <c r="R88" s="99"/>
      <c r="S88" s="98"/>
      <c r="T88" s="251"/>
      <c r="U88" s="251"/>
      <c r="V88" s="251"/>
      <c r="W88" s="251"/>
      <c r="X88" s="251"/>
      <c r="Y88" s="251"/>
      <c r="Z88" s="251"/>
      <c r="AA88" s="251"/>
      <c r="AB88" s="251"/>
      <c r="AC88" s="251"/>
      <c r="AD88" s="251"/>
      <c r="AE88" s="251"/>
      <c r="AF88" s="251"/>
      <c r="AG88" s="251"/>
      <c r="AH88" s="251"/>
      <c r="AI88" s="251"/>
      <c r="AJ88" s="251"/>
      <c r="AK88" s="252" t="str">
        <f t="shared" si="2"/>
        <v/>
      </c>
      <c r="AL88" s="342">
        <f t="shared" si="3"/>
        <v>0</v>
      </c>
    </row>
    <row r="89" spans="1:38" x14ac:dyDescent="0.25">
      <c r="A89" s="162">
        <v>59</v>
      </c>
      <c r="B89" s="225"/>
      <c r="C89" s="197" t="str">
        <f>IF(Envoltória!C74="","",Envoltória!C74)</f>
        <v/>
      </c>
      <c r="D89" s="197" t="str">
        <f>IF(Envoltória!D74="","",Envoltória!D74)</f>
        <v/>
      </c>
      <c r="E89" s="324">
        <f>Envoltória!AA74</f>
        <v>0</v>
      </c>
      <c r="F89" s="225"/>
      <c r="G89" s="324" t="str">
        <f>IF(C89="","",VLOOKUP(F89,Componentes!$P:$U,2,FALSE))</f>
        <v/>
      </c>
      <c r="H89" s="324" t="str">
        <f>IF(F89="","",VLOOKUP(F89,Componentes!$P:$U,3,FALSE))</f>
        <v/>
      </c>
      <c r="I89" s="197" t="str">
        <f>IF(F89="","",VLOOKUP(F89,Componentes!$P:$U,4,FALSE))</f>
        <v/>
      </c>
      <c r="J89" s="197" t="str">
        <f>IF(F89="","",VLOOKUP(F89,Componentes!$P:$U,6,FALSE))</f>
        <v/>
      </c>
      <c r="K89" s="197" t="str">
        <f>IF(F89="","",IF(I89&lt;&gt;"SPLV",VLOOKUP(F89,Componentes!$P:$U,5,FALSE),""))</f>
        <v/>
      </c>
      <c r="L89" s="191" t="str">
        <f t="shared" si="1"/>
        <v/>
      </c>
      <c r="M89" s="197" t="str">
        <f>IF(OR(I89="SPLV",I89="k"),VLOOKUP(F89,Componentes!$P:$U,5,FALSE),"")</f>
        <v/>
      </c>
      <c r="N89" s="192" t="str">
        <f t="shared" si="4"/>
        <v/>
      </c>
      <c r="O89" s="193"/>
      <c r="P89" t="str">
        <f>IF(Envoltória!D74="","",J89*VLOOKUP(Envoltória!H74,Aux_Lista!$A$1:$K$9,10,FALSE)*VLOOKUP(Envoltória!H74,Aux_Lista!$A$1:$K$9,11,FALSE)/1000)</f>
        <v/>
      </c>
      <c r="Q89" s="249"/>
      <c r="R89" s="99"/>
      <c r="S89" s="98"/>
      <c r="T89" s="251"/>
      <c r="U89" s="251"/>
      <c r="V89" s="251"/>
      <c r="W89" s="251"/>
      <c r="X89" s="251"/>
      <c r="Y89" s="251"/>
      <c r="Z89" s="251"/>
      <c r="AA89" s="251"/>
      <c r="AB89" s="251"/>
      <c r="AC89" s="251"/>
      <c r="AD89" s="251"/>
      <c r="AE89" s="251"/>
      <c r="AF89" s="251"/>
      <c r="AG89" s="251"/>
      <c r="AH89" s="251"/>
      <c r="AI89" s="251"/>
      <c r="AJ89" s="251"/>
      <c r="AK89" s="252" t="str">
        <f t="shared" si="2"/>
        <v/>
      </c>
      <c r="AL89" s="342">
        <f t="shared" si="3"/>
        <v>0</v>
      </c>
    </row>
    <row r="90" spans="1:38" x14ac:dyDescent="0.25">
      <c r="A90" s="162">
        <v>60</v>
      </c>
      <c r="B90" s="225"/>
      <c r="C90" s="197" t="str">
        <f>IF(Envoltória!C75="","",Envoltória!C75)</f>
        <v/>
      </c>
      <c r="D90" s="197" t="str">
        <f>IF(Envoltória!D75="","",Envoltória!D75)</f>
        <v/>
      </c>
      <c r="E90" s="324">
        <f>Envoltória!AA75</f>
        <v>0</v>
      </c>
      <c r="F90" s="225"/>
      <c r="G90" s="324" t="str">
        <f>IF(C90="","",VLOOKUP(F90,Componentes!$P:$U,2,FALSE))</f>
        <v/>
      </c>
      <c r="H90" s="324" t="str">
        <f>IF(F90="","",VLOOKUP(F90,Componentes!$P:$U,3,FALSE))</f>
        <v/>
      </c>
      <c r="I90" s="197" t="str">
        <f>IF(F90="","",VLOOKUP(F90,Componentes!$P:$U,4,FALSE))</f>
        <v/>
      </c>
      <c r="J90" s="197" t="str">
        <f>IF(F90="","",VLOOKUP(F90,Componentes!$P:$U,6,FALSE))</f>
        <v/>
      </c>
      <c r="K90" s="197" t="str">
        <f>IF(F90="","",IF(I90&lt;&gt;"SPLV",VLOOKUP(F90,Componentes!$P:$U,5,FALSE),""))</f>
        <v/>
      </c>
      <c r="L90" s="191" t="str">
        <f t="shared" si="1"/>
        <v/>
      </c>
      <c r="M90" s="197" t="str">
        <f>IF(OR(I90="SPLV",I90="k"),VLOOKUP(F90,Componentes!$P:$U,5,FALSE),"")</f>
        <v/>
      </c>
      <c r="N90" s="192" t="str">
        <f t="shared" si="4"/>
        <v/>
      </c>
      <c r="O90" s="193"/>
      <c r="P90" t="str">
        <f>IF(Envoltória!D75="","",J90*VLOOKUP(Envoltória!H75,Aux_Lista!$A$1:$K$9,10,FALSE)*VLOOKUP(Envoltória!H75,Aux_Lista!$A$1:$K$9,11,FALSE)/1000)</f>
        <v/>
      </c>
      <c r="Q90" s="249"/>
      <c r="R90" s="99"/>
      <c r="S90" s="98"/>
      <c r="T90" s="251"/>
      <c r="U90" s="251"/>
      <c r="V90" s="251"/>
      <c r="W90" s="251"/>
      <c r="X90" s="251"/>
      <c r="Y90" s="251"/>
      <c r="Z90" s="251"/>
      <c r="AA90" s="251"/>
      <c r="AB90" s="251"/>
      <c r="AC90" s="251"/>
      <c r="AD90" s="251"/>
      <c r="AE90" s="251"/>
      <c r="AF90" s="251"/>
      <c r="AG90" s="251"/>
      <c r="AH90" s="251"/>
      <c r="AI90" s="251"/>
      <c r="AJ90" s="251"/>
      <c r="AK90" s="252" t="str">
        <f t="shared" si="2"/>
        <v/>
      </c>
      <c r="AL90" s="342">
        <f t="shared" si="3"/>
        <v>0</v>
      </c>
    </row>
    <row r="91" spans="1:38" x14ac:dyDescent="0.25">
      <c r="A91" s="162">
        <v>61</v>
      </c>
      <c r="B91" s="225"/>
      <c r="C91" s="197" t="str">
        <f>IF(Envoltória!C76="","",Envoltória!C76)</f>
        <v/>
      </c>
      <c r="D91" s="197" t="str">
        <f>IF(Envoltória!D76="","",Envoltória!D76)</f>
        <v/>
      </c>
      <c r="E91" s="324">
        <f>Envoltória!AA76</f>
        <v>0</v>
      </c>
      <c r="F91" s="225"/>
      <c r="G91" s="324" t="str">
        <f>IF(C91="","",VLOOKUP(F91,Componentes!$P:$U,2,FALSE))</f>
        <v/>
      </c>
      <c r="H91" s="324" t="str">
        <f>IF(F91="","",VLOOKUP(F91,Componentes!$P:$U,3,FALSE))</f>
        <v/>
      </c>
      <c r="I91" s="197" t="str">
        <f>IF(F91="","",VLOOKUP(F91,Componentes!$P:$U,4,FALSE))</f>
        <v/>
      </c>
      <c r="J91" s="197" t="str">
        <f>IF(F91="","",VLOOKUP(F91,Componentes!$P:$U,6,FALSE))</f>
        <v/>
      </c>
      <c r="K91" s="197" t="str">
        <f>IF(F91="","",IF(I91&lt;&gt;"SPLV",VLOOKUP(F91,Componentes!$P:$U,5,FALSE),""))</f>
        <v/>
      </c>
      <c r="L91" s="191" t="str">
        <f t="shared" si="1"/>
        <v/>
      </c>
      <c r="M91" s="197" t="str">
        <f>IF(OR(I91="SPLV",I91="k"),VLOOKUP(F91,Componentes!$P:$U,5,FALSE),"")</f>
        <v/>
      </c>
      <c r="N91" s="192" t="str">
        <f t="shared" si="4"/>
        <v/>
      </c>
      <c r="O91" s="193"/>
      <c r="P91" t="str">
        <f>IF(Envoltória!D76="","",J91*VLOOKUP(Envoltória!H76,Aux_Lista!$A$1:$K$9,10,FALSE)*VLOOKUP(Envoltória!H76,Aux_Lista!$A$1:$K$9,11,FALSE)/1000)</f>
        <v/>
      </c>
      <c r="Q91" s="249"/>
      <c r="R91" s="99"/>
      <c r="S91" s="98"/>
      <c r="T91" s="251"/>
      <c r="U91" s="251"/>
      <c r="V91" s="251"/>
      <c r="W91" s="251"/>
      <c r="X91" s="251"/>
      <c r="Y91" s="251"/>
      <c r="Z91" s="251"/>
      <c r="AA91" s="251"/>
      <c r="AB91" s="251"/>
      <c r="AC91" s="251"/>
      <c r="AD91" s="251"/>
      <c r="AE91" s="251"/>
      <c r="AF91" s="251"/>
      <c r="AG91" s="251"/>
      <c r="AH91" s="251"/>
      <c r="AI91" s="251"/>
      <c r="AJ91" s="251"/>
      <c r="AK91" s="252" t="str">
        <f t="shared" si="2"/>
        <v/>
      </c>
      <c r="AL91" s="342">
        <f t="shared" si="3"/>
        <v>0</v>
      </c>
    </row>
    <row r="92" spans="1:38" x14ac:dyDescent="0.25">
      <c r="A92" s="162">
        <v>62</v>
      </c>
      <c r="B92" s="225"/>
      <c r="C92" s="197" t="str">
        <f>IF(Envoltória!C77="","",Envoltória!C77)</f>
        <v/>
      </c>
      <c r="D92" s="197" t="str">
        <f>IF(Envoltória!D77="","",Envoltória!D77)</f>
        <v/>
      </c>
      <c r="E92" s="324">
        <f>Envoltória!AA77</f>
        <v>0</v>
      </c>
      <c r="F92" s="225"/>
      <c r="G92" s="324" t="str">
        <f>IF(C92="","",VLOOKUP(F92,Componentes!$P:$U,2,FALSE))</f>
        <v/>
      </c>
      <c r="H92" s="324" t="str">
        <f>IF(F92="","",VLOOKUP(F92,Componentes!$P:$U,3,FALSE))</f>
        <v/>
      </c>
      <c r="I92" s="197" t="str">
        <f>IF(F92="","",VLOOKUP(F92,Componentes!$P:$U,4,FALSE))</f>
        <v/>
      </c>
      <c r="J92" s="197" t="str">
        <f>IF(F92="","",VLOOKUP(F92,Componentes!$P:$U,6,FALSE))</f>
        <v/>
      </c>
      <c r="K92" s="197" t="str">
        <f>IF(F92="","",IF(I92&lt;&gt;"SPLV",VLOOKUP(F92,Componentes!$P:$U,5,FALSE),""))</f>
        <v/>
      </c>
      <c r="L92" s="191" t="str">
        <f t="shared" si="1"/>
        <v/>
      </c>
      <c r="M92" s="197" t="str">
        <f>IF(OR(I92="SPLV",I92="k"),VLOOKUP(F92,Componentes!$P:$U,5,FALSE),"")</f>
        <v/>
      </c>
      <c r="N92" s="192" t="str">
        <f t="shared" si="4"/>
        <v/>
      </c>
      <c r="O92" s="193"/>
      <c r="P92" t="str">
        <f>IF(Envoltória!D77="","",J92*VLOOKUP(Envoltória!H77,Aux_Lista!$A$1:$K$9,10,FALSE)*VLOOKUP(Envoltória!H77,Aux_Lista!$A$1:$K$9,11,FALSE)/1000)</f>
        <v/>
      </c>
      <c r="Q92" s="249"/>
      <c r="R92" s="99"/>
      <c r="S92" s="98"/>
      <c r="T92" s="251"/>
      <c r="U92" s="251"/>
      <c r="V92" s="251"/>
      <c r="W92" s="251"/>
      <c r="X92" s="251"/>
      <c r="Y92" s="251"/>
      <c r="Z92" s="251"/>
      <c r="AA92" s="251"/>
      <c r="AB92" s="251"/>
      <c r="AC92" s="251"/>
      <c r="AD92" s="251"/>
      <c r="AE92" s="251"/>
      <c r="AF92" s="251"/>
      <c r="AG92" s="251"/>
      <c r="AH92" s="251"/>
      <c r="AI92" s="251"/>
      <c r="AJ92" s="251"/>
      <c r="AK92" s="252" t="str">
        <f t="shared" si="2"/>
        <v/>
      </c>
      <c r="AL92" s="342">
        <f t="shared" si="3"/>
        <v>0</v>
      </c>
    </row>
    <row r="93" spans="1:38" x14ac:dyDescent="0.25">
      <c r="A93" s="162">
        <v>63</v>
      </c>
      <c r="B93" s="225"/>
      <c r="C93" s="197" t="str">
        <f>IF(Envoltória!C78="","",Envoltória!C78)</f>
        <v/>
      </c>
      <c r="D93" s="197" t="str">
        <f>IF(Envoltória!D78="","",Envoltória!D78)</f>
        <v/>
      </c>
      <c r="E93" s="324">
        <f>Envoltória!AA78</f>
        <v>0</v>
      </c>
      <c r="F93" s="225"/>
      <c r="G93" s="324" t="str">
        <f>IF(C93="","",VLOOKUP(F93,Componentes!$P:$U,2,FALSE))</f>
        <v/>
      </c>
      <c r="H93" s="324" t="str">
        <f>IF(F93="","",VLOOKUP(F93,Componentes!$P:$U,3,FALSE))</f>
        <v/>
      </c>
      <c r="I93" s="197" t="str">
        <f>IF(F93="","",VLOOKUP(F93,Componentes!$P:$U,4,FALSE))</f>
        <v/>
      </c>
      <c r="J93" s="197" t="str">
        <f>IF(F93="","",VLOOKUP(F93,Componentes!$P:$U,6,FALSE))</f>
        <v/>
      </c>
      <c r="K93" s="197" t="str">
        <f>IF(F93="","",IF(I93&lt;&gt;"SPLV",VLOOKUP(F93,Componentes!$P:$U,5,FALSE),""))</f>
        <v/>
      </c>
      <c r="L93" s="191" t="str">
        <f t="shared" si="1"/>
        <v/>
      </c>
      <c r="M93" s="197" t="str">
        <f>IF(OR(I93="SPLV",I93="k"),VLOOKUP(F93,Componentes!$P:$U,5,FALSE),"")</f>
        <v/>
      </c>
      <c r="N93" s="192" t="str">
        <f t="shared" si="4"/>
        <v/>
      </c>
      <c r="O93" s="193"/>
      <c r="P93" t="str">
        <f>IF(Envoltória!D78="","",J93*VLOOKUP(Envoltória!H78,Aux_Lista!$A$1:$K$9,10,FALSE)*VLOOKUP(Envoltória!H78,Aux_Lista!$A$1:$K$9,11,FALSE)/1000)</f>
        <v/>
      </c>
      <c r="Q93" s="249"/>
      <c r="R93" s="99"/>
      <c r="S93" s="98"/>
      <c r="T93" s="251"/>
      <c r="U93" s="251"/>
      <c r="V93" s="251"/>
      <c r="W93" s="251"/>
      <c r="X93" s="251"/>
      <c r="Y93" s="251"/>
      <c r="Z93" s="251"/>
      <c r="AA93" s="251"/>
      <c r="AB93" s="251"/>
      <c r="AC93" s="251"/>
      <c r="AD93" s="251"/>
      <c r="AE93" s="251"/>
      <c r="AF93" s="251"/>
      <c r="AG93" s="251"/>
      <c r="AH93" s="251"/>
      <c r="AI93" s="251"/>
      <c r="AJ93" s="251"/>
      <c r="AK93" s="252" t="str">
        <f t="shared" si="2"/>
        <v/>
      </c>
      <c r="AL93" s="342">
        <f t="shared" si="3"/>
        <v>0</v>
      </c>
    </row>
    <row r="94" spans="1:38" x14ac:dyDescent="0.25">
      <c r="A94" s="162">
        <v>64</v>
      </c>
      <c r="B94" s="225"/>
      <c r="C94" s="197" t="str">
        <f>IF(Envoltória!C79="","",Envoltória!C79)</f>
        <v/>
      </c>
      <c r="D94" s="197" t="str">
        <f>IF(Envoltória!D79="","",Envoltória!D79)</f>
        <v/>
      </c>
      <c r="E94" s="324">
        <f>Envoltória!AA79</f>
        <v>0</v>
      </c>
      <c r="F94" s="225"/>
      <c r="G94" s="324" t="str">
        <f>IF(C94="","",VLOOKUP(F94,Componentes!$P:$U,2,FALSE))</f>
        <v/>
      </c>
      <c r="H94" s="324" t="str">
        <f>IF(F94="","",VLOOKUP(F94,Componentes!$P:$U,3,FALSE))</f>
        <v/>
      </c>
      <c r="I94" s="197" t="str">
        <f>IF(F94="","",VLOOKUP(F94,Componentes!$P:$U,4,FALSE))</f>
        <v/>
      </c>
      <c r="J94" s="197" t="str">
        <f>IF(F94="","",VLOOKUP(F94,Componentes!$P:$U,6,FALSE))</f>
        <v/>
      </c>
      <c r="K94" s="197" t="str">
        <f>IF(F94="","",IF(I94&lt;&gt;"SPLV",VLOOKUP(F94,Componentes!$P:$U,5,FALSE),""))</f>
        <v/>
      </c>
      <c r="L94" s="191" t="str">
        <f t="shared" si="1"/>
        <v/>
      </c>
      <c r="M94" s="197" t="str">
        <f>IF(OR(I94="SPLV",I94="k"),VLOOKUP(F94,Componentes!$P:$U,5,FALSE),"")</f>
        <v/>
      </c>
      <c r="N94" s="192" t="str">
        <f t="shared" si="4"/>
        <v/>
      </c>
      <c r="O94" s="193"/>
      <c r="P94" t="str">
        <f>IF(Envoltória!D79="","",J94*VLOOKUP(Envoltória!H79,Aux_Lista!$A$1:$K$9,10,FALSE)*VLOOKUP(Envoltória!H79,Aux_Lista!$A$1:$K$9,11,FALSE)/1000)</f>
        <v/>
      </c>
      <c r="Q94" s="249"/>
      <c r="R94" s="99"/>
      <c r="S94" s="98"/>
      <c r="T94" s="251"/>
      <c r="U94" s="251"/>
      <c r="V94" s="251"/>
      <c r="W94" s="251"/>
      <c r="X94" s="251"/>
      <c r="Y94" s="251"/>
      <c r="Z94" s="251"/>
      <c r="AA94" s="251"/>
      <c r="AB94" s="251"/>
      <c r="AC94" s="251"/>
      <c r="AD94" s="251"/>
      <c r="AE94" s="251"/>
      <c r="AF94" s="251"/>
      <c r="AG94" s="251"/>
      <c r="AH94" s="251"/>
      <c r="AI94" s="251"/>
      <c r="AJ94" s="251"/>
      <c r="AK94" s="252" t="str">
        <f t="shared" si="2"/>
        <v/>
      </c>
      <c r="AL94" s="342">
        <f t="shared" si="3"/>
        <v>0</v>
      </c>
    </row>
    <row r="95" spans="1:38" x14ac:dyDescent="0.25">
      <c r="A95" s="162">
        <v>65</v>
      </c>
      <c r="B95" s="225"/>
      <c r="C95" s="197" t="str">
        <f>IF(Envoltória!C80="","",Envoltória!C80)</f>
        <v/>
      </c>
      <c r="D95" s="197" t="str">
        <f>IF(Envoltória!D80="","",Envoltória!D80)</f>
        <v/>
      </c>
      <c r="E95" s="324">
        <f>Envoltória!AA80</f>
        <v>0</v>
      </c>
      <c r="F95" s="225"/>
      <c r="G95" s="324" t="str">
        <f>IF(C95="","",VLOOKUP(F95,Componentes!$P:$U,2,FALSE))</f>
        <v/>
      </c>
      <c r="H95" s="324" t="str">
        <f>IF(F95="","",VLOOKUP(F95,Componentes!$P:$U,3,FALSE))</f>
        <v/>
      </c>
      <c r="I95" s="197" t="str">
        <f>IF(F95="","",VLOOKUP(F95,Componentes!$P:$U,4,FALSE))</f>
        <v/>
      </c>
      <c r="J95" s="197" t="str">
        <f>IF(F95="","",VLOOKUP(F95,Componentes!$P:$U,6,FALSE))</f>
        <v/>
      </c>
      <c r="K95" s="197" t="str">
        <f>IF(F95="","",IF(I95&lt;&gt;"SPLV",VLOOKUP(F95,Componentes!$P:$U,5,FALSE),""))</f>
        <v/>
      </c>
      <c r="L95" s="191" t="str">
        <f t="shared" si="1"/>
        <v/>
      </c>
      <c r="M95" s="197" t="str">
        <f>IF(OR(I95="SPLV",I95="k"),VLOOKUP(F95,Componentes!$P:$U,5,FALSE),"")</f>
        <v/>
      </c>
      <c r="N95" s="192" t="str">
        <f t="shared" ref="N95:N126" si="5">IF(M95="","",E95/M95)</f>
        <v/>
      </c>
      <c r="O95" s="193"/>
      <c r="P95" t="str">
        <f>IF(Envoltória!D80="","",J95*VLOOKUP(Envoltória!H80,Aux_Lista!$A$1:$K$9,10,FALSE)*VLOOKUP(Envoltória!H80,Aux_Lista!$A$1:$K$9,11,FALSE)/1000)</f>
        <v/>
      </c>
      <c r="Q95" s="249"/>
      <c r="R95" s="99"/>
      <c r="S95" s="98"/>
      <c r="T95" s="251"/>
      <c r="U95" s="251"/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51"/>
      <c r="AG95" s="251"/>
      <c r="AH95" s="251"/>
      <c r="AI95" s="251"/>
      <c r="AJ95" s="251"/>
      <c r="AK95" s="252" t="str">
        <f t="shared" si="2"/>
        <v/>
      </c>
      <c r="AL95" s="342">
        <f t="shared" si="3"/>
        <v>0</v>
      </c>
    </row>
    <row r="96" spans="1:38" x14ac:dyDescent="0.25">
      <c r="A96" s="162">
        <v>66</v>
      </c>
      <c r="B96" s="225"/>
      <c r="C96" s="197" t="str">
        <f>IF(Envoltória!C81="","",Envoltória!C81)</f>
        <v/>
      </c>
      <c r="D96" s="197" t="str">
        <f>IF(Envoltória!D81="","",Envoltória!D81)</f>
        <v/>
      </c>
      <c r="E96" s="324">
        <f>Envoltória!AA81</f>
        <v>0</v>
      </c>
      <c r="F96" s="225"/>
      <c r="G96" s="324" t="str">
        <f>IF(C96="","",VLOOKUP(F96,Componentes!$P:$U,2,FALSE))</f>
        <v/>
      </c>
      <c r="H96" s="324" t="str">
        <f>IF(F96="","",VLOOKUP(F96,Componentes!$P:$U,3,FALSE))</f>
        <v/>
      </c>
      <c r="I96" s="197" t="str">
        <f>IF(F96="","",VLOOKUP(F96,Componentes!$P:$U,4,FALSE))</f>
        <v/>
      </c>
      <c r="J96" s="197" t="str">
        <f>IF(F96="","",VLOOKUP(F96,Componentes!$P:$U,6,FALSE))</f>
        <v/>
      </c>
      <c r="K96" s="197" t="str">
        <f>IF(F96="","",IF(I96&lt;&gt;"SPLV",VLOOKUP(F96,Componentes!$P:$U,5,FALSE),""))</f>
        <v/>
      </c>
      <c r="L96" s="191" t="str">
        <f t="shared" ref="L96:L130" si="6">IF(F96="","",IF(K96="","",IF(I96="COP",1.062*K96*H96,K96*H96)))</f>
        <v/>
      </c>
      <c r="M96" s="197" t="str">
        <f>IF(OR(I96="SPLV",I96="k"),VLOOKUP(F96,Componentes!$P:$U,5,FALSE),"")</f>
        <v/>
      </c>
      <c r="N96" s="192" t="str">
        <f t="shared" si="5"/>
        <v/>
      </c>
      <c r="O96" s="193"/>
      <c r="P96" t="str">
        <f>IF(Envoltória!D81="","",J96*VLOOKUP(Envoltória!H81,Aux_Lista!$A$1:$K$9,10,FALSE)*VLOOKUP(Envoltória!H81,Aux_Lista!$A$1:$K$9,11,FALSE)/1000)</f>
        <v/>
      </c>
      <c r="Q96" s="249"/>
      <c r="R96" s="99"/>
      <c r="S96" s="98"/>
      <c r="T96" s="251"/>
      <c r="U96" s="251"/>
      <c r="V96" s="251"/>
      <c r="W96" s="251"/>
      <c r="X96" s="251"/>
      <c r="Y96" s="251"/>
      <c r="Z96" s="251"/>
      <c r="AA96" s="251"/>
      <c r="AB96" s="251"/>
      <c r="AC96" s="251"/>
      <c r="AD96" s="251"/>
      <c r="AE96" s="251"/>
      <c r="AF96" s="251"/>
      <c r="AG96" s="251"/>
      <c r="AH96" s="251"/>
      <c r="AI96" s="251"/>
      <c r="AJ96" s="251"/>
      <c r="AK96" s="252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42">
        <f t="shared" ref="AL96:AL130" si="8">IF(AK96="Sim",1,0)</f>
        <v>0</v>
      </c>
    </row>
    <row r="97" spans="1:38" x14ac:dyDescent="0.25">
      <c r="A97" s="162">
        <v>67</v>
      </c>
      <c r="B97" s="225"/>
      <c r="C97" s="197" t="str">
        <f>IF(Envoltória!C82="","",Envoltória!C82)</f>
        <v/>
      </c>
      <c r="D97" s="197" t="str">
        <f>IF(Envoltória!D82="","",Envoltória!D82)</f>
        <v/>
      </c>
      <c r="E97" s="324">
        <f>Envoltória!AA82</f>
        <v>0</v>
      </c>
      <c r="F97" s="225"/>
      <c r="G97" s="324" t="str">
        <f>IF(C97="","",VLOOKUP(F97,Componentes!$P:$U,2,FALSE))</f>
        <v/>
      </c>
      <c r="H97" s="324" t="str">
        <f>IF(F97="","",VLOOKUP(F97,Componentes!$P:$U,3,FALSE))</f>
        <v/>
      </c>
      <c r="I97" s="197" t="str">
        <f>IF(F97="","",VLOOKUP(F97,Componentes!$P:$U,4,FALSE))</f>
        <v/>
      </c>
      <c r="J97" s="197" t="str">
        <f>IF(F97="","",VLOOKUP(F97,Componentes!$P:$U,6,FALSE))</f>
        <v/>
      </c>
      <c r="K97" s="197" t="str">
        <f>IF(F97="","",IF(I97&lt;&gt;"SPLV",VLOOKUP(F97,Componentes!$P:$U,5,FALSE),""))</f>
        <v/>
      </c>
      <c r="L97" s="191" t="str">
        <f t="shared" si="6"/>
        <v/>
      </c>
      <c r="M97" s="197" t="str">
        <f>IF(OR(I97="SPLV",I97="k"),VLOOKUP(F97,Componentes!$P:$U,5,FALSE),"")</f>
        <v/>
      </c>
      <c r="N97" s="192" t="str">
        <f t="shared" si="5"/>
        <v/>
      </c>
      <c r="O97" s="193"/>
      <c r="P97" t="str">
        <f>IF(Envoltória!D82="","",J97*VLOOKUP(Envoltória!H82,Aux_Lista!$A$1:$K$9,10,FALSE)*VLOOKUP(Envoltória!H82,Aux_Lista!$A$1:$K$9,11,FALSE)/1000)</f>
        <v/>
      </c>
      <c r="Q97" s="249"/>
      <c r="R97" s="99"/>
      <c r="S97" s="98"/>
      <c r="T97" s="251"/>
      <c r="U97" s="251"/>
      <c r="V97" s="251"/>
      <c r="W97" s="251"/>
      <c r="X97" s="251"/>
      <c r="Y97" s="251"/>
      <c r="Z97" s="251"/>
      <c r="AA97" s="251"/>
      <c r="AB97" s="251"/>
      <c r="AC97" s="251"/>
      <c r="AD97" s="251"/>
      <c r="AE97" s="251"/>
      <c r="AF97" s="251"/>
      <c r="AG97" s="251"/>
      <c r="AH97" s="251"/>
      <c r="AI97" s="251"/>
      <c r="AJ97" s="251"/>
      <c r="AK97" s="252" t="str">
        <f t="shared" si="7"/>
        <v/>
      </c>
      <c r="AL97" s="342">
        <f t="shared" si="8"/>
        <v>0</v>
      </c>
    </row>
    <row r="98" spans="1:38" x14ac:dyDescent="0.25">
      <c r="A98" s="162">
        <v>68</v>
      </c>
      <c r="B98" s="225"/>
      <c r="C98" s="197" t="str">
        <f>IF(Envoltória!C83="","",Envoltória!C83)</f>
        <v/>
      </c>
      <c r="D98" s="197" t="str">
        <f>IF(Envoltória!D83="","",Envoltória!D83)</f>
        <v/>
      </c>
      <c r="E98" s="324">
        <f>Envoltória!AA83</f>
        <v>0</v>
      </c>
      <c r="F98" s="225"/>
      <c r="G98" s="324" t="str">
        <f>IF(C98="","",VLOOKUP(F98,Componentes!$P:$U,2,FALSE))</f>
        <v/>
      </c>
      <c r="H98" s="324" t="str">
        <f>IF(F98="","",VLOOKUP(F98,Componentes!$P:$U,3,FALSE))</f>
        <v/>
      </c>
      <c r="I98" s="197" t="str">
        <f>IF(F98="","",VLOOKUP(F98,Componentes!$P:$U,4,FALSE))</f>
        <v/>
      </c>
      <c r="J98" s="197" t="str">
        <f>IF(F98="","",VLOOKUP(F98,Componentes!$P:$U,6,FALSE))</f>
        <v/>
      </c>
      <c r="K98" s="197" t="str">
        <f>IF(F98="","",IF(I98&lt;&gt;"SPLV",VLOOKUP(F98,Componentes!$P:$U,5,FALSE),""))</f>
        <v/>
      </c>
      <c r="L98" s="191" t="str">
        <f t="shared" si="6"/>
        <v/>
      </c>
      <c r="M98" s="197" t="str">
        <f>IF(OR(I98="SPLV",I98="k"),VLOOKUP(F98,Componentes!$P:$U,5,FALSE),"")</f>
        <v/>
      </c>
      <c r="N98" s="192" t="str">
        <f t="shared" si="5"/>
        <v/>
      </c>
      <c r="O98" s="193"/>
      <c r="P98" t="str">
        <f>IF(Envoltória!D83="","",J98*VLOOKUP(Envoltória!H83,Aux_Lista!$A$1:$K$9,10,FALSE)*VLOOKUP(Envoltória!H83,Aux_Lista!$A$1:$K$9,11,FALSE)/1000)</f>
        <v/>
      </c>
      <c r="Q98" s="249"/>
      <c r="R98" s="99"/>
      <c r="S98" s="98"/>
      <c r="T98" s="251"/>
      <c r="U98" s="251"/>
      <c r="V98" s="251"/>
      <c r="W98" s="251"/>
      <c r="X98" s="251"/>
      <c r="Y98" s="251"/>
      <c r="Z98" s="251"/>
      <c r="AA98" s="251"/>
      <c r="AB98" s="251"/>
      <c r="AC98" s="251"/>
      <c r="AD98" s="251"/>
      <c r="AE98" s="251"/>
      <c r="AF98" s="251"/>
      <c r="AG98" s="251"/>
      <c r="AH98" s="251"/>
      <c r="AI98" s="251"/>
      <c r="AJ98" s="251"/>
      <c r="AK98" s="252" t="str">
        <f t="shared" si="7"/>
        <v/>
      </c>
      <c r="AL98" s="342">
        <f t="shared" si="8"/>
        <v>0</v>
      </c>
    </row>
    <row r="99" spans="1:38" x14ac:dyDescent="0.25">
      <c r="A99" s="162">
        <v>69</v>
      </c>
      <c r="B99" s="225"/>
      <c r="C99" s="197" t="str">
        <f>IF(Envoltória!C84="","",Envoltória!C84)</f>
        <v/>
      </c>
      <c r="D99" s="197" t="str">
        <f>IF(Envoltória!D84="","",Envoltória!D84)</f>
        <v/>
      </c>
      <c r="E99" s="324">
        <f>Envoltória!AA84</f>
        <v>0</v>
      </c>
      <c r="F99" s="225"/>
      <c r="G99" s="324" t="str">
        <f>IF(C99="","",VLOOKUP(F99,Componentes!$P:$U,2,FALSE))</f>
        <v/>
      </c>
      <c r="H99" s="324" t="str">
        <f>IF(F99="","",VLOOKUP(F99,Componentes!$P:$U,3,FALSE))</f>
        <v/>
      </c>
      <c r="I99" s="197" t="str">
        <f>IF(F99="","",VLOOKUP(F99,Componentes!$P:$U,4,FALSE))</f>
        <v/>
      </c>
      <c r="J99" s="197" t="str">
        <f>IF(F99="","",VLOOKUP(F99,Componentes!$P:$U,6,FALSE))</f>
        <v/>
      </c>
      <c r="K99" s="197" t="str">
        <f>IF(F99="","",IF(I99&lt;&gt;"SPLV",VLOOKUP(F99,Componentes!$P:$U,5,FALSE),""))</f>
        <v/>
      </c>
      <c r="L99" s="191" t="str">
        <f t="shared" si="6"/>
        <v/>
      </c>
      <c r="M99" s="197" t="str">
        <f>IF(OR(I99="SPLV",I99="k"),VLOOKUP(F99,Componentes!$P:$U,5,FALSE),"")</f>
        <v/>
      </c>
      <c r="N99" s="192" t="str">
        <f t="shared" si="5"/>
        <v/>
      </c>
      <c r="O99" s="193"/>
      <c r="P99" t="str">
        <f>IF(Envoltória!D84="","",J99*VLOOKUP(Envoltória!H84,Aux_Lista!$A$1:$K$9,10,FALSE)*VLOOKUP(Envoltória!H84,Aux_Lista!$A$1:$K$9,11,FALSE)/1000)</f>
        <v/>
      </c>
      <c r="Q99" s="249"/>
      <c r="R99" s="99"/>
      <c r="S99" s="98"/>
      <c r="T99" s="251"/>
      <c r="U99" s="251"/>
      <c r="V99" s="251"/>
      <c r="W99" s="251"/>
      <c r="X99" s="251"/>
      <c r="Y99" s="251"/>
      <c r="Z99" s="251"/>
      <c r="AA99" s="251"/>
      <c r="AB99" s="251"/>
      <c r="AC99" s="251"/>
      <c r="AD99" s="251"/>
      <c r="AE99" s="251"/>
      <c r="AF99" s="251"/>
      <c r="AG99" s="251"/>
      <c r="AH99" s="251"/>
      <c r="AI99" s="251"/>
      <c r="AJ99" s="251"/>
      <c r="AK99" s="252" t="str">
        <f t="shared" si="7"/>
        <v/>
      </c>
      <c r="AL99" s="342">
        <f t="shared" si="8"/>
        <v>0</v>
      </c>
    </row>
    <row r="100" spans="1:38" x14ac:dyDescent="0.25">
      <c r="A100" s="162">
        <v>70</v>
      </c>
      <c r="B100" s="225"/>
      <c r="C100" s="197" t="str">
        <f>IF(Envoltória!C85="","",Envoltória!C85)</f>
        <v/>
      </c>
      <c r="D100" s="197" t="str">
        <f>IF(Envoltória!D85="","",Envoltória!D85)</f>
        <v/>
      </c>
      <c r="E100" s="324">
        <f>Envoltória!AA85</f>
        <v>0</v>
      </c>
      <c r="F100" s="225"/>
      <c r="G100" s="324" t="str">
        <f>IF(C100="","",VLOOKUP(F100,Componentes!$P:$U,2,FALSE))</f>
        <v/>
      </c>
      <c r="H100" s="324" t="str">
        <f>IF(F100="","",VLOOKUP(F100,Componentes!$P:$U,3,FALSE))</f>
        <v/>
      </c>
      <c r="I100" s="197" t="str">
        <f>IF(F100="","",VLOOKUP(F100,Componentes!$P:$U,4,FALSE))</f>
        <v/>
      </c>
      <c r="J100" s="197" t="str">
        <f>IF(F100="","",VLOOKUP(F100,Componentes!$P:$U,6,FALSE))</f>
        <v/>
      </c>
      <c r="K100" s="197" t="str">
        <f>IF(F100="","",IF(I100&lt;&gt;"SPLV",VLOOKUP(F100,Componentes!$P:$U,5,FALSE),""))</f>
        <v/>
      </c>
      <c r="L100" s="191" t="str">
        <f t="shared" si="6"/>
        <v/>
      </c>
      <c r="M100" s="197" t="str">
        <f>IF(OR(I100="SPLV",I100="k"),VLOOKUP(F100,Componentes!$P:$U,5,FALSE),"")</f>
        <v/>
      </c>
      <c r="N100" s="192" t="str">
        <f t="shared" si="5"/>
        <v/>
      </c>
      <c r="O100" s="193"/>
      <c r="P100" t="str">
        <f>IF(Envoltória!D85="","",J100*VLOOKUP(Envoltória!H85,Aux_Lista!$A$1:$K$9,10,FALSE)*VLOOKUP(Envoltória!H85,Aux_Lista!$A$1:$K$9,11,FALSE)/1000)</f>
        <v/>
      </c>
      <c r="Q100" s="249"/>
      <c r="R100" s="99"/>
      <c r="S100" s="98"/>
      <c r="T100" s="251"/>
      <c r="U100" s="251"/>
      <c r="V100" s="251"/>
      <c r="W100" s="251"/>
      <c r="X100" s="251"/>
      <c r="Y100" s="251"/>
      <c r="Z100" s="251"/>
      <c r="AA100" s="251"/>
      <c r="AB100" s="251"/>
      <c r="AC100" s="251"/>
      <c r="AD100" s="251"/>
      <c r="AE100" s="251"/>
      <c r="AF100" s="251"/>
      <c r="AG100" s="251"/>
      <c r="AH100" s="251"/>
      <c r="AI100" s="251"/>
      <c r="AJ100" s="251"/>
      <c r="AK100" s="252" t="str">
        <f t="shared" si="7"/>
        <v/>
      </c>
      <c r="AL100" s="342">
        <f t="shared" si="8"/>
        <v>0</v>
      </c>
    </row>
    <row r="101" spans="1:38" x14ac:dyDescent="0.25">
      <c r="A101" s="162">
        <v>71</v>
      </c>
      <c r="B101" s="225"/>
      <c r="C101" s="197" t="str">
        <f>IF(Envoltória!C86="","",Envoltória!C86)</f>
        <v/>
      </c>
      <c r="D101" s="197" t="str">
        <f>IF(Envoltória!D86="","",Envoltória!D86)</f>
        <v/>
      </c>
      <c r="E101" s="324">
        <f>Envoltória!AA86</f>
        <v>0</v>
      </c>
      <c r="F101" s="225"/>
      <c r="G101" s="324" t="str">
        <f>IF(C101="","",VLOOKUP(F101,Componentes!$P:$U,2,FALSE))</f>
        <v/>
      </c>
      <c r="H101" s="324" t="str">
        <f>IF(F101="","",VLOOKUP(F101,Componentes!$P:$U,3,FALSE))</f>
        <v/>
      </c>
      <c r="I101" s="197" t="str">
        <f>IF(F101="","",VLOOKUP(F101,Componentes!$P:$U,4,FALSE))</f>
        <v/>
      </c>
      <c r="J101" s="197" t="str">
        <f>IF(F101="","",VLOOKUP(F101,Componentes!$P:$U,6,FALSE))</f>
        <v/>
      </c>
      <c r="K101" s="197" t="str">
        <f>IF(F101="","",IF(I101&lt;&gt;"SPLV",VLOOKUP(F101,Componentes!$P:$U,5,FALSE),""))</f>
        <v/>
      </c>
      <c r="L101" s="191" t="str">
        <f t="shared" si="6"/>
        <v/>
      </c>
      <c r="M101" s="197" t="str">
        <f>IF(OR(I101="SPLV",I101="k"),VLOOKUP(F101,Componentes!$P:$U,5,FALSE),"")</f>
        <v/>
      </c>
      <c r="N101" s="192" t="str">
        <f t="shared" si="5"/>
        <v/>
      </c>
      <c r="O101" s="193"/>
      <c r="P101" t="str">
        <f>IF(Envoltória!D86="","",J101*VLOOKUP(Envoltória!H86,Aux_Lista!$A$1:$K$9,10,FALSE)*VLOOKUP(Envoltória!H86,Aux_Lista!$A$1:$K$9,11,FALSE)/1000)</f>
        <v/>
      </c>
      <c r="Q101" s="249"/>
      <c r="R101" s="99"/>
      <c r="S101" s="98"/>
      <c r="T101" s="251"/>
      <c r="U101" s="251"/>
      <c r="V101" s="251"/>
      <c r="W101" s="251"/>
      <c r="X101" s="251"/>
      <c r="Y101" s="251"/>
      <c r="Z101" s="251"/>
      <c r="AA101" s="251"/>
      <c r="AB101" s="251"/>
      <c r="AC101" s="251"/>
      <c r="AD101" s="251"/>
      <c r="AE101" s="251"/>
      <c r="AF101" s="251"/>
      <c r="AG101" s="251"/>
      <c r="AH101" s="251"/>
      <c r="AI101" s="251"/>
      <c r="AJ101" s="251"/>
      <c r="AK101" s="252" t="str">
        <f t="shared" si="7"/>
        <v/>
      </c>
      <c r="AL101" s="342">
        <f t="shared" si="8"/>
        <v>0</v>
      </c>
    </row>
    <row r="102" spans="1:38" x14ac:dyDescent="0.25">
      <c r="A102" s="162">
        <v>72</v>
      </c>
      <c r="B102" s="225"/>
      <c r="C102" s="197" t="str">
        <f>IF(Envoltória!C87="","",Envoltória!C87)</f>
        <v/>
      </c>
      <c r="D102" s="197" t="str">
        <f>IF(Envoltória!D87="","",Envoltória!D87)</f>
        <v/>
      </c>
      <c r="E102" s="324">
        <f>Envoltória!AA87</f>
        <v>0</v>
      </c>
      <c r="F102" s="225"/>
      <c r="G102" s="324" t="str">
        <f>IF(C102="","",VLOOKUP(F102,Componentes!$P:$U,2,FALSE))</f>
        <v/>
      </c>
      <c r="H102" s="324" t="str">
        <f>IF(F102="","",VLOOKUP(F102,Componentes!$P:$U,3,FALSE))</f>
        <v/>
      </c>
      <c r="I102" s="197" t="str">
        <f>IF(F102="","",VLOOKUP(F102,Componentes!$P:$U,4,FALSE))</f>
        <v/>
      </c>
      <c r="J102" s="197" t="str">
        <f>IF(F102="","",VLOOKUP(F102,Componentes!$P:$U,6,FALSE))</f>
        <v/>
      </c>
      <c r="K102" s="197" t="str">
        <f>IF(F102="","",IF(I102&lt;&gt;"SPLV",VLOOKUP(F102,Componentes!$P:$U,5,FALSE),""))</f>
        <v/>
      </c>
      <c r="L102" s="191" t="str">
        <f t="shared" si="6"/>
        <v/>
      </c>
      <c r="M102" s="197" t="str">
        <f>IF(OR(I102="SPLV",I102="k"),VLOOKUP(F102,Componentes!$P:$U,5,FALSE),"")</f>
        <v/>
      </c>
      <c r="N102" s="192" t="str">
        <f t="shared" si="5"/>
        <v/>
      </c>
      <c r="O102" s="193"/>
      <c r="P102" t="str">
        <f>IF(Envoltória!D87="","",J102*VLOOKUP(Envoltória!H87,Aux_Lista!$A$1:$K$9,10,FALSE)*VLOOKUP(Envoltória!H87,Aux_Lista!$A$1:$K$9,11,FALSE)/1000)</f>
        <v/>
      </c>
      <c r="Q102" s="249"/>
      <c r="R102" s="99"/>
      <c r="S102" s="98"/>
      <c r="T102" s="251"/>
      <c r="U102" s="251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1"/>
      <c r="AG102" s="251"/>
      <c r="AH102" s="251"/>
      <c r="AI102" s="251"/>
      <c r="AJ102" s="251"/>
      <c r="AK102" s="252" t="str">
        <f t="shared" si="7"/>
        <v/>
      </c>
      <c r="AL102" s="342">
        <f t="shared" si="8"/>
        <v>0</v>
      </c>
    </row>
    <row r="103" spans="1:38" x14ac:dyDescent="0.25">
      <c r="A103" s="162">
        <v>73</v>
      </c>
      <c r="B103" s="225"/>
      <c r="C103" s="197" t="str">
        <f>IF(Envoltória!C88="","",Envoltória!C88)</f>
        <v/>
      </c>
      <c r="D103" s="197" t="str">
        <f>IF(Envoltória!D88="","",Envoltória!D88)</f>
        <v/>
      </c>
      <c r="E103" s="324">
        <f>Envoltória!AA88</f>
        <v>0</v>
      </c>
      <c r="F103" s="225"/>
      <c r="G103" s="324" t="str">
        <f>IF(C103="","",VLOOKUP(F103,Componentes!$P:$U,2,FALSE))</f>
        <v/>
      </c>
      <c r="H103" s="324" t="str">
        <f>IF(F103="","",VLOOKUP(F103,Componentes!$P:$U,3,FALSE))</f>
        <v/>
      </c>
      <c r="I103" s="197" t="str">
        <f>IF(F103="","",VLOOKUP(F103,Componentes!$P:$U,4,FALSE))</f>
        <v/>
      </c>
      <c r="J103" s="197" t="str">
        <f>IF(F103="","",VLOOKUP(F103,Componentes!$P:$U,6,FALSE))</f>
        <v/>
      </c>
      <c r="K103" s="197" t="str">
        <f>IF(F103="","",IF(I103&lt;&gt;"SPLV",VLOOKUP(F103,Componentes!$P:$U,5,FALSE),""))</f>
        <v/>
      </c>
      <c r="L103" s="191" t="str">
        <f t="shared" si="6"/>
        <v/>
      </c>
      <c r="M103" s="197" t="str">
        <f>IF(OR(I103="SPLV",I103="k"),VLOOKUP(F103,Componentes!$P:$U,5,FALSE),"")</f>
        <v/>
      </c>
      <c r="N103" s="192" t="str">
        <f t="shared" si="5"/>
        <v/>
      </c>
      <c r="O103" s="193"/>
      <c r="P103" t="str">
        <f>IF(Envoltória!D88="","",J103*VLOOKUP(Envoltória!H88,Aux_Lista!$A$1:$K$9,10,FALSE)*VLOOKUP(Envoltória!H88,Aux_Lista!$A$1:$K$9,11,FALSE)/1000)</f>
        <v/>
      </c>
      <c r="Q103" s="249"/>
      <c r="R103" s="99"/>
      <c r="S103" s="98"/>
      <c r="T103" s="251"/>
      <c r="U103" s="251"/>
      <c r="V103" s="251"/>
      <c r="W103" s="251"/>
      <c r="X103" s="251"/>
      <c r="Y103" s="251"/>
      <c r="Z103" s="251"/>
      <c r="AA103" s="251"/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2" t="str">
        <f t="shared" si="7"/>
        <v/>
      </c>
      <c r="AL103" s="342">
        <f t="shared" si="8"/>
        <v>0</v>
      </c>
    </row>
    <row r="104" spans="1:38" x14ac:dyDescent="0.25">
      <c r="A104" s="162">
        <v>74</v>
      </c>
      <c r="B104" s="225"/>
      <c r="C104" s="197" t="str">
        <f>IF(Envoltória!C89="","",Envoltória!C89)</f>
        <v/>
      </c>
      <c r="D104" s="197" t="str">
        <f>IF(Envoltória!D89="","",Envoltória!D89)</f>
        <v/>
      </c>
      <c r="E104" s="324">
        <f>Envoltória!AA89</f>
        <v>0</v>
      </c>
      <c r="F104" s="225"/>
      <c r="G104" s="324" t="str">
        <f>IF(C104="","",VLOOKUP(F104,Componentes!$P:$U,2,FALSE))</f>
        <v/>
      </c>
      <c r="H104" s="324" t="str">
        <f>IF(F104="","",VLOOKUP(F104,Componentes!$P:$U,3,FALSE))</f>
        <v/>
      </c>
      <c r="I104" s="197" t="str">
        <f>IF(F104="","",VLOOKUP(F104,Componentes!$P:$U,4,FALSE))</f>
        <v/>
      </c>
      <c r="J104" s="197" t="str">
        <f>IF(F104="","",VLOOKUP(F104,Componentes!$P:$U,6,FALSE))</f>
        <v/>
      </c>
      <c r="K104" s="197" t="str">
        <f>IF(F104="","",IF(I104&lt;&gt;"SPLV",VLOOKUP(F104,Componentes!$P:$U,5,FALSE),""))</f>
        <v/>
      </c>
      <c r="L104" s="191" t="str">
        <f t="shared" si="6"/>
        <v/>
      </c>
      <c r="M104" s="197" t="str">
        <f>IF(OR(I104="SPLV",I104="k"),VLOOKUP(F104,Componentes!$P:$U,5,FALSE),"")</f>
        <v/>
      </c>
      <c r="N104" s="192" t="str">
        <f t="shared" si="5"/>
        <v/>
      </c>
      <c r="O104" s="193"/>
      <c r="P104" t="str">
        <f>IF(Envoltória!D89="","",J104*VLOOKUP(Envoltória!H89,Aux_Lista!$A$1:$K$9,10,FALSE)*VLOOKUP(Envoltória!H89,Aux_Lista!$A$1:$K$9,11,FALSE)/1000)</f>
        <v/>
      </c>
      <c r="Q104" s="249"/>
      <c r="R104" s="99"/>
      <c r="S104" s="98"/>
      <c r="T104" s="251"/>
      <c r="U104" s="251"/>
      <c r="V104" s="251"/>
      <c r="W104" s="251"/>
      <c r="X104" s="251"/>
      <c r="Y104" s="251"/>
      <c r="Z104" s="251"/>
      <c r="AA104" s="251"/>
      <c r="AB104" s="251"/>
      <c r="AC104" s="251"/>
      <c r="AD104" s="251"/>
      <c r="AE104" s="251"/>
      <c r="AF104" s="251"/>
      <c r="AG104" s="251"/>
      <c r="AH104" s="251"/>
      <c r="AI104" s="251"/>
      <c r="AJ104" s="251"/>
      <c r="AK104" s="252" t="str">
        <f t="shared" si="7"/>
        <v/>
      </c>
      <c r="AL104" s="342">
        <f t="shared" si="8"/>
        <v>0</v>
      </c>
    </row>
    <row r="105" spans="1:38" x14ac:dyDescent="0.25">
      <c r="A105" s="162">
        <v>75</v>
      </c>
      <c r="B105" s="225"/>
      <c r="C105" s="197" t="str">
        <f>IF(Envoltória!C90="","",Envoltória!C90)</f>
        <v/>
      </c>
      <c r="D105" s="197" t="str">
        <f>IF(Envoltória!D90="","",Envoltória!D90)</f>
        <v/>
      </c>
      <c r="E105" s="324">
        <f>Envoltória!AA90</f>
        <v>0</v>
      </c>
      <c r="F105" s="225"/>
      <c r="G105" s="324" t="str">
        <f>IF(C105="","",VLOOKUP(F105,Componentes!$P:$U,2,FALSE))</f>
        <v/>
      </c>
      <c r="H105" s="324" t="str">
        <f>IF(F105="","",VLOOKUP(F105,Componentes!$P:$U,3,FALSE))</f>
        <v/>
      </c>
      <c r="I105" s="197" t="str">
        <f>IF(F105="","",VLOOKUP(F105,Componentes!$P:$U,4,FALSE))</f>
        <v/>
      </c>
      <c r="J105" s="197" t="str">
        <f>IF(F105="","",VLOOKUP(F105,Componentes!$P:$U,6,FALSE))</f>
        <v/>
      </c>
      <c r="K105" s="197" t="str">
        <f>IF(F105="","",IF(I105&lt;&gt;"SPLV",VLOOKUP(F105,Componentes!$P:$U,5,FALSE),""))</f>
        <v/>
      </c>
      <c r="L105" s="191" t="str">
        <f t="shared" si="6"/>
        <v/>
      </c>
      <c r="M105" s="197" t="str">
        <f>IF(OR(I105="SPLV",I105="k"),VLOOKUP(F105,Componentes!$P:$U,5,FALSE),"")</f>
        <v/>
      </c>
      <c r="N105" s="192" t="str">
        <f t="shared" si="5"/>
        <v/>
      </c>
      <c r="O105" s="193"/>
      <c r="P105" t="str">
        <f>IF(Envoltória!D90="","",J105*VLOOKUP(Envoltória!H90,Aux_Lista!$A$1:$K$9,10,FALSE)*VLOOKUP(Envoltória!H90,Aux_Lista!$A$1:$K$9,11,FALSE)/1000)</f>
        <v/>
      </c>
      <c r="Q105" s="249"/>
      <c r="R105" s="99"/>
      <c r="S105" s="98"/>
      <c r="T105" s="251"/>
      <c r="U105" s="251"/>
      <c r="V105" s="251"/>
      <c r="W105" s="251"/>
      <c r="X105" s="251"/>
      <c r="Y105" s="251"/>
      <c r="Z105" s="251"/>
      <c r="AA105" s="251"/>
      <c r="AB105" s="251"/>
      <c r="AC105" s="251"/>
      <c r="AD105" s="251"/>
      <c r="AE105" s="251"/>
      <c r="AF105" s="251"/>
      <c r="AG105" s="251"/>
      <c r="AH105" s="251"/>
      <c r="AI105" s="251"/>
      <c r="AJ105" s="251"/>
      <c r="AK105" s="252" t="str">
        <f t="shared" si="7"/>
        <v/>
      </c>
      <c r="AL105" s="342">
        <f t="shared" si="8"/>
        <v>0</v>
      </c>
    </row>
    <row r="106" spans="1:38" x14ac:dyDescent="0.25">
      <c r="A106" s="162">
        <v>76</v>
      </c>
      <c r="B106" s="225"/>
      <c r="C106" s="197" t="str">
        <f>IF(Envoltória!C91="","",Envoltória!C91)</f>
        <v/>
      </c>
      <c r="D106" s="197" t="str">
        <f>IF(Envoltória!D91="","",Envoltória!D91)</f>
        <v/>
      </c>
      <c r="E106" s="324">
        <f>Envoltória!AA91</f>
        <v>0</v>
      </c>
      <c r="F106" s="225"/>
      <c r="G106" s="324" t="str">
        <f>IF(C106="","",VLOOKUP(F106,Componentes!$P:$U,2,FALSE))</f>
        <v/>
      </c>
      <c r="H106" s="324" t="str">
        <f>IF(F106="","",VLOOKUP(F106,Componentes!$P:$U,3,FALSE))</f>
        <v/>
      </c>
      <c r="I106" s="197" t="str">
        <f>IF(F106="","",VLOOKUP(F106,Componentes!$P:$U,4,FALSE))</f>
        <v/>
      </c>
      <c r="J106" s="197" t="str">
        <f>IF(F106="","",VLOOKUP(F106,Componentes!$P:$U,6,FALSE))</f>
        <v/>
      </c>
      <c r="K106" s="197" t="str">
        <f>IF(F106="","",IF(I106&lt;&gt;"SPLV",VLOOKUP(F106,Componentes!$P:$U,5,FALSE),""))</f>
        <v/>
      </c>
      <c r="L106" s="191" t="str">
        <f t="shared" si="6"/>
        <v/>
      </c>
      <c r="M106" s="197" t="str">
        <f>IF(OR(I106="SPLV",I106="k"),VLOOKUP(F106,Componentes!$P:$U,5,FALSE),"")</f>
        <v/>
      </c>
      <c r="N106" s="192" t="str">
        <f t="shared" si="5"/>
        <v/>
      </c>
      <c r="O106" s="193"/>
      <c r="P106" t="str">
        <f>IF(Envoltória!D91="","",J106*VLOOKUP(Envoltória!H91,Aux_Lista!$A$1:$K$9,10,FALSE)*VLOOKUP(Envoltória!H91,Aux_Lista!$A$1:$K$9,11,FALSE)/1000)</f>
        <v/>
      </c>
      <c r="Q106" s="249"/>
      <c r="R106" s="99"/>
      <c r="S106" s="98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  <c r="AG106" s="251"/>
      <c r="AH106" s="251"/>
      <c r="AI106" s="251"/>
      <c r="AJ106" s="251"/>
      <c r="AK106" s="252" t="str">
        <f t="shared" si="7"/>
        <v/>
      </c>
      <c r="AL106" s="342">
        <f t="shared" si="8"/>
        <v>0</v>
      </c>
    </row>
    <row r="107" spans="1:38" x14ac:dyDescent="0.25">
      <c r="A107" s="162">
        <v>77</v>
      </c>
      <c r="B107" s="225"/>
      <c r="C107" s="197" t="str">
        <f>IF(Envoltória!C92="","",Envoltória!C92)</f>
        <v/>
      </c>
      <c r="D107" s="197" t="str">
        <f>IF(Envoltória!D92="","",Envoltória!D92)</f>
        <v/>
      </c>
      <c r="E107" s="324">
        <f>Envoltória!AA92</f>
        <v>0</v>
      </c>
      <c r="F107" s="225"/>
      <c r="G107" s="324" t="str">
        <f>IF(C107="","",VLOOKUP(F107,Componentes!$P:$U,2,FALSE))</f>
        <v/>
      </c>
      <c r="H107" s="324" t="str">
        <f>IF(F107="","",VLOOKUP(F107,Componentes!$P:$U,3,FALSE))</f>
        <v/>
      </c>
      <c r="I107" s="197" t="str">
        <f>IF(F107="","",VLOOKUP(F107,Componentes!$P:$U,4,FALSE))</f>
        <v/>
      </c>
      <c r="J107" s="197" t="str">
        <f>IF(F107="","",VLOOKUP(F107,Componentes!$P:$U,6,FALSE))</f>
        <v/>
      </c>
      <c r="K107" s="197" t="str">
        <f>IF(F107="","",IF(I107&lt;&gt;"SPLV",VLOOKUP(F107,Componentes!$P:$U,5,FALSE),""))</f>
        <v/>
      </c>
      <c r="L107" s="191" t="str">
        <f t="shared" si="6"/>
        <v/>
      </c>
      <c r="M107" s="197" t="str">
        <f>IF(OR(I107="SPLV",I107="k"),VLOOKUP(F107,Componentes!$P:$U,5,FALSE),"")</f>
        <v/>
      </c>
      <c r="N107" s="192" t="str">
        <f t="shared" si="5"/>
        <v/>
      </c>
      <c r="O107" s="193"/>
      <c r="P107" t="str">
        <f>IF(Envoltória!D92="","",J107*VLOOKUP(Envoltória!H92,Aux_Lista!$A$1:$K$9,10,FALSE)*VLOOKUP(Envoltória!H92,Aux_Lista!$A$1:$K$9,11,FALSE)/1000)</f>
        <v/>
      </c>
      <c r="Q107" s="249"/>
      <c r="R107" s="99"/>
      <c r="S107" s="98"/>
      <c r="T107" s="251"/>
      <c r="U107" s="251"/>
      <c r="V107" s="251"/>
      <c r="W107" s="251"/>
      <c r="X107" s="251"/>
      <c r="Y107" s="251"/>
      <c r="Z107" s="251"/>
      <c r="AA107" s="251"/>
      <c r="AB107" s="251"/>
      <c r="AC107" s="251"/>
      <c r="AD107" s="251"/>
      <c r="AE107" s="251"/>
      <c r="AF107" s="251"/>
      <c r="AG107" s="251"/>
      <c r="AH107" s="251"/>
      <c r="AI107" s="251"/>
      <c r="AJ107" s="251"/>
      <c r="AK107" s="252" t="str">
        <f t="shared" si="7"/>
        <v/>
      </c>
      <c r="AL107" s="342">
        <f t="shared" si="8"/>
        <v>0</v>
      </c>
    </row>
    <row r="108" spans="1:38" x14ac:dyDescent="0.25">
      <c r="A108" s="162">
        <v>78</v>
      </c>
      <c r="B108" s="225"/>
      <c r="C108" s="197" t="str">
        <f>IF(Envoltória!C93="","",Envoltória!C93)</f>
        <v/>
      </c>
      <c r="D108" s="197" t="str">
        <f>IF(Envoltória!D93="","",Envoltória!D93)</f>
        <v/>
      </c>
      <c r="E108" s="324">
        <f>Envoltória!AA93</f>
        <v>0</v>
      </c>
      <c r="F108" s="225"/>
      <c r="G108" s="324" t="str">
        <f>IF(C108="","",VLOOKUP(F108,Componentes!$P:$U,2,FALSE))</f>
        <v/>
      </c>
      <c r="H108" s="324" t="str">
        <f>IF(F108="","",VLOOKUP(F108,Componentes!$P:$U,3,FALSE))</f>
        <v/>
      </c>
      <c r="I108" s="197" t="str">
        <f>IF(F108="","",VLOOKUP(F108,Componentes!$P:$U,4,FALSE))</f>
        <v/>
      </c>
      <c r="J108" s="197" t="str">
        <f>IF(F108="","",VLOOKUP(F108,Componentes!$P:$U,6,FALSE))</f>
        <v/>
      </c>
      <c r="K108" s="197" t="str">
        <f>IF(F108="","",IF(I108&lt;&gt;"SPLV",VLOOKUP(F108,Componentes!$P:$U,5,FALSE),""))</f>
        <v/>
      </c>
      <c r="L108" s="191" t="str">
        <f t="shared" si="6"/>
        <v/>
      </c>
      <c r="M108" s="197" t="str">
        <f>IF(OR(I108="SPLV",I108="k"),VLOOKUP(F108,Componentes!$P:$U,5,FALSE),"")</f>
        <v/>
      </c>
      <c r="N108" s="192" t="str">
        <f t="shared" si="5"/>
        <v/>
      </c>
      <c r="O108" s="193"/>
      <c r="P108" t="str">
        <f>IF(Envoltória!D93="","",J108*VLOOKUP(Envoltória!H93,Aux_Lista!$A$1:$K$9,10,FALSE)*VLOOKUP(Envoltória!H93,Aux_Lista!$A$1:$K$9,11,FALSE)/1000)</f>
        <v/>
      </c>
      <c r="Q108" s="249"/>
      <c r="R108" s="99"/>
      <c r="S108" s="98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  <c r="AG108" s="251"/>
      <c r="AH108" s="251"/>
      <c r="AI108" s="251"/>
      <c r="AJ108" s="251"/>
      <c r="AK108" s="252" t="str">
        <f t="shared" si="7"/>
        <v/>
      </c>
      <c r="AL108" s="342">
        <f t="shared" si="8"/>
        <v>0</v>
      </c>
    </row>
    <row r="109" spans="1:38" x14ac:dyDescent="0.25">
      <c r="A109" s="162">
        <v>79</v>
      </c>
      <c r="B109" s="225"/>
      <c r="C109" s="197" t="str">
        <f>IF(Envoltória!C94="","",Envoltória!C94)</f>
        <v/>
      </c>
      <c r="D109" s="197" t="str">
        <f>IF(Envoltória!D94="","",Envoltória!D94)</f>
        <v/>
      </c>
      <c r="E109" s="324">
        <f>Envoltória!AA94</f>
        <v>0</v>
      </c>
      <c r="F109" s="225"/>
      <c r="G109" s="324" t="str">
        <f>IF(C109="","",VLOOKUP(F109,Componentes!$P:$U,2,FALSE))</f>
        <v/>
      </c>
      <c r="H109" s="324" t="str">
        <f>IF(F109="","",VLOOKUP(F109,Componentes!$P:$U,3,FALSE))</f>
        <v/>
      </c>
      <c r="I109" s="197" t="str">
        <f>IF(F109="","",VLOOKUP(F109,Componentes!$P:$U,4,FALSE))</f>
        <v/>
      </c>
      <c r="J109" s="197" t="str">
        <f>IF(F109="","",VLOOKUP(F109,Componentes!$P:$U,6,FALSE))</f>
        <v/>
      </c>
      <c r="K109" s="197" t="str">
        <f>IF(F109="","",IF(I109&lt;&gt;"SPLV",VLOOKUP(F109,Componentes!$P:$U,5,FALSE),""))</f>
        <v/>
      </c>
      <c r="L109" s="191" t="str">
        <f t="shared" si="6"/>
        <v/>
      </c>
      <c r="M109" s="197" t="str">
        <f>IF(OR(I109="SPLV",I109="k"),VLOOKUP(F109,Componentes!$P:$U,5,FALSE),"")</f>
        <v/>
      </c>
      <c r="N109" s="192" t="str">
        <f t="shared" si="5"/>
        <v/>
      </c>
      <c r="O109" s="193"/>
      <c r="P109" t="str">
        <f>IF(Envoltória!D94="","",J109*VLOOKUP(Envoltória!H94,Aux_Lista!$A$1:$K$9,10,FALSE)*VLOOKUP(Envoltória!H94,Aux_Lista!$A$1:$K$9,11,FALSE)/1000)</f>
        <v/>
      </c>
      <c r="Q109" s="249"/>
      <c r="R109" s="99"/>
      <c r="S109" s="98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  <c r="AG109" s="251"/>
      <c r="AH109" s="251"/>
      <c r="AI109" s="251"/>
      <c r="AJ109" s="251"/>
      <c r="AK109" s="252" t="str">
        <f t="shared" si="7"/>
        <v/>
      </c>
      <c r="AL109" s="342">
        <f t="shared" si="8"/>
        <v>0</v>
      </c>
    </row>
    <row r="110" spans="1:38" x14ac:dyDescent="0.25">
      <c r="A110" s="162">
        <v>80</v>
      </c>
      <c r="B110" s="225"/>
      <c r="C110" s="197" t="str">
        <f>IF(Envoltória!C95="","",Envoltória!C95)</f>
        <v/>
      </c>
      <c r="D110" s="197" t="str">
        <f>IF(Envoltória!D95="","",Envoltória!D95)</f>
        <v/>
      </c>
      <c r="E110" s="324">
        <f>Envoltória!AA95</f>
        <v>0</v>
      </c>
      <c r="F110" s="225"/>
      <c r="G110" s="324" t="str">
        <f>IF(C110="","",VLOOKUP(F110,Componentes!$P:$U,2,FALSE))</f>
        <v/>
      </c>
      <c r="H110" s="324" t="str">
        <f>IF(F110="","",VLOOKUP(F110,Componentes!$P:$U,3,FALSE))</f>
        <v/>
      </c>
      <c r="I110" s="197" t="str">
        <f>IF(F110="","",VLOOKUP(F110,Componentes!$P:$U,4,FALSE))</f>
        <v/>
      </c>
      <c r="J110" s="197" t="str">
        <f>IF(F110="","",VLOOKUP(F110,Componentes!$P:$U,6,FALSE))</f>
        <v/>
      </c>
      <c r="K110" s="197" t="str">
        <f>IF(F110="","",IF(I110&lt;&gt;"SPLV",VLOOKUP(F110,Componentes!$P:$U,5,FALSE),""))</f>
        <v/>
      </c>
      <c r="L110" s="191" t="str">
        <f t="shared" si="6"/>
        <v/>
      </c>
      <c r="M110" s="197" t="str">
        <f>IF(OR(I110="SPLV",I110="k"),VLOOKUP(F110,Componentes!$P:$U,5,FALSE),"")</f>
        <v/>
      </c>
      <c r="N110" s="192" t="str">
        <f t="shared" si="5"/>
        <v/>
      </c>
      <c r="O110" s="193"/>
      <c r="P110" t="str">
        <f>IF(Envoltória!D95="","",J110*VLOOKUP(Envoltória!H95,Aux_Lista!$A$1:$K$9,10,FALSE)*VLOOKUP(Envoltória!H95,Aux_Lista!$A$1:$K$9,11,FALSE)/1000)</f>
        <v/>
      </c>
      <c r="Q110" s="249"/>
      <c r="R110" s="99"/>
      <c r="S110" s="98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1"/>
      <c r="AG110" s="251"/>
      <c r="AH110" s="251"/>
      <c r="AI110" s="251"/>
      <c r="AJ110" s="251"/>
      <c r="AK110" s="252" t="str">
        <f t="shared" si="7"/>
        <v/>
      </c>
      <c r="AL110" s="342">
        <f t="shared" si="8"/>
        <v>0</v>
      </c>
    </row>
    <row r="111" spans="1:38" x14ac:dyDescent="0.25">
      <c r="A111" s="162">
        <v>81</v>
      </c>
      <c r="B111" s="225"/>
      <c r="C111" s="197" t="str">
        <f>IF(Envoltória!C96="","",Envoltória!C96)</f>
        <v/>
      </c>
      <c r="D111" s="197" t="str">
        <f>IF(Envoltória!D96="","",Envoltória!D96)</f>
        <v/>
      </c>
      <c r="E111" s="324">
        <f>Envoltória!AA96</f>
        <v>0</v>
      </c>
      <c r="F111" s="225"/>
      <c r="G111" s="324" t="str">
        <f>IF(C111="","",VLOOKUP(F111,Componentes!$P:$U,2,FALSE))</f>
        <v/>
      </c>
      <c r="H111" s="324" t="str">
        <f>IF(F111="","",VLOOKUP(F111,Componentes!$P:$U,3,FALSE))</f>
        <v/>
      </c>
      <c r="I111" s="197" t="str">
        <f>IF(F111="","",VLOOKUP(F111,Componentes!$P:$U,4,FALSE))</f>
        <v/>
      </c>
      <c r="J111" s="197" t="str">
        <f>IF(F111="","",VLOOKUP(F111,Componentes!$P:$U,6,FALSE))</f>
        <v/>
      </c>
      <c r="K111" s="197" t="str">
        <f>IF(F111="","",IF(I111&lt;&gt;"SPLV",VLOOKUP(F111,Componentes!$P:$U,5,FALSE),""))</f>
        <v/>
      </c>
      <c r="L111" s="191" t="str">
        <f t="shared" si="6"/>
        <v/>
      </c>
      <c r="M111" s="197" t="str">
        <f>IF(OR(I111="SPLV",I111="k"),VLOOKUP(F111,Componentes!$P:$U,5,FALSE),"")</f>
        <v/>
      </c>
      <c r="N111" s="192" t="str">
        <f t="shared" si="5"/>
        <v/>
      </c>
      <c r="O111" s="193"/>
      <c r="P111" t="str">
        <f>IF(Envoltória!D96="","",J111*VLOOKUP(Envoltória!H96,Aux_Lista!$A$1:$K$9,10,FALSE)*VLOOKUP(Envoltória!H96,Aux_Lista!$A$1:$K$9,11,FALSE)/1000)</f>
        <v/>
      </c>
      <c r="Q111" s="249"/>
      <c r="R111" s="99"/>
      <c r="S111" s="98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1"/>
      <c r="AG111" s="251"/>
      <c r="AH111" s="251"/>
      <c r="AI111" s="251"/>
      <c r="AJ111" s="251"/>
      <c r="AK111" s="252" t="str">
        <f t="shared" si="7"/>
        <v/>
      </c>
      <c r="AL111" s="342">
        <f t="shared" si="8"/>
        <v>0</v>
      </c>
    </row>
    <row r="112" spans="1:38" x14ac:dyDescent="0.25">
      <c r="A112" s="162">
        <v>82</v>
      </c>
      <c r="B112" s="225"/>
      <c r="C112" s="197" t="str">
        <f>IF(Envoltória!C97="","",Envoltória!C97)</f>
        <v/>
      </c>
      <c r="D112" s="197" t="str">
        <f>IF(Envoltória!D97="","",Envoltória!D97)</f>
        <v/>
      </c>
      <c r="E112" s="324">
        <f>Envoltória!AA97</f>
        <v>0</v>
      </c>
      <c r="F112" s="225"/>
      <c r="G112" s="324" t="str">
        <f>IF(C112="","",VLOOKUP(F112,Componentes!$P:$U,2,FALSE))</f>
        <v/>
      </c>
      <c r="H112" s="324" t="str">
        <f>IF(F112="","",VLOOKUP(F112,Componentes!$P:$U,3,FALSE))</f>
        <v/>
      </c>
      <c r="I112" s="197" t="str">
        <f>IF(F112="","",VLOOKUP(F112,Componentes!$P:$U,4,FALSE))</f>
        <v/>
      </c>
      <c r="J112" s="197" t="str">
        <f>IF(F112="","",VLOOKUP(F112,Componentes!$P:$U,6,FALSE))</f>
        <v/>
      </c>
      <c r="K112" s="197" t="str">
        <f>IF(F112="","",IF(I112&lt;&gt;"SPLV",VLOOKUP(F112,Componentes!$P:$U,5,FALSE),""))</f>
        <v/>
      </c>
      <c r="L112" s="191" t="str">
        <f t="shared" si="6"/>
        <v/>
      </c>
      <c r="M112" s="197" t="str">
        <f>IF(OR(I112="SPLV",I112="k"),VLOOKUP(F112,Componentes!$P:$U,5,FALSE),"")</f>
        <v/>
      </c>
      <c r="N112" s="192" t="str">
        <f t="shared" si="5"/>
        <v/>
      </c>
      <c r="O112" s="193"/>
      <c r="P112" t="str">
        <f>IF(Envoltória!D97="","",J112*VLOOKUP(Envoltória!H97,Aux_Lista!$A$1:$K$9,10,FALSE)*VLOOKUP(Envoltória!H97,Aux_Lista!$A$1:$K$9,11,FALSE)/1000)</f>
        <v/>
      </c>
      <c r="Q112" s="249"/>
      <c r="R112" s="99"/>
      <c r="S112" s="98"/>
      <c r="T112" s="251"/>
      <c r="U112" s="251"/>
      <c r="V112" s="251"/>
      <c r="W112" s="251"/>
      <c r="X112" s="251"/>
      <c r="Y112" s="251"/>
      <c r="Z112" s="251"/>
      <c r="AA112" s="251"/>
      <c r="AB112" s="251"/>
      <c r="AC112" s="251"/>
      <c r="AD112" s="251"/>
      <c r="AE112" s="251"/>
      <c r="AF112" s="251"/>
      <c r="AG112" s="251"/>
      <c r="AH112" s="251"/>
      <c r="AI112" s="251"/>
      <c r="AJ112" s="251"/>
      <c r="AK112" s="252" t="str">
        <f t="shared" si="7"/>
        <v/>
      </c>
      <c r="AL112" s="342">
        <f t="shared" si="8"/>
        <v>0</v>
      </c>
    </row>
    <row r="113" spans="1:38" x14ac:dyDescent="0.25">
      <c r="A113" s="162">
        <v>83</v>
      </c>
      <c r="B113" s="225"/>
      <c r="C113" s="197" t="str">
        <f>IF(Envoltória!C98="","",Envoltória!C98)</f>
        <v/>
      </c>
      <c r="D113" s="197" t="str">
        <f>IF(Envoltória!D98="","",Envoltória!D98)</f>
        <v/>
      </c>
      <c r="E113" s="324">
        <f>Envoltória!AA98</f>
        <v>0</v>
      </c>
      <c r="F113" s="225"/>
      <c r="G113" s="324" t="str">
        <f>IF(C113="","",VLOOKUP(F113,Componentes!$P:$U,2,FALSE))</f>
        <v/>
      </c>
      <c r="H113" s="324" t="str">
        <f>IF(F113="","",VLOOKUP(F113,Componentes!$P:$U,3,FALSE))</f>
        <v/>
      </c>
      <c r="I113" s="197" t="str">
        <f>IF(F113="","",VLOOKUP(F113,Componentes!$P:$U,4,FALSE))</f>
        <v/>
      </c>
      <c r="J113" s="197" t="str">
        <f>IF(F113="","",VLOOKUP(F113,Componentes!$P:$U,6,FALSE))</f>
        <v/>
      </c>
      <c r="K113" s="197" t="str">
        <f>IF(F113="","",IF(I113&lt;&gt;"SPLV",VLOOKUP(F113,Componentes!$P:$U,5,FALSE),""))</f>
        <v/>
      </c>
      <c r="L113" s="191" t="str">
        <f t="shared" si="6"/>
        <v/>
      </c>
      <c r="M113" s="197" t="str">
        <f>IF(OR(I113="SPLV",I113="k"),VLOOKUP(F113,Componentes!$P:$U,5,FALSE),"")</f>
        <v/>
      </c>
      <c r="N113" s="192" t="str">
        <f t="shared" si="5"/>
        <v/>
      </c>
      <c r="O113" s="193"/>
      <c r="P113" t="str">
        <f>IF(Envoltória!D98="","",J113*VLOOKUP(Envoltória!H98,Aux_Lista!$A$1:$K$9,10,FALSE)*VLOOKUP(Envoltória!H98,Aux_Lista!$A$1:$K$9,11,FALSE)/1000)</f>
        <v/>
      </c>
      <c r="Q113" s="249"/>
      <c r="R113" s="99"/>
      <c r="S113" s="98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1"/>
      <c r="AD113" s="251"/>
      <c r="AE113" s="251"/>
      <c r="AF113" s="251"/>
      <c r="AG113" s="251"/>
      <c r="AH113" s="251"/>
      <c r="AI113" s="251"/>
      <c r="AJ113" s="251"/>
      <c r="AK113" s="252" t="str">
        <f t="shared" si="7"/>
        <v/>
      </c>
      <c r="AL113" s="342">
        <f t="shared" si="8"/>
        <v>0</v>
      </c>
    </row>
    <row r="114" spans="1:38" x14ac:dyDescent="0.25">
      <c r="A114" s="162">
        <v>84</v>
      </c>
      <c r="B114" s="225"/>
      <c r="C114" s="197" t="str">
        <f>IF(Envoltória!C99="","",Envoltória!C99)</f>
        <v/>
      </c>
      <c r="D114" s="197" t="str">
        <f>IF(Envoltória!D99="","",Envoltória!D99)</f>
        <v/>
      </c>
      <c r="E114" s="324">
        <f>Envoltória!AA99</f>
        <v>0</v>
      </c>
      <c r="F114" s="225"/>
      <c r="G114" s="324" t="str">
        <f>IF(C114="","",VLOOKUP(F114,Componentes!$P:$U,2,FALSE))</f>
        <v/>
      </c>
      <c r="H114" s="324" t="str">
        <f>IF(F114="","",VLOOKUP(F114,Componentes!$P:$U,3,FALSE))</f>
        <v/>
      </c>
      <c r="I114" s="197" t="str">
        <f>IF(F114="","",VLOOKUP(F114,Componentes!$P:$U,4,FALSE))</f>
        <v/>
      </c>
      <c r="J114" s="197" t="str">
        <f>IF(F114="","",VLOOKUP(F114,Componentes!$P:$U,6,FALSE))</f>
        <v/>
      </c>
      <c r="K114" s="197" t="str">
        <f>IF(F114="","",IF(I114&lt;&gt;"SPLV",VLOOKUP(F114,Componentes!$P:$U,5,FALSE),""))</f>
        <v/>
      </c>
      <c r="L114" s="191" t="str">
        <f t="shared" si="6"/>
        <v/>
      </c>
      <c r="M114" s="197" t="str">
        <f>IF(OR(I114="SPLV",I114="k"),VLOOKUP(F114,Componentes!$P:$U,5,FALSE),"")</f>
        <v/>
      </c>
      <c r="N114" s="192" t="str">
        <f t="shared" si="5"/>
        <v/>
      </c>
      <c r="O114" s="193"/>
      <c r="P114" t="str">
        <f>IF(Envoltória!D99="","",J114*VLOOKUP(Envoltória!H99,Aux_Lista!$A$1:$K$9,10,FALSE)*VLOOKUP(Envoltória!H99,Aux_Lista!$A$1:$K$9,11,FALSE)/1000)</f>
        <v/>
      </c>
      <c r="Q114" s="249"/>
      <c r="R114" s="99"/>
      <c r="S114" s="98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  <c r="AG114" s="251"/>
      <c r="AH114" s="251"/>
      <c r="AI114" s="251"/>
      <c r="AJ114" s="251"/>
      <c r="AK114" s="252" t="str">
        <f t="shared" si="7"/>
        <v/>
      </c>
      <c r="AL114" s="342">
        <f t="shared" si="8"/>
        <v>0</v>
      </c>
    </row>
    <row r="115" spans="1:38" x14ac:dyDescent="0.25">
      <c r="A115" s="162">
        <v>85</v>
      </c>
      <c r="B115" s="225"/>
      <c r="C115" s="197" t="str">
        <f>IF(Envoltória!C100="","",Envoltória!C100)</f>
        <v/>
      </c>
      <c r="D115" s="197" t="str">
        <f>IF(Envoltória!D100="","",Envoltória!D100)</f>
        <v/>
      </c>
      <c r="E115" s="324">
        <f>Envoltória!AA100</f>
        <v>0</v>
      </c>
      <c r="F115" s="225"/>
      <c r="G115" s="324" t="str">
        <f>IF(C115="","",VLOOKUP(F115,Componentes!$P:$U,2,FALSE))</f>
        <v/>
      </c>
      <c r="H115" s="324" t="str">
        <f>IF(F115="","",VLOOKUP(F115,Componentes!$P:$U,3,FALSE))</f>
        <v/>
      </c>
      <c r="I115" s="197" t="str">
        <f>IF(F115="","",VLOOKUP(F115,Componentes!$P:$U,4,FALSE))</f>
        <v/>
      </c>
      <c r="J115" s="197" t="str">
        <f>IF(F115="","",VLOOKUP(F115,Componentes!$P:$U,6,FALSE))</f>
        <v/>
      </c>
      <c r="K115" s="197" t="str">
        <f>IF(F115="","",IF(I115&lt;&gt;"SPLV",VLOOKUP(F115,Componentes!$P:$U,5,FALSE),""))</f>
        <v/>
      </c>
      <c r="L115" s="191" t="str">
        <f t="shared" si="6"/>
        <v/>
      </c>
      <c r="M115" s="197" t="str">
        <f>IF(OR(I115="SPLV",I115="k"),VLOOKUP(F115,Componentes!$P:$U,5,FALSE),"")</f>
        <v/>
      </c>
      <c r="N115" s="192" t="str">
        <f t="shared" si="5"/>
        <v/>
      </c>
      <c r="O115" s="193"/>
      <c r="P115" t="str">
        <f>IF(Envoltória!D100="","",J115*VLOOKUP(Envoltória!H100,Aux_Lista!$A$1:$K$9,10,FALSE)*VLOOKUP(Envoltória!H100,Aux_Lista!$A$1:$K$9,11,FALSE)/1000)</f>
        <v/>
      </c>
      <c r="Q115" s="249"/>
      <c r="R115" s="99"/>
      <c r="S115" s="98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  <c r="AG115" s="251"/>
      <c r="AH115" s="251"/>
      <c r="AI115" s="251"/>
      <c r="AJ115" s="251"/>
      <c r="AK115" s="252" t="str">
        <f t="shared" si="7"/>
        <v/>
      </c>
      <c r="AL115" s="342">
        <f t="shared" si="8"/>
        <v>0</v>
      </c>
    </row>
    <row r="116" spans="1:38" x14ac:dyDescent="0.25">
      <c r="A116" s="162">
        <v>86</v>
      </c>
      <c r="B116" s="225"/>
      <c r="C116" s="197" t="str">
        <f>IF(Envoltória!C101="","",Envoltória!C101)</f>
        <v/>
      </c>
      <c r="D116" s="197" t="str">
        <f>IF(Envoltória!D101="","",Envoltória!D101)</f>
        <v/>
      </c>
      <c r="E116" s="324">
        <f>Envoltória!AA101</f>
        <v>0</v>
      </c>
      <c r="F116" s="225"/>
      <c r="G116" s="324" t="str">
        <f>IF(C116="","",VLOOKUP(F116,Componentes!$P:$U,2,FALSE))</f>
        <v/>
      </c>
      <c r="H116" s="324" t="str">
        <f>IF(F116="","",VLOOKUP(F116,Componentes!$P:$U,3,FALSE))</f>
        <v/>
      </c>
      <c r="I116" s="197" t="str">
        <f>IF(F116="","",VLOOKUP(F116,Componentes!$P:$U,4,FALSE))</f>
        <v/>
      </c>
      <c r="J116" s="197" t="str">
        <f>IF(F116="","",VLOOKUP(F116,Componentes!$P:$U,6,FALSE))</f>
        <v/>
      </c>
      <c r="K116" s="197" t="str">
        <f>IF(F116="","",IF(I116&lt;&gt;"SPLV",VLOOKUP(F116,Componentes!$P:$U,5,FALSE),""))</f>
        <v/>
      </c>
      <c r="L116" s="191" t="str">
        <f t="shared" si="6"/>
        <v/>
      </c>
      <c r="M116" s="197" t="str">
        <f>IF(OR(I116="SPLV",I116="k"),VLOOKUP(F116,Componentes!$P:$U,5,FALSE),"")</f>
        <v/>
      </c>
      <c r="N116" s="192" t="str">
        <f t="shared" si="5"/>
        <v/>
      </c>
      <c r="O116" s="193"/>
      <c r="P116" t="str">
        <f>IF(Envoltória!D101="","",J116*VLOOKUP(Envoltória!H101,Aux_Lista!$A$1:$K$9,10,FALSE)*VLOOKUP(Envoltória!H101,Aux_Lista!$A$1:$K$9,11,FALSE)/1000)</f>
        <v/>
      </c>
      <c r="Q116" s="249"/>
      <c r="R116" s="99"/>
      <c r="S116" s="98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  <c r="AG116" s="251"/>
      <c r="AH116" s="251"/>
      <c r="AI116" s="251"/>
      <c r="AJ116" s="251"/>
      <c r="AK116" s="252" t="str">
        <f t="shared" si="7"/>
        <v/>
      </c>
      <c r="AL116" s="342">
        <f t="shared" si="8"/>
        <v>0</v>
      </c>
    </row>
    <row r="117" spans="1:38" x14ac:dyDescent="0.25">
      <c r="A117" s="162">
        <v>87</v>
      </c>
      <c r="B117" s="225"/>
      <c r="C117" s="197" t="str">
        <f>IF(Envoltória!C102="","",Envoltória!C102)</f>
        <v/>
      </c>
      <c r="D117" s="197" t="str">
        <f>IF(Envoltória!D102="","",Envoltória!D102)</f>
        <v/>
      </c>
      <c r="E117" s="324">
        <f>Envoltória!AA102</f>
        <v>0</v>
      </c>
      <c r="F117" s="225"/>
      <c r="G117" s="324" t="str">
        <f>IF(C117="","",VLOOKUP(F117,Componentes!$P:$U,2,FALSE))</f>
        <v/>
      </c>
      <c r="H117" s="324" t="str">
        <f>IF(F117="","",VLOOKUP(F117,Componentes!$P:$U,3,FALSE))</f>
        <v/>
      </c>
      <c r="I117" s="197" t="str">
        <f>IF(F117="","",VLOOKUP(F117,Componentes!$P:$U,4,FALSE))</f>
        <v/>
      </c>
      <c r="J117" s="197" t="str">
        <f>IF(F117="","",VLOOKUP(F117,Componentes!$P:$U,6,FALSE))</f>
        <v/>
      </c>
      <c r="K117" s="197" t="str">
        <f>IF(F117="","",IF(I117&lt;&gt;"SPLV",VLOOKUP(F117,Componentes!$P:$U,5,FALSE),""))</f>
        <v/>
      </c>
      <c r="L117" s="191" t="str">
        <f t="shared" si="6"/>
        <v/>
      </c>
      <c r="M117" s="197" t="str">
        <f>IF(OR(I117="SPLV",I117="k"),VLOOKUP(F117,Componentes!$P:$U,5,FALSE),"")</f>
        <v/>
      </c>
      <c r="N117" s="192" t="str">
        <f t="shared" si="5"/>
        <v/>
      </c>
      <c r="O117" s="193"/>
      <c r="P117" t="str">
        <f>IF(Envoltória!D102="","",J117*VLOOKUP(Envoltória!H102,Aux_Lista!$A$1:$K$9,10,FALSE)*VLOOKUP(Envoltória!H102,Aux_Lista!$A$1:$K$9,11,FALSE)/1000)</f>
        <v/>
      </c>
      <c r="Q117" s="249"/>
      <c r="R117" s="99"/>
      <c r="S117" s="98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1"/>
      <c r="AG117" s="251"/>
      <c r="AH117" s="251"/>
      <c r="AI117" s="251"/>
      <c r="AJ117" s="251"/>
      <c r="AK117" s="252" t="str">
        <f t="shared" si="7"/>
        <v/>
      </c>
      <c r="AL117" s="342">
        <f t="shared" si="8"/>
        <v>0</v>
      </c>
    </row>
    <row r="118" spans="1:38" x14ac:dyDescent="0.25">
      <c r="A118" s="162">
        <v>88</v>
      </c>
      <c r="B118" s="225"/>
      <c r="C118" s="197" t="str">
        <f>IF(Envoltória!C103="","",Envoltória!C103)</f>
        <v/>
      </c>
      <c r="D118" s="197" t="str">
        <f>IF(Envoltória!D103="","",Envoltória!D103)</f>
        <v/>
      </c>
      <c r="E118" s="324">
        <f>Envoltória!AA103</f>
        <v>0</v>
      </c>
      <c r="F118" s="225"/>
      <c r="G118" s="324" t="str">
        <f>IF(C118="","",VLOOKUP(F118,Componentes!$P:$U,2,FALSE))</f>
        <v/>
      </c>
      <c r="H118" s="324" t="str">
        <f>IF(F118="","",VLOOKUP(F118,Componentes!$P:$U,3,FALSE))</f>
        <v/>
      </c>
      <c r="I118" s="197" t="str">
        <f>IF(F118="","",VLOOKUP(F118,Componentes!$P:$U,4,FALSE))</f>
        <v/>
      </c>
      <c r="J118" s="197" t="str">
        <f>IF(F118="","",VLOOKUP(F118,Componentes!$P:$U,6,FALSE))</f>
        <v/>
      </c>
      <c r="K118" s="197" t="str">
        <f>IF(F118="","",IF(I118&lt;&gt;"SPLV",VLOOKUP(F118,Componentes!$P:$U,5,FALSE),""))</f>
        <v/>
      </c>
      <c r="L118" s="191" t="str">
        <f t="shared" si="6"/>
        <v/>
      </c>
      <c r="M118" s="197" t="str">
        <f>IF(OR(I118="SPLV",I118="k"),VLOOKUP(F118,Componentes!$P:$U,5,FALSE),"")</f>
        <v/>
      </c>
      <c r="N118" s="192" t="str">
        <f t="shared" si="5"/>
        <v/>
      </c>
      <c r="O118" s="193"/>
      <c r="P118" t="str">
        <f>IF(Envoltória!D103="","",J118*VLOOKUP(Envoltória!H103,Aux_Lista!$A$1:$K$9,10,FALSE)*VLOOKUP(Envoltória!H103,Aux_Lista!$A$1:$K$9,11,FALSE)/1000)</f>
        <v/>
      </c>
      <c r="Q118" s="249"/>
      <c r="R118" s="99"/>
      <c r="S118" s="98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  <c r="AD118" s="251"/>
      <c r="AE118" s="251"/>
      <c r="AF118" s="251"/>
      <c r="AG118" s="251"/>
      <c r="AH118" s="251"/>
      <c r="AI118" s="251"/>
      <c r="AJ118" s="251"/>
      <c r="AK118" s="252" t="str">
        <f t="shared" si="7"/>
        <v/>
      </c>
      <c r="AL118" s="342">
        <f t="shared" si="8"/>
        <v>0</v>
      </c>
    </row>
    <row r="119" spans="1:38" x14ac:dyDescent="0.25">
      <c r="A119" s="162">
        <v>89</v>
      </c>
      <c r="B119" s="225"/>
      <c r="C119" s="197" t="str">
        <f>IF(Envoltória!C104="","",Envoltória!C104)</f>
        <v/>
      </c>
      <c r="D119" s="197" t="str">
        <f>IF(Envoltória!D104="","",Envoltória!D104)</f>
        <v/>
      </c>
      <c r="E119" s="324">
        <f>Envoltória!AA104</f>
        <v>0</v>
      </c>
      <c r="F119" s="225"/>
      <c r="G119" s="324" t="str">
        <f>IF(C119="","",VLOOKUP(F119,Componentes!$P:$U,2,FALSE))</f>
        <v/>
      </c>
      <c r="H119" s="324" t="str">
        <f>IF(F119="","",VLOOKUP(F119,Componentes!$P:$U,3,FALSE))</f>
        <v/>
      </c>
      <c r="I119" s="197" t="str">
        <f>IF(F119="","",VLOOKUP(F119,Componentes!$P:$U,4,FALSE))</f>
        <v/>
      </c>
      <c r="J119" s="197" t="str">
        <f>IF(F119="","",VLOOKUP(F119,Componentes!$P:$U,6,FALSE))</f>
        <v/>
      </c>
      <c r="K119" s="197" t="str">
        <f>IF(F119="","",IF(I119&lt;&gt;"SPLV",VLOOKUP(F119,Componentes!$P:$U,5,FALSE),""))</f>
        <v/>
      </c>
      <c r="L119" s="191" t="str">
        <f t="shared" si="6"/>
        <v/>
      </c>
      <c r="M119" s="197" t="str">
        <f>IF(OR(I119="SPLV",I119="k"),VLOOKUP(F119,Componentes!$P:$U,5,FALSE),"")</f>
        <v/>
      </c>
      <c r="N119" s="192" t="str">
        <f t="shared" si="5"/>
        <v/>
      </c>
      <c r="O119" s="193"/>
      <c r="P119" t="str">
        <f>IF(Envoltória!D104="","",J119*VLOOKUP(Envoltória!H104,Aux_Lista!$A$1:$K$9,10,FALSE)*VLOOKUP(Envoltória!H104,Aux_Lista!$A$1:$K$9,11,FALSE)/1000)</f>
        <v/>
      </c>
      <c r="Q119" s="249"/>
      <c r="R119" s="99"/>
      <c r="S119" s="98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1"/>
      <c r="AG119" s="251"/>
      <c r="AH119" s="251"/>
      <c r="AI119" s="251"/>
      <c r="AJ119" s="251"/>
      <c r="AK119" s="252" t="str">
        <f t="shared" si="7"/>
        <v/>
      </c>
      <c r="AL119" s="342">
        <f t="shared" si="8"/>
        <v>0</v>
      </c>
    </row>
    <row r="120" spans="1:38" x14ac:dyDescent="0.25">
      <c r="A120" s="162">
        <v>90</v>
      </c>
      <c r="B120" s="225"/>
      <c r="C120" s="197" t="str">
        <f>IF(Envoltória!C105="","",Envoltória!C105)</f>
        <v/>
      </c>
      <c r="D120" s="197" t="str">
        <f>IF(Envoltória!D105="","",Envoltória!D105)</f>
        <v/>
      </c>
      <c r="E120" s="324">
        <f>Envoltória!AA105</f>
        <v>0</v>
      </c>
      <c r="F120" s="225"/>
      <c r="G120" s="324" t="str">
        <f>IF(C120="","",VLOOKUP(F120,Componentes!$P:$U,2,FALSE))</f>
        <v/>
      </c>
      <c r="H120" s="324" t="str">
        <f>IF(F120="","",VLOOKUP(F120,Componentes!$P:$U,3,FALSE))</f>
        <v/>
      </c>
      <c r="I120" s="197" t="str">
        <f>IF(F120="","",VLOOKUP(F120,Componentes!$P:$U,4,FALSE))</f>
        <v/>
      </c>
      <c r="J120" s="197" t="str">
        <f>IF(F120="","",VLOOKUP(F120,Componentes!$P:$U,6,FALSE))</f>
        <v/>
      </c>
      <c r="K120" s="197" t="str">
        <f>IF(F120="","",IF(I120&lt;&gt;"SPLV",VLOOKUP(F120,Componentes!$P:$U,5,FALSE),""))</f>
        <v/>
      </c>
      <c r="L120" s="191" t="str">
        <f t="shared" si="6"/>
        <v/>
      </c>
      <c r="M120" s="197" t="str">
        <f>IF(OR(I120="SPLV",I120="k"),VLOOKUP(F120,Componentes!$P:$U,5,FALSE),"")</f>
        <v/>
      </c>
      <c r="N120" s="192" t="str">
        <f t="shared" si="5"/>
        <v/>
      </c>
      <c r="O120" s="193"/>
      <c r="P120" t="str">
        <f>IF(Envoltória!D105="","",J120*VLOOKUP(Envoltória!H105,Aux_Lista!$A$1:$K$9,10,FALSE)*VLOOKUP(Envoltória!H105,Aux_Lista!$A$1:$K$9,11,FALSE)/1000)</f>
        <v/>
      </c>
      <c r="Q120" s="249"/>
      <c r="R120" s="99"/>
      <c r="S120" s="98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  <c r="AD120" s="251"/>
      <c r="AE120" s="251"/>
      <c r="AF120" s="251"/>
      <c r="AG120" s="251"/>
      <c r="AH120" s="251"/>
      <c r="AI120" s="251"/>
      <c r="AJ120" s="251"/>
      <c r="AK120" s="252" t="str">
        <f t="shared" si="7"/>
        <v/>
      </c>
      <c r="AL120" s="342">
        <f t="shared" si="8"/>
        <v>0</v>
      </c>
    </row>
    <row r="121" spans="1:38" x14ac:dyDescent="0.25">
      <c r="A121" s="162">
        <v>91</v>
      </c>
      <c r="B121" s="225"/>
      <c r="C121" s="197" t="str">
        <f>IF(Envoltória!C106="","",Envoltória!C106)</f>
        <v/>
      </c>
      <c r="D121" s="197" t="str">
        <f>IF(Envoltória!D106="","",Envoltória!D106)</f>
        <v/>
      </c>
      <c r="E121" s="324">
        <f>Envoltória!AA106</f>
        <v>0</v>
      </c>
      <c r="F121" s="225"/>
      <c r="G121" s="324" t="str">
        <f>IF(C121="","",VLOOKUP(F121,Componentes!$P:$U,2,FALSE))</f>
        <v/>
      </c>
      <c r="H121" s="324" t="str">
        <f>IF(F121="","",VLOOKUP(F121,Componentes!$P:$U,3,FALSE))</f>
        <v/>
      </c>
      <c r="I121" s="197" t="str">
        <f>IF(F121="","",VLOOKUP(F121,Componentes!$P:$U,4,FALSE))</f>
        <v/>
      </c>
      <c r="J121" s="197" t="str">
        <f>IF(F121="","",VLOOKUP(F121,Componentes!$P:$U,6,FALSE))</f>
        <v/>
      </c>
      <c r="K121" s="197" t="str">
        <f>IF(F121="","",IF(I121&lt;&gt;"SPLV",VLOOKUP(F121,Componentes!$P:$U,5,FALSE),""))</f>
        <v/>
      </c>
      <c r="L121" s="191" t="str">
        <f t="shared" si="6"/>
        <v/>
      </c>
      <c r="M121" s="197" t="str">
        <f>IF(OR(I121="SPLV",I121="k"),VLOOKUP(F121,Componentes!$P:$U,5,FALSE),"")</f>
        <v/>
      </c>
      <c r="N121" s="192" t="str">
        <f t="shared" si="5"/>
        <v/>
      </c>
      <c r="O121" s="193"/>
      <c r="P121" t="str">
        <f>IF(Envoltória!D106="","",J121*VLOOKUP(Envoltória!H106,Aux_Lista!$A$1:$K$9,10,FALSE)*VLOOKUP(Envoltória!H106,Aux_Lista!$A$1:$K$9,11,FALSE)/1000)</f>
        <v/>
      </c>
      <c r="Q121" s="249"/>
      <c r="R121" s="99"/>
      <c r="S121" s="98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  <c r="AD121" s="251"/>
      <c r="AE121" s="251"/>
      <c r="AF121" s="251"/>
      <c r="AG121" s="251"/>
      <c r="AH121" s="251"/>
      <c r="AI121" s="251"/>
      <c r="AJ121" s="251"/>
      <c r="AK121" s="252" t="str">
        <f t="shared" si="7"/>
        <v/>
      </c>
      <c r="AL121" s="342">
        <f t="shared" si="8"/>
        <v>0</v>
      </c>
    </row>
    <row r="122" spans="1:38" x14ac:dyDescent="0.25">
      <c r="A122" s="162">
        <v>92</v>
      </c>
      <c r="B122" s="225"/>
      <c r="C122" s="197" t="str">
        <f>IF(Envoltória!C107="","",Envoltória!C107)</f>
        <v/>
      </c>
      <c r="D122" s="197" t="str">
        <f>IF(Envoltória!D107="","",Envoltória!D107)</f>
        <v/>
      </c>
      <c r="E122" s="324">
        <f>Envoltória!AA107</f>
        <v>0</v>
      </c>
      <c r="F122" s="225"/>
      <c r="G122" s="324" t="str">
        <f>IF(C122="","",VLOOKUP(F122,Componentes!$P:$U,2,FALSE))</f>
        <v/>
      </c>
      <c r="H122" s="324" t="str">
        <f>IF(F122="","",VLOOKUP(F122,Componentes!$P:$U,3,FALSE))</f>
        <v/>
      </c>
      <c r="I122" s="197" t="str">
        <f>IF(F122="","",VLOOKUP(F122,Componentes!$P:$U,4,FALSE))</f>
        <v/>
      </c>
      <c r="J122" s="197" t="str">
        <f>IF(F122="","",VLOOKUP(F122,Componentes!$P:$U,6,FALSE))</f>
        <v/>
      </c>
      <c r="K122" s="197" t="str">
        <f>IF(F122="","",IF(I122&lt;&gt;"SPLV",VLOOKUP(F122,Componentes!$P:$U,5,FALSE),""))</f>
        <v/>
      </c>
      <c r="L122" s="191" t="str">
        <f t="shared" si="6"/>
        <v/>
      </c>
      <c r="M122" s="197" t="str">
        <f>IF(OR(I122="SPLV",I122="k"),VLOOKUP(F122,Componentes!$P:$U,5,FALSE),"")</f>
        <v/>
      </c>
      <c r="N122" s="192" t="str">
        <f t="shared" si="5"/>
        <v/>
      </c>
      <c r="O122" s="193"/>
      <c r="P122" t="str">
        <f>IF(Envoltória!D107="","",J122*VLOOKUP(Envoltória!H107,Aux_Lista!$A$1:$K$9,10,FALSE)*VLOOKUP(Envoltória!H107,Aux_Lista!$A$1:$K$9,11,FALSE)/1000)</f>
        <v/>
      </c>
      <c r="Q122" s="249"/>
      <c r="R122" s="99"/>
      <c r="S122" s="98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1"/>
      <c r="AG122" s="251"/>
      <c r="AH122" s="251"/>
      <c r="AI122" s="251"/>
      <c r="AJ122" s="251"/>
      <c r="AK122" s="252" t="str">
        <f t="shared" si="7"/>
        <v/>
      </c>
      <c r="AL122" s="342">
        <f t="shared" si="8"/>
        <v>0</v>
      </c>
    </row>
    <row r="123" spans="1:38" x14ac:dyDescent="0.25">
      <c r="A123" s="162">
        <v>93</v>
      </c>
      <c r="B123" s="225"/>
      <c r="C123" s="197" t="str">
        <f>IF(Envoltória!C108="","",Envoltória!C108)</f>
        <v/>
      </c>
      <c r="D123" s="197" t="str">
        <f>IF(Envoltória!D108="","",Envoltória!D108)</f>
        <v/>
      </c>
      <c r="E123" s="324">
        <f>Envoltória!AA108</f>
        <v>0</v>
      </c>
      <c r="F123" s="225"/>
      <c r="G123" s="324" t="str">
        <f>IF(C123="","",VLOOKUP(F123,Componentes!$P:$U,2,FALSE))</f>
        <v/>
      </c>
      <c r="H123" s="324" t="str">
        <f>IF(F123="","",VLOOKUP(F123,Componentes!$P:$U,3,FALSE))</f>
        <v/>
      </c>
      <c r="I123" s="197" t="str">
        <f>IF(F123="","",VLOOKUP(F123,Componentes!$P:$U,4,FALSE))</f>
        <v/>
      </c>
      <c r="J123" s="197" t="str">
        <f>IF(F123="","",VLOOKUP(F123,Componentes!$P:$U,6,FALSE))</f>
        <v/>
      </c>
      <c r="K123" s="197" t="str">
        <f>IF(F123="","",IF(I123&lt;&gt;"SPLV",VLOOKUP(F123,Componentes!$P:$U,5,FALSE),""))</f>
        <v/>
      </c>
      <c r="L123" s="191" t="str">
        <f t="shared" si="6"/>
        <v/>
      </c>
      <c r="M123" s="197" t="str">
        <f>IF(OR(I123="SPLV",I123="k"),VLOOKUP(F123,Componentes!$P:$U,5,FALSE),"")</f>
        <v/>
      </c>
      <c r="N123" s="192" t="str">
        <f t="shared" si="5"/>
        <v/>
      </c>
      <c r="O123" s="193"/>
      <c r="P123" t="str">
        <f>IF(Envoltória!D108="","",J123*VLOOKUP(Envoltória!H108,Aux_Lista!$A$1:$K$9,10,FALSE)*VLOOKUP(Envoltória!H108,Aux_Lista!$A$1:$K$9,11,FALSE)/1000)</f>
        <v/>
      </c>
      <c r="Q123" s="249"/>
      <c r="R123" s="99"/>
      <c r="S123" s="98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1"/>
      <c r="AG123" s="251"/>
      <c r="AH123" s="251"/>
      <c r="AI123" s="251"/>
      <c r="AJ123" s="251"/>
      <c r="AK123" s="252" t="str">
        <f t="shared" si="7"/>
        <v/>
      </c>
      <c r="AL123" s="342">
        <f t="shared" si="8"/>
        <v>0</v>
      </c>
    </row>
    <row r="124" spans="1:38" x14ac:dyDescent="0.25">
      <c r="A124" s="162">
        <v>94</v>
      </c>
      <c r="B124" s="225"/>
      <c r="C124" s="197" t="str">
        <f>IF(Envoltória!C109="","",Envoltória!C109)</f>
        <v/>
      </c>
      <c r="D124" s="197" t="str">
        <f>IF(Envoltória!D109="","",Envoltória!D109)</f>
        <v/>
      </c>
      <c r="E124" s="324">
        <f>Envoltória!AA109</f>
        <v>0</v>
      </c>
      <c r="F124" s="225"/>
      <c r="G124" s="324" t="str">
        <f>IF(C124="","",VLOOKUP(F124,Componentes!$P:$U,2,FALSE))</f>
        <v/>
      </c>
      <c r="H124" s="324" t="str">
        <f>IF(F124="","",VLOOKUP(F124,Componentes!$P:$U,3,FALSE))</f>
        <v/>
      </c>
      <c r="I124" s="197" t="str">
        <f>IF(F124="","",VLOOKUP(F124,Componentes!$P:$U,4,FALSE))</f>
        <v/>
      </c>
      <c r="J124" s="197" t="str">
        <f>IF(F124="","",VLOOKUP(F124,Componentes!$P:$U,6,FALSE))</f>
        <v/>
      </c>
      <c r="K124" s="197" t="str">
        <f>IF(F124="","",IF(I124&lt;&gt;"SPLV",VLOOKUP(F124,Componentes!$P:$U,5,FALSE),""))</f>
        <v/>
      </c>
      <c r="L124" s="191" t="str">
        <f t="shared" si="6"/>
        <v/>
      </c>
      <c r="M124" s="197" t="str">
        <f>IF(OR(I124="SPLV",I124="k"),VLOOKUP(F124,Componentes!$P:$U,5,FALSE),"")</f>
        <v/>
      </c>
      <c r="N124" s="192" t="str">
        <f t="shared" si="5"/>
        <v/>
      </c>
      <c r="O124" s="193"/>
      <c r="P124" t="str">
        <f>IF(Envoltória!D109="","",J124*VLOOKUP(Envoltória!H109,Aux_Lista!$A$1:$K$9,10,FALSE)*VLOOKUP(Envoltória!H109,Aux_Lista!$A$1:$K$9,11,FALSE)/1000)</f>
        <v/>
      </c>
      <c r="Q124" s="249"/>
      <c r="R124" s="99"/>
      <c r="S124" s="98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1"/>
      <c r="AG124" s="251"/>
      <c r="AH124" s="251"/>
      <c r="AI124" s="251"/>
      <c r="AJ124" s="251"/>
      <c r="AK124" s="252" t="str">
        <f t="shared" si="7"/>
        <v/>
      </c>
      <c r="AL124" s="342">
        <f t="shared" si="8"/>
        <v>0</v>
      </c>
    </row>
    <row r="125" spans="1:38" x14ac:dyDescent="0.25">
      <c r="A125" s="162">
        <v>95</v>
      </c>
      <c r="B125" s="225"/>
      <c r="C125" s="197" t="str">
        <f>IF(Envoltória!C110="","",Envoltória!C110)</f>
        <v/>
      </c>
      <c r="D125" s="197" t="str">
        <f>IF(Envoltória!D110="","",Envoltória!D110)</f>
        <v/>
      </c>
      <c r="E125" s="324">
        <f>Envoltória!AA110</f>
        <v>0</v>
      </c>
      <c r="F125" s="225"/>
      <c r="G125" s="324" t="str">
        <f>IF(C125="","",VLOOKUP(F125,Componentes!$P:$U,2,FALSE))</f>
        <v/>
      </c>
      <c r="H125" s="324" t="str">
        <f>IF(F125="","",VLOOKUP(F125,Componentes!$P:$U,3,FALSE))</f>
        <v/>
      </c>
      <c r="I125" s="197" t="str">
        <f>IF(F125="","",VLOOKUP(F125,Componentes!$P:$U,4,FALSE))</f>
        <v/>
      </c>
      <c r="J125" s="197" t="str">
        <f>IF(F125="","",VLOOKUP(F125,Componentes!$P:$U,6,FALSE))</f>
        <v/>
      </c>
      <c r="K125" s="197" t="str">
        <f>IF(F125="","",IF(I125&lt;&gt;"SPLV",VLOOKUP(F125,Componentes!$P:$U,5,FALSE),""))</f>
        <v/>
      </c>
      <c r="L125" s="191" t="str">
        <f t="shared" si="6"/>
        <v/>
      </c>
      <c r="M125" s="197" t="str">
        <f>IF(OR(I125="SPLV",I125="k"),VLOOKUP(F125,Componentes!$P:$U,5,FALSE),"")</f>
        <v/>
      </c>
      <c r="N125" s="192" t="str">
        <f t="shared" si="5"/>
        <v/>
      </c>
      <c r="O125" s="193"/>
      <c r="P125" t="str">
        <f>IF(Envoltória!D110="","",J125*VLOOKUP(Envoltória!H110,Aux_Lista!$A$1:$K$9,10,FALSE)*VLOOKUP(Envoltória!H110,Aux_Lista!$A$1:$K$9,11,FALSE)/1000)</f>
        <v/>
      </c>
      <c r="Q125" s="249"/>
      <c r="R125" s="99"/>
      <c r="S125" s="98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1"/>
      <c r="AG125" s="251"/>
      <c r="AH125" s="251"/>
      <c r="AI125" s="251"/>
      <c r="AJ125" s="251"/>
      <c r="AK125" s="252" t="str">
        <f t="shared" si="7"/>
        <v/>
      </c>
      <c r="AL125" s="342">
        <f t="shared" si="8"/>
        <v>0</v>
      </c>
    </row>
    <row r="126" spans="1:38" x14ac:dyDescent="0.25">
      <c r="A126" s="162">
        <v>96</v>
      </c>
      <c r="B126" s="225"/>
      <c r="C126" s="197" t="str">
        <f>IF(Envoltória!C111="","",Envoltória!C111)</f>
        <v/>
      </c>
      <c r="D126" s="197" t="str">
        <f>IF(Envoltória!D111="","",Envoltória!D111)</f>
        <v/>
      </c>
      <c r="E126" s="324">
        <f>Envoltória!AA111</f>
        <v>0</v>
      </c>
      <c r="F126" s="225"/>
      <c r="G126" s="324" t="str">
        <f>IF(C126="","",VLOOKUP(F126,Componentes!$P:$U,2,FALSE))</f>
        <v/>
      </c>
      <c r="H126" s="324" t="str">
        <f>IF(F126="","",VLOOKUP(F126,Componentes!$P:$U,3,FALSE))</f>
        <v/>
      </c>
      <c r="I126" s="197" t="str">
        <f>IF(F126="","",VLOOKUP(F126,Componentes!$P:$U,4,FALSE))</f>
        <v/>
      </c>
      <c r="J126" s="197" t="str">
        <f>IF(F126="","",VLOOKUP(F126,Componentes!$P:$U,6,FALSE))</f>
        <v/>
      </c>
      <c r="K126" s="197" t="str">
        <f>IF(F126="","",IF(I126&lt;&gt;"SPLV",VLOOKUP(F126,Componentes!$P:$U,5,FALSE),""))</f>
        <v/>
      </c>
      <c r="L126" s="191" t="str">
        <f t="shared" si="6"/>
        <v/>
      </c>
      <c r="M126" s="197" t="str">
        <f>IF(OR(I126="SPLV",I126="k"),VLOOKUP(F126,Componentes!$P:$U,5,FALSE),"")</f>
        <v/>
      </c>
      <c r="N126" s="192" t="str">
        <f t="shared" si="5"/>
        <v/>
      </c>
      <c r="O126" s="193"/>
      <c r="P126" t="str">
        <f>IF(Envoltória!D111="","",J126*VLOOKUP(Envoltória!H111,Aux_Lista!$A$1:$K$9,10,FALSE)*VLOOKUP(Envoltória!H111,Aux_Lista!$A$1:$K$9,11,FALSE)/1000)</f>
        <v/>
      </c>
      <c r="Q126" s="249"/>
      <c r="R126" s="99"/>
      <c r="S126" s="98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1"/>
      <c r="AD126" s="251"/>
      <c r="AE126" s="251"/>
      <c r="AF126" s="251"/>
      <c r="AG126" s="251"/>
      <c r="AH126" s="251"/>
      <c r="AI126" s="251"/>
      <c r="AJ126" s="251"/>
      <c r="AK126" s="252" t="str">
        <f t="shared" si="7"/>
        <v/>
      </c>
      <c r="AL126" s="342">
        <f t="shared" si="8"/>
        <v>0</v>
      </c>
    </row>
    <row r="127" spans="1:38" x14ac:dyDescent="0.25">
      <c r="A127" s="162">
        <v>97</v>
      </c>
      <c r="B127" s="225"/>
      <c r="C127" s="197" t="str">
        <f>IF(Envoltória!C112="","",Envoltória!C112)</f>
        <v/>
      </c>
      <c r="D127" s="197" t="str">
        <f>IF(Envoltória!D112="","",Envoltória!D112)</f>
        <v/>
      </c>
      <c r="E127" s="324">
        <f>Envoltória!AA112</f>
        <v>0</v>
      </c>
      <c r="F127" s="225"/>
      <c r="G127" s="324" t="str">
        <f>IF(C127="","",VLOOKUP(F127,Componentes!$P:$U,2,FALSE))</f>
        <v/>
      </c>
      <c r="H127" s="324" t="str">
        <f>IF(F127="","",VLOOKUP(F127,Componentes!$P:$U,3,FALSE))</f>
        <v/>
      </c>
      <c r="I127" s="197" t="str">
        <f>IF(F127="","",VLOOKUP(F127,Componentes!$P:$U,4,FALSE))</f>
        <v/>
      </c>
      <c r="J127" s="197" t="str">
        <f>IF(F127="","",VLOOKUP(F127,Componentes!$P:$U,6,FALSE))</f>
        <v/>
      </c>
      <c r="K127" s="197" t="str">
        <f>IF(F127="","",IF(I127&lt;&gt;"SPLV",VLOOKUP(F127,Componentes!$P:$U,5,FALSE),""))</f>
        <v/>
      </c>
      <c r="L127" s="191" t="str">
        <f t="shared" si="6"/>
        <v/>
      </c>
      <c r="M127" s="197" t="str">
        <f>IF(OR(I127="SPLV",I127="k"),VLOOKUP(F127,Componentes!$P:$U,5,FALSE),"")</f>
        <v/>
      </c>
      <c r="N127" s="192" t="str">
        <f t="shared" ref="N127:N130" si="9">IF(M127="","",E127/M127)</f>
        <v/>
      </c>
      <c r="O127" s="193"/>
      <c r="P127" t="str">
        <f>IF(Envoltória!D112="","",J127*VLOOKUP(Envoltória!H112,Aux_Lista!$A$1:$K$9,10,FALSE)*VLOOKUP(Envoltória!H112,Aux_Lista!$A$1:$K$9,11,FALSE)/1000)</f>
        <v/>
      </c>
      <c r="Q127" s="249"/>
      <c r="R127" s="99"/>
      <c r="S127" s="98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1"/>
      <c r="AD127" s="251"/>
      <c r="AE127" s="251"/>
      <c r="AF127" s="251"/>
      <c r="AG127" s="251"/>
      <c r="AH127" s="251"/>
      <c r="AI127" s="251"/>
      <c r="AJ127" s="251"/>
      <c r="AK127" s="252" t="str">
        <f t="shared" si="7"/>
        <v/>
      </c>
      <c r="AL127" s="342">
        <f t="shared" si="8"/>
        <v>0</v>
      </c>
    </row>
    <row r="128" spans="1:38" x14ac:dyDescent="0.25">
      <c r="A128" s="162">
        <v>98</v>
      </c>
      <c r="B128" s="225"/>
      <c r="C128" s="197" t="str">
        <f>IF(Envoltória!C113="","",Envoltória!C113)</f>
        <v/>
      </c>
      <c r="D128" s="197" t="str">
        <f>IF(Envoltória!D113="","",Envoltória!D113)</f>
        <v/>
      </c>
      <c r="E128" s="324">
        <f>Envoltória!AA113</f>
        <v>0</v>
      </c>
      <c r="F128" s="225"/>
      <c r="G128" s="324" t="str">
        <f>IF(C128="","",VLOOKUP(F128,Componentes!$P:$U,2,FALSE))</f>
        <v/>
      </c>
      <c r="H128" s="324" t="str">
        <f>IF(F128="","",VLOOKUP(F128,Componentes!$P:$U,3,FALSE))</f>
        <v/>
      </c>
      <c r="I128" s="197" t="str">
        <f>IF(F128="","",VLOOKUP(F128,Componentes!$P:$U,4,FALSE))</f>
        <v/>
      </c>
      <c r="J128" s="197" t="str">
        <f>IF(F128="","",VLOOKUP(F128,Componentes!$P:$U,6,FALSE))</f>
        <v/>
      </c>
      <c r="K128" s="197" t="str">
        <f>IF(F128="","",IF(I128&lt;&gt;"SPLV",VLOOKUP(F128,Componentes!$P:$U,5,FALSE),""))</f>
        <v/>
      </c>
      <c r="L128" s="191" t="str">
        <f t="shared" si="6"/>
        <v/>
      </c>
      <c r="M128" s="197" t="str">
        <f>IF(OR(I128="SPLV",I128="k"),VLOOKUP(F128,Componentes!$P:$U,5,FALSE),"")</f>
        <v/>
      </c>
      <c r="N128" s="192" t="str">
        <f t="shared" si="9"/>
        <v/>
      </c>
      <c r="O128" s="193"/>
      <c r="P128" t="str">
        <f>IF(Envoltória!D113="","",J128*VLOOKUP(Envoltória!H113,Aux_Lista!$A$1:$K$9,10,FALSE)*VLOOKUP(Envoltória!H113,Aux_Lista!$A$1:$K$9,11,FALSE)/1000)</f>
        <v/>
      </c>
      <c r="Q128" s="249"/>
      <c r="R128" s="99"/>
      <c r="S128" s="98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1"/>
      <c r="AG128" s="251"/>
      <c r="AH128" s="251"/>
      <c r="AI128" s="251"/>
      <c r="AJ128" s="251"/>
      <c r="AK128" s="252" t="str">
        <f t="shared" si="7"/>
        <v/>
      </c>
      <c r="AL128" s="342">
        <f t="shared" si="8"/>
        <v>0</v>
      </c>
    </row>
    <row r="129" spans="1:38" x14ac:dyDescent="0.25">
      <c r="A129" s="162">
        <v>99</v>
      </c>
      <c r="B129" s="225"/>
      <c r="C129" s="197" t="str">
        <f>IF(Envoltória!C114="","",Envoltória!C114)</f>
        <v/>
      </c>
      <c r="D129" s="197" t="str">
        <f>IF(Envoltória!D114="","",Envoltória!D114)</f>
        <v/>
      </c>
      <c r="E129" s="324">
        <f>Envoltória!AA114</f>
        <v>0</v>
      </c>
      <c r="F129" s="225"/>
      <c r="G129" s="324" t="str">
        <f>IF(C129="","",VLOOKUP(F129,Componentes!$P:$U,2,FALSE))</f>
        <v/>
      </c>
      <c r="H129" s="324" t="str">
        <f>IF(F129="","",VLOOKUP(F129,Componentes!$P:$U,3,FALSE))</f>
        <v/>
      </c>
      <c r="I129" s="197" t="str">
        <f>IF(F129="","",VLOOKUP(F129,Componentes!$P:$U,4,FALSE))</f>
        <v/>
      </c>
      <c r="J129" s="197" t="str">
        <f>IF(F129="","",VLOOKUP(F129,Componentes!$P:$U,6,FALSE))</f>
        <v/>
      </c>
      <c r="K129" s="197" t="str">
        <f>IF(F129="","",IF(I129&lt;&gt;"SPLV",VLOOKUP(F129,Componentes!$P:$U,5,FALSE),""))</f>
        <v/>
      </c>
      <c r="L129" s="191" t="str">
        <f t="shared" si="6"/>
        <v/>
      </c>
      <c r="M129" s="197" t="str">
        <f>IF(OR(I129="SPLV",I129="k"),VLOOKUP(F129,Componentes!$P:$U,5,FALSE),"")</f>
        <v/>
      </c>
      <c r="N129" s="192" t="str">
        <f t="shared" si="9"/>
        <v/>
      </c>
      <c r="O129" s="193"/>
      <c r="P129" t="str">
        <f>IF(Envoltória!D114="","",J129*VLOOKUP(Envoltória!H114,Aux_Lista!$A$1:$K$9,10,FALSE)*VLOOKUP(Envoltória!H114,Aux_Lista!$A$1:$K$9,11,FALSE)/1000)</f>
        <v/>
      </c>
      <c r="Q129" s="249"/>
      <c r="R129" s="99"/>
      <c r="S129" s="98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1"/>
      <c r="AG129" s="251"/>
      <c r="AH129" s="251"/>
      <c r="AI129" s="251"/>
      <c r="AJ129" s="251"/>
      <c r="AK129" s="252" t="str">
        <f t="shared" si="7"/>
        <v/>
      </c>
      <c r="AL129" s="342">
        <f t="shared" si="8"/>
        <v>0</v>
      </c>
    </row>
    <row r="130" spans="1:38" x14ac:dyDescent="0.25">
      <c r="A130" s="162">
        <v>100</v>
      </c>
      <c r="B130" s="226"/>
      <c r="C130" s="197" t="str">
        <f>IF(Envoltória!C115="","",Envoltória!C115)</f>
        <v/>
      </c>
      <c r="D130" s="197" t="str">
        <f>IF(Envoltória!D115="","",Envoltória!D115)</f>
        <v/>
      </c>
      <c r="E130" s="324">
        <f>Envoltória!AA115</f>
        <v>0</v>
      </c>
      <c r="F130" s="225"/>
      <c r="G130" s="324" t="str">
        <f>IF(C130="","",VLOOKUP(F130,Componentes!$P:$U,2,FALSE))</f>
        <v/>
      </c>
      <c r="H130" s="324" t="str">
        <f>IF(F130="","",VLOOKUP(F130,Componentes!$P:$U,3,FALSE))</f>
        <v/>
      </c>
      <c r="I130" s="197" t="str">
        <f>IF(F130="","",VLOOKUP(F130,Componentes!$P:$U,4,FALSE))</f>
        <v/>
      </c>
      <c r="J130" s="197" t="str">
        <f>IF(F130="","",VLOOKUP(F130,Componentes!$P:$U,6,FALSE))</f>
        <v/>
      </c>
      <c r="K130" s="197" t="str">
        <f>IF(F130="","",IF(I130&lt;&gt;"SPLV",VLOOKUP(F130,Componentes!$P:$U,5,FALSE),""))</f>
        <v/>
      </c>
      <c r="L130" s="191" t="str">
        <f t="shared" si="6"/>
        <v/>
      </c>
      <c r="M130" s="197" t="str">
        <f>IF(OR(I130="SPLV",I130="k"),VLOOKUP(F130,Componentes!$P:$U,5,FALSE),"")</f>
        <v/>
      </c>
      <c r="N130" s="192" t="str">
        <f t="shared" si="9"/>
        <v/>
      </c>
      <c r="O130" s="194"/>
      <c r="P130" t="str">
        <f>IF(Envoltória!D115="","",J130*VLOOKUP(Envoltória!H115,Aux_Lista!$A$1:$K$9,10,FALSE)*VLOOKUP(Envoltória!H115,Aux_Lista!$A$1:$K$9,11,FALSE)/1000)</f>
        <v/>
      </c>
      <c r="Q130" s="249"/>
      <c r="R130" s="99"/>
      <c r="S130" s="98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1"/>
      <c r="AG130" s="251"/>
      <c r="AH130" s="251"/>
      <c r="AI130" s="251"/>
      <c r="AJ130" s="251"/>
      <c r="AK130" s="252" t="str">
        <f t="shared" si="7"/>
        <v/>
      </c>
      <c r="AL130" s="342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J23:K23"/>
    <mergeCell ref="J22:K22"/>
    <mergeCell ref="J20:L21"/>
    <mergeCell ref="B29:B30"/>
    <mergeCell ref="D29:D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AC29:AC30"/>
    <mergeCell ref="AD29:AD30"/>
    <mergeCell ref="Q29:Q30"/>
    <mergeCell ref="T29:T30"/>
    <mergeCell ref="V29:V30"/>
    <mergeCell ref="U29:U30"/>
    <mergeCell ref="Q28:R28"/>
    <mergeCell ref="Y29:Y30"/>
    <mergeCell ref="Z29:Z30"/>
    <mergeCell ref="AA29:AA30"/>
    <mergeCell ref="AB29:AB30"/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disablePrompts="1"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B9C99FD-7E1E-4A8F-852E-1DB332BE67B8}">
          <x14:formula1>
            <xm:f>Componentes!$P$12:$P$61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zoomScale="85" zoomScaleNormal="85" workbookViewId="0">
      <selection activeCell="G12" sqref="G12"/>
    </sheetView>
  </sheetViews>
  <sheetFormatPr defaultRowHeight="15" x14ac:dyDescent="0.25"/>
  <cols>
    <col min="1" max="1" width="5.7109375" style="2" customWidth="1"/>
    <col min="2" max="3" width="25.7109375" style="68" customWidth="1"/>
    <col min="4" max="4" width="25.5703125" style="68" customWidth="1"/>
    <col min="5" max="5" width="12.28515625" style="68" customWidth="1"/>
    <col min="6" max="6" width="13" style="68" customWidth="1"/>
    <col min="7" max="8" width="17" style="68" customWidth="1"/>
    <col min="9" max="15" width="13.7109375" style="68" customWidth="1"/>
    <col min="16" max="19" width="10.7109375" style="68" customWidth="1"/>
    <col min="20" max="20" width="13.140625" style="2" bestFit="1" customWidth="1"/>
    <col min="21" max="21" width="12" style="2" bestFit="1" customWidth="1"/>
    <col min="22" max="23" width="10.7109375" style="68" customWidth="1"/>
    <col min="24" max="24" width="5.7109375" customWidth="1"/>
    <col min="25" max="25" width="5" style="28" customWidth="1"/>
    <col min="26" max="26" width="9.140625" style="169"/>
    <col min="27" max="29" width="25.7109375" style="68" customWidth="1"/>
    <col min="30" max="31" width="10.7109375" style="68" customWidth="1"/>
    <col min="32" max="36" width="19.5703125" style="68" customWidth="1"/>
    <col min="37" max="37" width="17.42578125" style="68" customWidth="1"/>
    <col min="38" max="38" width="20.7109375" style="68" customWidth="1"/>
    <col min="39" max="39" width="21" style="68" customWidth="1"/>
    <col min="40" max="40" width="14.28515625" style="68" customWidth="1"/>
    <col min="41" max="44" width="10.7109375" style="68" customWidth="1"/>
    <col min="45" max="46" width="12.140625" style="2" customWidth="1"/>
    <col min="47" max="48" width="13" style="68" customWidth="1"/>
    <col min="49" max="49" width="9.140625" style="68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8"/>
      <c r="H1" s="48"/>
      <c r="I1" s="48"/>
      <c r="J1" s="48"/>
      <c r="K1" s="48"/>
      <c r="L1" s="48"/>
      <c r="M1" s="49"/>
      <c r="N1" s="49"/>
      <c r="O1" s="49"/>
      <c r="P1"/>
      <c r="Q1"/>
      <c r="R1"/>
      <c r="S1"/>
      <c r="V1"/>
      <c r="W1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8" t="s">
        <v>223</v>
      </c>
      <c r="H2" s="151" t="s">
        <v>222</v>
      </c>
      <c r="I2" s="152" t="s">
        <v>221</v>
      </c>
      <c r="J2" s="153" t="s">
        <v>220</v>
      </c>
      <c r="K2" s="154" t="s">
        <v>5518</v>
      </c>
      <c r="L2" s="196" t="s">
        <v>5826</v>
      </c>
      <c r="M2" s="49"/>
      <c r="N2" s="49"/>
      <c r="O2" s="49"/>
      <c r="P2"/>
      <c r="Q2"/>
      <c r="R2"/>
      <c r="S2"/>
      <c r="V2"/>
      <c r="W2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/>
      <c r="AT2"/>
      <c r="AU2"/>
      <c r="AV2"/>
      <c r="AW2"/>
    </row>
    <row r="3" spans="1:49" s="29" customFormat="1" ht="20.100000000000001" customHeight="1" x14ac:dyDescent="0.25">
      <c r="A3" s="64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64"/>
      <c r="U3" s="64"/>
      <c r="V3" s="27"/>
      <c r="W3" s="27"/>
      <c r="X3" s="27"/>
      <c r="Z3" s="17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/>
      <c r="AT4"/>
      <c r="AU4"/>
      <c r="AV4"/>
      <c r="AW4"/>
    </row>
    <row r="5" spans="1:49" ht="18.75" x14ac:dyDescent="0.3">
      <c r="A5" s="65"/>
      <c r="B5" s="41" t="s">
        <v>190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65"/>
      <c r="U5" s="65"/>
      <c r="V5" s="40"/>
      <c r="W5" s="40"/>
      <c r="X5" s="40"/>
      <c r="Z5" s="171"/>
      <c r="AA5" s="74" t="s">
        <v>5904</v>
      </c>
      <c r="AB5" s="63"/>
      <c r="AC5" s="63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/>
      <c r="AT6"/>
      <c r="AU6"/>
      <c r="AV6"/>
      <c r="AW6"/>
    </row>
    <row r="7" spans="1:49" ht="30" customHeight="1" x14ac:dyDescent="0.25">
      <c r="B7" s="75" t="s">
        <v>184</v>
      </c>
      <c r="C7" s="76" t="str">
        <f>Geral!C7</f>
        <v>Exemplo Ltda</v>
      </c>
      <c r="D7"/>
      <c r="F7" s="389" t="str">
        <f>IF(C9="Método de Simulação","PREENCHER A ABA 'Opc_Simulação' PRIMEIRO!","")</f>
        <v/>
      </c>
      <c r="G7" s="389"/>
      <c r="H7" s="389"/>
      <c r="I7" s="389"/>
      <c r="J7" s="389"/>
      <c r="K7" s="389"/>
      <c r="Q7"/>
      <c r="R7"/>
      <c r="S7"/>
      <c r="V7"/>
      <c r="W7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/>
      <c r="AT7"/>
      <c r="AU7"/>
      <c r="AV7"/>
      <c r="AW7"/>
    </row>
    <row r="8" spans="1:49" ht="30" customHeight="1" x14ac:dyDescent="0.25">
      <c r="B8" s="75" t="s">
        <v>135</v>
      </c>
      <c r="C8" s="76" t="str">
        <f>Geral!C10</f>
        <v>Projeto</v>
      </c>
      <c r="D8"/>
      <c r="F8" s="389"/>
      <c r="G8" s="389"/>
      <c r="H8" s="389"/>
      <c r="I8" s="389"/>
      <c r="J8" s="389"/>
      <c r="K8" s="389"/>
      <c r="Q8"/>
      <c r="R8"/>
      <c r="S8"/>
      <c r="V8"/>
      <c r="W8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/>
      <c r="AT8"/>
      <c r="AU8"/>
      <c r="AV8"/>
      <c r="AW8"/>
    </row>
    <row r="9" spans="1:49" ht="30" customHeight="1" x14ac:dyDescent="0.25">
      <c r="B9" s="75" t="s">
        <v>5793</v>
      </c>
      <c r="C9" s="77" t="s">
        <v>5524</v>
      </c>
      <c r="D9"/>
      <c r="E9" s="2"/>
      <c r="F9" s="389"/>
      <c r="G9" s="389"/>
      <c r="H9" s="389"/>
      <c r="I9" s="389"/>
      <c r="J9" s="389"/>
      <c r="K9" s="389"/>
      <c r="Q9"/>
      <c r="R9"/>
      <c r="S9"/>
      <c r="V9"/>
      <c r="W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142" t="s">
        <v>34</v>
      </c>
      <c r="AQ9" s="143" t="s">
        <v>25</v>
      </c>
      <c r="AR9" s="144" t="s">
        <v>118</v>
      </c>
      <c r="AS9" s="145" t="s">
        <v>5766</v>
      </c>
      <c r="AT9" s="146" t="s">
        <v>5767</v>
      </c>
      <c r="AU9" s="59"/>
      <c r="AV9" s="73" t="s">
        <v>5772</v>
      </c>
      <c r="AW9"/>
    </row>
    <row r="10" spans="1:49" ht="30" customHeight="1" x14ac:dyDescent="0.25">
      <c r="B10" s="75" t="s">
        <v>6004</v>
      </c>
      <c r="C10" s="84">
        <f>IF(C9=B15,SUM(T24:T26),IF(C9="Método de Simulação",Opc_Simulação!AC12,SUM(AS24:AS73)))</f>
        <v>24940.5</v>
      </c>
      <c r="D10"/>
      <c r="E10" s="2"/>
      <c r="F10" s="389"/>
      <c r="G10" s="389"/>
      <c r="H10" s="389"/>
      <c r="I10" s="389"/>
      <c r="J10" s="389"/>
      <c r="K10" s="389"/>
      <c r="Q10"/>
      <c r="R10"/>
      <c r="S10"/>
      <c r="V10"/>
      <c r="W10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75" t="s">
        <v>5771</v>
      </c>
      <c r="AP10" s="85" t="s">
        <v>14</v>
      </c>
      <c r="AQ10" s="85">
        <f>3*AB13</f>
        <v>0</v>
      </c>
      <c r="AR10" s="85">
        <f>2*AB13</f>
        <v>0</v>
      </c>
      <c r="AS10" s="85">
        <f>AB13</f>
        <v>0</v>
      </c>
      <c r="AT10" s="85">
        <f>AS11</f>
        <v>0</v>
      </c>
      <c r="AU10" s="59"/>
      <c r="AV10" s="385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75" t="s">
        <v>6005</v>
      </c>
      <c r="C11" s="84">
        <f>IF(C9=B15,SUM(U24:U26),IF(C9="Método de Simulação",Opc_Simulação!AA12,SUM(AT24:AT73)))</f>
        <v>11700</v>
      </c>
      <c r="D11" s="62"/>
      <c r="E11"/>
      <c r="F11" s="389"/>
      <c r="G11" s="389"/>
      <c r="H11" s="389"/>
      <c r="I11" s="389"/>
      <c r="J11" s="389"/>
      <c r="K11" s="389"/>
      <c r="L11"/>
      <c r="M11"/>
      <c r="N11"/>
      <c r="O11"/>
      <c r="P11"/>
      <c r="Q11"/>
      <c r="R11"/>
      <c r="S11"/>
      <c r="V11"/>
      <c r="W11"/>
      <c r="AA11" s="75" t="s">
        <v>5808</v>
      </c>
      <c r="AB11" s="86" t="str">
        <f>IF(C9="Método de Simulação",Opc_Simulação!AC12,"")</f>
        <v/>
      </c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75" t="s">
        <v>5770</v>
      </c>
      <c r="AP11" s="85">
        <f>3*AB13</f>
        <v>0</v>
      </c>
      <c r="AQ11" s="85">
        <f>AR10</f>
        <v>0</v>
      </c>
      <c r="AR11" s="85">
        <f>AB13</f>
        <v>0</v>
      </c>
      <c r="AS11" s="85">
        <v>0</v>
      </c>
      <c r="AT11" s="85" t="s">
        <v>14</v>
      </c>
      <c r="AU11"/>
      <c r="AV11" s="385"/>
      <c r="AW11"/>
    </row>
    <row r="12" spans="1:49" ht="30" customHeight="1" x14ac:dyDescent="0.25">
      <c r="B12" s="75" t="s">
        <v>5768</v>
      </c>
      <c r="C12" s="190">
        <f>IF(ISERROR((C10-C11)/C10),0,(C10-C11)/C10)</f>
        <v>0.53088350273651286</v>
      </c>
      <c r="D12" s="62"/>
      <c r="E12"/>
      <c r="F12" s="161"/>
      <c r="G12" s="161"/>
      <c r="H12" s="161"/>
      <c r="I12" s="161"/>
      <c r="J12" s="161"/>
      <c r="K12" s="161"/>
      <c r="L12"/>
      <c r="M12"/>
      <c r="N12"/>
      <c r="O12"/>
      <c r="P12"/>
      <c r="Q12"/>
      <c r="R12"/>
      <c r="S12"/>
      <c r="V12"/>
      <c r="W12"/>
      <c r="AA12" s="75" t="s">
        <v>5809</v>
      </c>
      <c r="AB12" s="86" t="str">
        <f>IF(C9="Método de Simulação",Opc_Simulação!AB12,"")</f>
        <v/>
      </c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/>
      <c r="AT12"/>
      <c r="AU12"/>
      <c r="AV12"/>
      <c r="AW12"/>
    </row>
    <row r="13" spans="1:49" ht="30" customHeight="1" x14ac:dyDescent="0.25">
      <c r="B13" s="75" t="s">
        <v>5798</v>
      </c>
      <c r="C13" s="190" t="str">
        <f>IF(C9=B15,W18,IF(C9=AA15,AV18,AV10))</f>
        <v>A</v>
      </c>
      <c r="D13" s="62"/>
      <c r="E13"/>
      <c r="F13" s="161"/>
      <c r="G13" s="161"/>
      <c r="H13" s="161"/>
      <c r="I13" s="161"/>
      <c r="J13" s="161"/>
      <c r="K13" s="161"/>
      <c r="L13"/>
      <c r="M13"/>
      <c r="N13"/>
      <c r="O13"/>
      <c r="P13"/>
      <c r="Q13"/>
      <c r="R13"/>
      <c r="S13"/>
      <c r="V13"/>
      <c r="W13"/>
      <c r="AA13" s="75" t="s">
        <v>5769</v>
      </c>
      <c r="AB13" s="141">
        <f>IF(ISERROR(((AB11-AB12)/AB11)/3),0,((AB11-AB12)/AB11)/3)</f>
        <v>0</v>
      </c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/>
      <c r="AT13"/>
      <c r="AU13"/>
      <c r="AV13"/>
      <c r="AW13"/>
    </row>
    <row r="14" spans="1:49" x14ac:dyDescent="0.25">
      <c r="B14" s="61"/>
      <c r="C14" s="62"/>
      <c r="D14" s="62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/>
      <c r="AT14"/>
      <c r="AU14"/>
      <c r="AV14"/>
      <c r="AW14"/>
    </row>
    <row r="15" spans="1:49" s="70" customFormat="1" ht="24.95" customHeight="1" x14ac:dyDescent="0.25">
      <c r="A15" s="66"/>
      <c r="B15" s="74" t="s">
        <v>5524</v>
      </c>
      <c r="C15" s="63"/>
      <c r="D15" s="63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6"/>
      <c r="U15" s="66"/>
      <c r="V15" s="69"/>
      <c r="W15" s="69"/>
      <c r="X15" s="69"/>
      <c r="Z15" s="171"/>
      <c r="AA15" s="74" t="s">
        <v>5525</v>
      </c>
      <c r="AB15" s="63"/>
      <c r="AC15" s="63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</row>
    <row r="16" spans="1:49" ht="15.75" x14ac:dyDescent="0.25">
      <c r="B16" s="72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</row>
    <row r="17" spans="1:49" ht="30" customHeight="1" x14ac:dyDescent="0.25">
      <c r="A17" s="67"/>
      <c r="B17" s="75" t="s">
        <v>5765</v>
      </c>
      <c r="C17" s="78" t="str">
        <f>Geral!C16</f>
        <v>Escritórios</v>
      </c>
      <c r="E17" s="59"/>
      <c r="F17"/>
      <c r="G17"/>
      <c r="H17"/>
      <c r="I17"/>
      <c r="J17"/>
      <c r="K17"/>
      <c r="L17"/>
      <c r="M17"/>
      <c r="N17"/>
      <c r="O17" s="59"/>
      <c r="P17" s="59"/>
      <c r="Q17" s="142" t="s">
        <v>34</v>
      </c>
      <c r="R17" s="143" t="s">
        <v>25</v>
      </c>
      <c r="S17" s="144" t="s">
        <v>118</v>
      </c>
      <c r="T17" s="145" t="s">
        <v>5766</v>
      </c>
      <c r="U17" s="146" t="s">
        <v>5767</v>
      </c>
      <c r="V17" s="59"/>
      <c r="W17" s="73" t="s">
        <v>5772</v>
      </c>
      <c r="X17" s="59"/>
      <c r="AA17" s="75" t="s">
        <v>5765</v>
      </c>
      <c r="AB17" s="78" t="str">
        <f>C17</f>
        <v>Escritórios</v>
      </c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142" t="s">
        <v>34</v>
      </c>
      <c r="AQ17" s="143" t="s">
        <v>25</v>
      </c>
      <c r="AR17" s="144" t="s">
        <v>118</v>
      </c>
      <c r="AS17" s="145" t="s">
        <v>5766</v>
      </c>
      <c r="AT17" s="146" t="s">
        <v>5767</v>
      </c>
      <c r="AU17" s="59"/>
      <c r="AV17" s="73" t="s">
        <v>5772</v>
      </c>
      <c r="AW17"/>
    </row>
    <row r="18" spans="1:49" ht="30" customHeight="1" x14ac:dyDescent="0.25">
      <c r="A18" s="67"/>
      <c r="E18" s="59"/>
      <c r="F18"/>
      <c r="G18"/>
      <c r="H18"/>
      <c r="I18"/>
      <c r="J18"/>
      <c r="K18"/>
      <c r="L18"/>
      <c r="M18"/>
      <c r="N18"/>
      <c r="O18"/>
      <c r="P18" s="75" t="s">
        <v>5771</v>
      </c>
      <c r="Q18" s="85" t="s">
        <v>14</v>
      </c>
      <c r="R18" s="85">
        <f>3*C21</f>
        <v>0.41282251759186872</v>
      </c>
      <c r="S18" s="85">
        <f>2*C21</f>
        <v>0.27521501172791246</v>
      </c>
      <c r="T18" s="85">
        <f>C21</f>
        <v>0.13760750586395623</v>
      </c>
      <c r="U18" s="85">
        <f>T19</f>
        <v>0</v>
      </c>
      <c r="V18" s="59"/>
      <c r="W18" s="385" t="str">
        <f>IF(C9=AA15,"",IF(C12&gt;=Q19,Q17,
IF(AND(C12&gt;R19,C12&lt;=R18),R17,
IF(AND(C12&gt;S19,C12&lt;=S18),S17,
IF(AND(C12&gt;=T19,C12&lt;=T18),T17,
U17)))))</f>
        <v>A</v>
      </c>
      <c r="X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/>
      <c r="AO18" s="75" t="s">
        <v>5771</v>
      </c>
      <c r="AP18" s="85" t="s">
        <v>14</v>
      </c>
      <c r="AQ18" s="85">
        <f>3*AB21</f>
        <v>0</v>
      </c>
      <c r="AR18" s="85">
        <f>2*AB21</f>
        <v>0</v>
      </c>
      <c r="AS18" s="85">
        <f>AB21</f>
        <v>0</v>
      </c>
      <c r="AT18" s="85">
        <f>AS19</f>
        <v>0</v>
      </c>
      <c r="AU18" s="59"/>
      <c r="AV18" s="385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7"/>
      <c r="B19" s="75" t="s">
        <v>5906</v>
      </c>
      <c r="C19" s="86">
        <f>IF(C9=B15,SUM(V24:V26),0)</f>
        <v>24940.5</v>
      </c>
      <c r="E19" s="59"/>
      <c r="F19"/>
      <c r="G19"/>
      <c r="H19"/>
      <c r="I19"/>
      <c r="J19"/>
      <c r="K19"/>
      <c r="L19"/>
      <c r="M19"/>
      <c r="N19"/>
      <c r="O19"/>
      <c r="P19" s="75" t="s">
        <v>5770</v>
      </c>
      <c r="Q19" s="85">
        <f>3*C21</f>
        <v>0.41282251759186872</v>
      </c>
      <c r="R19" s="85">
        <f>S18</f>
        <v>0.27521501172791246</v>
      </c>
      <c r="S19" s="85">
        <f>C21</f>
        <v>0.13760750586395623</v>
      </c>
      <c r="T19" s="85">
        <v>0</v>
      </c>
      <c r="U19" s="85" t="s">
        <v>14</v>
      </c>
      <c r="V19"/>
      <c r="W19" s="385"/>
      <c r="X19" s="59"/>
      <c r="AA19" s="75" t="s">
        <v>5906</v>
      </c>
      <c r="AB19" s="86">
        <f>IF(C9=AA15,SUM(AU24:AU73),0)</f>
        <v>0</v>
      </c>
      <c r="AC19" s="62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/>
      <c r="AO19" s="75" t="s">
        <v>5770</v>
      </c>
      <c r="AP19" s="85">
        <f>3*AB21</f>
        <v>0</v>
      </c>
      <c r="AQ19" s="85">
        <f>AR18</f>
        <v>0</v>
      </c>
      <c r="AR19" s="85">
        <f>AB21</f>
        <v>0</v>
      </c>
      <c r="AS19" s="85">
        <v>0</v>
      </c>
      <c r="AT19" s="85" t="s">
        <v>14</v>
      </c>
      <c r="AU19"/>
      <c r="AV19" s="385"/>
      <c r="AW19"/>
    </row>
    <row r="20" spans="1:49" ht="30" customHeight="1" x14ac:dyDescent="0.25">
      <c r="A20" s="67"/>
      <c r="B20" s="75" t="s">
        <v>5907</v>
      </c>
      <c r="C20" s="86">
        <f>IF(C9=B15,SUM(W24:W26),0)</f>
        <v>14644.5</v>
      </c>
      <c r="D20" s="59"/>
      <c r="E20" s="59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9"/>
      <c r="X20" s="59"/>
      <c r="AA20" s="75" t="s">
        <v>5907</v>
      </c>
      <c r="AB20" s="86">
        <f>IF(C9=AA15,SUM(AV24:AV73),0)</f>
        <v>0</v>
      </c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/>
      <c r="AO20"/>
      <c r="AP20"/>
      <c r="AQ20"/>
      <c r="AR20"/>
      <c r="AS20"/>
      <c r="AT20"/>
      <c r="AU20"/>
      <c r="AV20" s="59"/>
      <c r="AW20"/>
    </row>
    <row r="21" spans="1:49" ht="30" customHeight="1" x14ac:dyDescent="0.25">
      <c r="A21" s="67"/>
      <c r="B21" s="75" t="s">
        <v>5769</v>
      </c>
      <c r="C21" s="141">
        <f>IF(ISERROR(((C19-C20)/C19)/3),0,((C19-C20)/C19)/3)</f>
        <v>0.13760750586395623</v>
      </c>
      <c r="D21" s="59"/>
      <c r="E21" s="59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9"/>
      <c r="X21" s="59"/>
      <c r="AA21" s="75" t="s">
        <v>5769</v>
      </c>
      <c r="AB21" s="141">
        <f>IF(ISERROR(((AB19-AB20)/AB19)/3),0,((AB19-AB20)/AB19)/3)</f>
        <v>0</v>
      </c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/>
      <c r="AO21"/>
      <c r="AP21"/>
      <c r="AQ21"/>
      <c r="AR21"/>
      <c r="AS21"/>
      <c r="AT21"/>
      <c r="AU21"/>
      <c r="AV21" s="59"/>
      <c r="AW21"/>
    </row>
    <row r="22" spans="1:49" ht="24.95" customHeight="1" x14ac:dyDescent="0.25">
      <c r="B22"/>
      <c r="C22"/>
      <c r="D22"/>
      <c r="E22" s="59"/>
      <c r="F22" s="59"/>
      <c r="G22"/>
      <c r="H22"/>
      <c r="I22"/>
      <c r="J22"/>
      <c r="K22"/>
      <c r="L22"/>
      <c r="M22"/>
      <c r="N22"/>
      <c r="O22"/>
      <c r="P22" s="426" t="s">
        <v>78</v>
      </c>
      <c r="Q22" s="428"/>
      <c r="R22" s="428"/>
      <c r="S22" s="428"/>
      <c r="T22" s="426" t="s">
        <v>5526</v>
      </c>
      <c r="U22" s="427"/>
      <c r="V22" s="426" t="s">
        <v>5529</v>
      </c>
      <c r="W22" s="427"/>
      <c r="AA22"/>
      <c r="AB22"/>
      <c r="AC22"/>
      <c r="AD22" s="59"/>
      <c r="AE22" s="59"/>
      <c r="AF22"/>
      <c r="AG22"/>
      <c r="AH22" s="59"/>
      <c r="AI22"/>
      <c r="AJ22"/>
      <c r="AK22" s="59"/>
      <c r="AL22" s="59"/>
      <c r="AM22"/>
      <c r="AN22"/>
      <c r="AO22" s="426" t="s">
        <v>78</v>
      </c>
      <c r="AP22" s="428"/>
      <c r="AQ22" s="428"/>
      <c r="AR22" s="427"/>
      <c r="AS22" s="426" t="s">
        <v>5526</v>
      </c>
      <c r="AT22" s="427"/>
      <c r="AU22" s="426" t="s">
        <v>5529</v>
      </c>
      <c r="AV22" s="427"/>
      <c r="AW22" s="39"/>
    </row>
    <row r="23" spans="1:49" s="34" customFormat="1" ht="76.5" x14ac:dyDescent="0.25">
      <c r="A23" s="17"/>
      <c r="B23" s="132" t="s">
        <v>97</v>
      </c>
      <c r="C23" s="131" t="s">
        <v>98</v>
      </c>
      <c r="D23" s="131" t="s">
        <v>5810</v>
      </c>
      <c r="E23" s="131" t="s">
        <v>5522</v>
      </c>
      <c r="F23" s="131" t="s">
        <v>5523</v>
      </c>
      <c r="G23" s="102" t="s">
        <v>5812</v>
      </c>
      <c r="H23" s="102" t="s">
        <v>5811</v>
      </c>
      <c r="I23" s="131" t="s">
        <v>5795</v>
      </c>
      <c r="J23" s="131" t="s">
        <v>5796</v>
      </c>
      <c r="K23" s="131" t="s">
        <v>5797</v>
      </c>
      <c r="L23" s="131" t="s">
        <v>5521</v>
      </c>
      <c r="M23" s="131" t="s">
        <v>5794</v>
      </c>
      <c r="N23" s="131" t="s">
        <v>5527</v>
      </c>
      <c r="O23" s="131" t="s">
        <v>5530</v>
      </c>
      <c r="P23" s="101" t="s">
        <v>5538</v>
      </c>
      <c r="Q23" s="102" t="s">
        <v>101</v>
      </c>
      <c r="R23" s="102" t="s">
        <v>102</v>
      </c>
      <c r="S23" s="103" t="s">
        <v>103</v>
      </c>
      <c r="T23" s="101" t="s">
        <v>5519</v>
      </c>
      <c r="U23" s="103" t="s">
        <v>5520</v>
      </c>
      <c r="V23" s="101" t="s">
        <v>5908</v>
      </c>
      <c r="W23" s="103" t="s">
        <v>5909</v>
      </c>
      <c r="X23"/>
      <c r="Y23" s="28"/>
      <c r="Z23" s="169"/>
      <c r="AA23" s="101" t="s">
        <v>97</v>
      </c>
      <c r="AB23" s="102" t="s">
        <v>98</v>
      </c>
      <c r="AC23" s="102" t="s">
        <v>5517</v>
      </c>
      <c r="AD23" s="102" t="s">
        <v>5522</v>
      </c>
      <c r="AE23" s="102" t="s">
        <v>5523</v>
      </c>
      <c r="AF23" s="102" t="s">
        <v>5812</v>
      </c>
      <c r="AG23" s="102" t="s">
        <v>5811</v>
      </c>
      <c r="AH23" s="102" t="s">
        <v>5795</v>
      </c>
      <c r="AI23" s="102" t="s">
        <v>5796</v>
      </c>
      <c r="AJ23" s="102" t="s">
        <v>5797</v>
      </c>
      <c r="AK23" s="102" t="s">
        <v>5521</v>
      </c>
      <c r="AL23" s="102" t="s">
        <v>5794</v>
      </c>
      <c r="AM23" s="102" t="s">
        <v>5527</v>
      </c>
      <c r="AN23" s="102" t="s">
        <v>5530</v>
      </c>
      <c r="AO23" s="101" t="s">
        <v>5538</v>
      </c>
      <c r="AP23" s="102" t="s">
        <v>101</v>
      </c>
      <c r="AQ23" s="102" t="s">
        <v>102</v>
      </c>
      <c r="AR23" s="103" t="s">
        <v>103</v>
      </c>
      <c r="AS23" s="101" t="s">
        <v>5519</v>
      </c>
      <c r="AT23" s="103" t="s">
        <v>5520</v>
      </c>
      <c r="AU23" s="101" t="s">
        <v>5908</v>
      </c>
      <c r="AV23" s="103" t="s">
        <v>5909</v>
      </c>
      <c r="AW23" s="39"/>
    </row>
    <row r="24" spans="1:49" s="32" customFormat="1" ht="30" customHeight="1" x14ac:dyDescent="0.25">
      <c r="A24" s="2"/>
      <c r="B24" s="133" t="s">
        <v>5806</v>
      </c>
      <c r="C24" s="134">
        <v>200</v>
      </c>
      <c r="D24" s="135" t="s">
        <v>5551</v>
      </c>
      <c r="E24" s="136">
        <f>IFERROR(VLOOKUP($C$17,Aux_Lista!A:J,10,FALSE),"")</f>
        <v>10</v>
      </c>
      <c r="F24" s="136">
        <f>IFERROR(VLOOKUP($C$17,Aux_Lista!A:K,11,FALSE),"")</f>
        <v>260</v>
      </c>
      <c r="G24" s="136">
        <f>IFERROR(VLOOKUP(D24,Aux_Lista!AD:AF,3,FALSE),"")</f>
        <v>3.9</v>
      </c>
      <c r="H24" s="136">
        <f>IFERROR(VLOOKUP(D24,Aux_Lista!$AD:$AF,2,FALSE),"")</f>
        <v>1.6</v>
      </c>
      <c r="I24" s="137">
        <v>900</v>
      </c>
      <c r="J24" s="137">
        <v>0</v>
      </c>
      <c r="K24" s="137">
        <v>0</v>
      </c>
      <c r="L24" s="138">
        <v>1</v>
      </c>
      <c r="M24" s="136">
        <f>IFERROR(I24*L24+J24+K24,"")</f>
        <v>900</v>
      </c>
      <c r="N24" s="139">
        <f>IFERROR(M24/C24,"")</f>
        <v>4.5</v>
      </c>
      <c r="O24" s="140">
        <v>0</v>
      </c>
      <c r="P24" s="120" t="s">
        <v>5862</v>
      </c>
      <c r="Q24" s="117" t="s">
        <v>5862</v>
      </c>
      <c r="R24" s="117" t="s">
        <v>5862</v>
      </c>
      <c r="S24" s="117" t="s">
        <v>5862</v>
      </c>
      <c r="T24" s="125">
        <f>IF(ISERROR((C24*E24*F24*G24)/1000),"",(C24*E24*F24*G24)/1000)</f>
        <v>2028</v>
      </c>
      <c r="U24" s="126">
        <f>IF(ISERROR((C24*E24*F24*N24)/1000),"",(C24*E24*F24*N24)/1000)</f>
        <v>2340</v>
      </c>
      <c r="V24" s="125">
        <f>IFERROR(G24*C24*E24*F24/1000,"")</f>
        <v>2028</v>
      </c>
      <c r="W24" s="126">
        <f>IFERROR(H24*C24*E24*F24/1000,"")</f>
        <v>832</v>
      </c>
      <c r="X24" s="1"/>
      <c r="Z24" s="169">
        <v>1</v>
      </c>
      <c r="AA24" s="104" t="s">
        <v>5528</v>
      </c>
      <c r="AB24" s="105">
        <v>500</v>
      </c>
      <c r="AC24" s="147" t="s">
        <v>5549</v>
      </c>
      <c r="AD24" s="106">
        <f>VLOOKUP($AB$17,Aux_Lista!A:J,10,FALSE)</f>
        <v>10</v>
      </c>
      <c r="AE24" s="106">
        <f>VLOOKUP($AB$17,Aux_Lista!A:K,11,FALSE)</f>
        <v>260</v>
      </c>
      <c r="AF24" s="149">
        <v>19.04</v>
      </c>
      <c r="AG24" s="149">
        <v>10</v>
      </c>
      <c r="AH24" s="107">
        <v>900</v>
      </c>
      <c r="AI24" s="107">
        <v>0</v>
      </c>
      <c r="AJ24" s="107">
        <v>0</v>
      </c>
      <c r="AK24" s="108">
        <v>1</v>
      </c>
      <c r="AL24" s="106">
        <f>AK24*AH24+AI24+AJ24</f>
        <v>900</v>
      </c>
      <c r="AM24" s="109">
        <v>10</v>
      </c>
      <c r="AN24" s="110"/>
      <c r="AO24" s="118"/>
      <c r="AP24" s="111"/>
      <c r="AQ24" s="111"/>
      <c r="AR24" s="119"/>
      <c r="AS24" s="125">
        <f>IF(ISERROR((AB24*AD24*AE24*AF24)/1000),"",(AB24*AD24*AE24*AF24)/1000)</f>
        <v>24752</v>
      </c>
      <c r="AT24" s="126">
        <f>IF(ISERROR((AB24*AD24*AE24*AM24)/1000),"",(AB24*AD24*AE24*AM24)/1000)</f>
        <v>13000</v>
      </c>
      <c r="AU24" s="125">
        <f>IFERROR(AF24*AB24*AD24*AE24/1000,"")</f>
        <v>24752</v>
      </c>
      <c r="AV24" s="126">
        <f>IFERROR(AG24*AB24*AD24*AE24/1000,"")</f>
        <v>13000</v>
      </c>
      <c r="AW24" s="71"/>
    </row>
    <row r="25" spans="1:49" ht="30" customHeight="1" x14ac:dyDescent="0.25">
      <c r="B25" s="133" t="s">
        <v>5807</v>
      </c>
      <c r="C25" s="134">
        <f>25*25</f>
        <v>625</v>
      </c>
      <c r="D25" s="135" t="s">
        <v>5549</v>
      </c>
      <c r="E25" s="136">
        <f>IFERROR(VLOOKUP($C$17,Aux_Lista!A:J,10,FALSE),"")</f>
        <v>10</v>
      </c>
      <c r="F25" s="136">
        <f>IFERROR(VLOOKUP($C$17,Aux_Lista!A:K,11,FALSE),"")</f>
        <v>260</v>
      </c>
      <c r="G25" s="136">
        <f>IFERROR(VLOOKUP(D25,Aux_Lista!AD:AF,3,FALSE),"")</f>
        <v>14.1</v>
      </c>
      <c r="H25" s="136">
        <f>IFERROR(VLOOKUP(D25,Aux_Lista!$AD:$AF,2,FALSE),"")</f>
        <v>8.5</v>
      </c>
      <c r="I25" s="137">
        <f>200*20</f>
        <v>4000</v>
      </c>
      <c r="J25" s="137">
        <v>0</v>
      </c>
      <c r="K25" s="137">
        <v>0</v>
      </c>
      <c r="L25" s="138">
        <v>0.9</v>
      </c>
      <c r="M25" s="136">
        <f t="shared" ref="M25:M26" si="0">IFERROR(I25*L25+J25+K25,"")</f>
        <v>3600</v>
      </c>
      <c r="N25" s="139">
        <f t="shared" ref="N25:N26" si="1">IFERROR(M25/C25,"")</f>
        <v>5.76</v>
      </c>
      <c r="O25" s="140">
        <v>0</v>
      </c>
      <c r="P25" s="120" t="s">
        <v>5862</v>
      </c>
      <c r="Q25" s="117" t="s">
        <v>5862</v>
      </c>
      <c r="R25" s="117" t="s">
        <v>5862</v>
      </c>
      <c r="S25" s="117" t="s">
        <v>5862</v>
      </c>
      <c r="T25" s="127">
        <f>IF(ISERROR((C25*E25*F25*G25)/1000),"",(C25*E25*F25*G25)/1000)</f>
        <v>22912.5</v>
      </c>
      <c r="U25" s="128">
        <f>IF(ISERROR((C25*E25*F25*N25)/1000),"",(C25*E25*F25*N25)/1000)</f>
        <v>9360</v>
      </c>
      <c r="V25" s="125">
        <f t="shared" ref="V25:V26" si="2">IFERROR(G25*C25*E25*F25/1000,"")</f>
        <v>22912.5</v>
      </c>
      <c r="W25" s="126">
        <f t="shared" ref="W25:W26" si="3">IFERROR(H25*C25*E25*F25/1000,"")</f>
        <v>13812.5</v>
      </c>
      <c r="Z25" s="169">
        <v>2</v>
      </c>
      <c r="AA25" s="95" t="s">
        <v>5531</v>
      </c>
      <c r="AB25" s="112">
        <v>500</v>
      </c>
      <c r="AC25" s="148" t="s">
        <v>5597</v>
      </c>
      <c r="AD25" s="113">
        <f>VLOOKUP($AB$17,Aux_Lista!A:J,10,FALSE)</f>
        <v>10</v>
      </c>
      <c r="AE25" s="113">
        <f>VLOOKUP($AB$17,Aux_Lista!A:K,11,FALSE)</f>
        <v>260</v>
      </c>
      <c r="AF25" s="150">
        <v>23.84</v>
      </c>
      <c r="AG25" s="150">
        <v>10</v>
      </c>
      <c r="AH25" s="114">
        <v>3000</v>
      </c>
      <c r="AI25" s="114">
        <v>0</v>
      </c>
      <c r="AJ25" s="114">
        <v>0</v>
      </c>
      <c r="AK25" s="115">
        <v>1</v>
      </c>
      <c r="AL25" s="113">
        <f t="shared" ref="AL25:AL73" si="4">AK25*AH25+AI25+AJ25</f>
        <v>3000</v>
      </c>
      <c r="AM25" s="116">
        <v>10</v>
      </c>
      <c r="AN25" s="96"/>
      <c r="AO25" s="120"/>
      <c r="AP25" s="117"/>
      <c r="AQ25" s="117"/>
      <c r="AR25" s="121"/>
      <c r="AS25" s="127">
        <f t="shared" ref="AS25:AS73" si="5">IF(ISERROR((AB25*AD25*AE25*AF25)/1000),"",(AB25*AD25*AE25*AF25)/1000)</f>
        <v>30992</v>
      </c>
      <c r="AT25" s="128">
        <f t="shared" ref="AT25:AT73" si="6">IF(ISERROR((AB25*AD25*AE25*AM25)/1000),"",(AB25*AD25*AE25*AM25)/1000)</f>
        <v>13000</v>
      </c>
      <c r="AU25" s="125">
        <f t="shared" ref="AU25:AU73" si="7">IFERROR(AF25*AB25*AD25*AE25/1000,"")</f>
        <v>30992</v>
      </c>
      <c r="AV25" s="126">
        <f t="shared" ref="AV25:AV73" si="8">IFERROR(AG25*AB25*AD25*AE25/1000,"")</f>
        <v>13000</v>
      </c>
      <c r="AW25" s="71"/>
    </row>
    <row r="26" spans="1:49" ht="30" customHeight="1" x14ac:dyDescent="0.25">
      <c r="B26" s="133"/>
      <c r="C26" s="134"/>
      <c r="D26" s="135"/>
      <c r="E26" s="136">
        <f>IFERROR(VLOOKUP($C$17,Aux_Lista!A:J,10,FALSE),"")</f>
        <v>10</v>
      </c>
      <c r="F26" s="136">
        <f>IFERROR(VLOOKUP($C$17,Aux_Lista!A:K,11,FALSE),"")</f>
        <v>260</v>
      </c>
      <c r="G26" s="136" t="str">
        <f>IFERROR(VLOOKUP(D26,Aux_Lista!AD:AF,3,FALSE),"")</f>
        <v/>
      </c>
      <c r="H26" s="136" t="str">
        <f>IFERROR(VLOOKUP(D26,Aux_Lista!$AD:$AF,2,FALSE),"")</f>
        <v/>
      </c>
      <c r="I26" s="137"/>
      <c r="J26" s="137"/>
      <c r="K26" s="137"/>
      <c r="L26" s="138"/>
      <c r="M26" s="136">
        <f t="shared" si="0"/>
        <v>0</v>
      </c>
      <c r="N26" s="139" t="str">
        <f t="shared" si="1"/>
        <v/>
      </c>
      <c r="O26" s="140"/>
      <c r="P26" s="120"/>
      <c r="Q26" s="117"/>
      <c r="R26" s="117"/>
      <c r="S26" s="117"/>
      <c r="T26" s="129" t="str">
        <f>IF(ISERROR((C26*E26*F26*G26)/1000),"",(C26*E26*F26*G26)/1000)</f>
        <v/>
      </c>
      <c r="U26" s="130" t="str">
        <f>IF(ISERROR((C26*E26*F26*N26)/1000),"",(C26*E26*F26*N26)/1000)</f>
        <v/>
      </c>
      <c r="V26" s="125" t="str">
        <f t="shared" si="2"/>
        <v/>
      </c>
      <c r="W26" s="126" t="str">
        <f t="shared" si="3"/>
        <v/>
      </c>
      <c r="Z26" s="169">
        <v>3</v>
      </c>
      <c r="AA26" s="95" t="s">
        <v>5813</v>
      </c>
      <c r="AB26" s="112">
        <v>1500</v>
      </c>
      <c r="AC26" s="112" t="s">
        <v>5557</v>
      </c>
      <c r="AD26" s="113">
        <f>VLOOKUP($AB$17,Aux_Lista!A:J,10,FALSE)</f>
        <v>10</v>
      </c>
      <c r="AE26" s="113">
        <f>VLOOKUP($AB$17,Aux_Lista!A:K,11,FALSE)</f>
        <v>260</v>
      </c>
      <c r="AF26" s="150">
        <v>13.9</v>
      </c>
      <c r="AG26" s="150">
        <v>8.4</v>
      </c>
      <c r="AH26" s="114">
        <v>5000</v>
      </c>
      <c r="AI26" s="114">
        <v>0</v>
      </c>
      <c r="AJ26" s="114">
        <v>0</v>
      </c>
      <c r="AK26" s="115">
        <v>1</v>
      </c>
      <c r="AL26" s="113">
        <f t="shared" si="4"/>
        <v>5000</v>
      </c>
      <c r="AM26" s="116">
        <f t="shared" ref="AM26:AM73" si="9">AL26/AB26</f>
        <v>3.3333333333333335</v>
      </c>
      <c r="AN26" s="96"/>
      <c r="AO26" s="120"/>
      <c r="AP26" s="117"/>
      <c r="AQ26" s="117"/>
      <c r="AR26" s="121"/>
      <c r="AS26" s="127">
        <f t="shared" si="5"/>
        <v>54210</v>
      </c>
      <c r="AT26" s="128">
        <f t="shared" si="6"/>
        <v>13000</v>
      </c>
      <c r="AU26" s="125">
        <f t="shared" si="7"/>
        <v>54210</v>
      </c>
      <c r="AV26" s="126">
        <f t="shared" si="8"/>
        <v>32760</v>
      </c>
      <c r="AW26" s="71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9">
        <v>4</v>
      </c>
      <c r="AA27" s="95"/>
      <c r="AB27" s="112"/>
      <c r="AC27" s="112"/>
      <c r="AD27" s="113">
        <f>VLOOKUP($AB$17,Aux_Lista!A:J,10,FALSE)</f>
        <v>10</v>
      </c>
      <c r="AE27" s="113">
        <f>VLOOKUP($AB$17,Aux_Lista!A:K,11,FALSE)</f>
        <v>260</v>
      </c>
      <c r="AF27" s="150"/>
      <c r="AG27" s="150"/>
      <c r="AH27" s="114"/>
      <c r="AI27" s="114"/>
      <c r="AJ27" s="114"/>
      <c r="AK27" s="115"/>
      <c r="AL27" s="113">
        <f t="shared" si="4"/>
        <v>0</v>
      </c>
      <c r="AM27" s="116" t="e">
        <f t="shared" si="9"/>
        <v>#DIV/0!</v>
      </c>
      <c r="AN27" s="96"/>
      <c r="AO27" s="120"/>
      <c r="AP27" s="117"/>
      <c r="AQ27" s="117"/>
      <c r="AR27" s="121"/>
      <c r="AS27" s="127">
        <f t="shared" si="5"/>
        <v>0</v>
      </c>
      <c r="AT27" s="128" t="str">
        <f t="shared" si="6"/>
        <v/>
      </c>
      <c r="AU27" s="125">
        <f t="shared" si="7"/>
        <v>0</v>
      </c>
      <c r="AV27" s="126">
        <f t="shared" si="8"/>
        <v>0</v>
      </c>
      <c r="AW27" s="71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9">
        <v>5</v>
      </c>
      <c r="AA28" s="95"/>
      <c r="AB28" s="112"/>
      <c r="AC28" s="112"/>
      <c r="AD28" s="113">
        <f>VLOOKUP($AB$17,Aux_Lista!A:J,10,FALSE)</f>
        <v>10</v>
      </c>
      <c r="AE28" s="113">
        <f>VLOOKUP($AB$17,Aux_Lista!A:K,11,FALSE)</f>
        <v>260</v>
      </c>
      <c r="AF28" s="150"/>
      <c r="AG28" s="150"/>
      <c r="AH28" s="114"/>
      <c r="AI28" s="114"/>
      <c r="AJ28" s="114"/>
      <c r="AK28" s="115"/>
      <c r="AL28" s="113">
        <f t="shared" si="4"/>
        <v>0</v>
      </c>
      <c r="AM28" s="116" t="e">
        <f t="shared" si="9"/>
        <v>#DIV/0!</v>
      </c>
      <c r="AN28" s="96"/>
      <c r="AO28" s="120"/>
      <c r="AP28" s="117"/>
      <c r="AQ28" s="117"/>
      <c r="AR28" s="121"/>
      <c r="AS28" s="127">
        <f t="shared" si="5"/>
        <v>0</v>
      </c>
      <c r="AT28" s="128" t="str">
        <f t="shared" si="6"/>
        <v/>
      </c>
      <c r="AU28" s="125">
        <f t="shared" si="7"/>
        <v>0</v>
      </c>
      <c r="AV28" s="126">
        <f t="shared" si="8"/>
        <v>0</v>
      </c>
      <c r="AW28" s="71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9">
        <v>6</v>
      </c>
      <c r="AA29" s="95"/>
      <c r="AB29" s="112"/>
      <c r="AC29" s="112"/>
      <c r="AD29" s="113">
        <f>VLOOKUP($AB$17,Aux_Lista!A:J,10,FALSE)</f>
        <v>10</v>
      </c>
      <c r="AE29" s="113">
        <f>VLOOKUP($AB$17,Aux_Lista!A:K,11,FALSE)</f>
        <v>260</v>
      </c>
      <c r="AF29" s="150"/>
      <c r="AG29" s="150"/>
      <c r="AH29" s="114"/>
      <c r="AI29" s="114"/>
      <c r="AJ29" s="114"/>
      <c r="AK29" s="115"/>
      <c r="AL29" s="113">
        <f t="shared" si="4"/>
        <v>0</v>
      </c>
      <c r="AM29" s="116" t="e">
        <f t="shared" si="9"/>
        <v>#DIV/0!</v>
      </c>
      <c r="AN29" s="96"/>
      <c r="AO29" s="120"/>
      <c r="AP29" s="117"/>
      <c r="AQ29" s="117"/>
      <c r="AR29" s="121"/>
      <c r="AS29" s="127">
        <f t="shared" si="5"/>
        <v>0</v>
      </c>
      <c r="AT29" s="128" t="str">
        <f t="shared" si="6"/>
        <v/>
      </c>
      <c r="AU29" s="125">
        <f t="shared" si="7"/>
        <v>0</v>
      </c>
      <c r="AV29" s="126">
        <f t="shared" si="8"/>
        <v>0</v>
      </c>
      <c r="AW29" s="71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9">
        <v>7</v>
      </c>
      <c r="AA30" s="95"/>
      <c r="AB30" s="112"/>
      <c r="AC30" s="112"/>
      <c r="AD30" s="113">
        <f>VLOOKUP($AB$17,Aux_Lista!A:J,10,FALSE)</f>
        <v>10</v>
      </c>
      <c r="AE30" s="113">
        <f>VLOOKUP($AB$17,Aux_Lista!A:K,11,FALSE)</f>
        <v>260</v>
      </c>
      <c r="AF30" s="150"/>
      <c r="AG30" s="150"/>
      <c r="AH30" s="114"/>
      <c r="AI30" s="114"/>
      <c r="AJ30" s="114"/>
      <c r="AK30" s="115"/>
      <c r="AL30" s="113">
        <f t="shared" si="4"/>
        <v>0</v>
      </c>
      <c r="AM30" s="116" t="e">
        <f t="shared" si="9"/>
        <v>#DIV/0!</v>
      </c>
      <c r="AN30" s="96"/>
      <c r="AO30" s="120"/>
      <c r="AP30" s="117"/>
      <c r="AQ30" s="117"/>
      <c r="AR30" s="121"/>
      <c r="AS30" s="127">
        <f t="shared" si="5"/>
        <v>0</v>
      </c>
      <c r="AT30" s="128" t="str">
        <f t="shared" si="6"/>
        <v/>
      </c>
      <c r="AU30" s="125">
        <f t="shared" si="7"/>
        <v>0</v>
      </c>
      <c r="AV30" s="126">
        <f t="shared" si="8"/>
        <v>0</v>
      </c>
      <c r="AW30" s="71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9">
        <v>8</v>
      </c>
      <c r="AA31" s="95"/>
      <c r="AB31" s="112"/>
      <c r="AC31" s="112"/>
      <c r="AD31" s="113">
        <f>VLOOKUP($AB$17,Aux_Lista!A:J,10,FALSE)</f>
        <v>10</v>
      </c>
      <c r="AE31" s="113">
        <f>VLOOKUP($AB$17,Aux_Lista!A:K,11,FALSE)</f>
        <v>260</v>
      </c>
      <c r="AF31" s="150"/>
      <c r="AG31" s="150"/>
      <c r="AH31" s="114"/>
      <c r="AI31" s="114"/>
      <c r="AJ31" s="114"/>
      <c r="AK31" s="115"/>
      <c r="AL31" s="113">
        <f t="shared" si="4"/>
        <v>0</v>
      </c>
      <c r="AM31" s="116" t="e">
        <f t="shared" si="9"/>
        <v>#DIV/0!</v>
      </c>
      <c r="AN31" s="96"/>
      <c r="AO31" s="120"/>
      <c r="AP31" s="117"/>
      <c r="AQ31" s="117"/>
      <c r="AR31" s="121"/>
      <c r="AS31" s="127">
        <f t="shared" si="5"/>
        <v>0</v>
      </c>
      <c r="AT31" s="128" t="str">
        <f t="shared" si="6"/>
        <v/>
      </c>
      <c r="AU31" s="125">
        <f t="shared" si="7"/>
        <v>0</v>
      </c>
      <c r="AV31" s="126">
        <f t="shared" si="8"/>
        <v>0</v>
      </c>
      <c r="AW31" s="71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9">
        <v>9</v>
      </c>
      <c r="AA32" s="95"/>
      <c r="AB32" s="112"/>
      <c r="AC32" s="112"/>
      <c r="AD32" s="113">
        <f>VLOOKUP($AB$17,Aux_Lista!A:J,10,FALSE)</f>
        <v>10</v>
      </c>
      <c r="AE32" s="113">
        <f>VLOOKUP($AB$17,Aux_Lista!A:K,11,FALSE)</f>
        <v>260</v>
      </c>
      <c r="AF32" s="150"/>
      <c r="AG32" s="150"/>
      <c r="AH32" s="114"/>
      <c r="AI32" s="114"/>
      <c r="AJ32" s="114"/>
      <c r="AK32" s="115"/>
      <c r="AL32" s="113">
        <f t="shared" si="4"/>
        <v>0</v>
      </c>
      <c r="AM32" s="116" t="e">
        <f t="shared" si="9"/>
        <v>#DIV/0!</v>
      </c>
      <c r="AN32" s="96"/>
      <c r="AO32" s="120"/>
      <c r="AP32" s="117"/>
      <c r="AQ32" s="117"/>
      <c r="AR32" s="121"/>
      <c r="AS32" s="127">
        <f t="shared" si="5"/>
        <v>0</v>
      </c>
      <c r="AT32" s="128" t="str">
        <f t="shared" si="6"/>
        <v/>
      </c>
      <c r="AU32" s="125">
        <f t="shared" si="7"/>
        <v>0</v>
      </c>
      <c r="AV32" s="126">
        <f t="shared" si="8"/>
        <v>0</v>
      </c>
      <c r="AW32" s="71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9">
        <v>10</v>
      </c>
      <c r="AA33" s="95"/>
      <c r="AB33" s="112"/>
      <c r="AC33" s="112"/>
      <c r="AD33" s="113">
        <f>VLOOKUP($AB$17,Aux_Lista!A:J,10,FALSE)</f>
        <v>10</v>
      </c>
      <c r="AE33" s="113">
        <f>VLOOKUP($AB$17,Aux_Lista!A:K,11,FALSE)</f>
        <v>260</v>
      </c>
      <c r="AF33" s="150"/>
      <c r="AG33" s="150"/>
      <c r="AH33" s="114"/>
      <c r="AI33" s="114"/>
      <c r="AJ33" s="114"/>
      <c r="AK33" s="115"/>
      <c r="AL33" s="113">
        <f t="shared" si="4"/>
        <v>0</v>
      </c>
      <c r="AM33" s="116" t="e">
        <f t="shared" si="9"/>
        <v>#DIV/0!</v>
      </c>
      <c r="AN33" s="96"/>
      <c r="AO33" s="120"/>
      <c r="AP33" s="117"/>
      <c r="AQ33" s="117"/>
      <c r="AR33" s="121"/>
      <c r="AS33" s="127">
        <f t="shared" si="5"/>
        <v>0</v>
      </c>
      <c r="AT33" s="128" t="str">
        <f t="shared" si="6"/>
        <v/>
      </c>
      <c r="AU33" s="125">
        <f t="shared" si="7"/>
        <v>0</v>
      </c>
      <c r="AV33" s="126">
        <f t="shared" si="8"/>
        <v>0</v>
      </c>
      <c r="AW33" s="71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9">
        <v>11</v>
      </c>
      <c r="AA34" s="95"/>
      <c r="AB34" s="112"/>
      <c r="AC34" s="112"/>
      <c r="AD34" s="113">
        <f>VLOOKUP($AB$17,Aux_Lista!A:J,10,FALSE)</f>
        <v>10</v>
      </c>
      <c r="AE34" s="113">
        <f>VLOOKUP($AB$17,Aux_Lista!A:K,11,FALSE)</f>
        <v>260</v>
      </c>
      <c r="AF34" s="150"/>
      <c r="AG34" s="150"/>
      <c r="AH34" s="114"/>
      <c r="AI34" s="114"/>
      <c r="AJ34" s="114"/>
      <c r="AK34" s="115"/>
      <c r="AL34" s="113">
        <f t="shared" si="4"/>
        <v>0</v>
      </c>
      <c r="AM34" s="116" t="e">
        <f t="shared" si="9"/>
        <v>#DIV/0!</v>
      </c>
      <c r="AN34" s="96"/>
      <c r="AO34" s="120"/>
      <c r="AP34" s="117"/>
      <c r="AQ34" s="117"/>
      <c r="AR34" s="121"/>
      <c r="AS34" s="127">
        <f t="shared" si="5"/>
        <v>0</v>
      </c>
      <c r="AT34" s="128" t="str">
        <f t="shared" si="6"/>
        <v/>
      </c>
      <c r="AU34" s="125">
        <f t="shared" si="7"/>
        <v>0</v>
      </c>
      <c r="AV34" s="126">
        <f t="shared" si="8"/>
        <v>0</v>
      </c>
      <c r="AW34" s="71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9">
        <v>12</v>
      </c>
      <c r="AA35" s="95"/>
      <c r="AB35" s="112"/>
      <c r="AC35" s="112"/>
      <c r="AD35" s="113">
        <f>VLOOKUP($AB$17,Aux_Lista!A:J,10,FALSE)</f>
        <v>10</v>
      </c>
      <c r="AE35" s="113">
        <f>VLOOKUP($AB$17,Aux_Lista!A:K,11,FALSE)</f>
        <v>260</v>
      </c>
      <c r="AF35" s="150"/>
      <c r="AG35" s="150"/>
      <c r="AH35" s="114"/>
      <c r="AI35" s="114"/>
      <c r="AJ35" s="114"/>
      <c r="AK35" s="115"/>
      <c r="AL35" s="113">
        <f t="shared" si="4"/>
        <v>0</v>
      </c>
      <c r="AM35" s="116" t="e">
        <f t="shared" si="9"/>
        <v>#DIV/0!</v>
      </c>
      <c r="AN35" s="96"/>
      <c r="AO35" s="120"/>
      <c r="AP35" s="117"/>
      <c r="AQ35" s="117"/>
      <c r="AR35" s="121"/>
      <c r="AS35" s="127">
        <f t="shared" si="5"/>
        <v>0</v>
      </c>
      <c r="AT35" s="128" t="str">
        <f t="shared" si="6"/>
        <v/>
      </c>
      <c r="AU35" s="125">
        <f t="shared" si="7"/>
        <v>0</v>
      </c>
      <c r="AV35" s="126">
        <f t="shared" si="8"/>
        <v>0</v>
      </c>
      <c r="AW35" s="71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9">
        <v>13</v>
      </c>
      <c r="AA36" s="95"/>
      <c r="AB36" s="112"/>
      <c r="AC36" s="112"/>
      <c r="AD36" s="113">
        <f>VLOOKUP($AB$17,Aux_Lista!A:J,10,FALSE)</f>
        <v>10</v>
      </c>
      <c r="AE36" s="113">
        <f>VLOOKUP($AB$17,Aux_Lista!A:K,11,FALSE)</f>
        <v>260</v>
      </c>
      <c r="AF36" s="150"/>
      <c r="AG36" s="150"/>
      <c r="AH36" s="114"/>
      <c r="AI36" s="114"/>
      <c r="AJ36" s="114"/>
      <c r="AK36" s="115"/>
      <c r="AL36" s="113">
        <f t="shared" si="4"/>
        <v>0</v>
      </c>
      <c r="AM36" s="116" t="e">
        <f t="shared" si="9"/>
        <v>#DIV/0!</v>
      </c>
      <c r="AN36" s="96"/>
      <c r="AO36" s="120"/>
      <c r="AP36" s="117"/>
      <c r="AQ36" s="117"/>
      <c r="AR36" s="121"/>
      <c r="AS36" s="127">
        <f t="shared" si="5"/>
        <v>0</v>
      </c>
      <c r="AT36" s="128" t="str">
        <f t="shared" si="6"/>
        <v/>
      </c>
      <c r="AU36" s="125">
        <f t="shared" si="7"/>
        <v>0</v>
      </c>
      <c r="AV36" s="126">
        <f t="shared" si="8"/>
        <v>0</v>
      </c>
      <c r="AW36" s="71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9">
        <v>14</v>
      </c>
      <c r="AA37" s="95"/>
      <c r="AB37" s="112"/>
      <c r="AC37" s="112"/>
      <c r="AD37" s="113">
        <f>VLOOKUP($AB$17,Aux_Lista!A:J,10,FALSE)</f>
        <v>10</v>
      </c>
      <c r="AE37" s="113">
        <f>VLOOKUP($AB$17,Aux_Lista!A:K,11,FALSE)</f>
        <v>260</v>
      </c>
      <c r="AF37" s="150"/>
      <c r="AG37" s="150"/>
      <c r="AH37" s="114"/>
      <c r="AI37" s="114"/>
      <c r="AJ37" s="114"/>
      <c r="AK37" s="115"/>
      <c r="AL37" s="113">
        <f t="shared" si="4"/>
        <v>0</v>
      </c>
      <c r="AM37" s="116" t="e">
        <f t="shared" si="9"/>
        <v>#DIV/0!</v>
      </c>
      <c r="AN37" s="96"/>
      <c r="AO37" s="120"/>
      <c r="AP37" s="117"/>
      <c r="AQ37" s="117"/>
      <c r="AR37" s="121"/>
      <c r="AS37" s="127">
        <f t="shared" si="5"/>
        <v>0</v>
      </c>
      <c r="AT37" s="128" t="str">
        <f t="shared" si="6"/>
        <v/>
      </c>
      <c r="AU37" s="125">
        <f t="shared" si="7"/>
        <v>0</v>
      </c>
      <c r="AV37" s="126">
        <f t="shared" si="8"/>
        <v>0</v>
      </c>
      <c r="AW37" s="71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9">
        <v>15</v>
      </c>
      <c r="AA38" s="95"/>
      <c r="AB38" s="112"/>
      <c r="AC38" s="112"/>
      <c r="AD38" s="113">
        <f>VLOOKUP($AB$17,Aux_Lista!A:J,10,FALSE)</f>
        <v>10</v>
      </c>
      <c r="AE38" s="113">
        <f>VLOOKUP($AB$17,Aux_Lista!A:K,11,FALSE)</f>
        <v>260</v>
      </c>
      <c r="AF38" s="150"/>
      <c r="AG38" s="150"/>
      <c r="AH38" s="114"/>
      <c r="AI38" s="114"/>
      <c r="AJ38" s="114"/>
      <c r="AK38" s="115"/>
      <c r="AL38" s="113">
        <f t="shared" si="4"/>
        <v>0</v>
      </c>
      <c r="AM38" s="116" t="e">
        <f t="shared" si="9"/>
        <v>#DIV/0!</v>
      </c>
      <c r="AN38" s="96"/>
      <c r="AO38" s="120"/>
      <c r="AP38" s="117"/>
      <c r="AQ38" s="117"/>
      <c r="AR38" s="121"/>
      <c r="AS38" s="127">
        <f t="shared" si="5"/>
        <v>0</v>
      </c>
      <c r="AT38" s="128" t="str">
        <f t="shared" si="6"/>
        <v/>
      </c>
      <c r="AU38" s="125">
        <f t="shared" si="7"/>
        <v>0</v>
      </c>
      <c r="AV38" s="126">
        <f t="shared" si="8"/>
        <v>0</v>
      </c>
      <c r="AW38" s="71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9">
        <v>16</v>
      </c>
      <c r="AA39" s="95"/>
      <c r="AB39" s="112"/>
      <c r="AC39" s="112"/>
      <c r="AD39" s="113">
        <f>VLOOKUP($AB$17,Aux_Lista!A:J,10,FALSE)</f>
        <v>10</v>
      </c>
      <c r="AE39" s="113">
        <f>VLOOKUP($AB$17,Aux_Lista!A:K,11,FALSE)</f>
        <v>260</v>
      </c>
      <c r="AF39" s="150"/>
      <c r="AG39" s="150"/>
      <c r="AH39" s="114"/>
      <c r="AI39" s="114"/>
      <c r="AJ39" s="114"/>
      <c r="AK39" s="115"/>
      <c r="AL39" s="113">
        <f t="shared" si="4"/>
        <v>0</v>
      </c>
      <c r="AM39" s="116" t="e">
        <f t="shared" si="9"/>
        <v>#DIV/0!</v>
      </c>
      <c r="AN39" s="96"/>
      <c r="AO39" s="120"/>
      <c r="AP39" s="117"/>
      <c r="AQ39" s="117"/>
      <c r="AR39" s="121"/>
      <c r="AS39" s="127">
        <f t="shared" si="5"/>
        <v>0</v>
      </c>
      <c r="AT39" s="128" t="str">
        <f t="shared" si="6"/>
        <v/>
      </c>
      <c r="AU39" s="125">
        <f t="shared" si="7"/>
        <v>0</v>
      </c>
      <c r="AV39" s="126">
        <f t="shared" si="8"/>
        <v>0</v>
      </c>
      <c r="AW39" s="71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9">
        <v>17</v>
      </c>
      <c r="AA40" s="95"/>
      <c r="AB40" s="112"/>
      <c r="AC40" s="112"/>
      <c r="AD40" s="113">
        <f>VLOOKUP($AB$17,Aux_Lista!A:J,10,FALSE)</f>
        <v>10</v>
      </c>
      <c r="AE40" s="113">
        <f>VLOOKUP($AB$17,Aux_Lista!A:K,11,FALSE)</f>
        <v>260</v>
      </c>
      <c r="AF40" s="150"/>
      <c r="AG40" s="150"/>
      <c r="AH40" s="114"/>
      <c r="AI40" s="114"/>
      <c r="AJ40" s="114"/>
      <c r="AK40" s="115"/>
      <c r="AL40" s="113">
        <f t="shared" si="4"/>
        <v>0</v>
      </c>
      <c r="AM40" s="116" t="e">
        <f t="shared" si="9"/>
        <v>#DIV/0!</v>
      </c>
      <c r="AN40" s="96"/>
      <c r="AO40" s="120"/>
      <c r="AP40" s="117"/>
      <c r="AQ40" s="117"/>
      <c r="AR40" s="121"/>
      <c r="AS40" s="127">
        <f t="shared" si="5"/>
        <v>0</v>
      </c>
      <c r="AT40" s="128" t="str">
        <f t="shared" si="6"/>
        <v/>
      </c>
      <c r="AU40" s="125">
        <f t="shared" si="7"/>
        <v>0</v>
      </c>
      <c r="AV40" s="126">
        <f t="shared" si="8"/>
        <v>0</v>
      </c>
      <c r="AW40" s="71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9">
        <v>18</v>
      </c>
      <c r="AA41" s="95"/>
      <c r="AB41" s="112"/>
      <c r="AC41" s="112"/>
      <c r="AD41" s="113">
        <f>VLOOKUP($AB$17,Aux_Lista!A:J,10,FALSE)</f>
        <v>10</v>
      </c>
      <c r="AE41" s="113">
        <f>VLOOKUP($AB$17,Aux_Lista!A:K,11,FALSE)</f>
        <v>260</v>
      </c>
      <c r="AF41" s="150"/>
      <c r="AG41" s="150"/>
      <c r="AH41" s="114"/>
      <c r="AI41" s="114"/>
      <c r="AJ41" s="114"/>
      <c r="AK41" s="115"/>
      <c r="AL41" s="113">
        <f t="shared" si="4"/>
        <v>0</v>
      </c>
      <c r="AM41" s="116" t="e">
        <f t="shared" si="9"/>
        <v>#DIV/0!</v>
      </c>
      <c r="AN41" s="96"/>
      <c r="AO41" s="120"/>
      <c r="AP41" s="117"/>
      <c r="AQ41" s="117"/>
      <c r="AR41" s="121"/>
      <c r="AS41" s="127">
        <f t="shared" si="5"/>
        <v>0</v>
      </c>
      <c r="AT41" s="128" t="str">
        <f t="shared" si="6"/>
        <v/>
      </c>
      <c r="AU41" s="125">
        <f t="shared" si="7"/>
        <v>0</v>
      </c>
      <c r="AV41" s="126">
        <f t="shared" si="8"/>
        <v>0</v>
      </c>
      <c r="AW41" s="71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9">
        <v>19</v>
      </c>
      <c r="AA42" s="95"/>
      <c r="AB42" s="112"/>
      <c r="AC42" s="112"/>
      <c r="AD42" s="113">
        <f>VLOOKUP($AB$17,Aux_Lista!A:J,10,FALSE)</f>
        <v>10</v>
      </c>
      <c r="AE42" s="113">
        <f>VLOOKUP($AB$17,Aux_Lista!A:K,11,FALSE)</f>
        <v>260</v>
      </c>
      <c r="AF42" s="150"/>
      <c r="AG42" s="150"/>
      <c r="AH42" s="114"/>
      <c r="AI42" s="114"/>
      <c r="AJ42" s="114"/>
      <c r="AK42" s="115"/>
      <c r="AL42" s="113">
        <f t="shared" si="4"/>
        <v>0</v>
      </c>
      <c r="AM42" s="116" t="e">
        <f t="shared" si="9"/>
        <v>#DIV/0!</v>
      </c>
      <c r="AN42" s="96"/>
      <c r="AO42" s="120"/>
      <c r="AP42" s="117"/>
      <c r="AQ42" s="117"/>
      <c r="AR42" s="121"/>
      <c r="AS42" s="127">
        <f t="shared" si="5"/>
        <v>0</v>
      </c>
      <c r="AT42" s="128" t="str">
        <f t="shared" si="6"/>
        <v/>
      </c>
      <c r="AU42" s="125">
        <f t="shared" si="7"/>
        <v>0</v>
      </c>
      <c r="AV42" s="126">
        <f t="shared" si="8"/>
        <v>0</v>
      </c>
      <c r="AW42" s="71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9">
        <v>20</v>
      </c>
      <c r="AA43" s="95"/>
      <c r="AB43" s="112"/>
      <c r="AC43" s="112"/>
      <c r="AD43" s="113">
        <f>VLOOKUP($AB$17,Aux_Lista!A:J,10,FALSE)</f>
        <v>10</v>
      </c>
      <c r="AE43" s="113">
        <f>VLOOKUP($AB$17,Aux_Lista!A:K,11,FALSE)</f>
        <v>260</v>
      </c>
      <c r="AF43" s="150"/>
      <c r="AG43" s="150"/>
      <c r="AH43" s="114"/>
      <c r="AI43" s="114"/>
      <c r="AJ43" s="114"/>
      <c r="AK43" s="115"/>
      <c r="AL43" s="113">
        <f t="shared" si="4"/>
        <v>0</v>
      </c>
      <c r="AM43" s="116" t="e">
        <f t="shared" si="9"/>
        <v>#DIV/0!</v>
      </c>
      <c r="AN43" s="96"/>
      <c r="AO43" s="120"/>
      <c r="AP43" s="117"/>
      <c r="AQ43" s="117"/>
      <c r="AR43" s="121"/>
      <c r="AS43" s="127">
        <f t="shared" si="5"/>
        <v>0</v>
      </c>
      <c r="AT43" s="128" t="str">
        <f t="shared" si="6"/>
        <v/>
      </c>
      <c r="AU43" s="125">
        <f t="shared" si="7"/>
        <v>0</v>
      </c>
      <c r="AV43" s="126">
        <f t="shared" si="8"/>
        <v>0</v>
      </c>
      <c r="AW43" s="71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9">
        <v>21</v>
      </c>
      <c r="AA44" s="95"/>
      <c r="AB44" s="112"/>
      <c r="AC44" s="112"/>
      <c r="AD44" s="113">
        <f>VLOOKUP($AB$17,Aux_Lista!A:J,10,FALSE)</f>
        <v>10</v>
      </c>
      <c r="AE44" s="113">
        <f>VLOOKUP($AB$17,Aux_Lista!A:K,11,FALSE)</f>
        <v>260</v>
      </c>
      <c r="AF44" s="150"/>
      <c r="AG44" s="150"/>
      <c r="AH44" s="114"/>
      <c r="AI44" s="114"/>
      <c r="AJ44" s="114"/>
      <c r="AK44" s="115"/>
      <c r="AL44" s="113">
        <f t="shared" si="4"/>
        <v>0</v>
      </c>
      <c r="AM44" s="116" t="e">
        <f t="shared" si="9"/>
        <v>#DIV/0!</v>
      </c>
      <c r="AN44" s="96"/>
      <c r="AO44" s="120"/>
      <c r="AP44" s="117"/>
      <c r="AQ44" s="117"/>
      <c r="AR44" s="121"/>
      <c r="AS44" s="127">
        <f t="shared" si="5"/>
        <v>0</v>
      </c>
      <c r="AT44" s="128" t="str">
        <f t="shared" si="6"/>
        <v/>
      </c>
      <c r="AU44" s="125">
        <f t="shared" si="7"/>
        <v>0</v>
      </c>
      <c r="AV44" s="126">
        <f t="shared" si="8"/>
        <v>0</v>
      </c>
      <c r="AW44" s="71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9">
        <v>22</v>
      </c>
      <c r="AA45" s="95"/>
      <c r="AB45" s="112"/>
      <c r="AC45" s="112"/>
      <c r="AD45" s="113">
        <f>VLOOKUP($AB$17,Aux_Lista!A:J,10,FALSE)</f>
        <v>10</v>
      </c>
      <c r="AE45" s="113">
        <f>VLOOKUP($AB$17,Aux_Lista!A:K,11,FALSE)</f>
        <v>260</v>
      </c>
      <c r="AF45" s="150"/>
      <c r="AG45" s="150"/>
      <c r="AH45" s="114"/>
      <c r="AI45" s="114"/>
      <c r="AJ45" s="114"/>
      <c r="AK45" s="115"/>
      <c r="AL45" s="113">
        <f t="shared" si="4"/>
        <v>0</v>
      </c>
      <c r="AM45" s="116" t="e">
        <f t="shared" si="9"/>
        <v>#DIV/0!</v>
      </c>
      <c r="AN45" s="96"/>
      <c r="AO45" s="120"/>
      <c r="AP45" s="117"/>
      <c r="AQ45" s="117"/>
      <c r="AR45" s="121"/>
      <c r="AS45" s="127">
        <f t="shared" si="5"/>
        <v>0</v>
      </c>
      <c r="AT45" s="128" t="str">
        <f t="shared" si="6"/>
        <v/>
      </c>
      <c r="AU45" s="125">
        <f t="shared" si="7"/>
        <v>0</v>
      </c>
      <c r="AV45" s="126">
        <f t="shared" si="8"/>
        <v>0</v>
      </c>
      <c r="AW45" s="71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9">
        <v>23</v>
      </c>
      <c r="AA46" s="95"/>
      <c r="AB46" s="112"/>
      <c r="AC46" s="112"/>
      <c r="AD46" s="113">
        <f>VLOOKUP($AB$17,Aux_Lista!A:J,10,FALSE)</f>
        <v>10</v>
      </c>
      <c r="AE46" s="113">
        <f>VLOOKUP($AB$17,Aux_Lista!A:K,11,FALSE)</f>
        <v>260</v>
      </c>
      <c r="AF46" s="150"/>
      <c r="AG46" s="150"/>
      <c r="AH46" s="114"/>
      <c r="AI46" s="114"/>
      <c r="AJ46" s="114"/>
      <c r="AK46" s="115"/>
      <c r="AL46" s="113">
        <f t="shared" si="4"/>
        <v>0</v>
      </c>
      <c r="AM46" s="116" t="e">
        <f t="shared" si="9"/>
        <v>#DIV/0!</v>
      </c>
      <c r="AN46" s="96"/>
      <c r="AO46" s="120"/>
      <c r="AP46" s="117"/>
      <c r="AQ46" s="117"/>
      <c r="AR46" s="121"/>
      <c r="AS46" s="127">
        <f t="shared" si="5"/>
        <v>0</v>
      </c>
      <c r="AT46" s="128" t="str">
        <f t="shared" si="6"/>
        <v/>
      </c>
      <c r="AU46" s="125">
        <f t="shared" si="7"/>
        <v>0</v>
      </c>
      <c r="AV46" s="126">
        <f t="shared" si="8"/>
        <v>0</v>
      </c>
      <c r="AW46" s="71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9">
        <v>24</v>
      </c>
      <c r="AA47" s="95"/>
      <c r="AB47" s="112"/>
      <c r="AC47" s="112"/>
      <c r="AD47" s="113">
        <f>VLOOKUP($AB$17,Aux_Lista!A:J,10,FALSE)</f>
        <v>10</v>
      </c>
      <c r="AE47" s="113">
        <f>VLOOKUP($AB$17,Aux_Lista!A:K,11,FALSE)</f>
        <v>260</v>
      </c>
      <c r="AF47" s="150"/>
      <c r="AG47" s="150"/>
      <c r="AH47" s="114"/>
      <c r="AI47" s="114"/>
      <c r="AJ47" s="114"/>
      <c r="AK47" s="115"/>
      <c r="AL47" s="113">
        <f t="shared" si="4"/>
        <v>0</v>
      </c>
      <c r="AM47" s="116" t="e">
        <f t="shared" si="9"/>
        <v>#DIV/0!</v>
      </c>
      <c r="AN47" s="96"/>
      <c r="AO47" s="120"/>
      <c r="AP47" s="117"/>
      <c r="AQ47" s="117"/>
      <c r="AR47" s="121"/>
      <c r="AS47" s="127">
        <f t="shared" si="5"/>
        <v>0</v>
      </c>
      <c r="AT47" s="128" t="str">
        <f t="shared" si="6"/>
        <v/>
      </c>
      <c r="AU47" s="125">
        <f t="shared" si="7"/>
        <v>0</v>
      </c>
      <c r="AV47" s="126">
        <f t="shared" si="8"/>
        <v>0</v>
      </c>
      <c r="AW47" s="71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9">
        <v>25</v>
      </c>
      <c r="AA48" s="95"/>
      <c r="AB48" s="112"/>
      <c r="AC48" s="112"/>
      <c r="AD48" s="113">
        <f>VLOOKUP($AB$17,Aux_Lista!A:J,10,FALSE)</f>
        <v>10</v>
      </c>
      <c r="AE48" s="113">
        <f>VLOOKUP($AB$17,Aux_Lista!A:K,11,FALSE)</f>
        <v>260</v>
      </c>
      <c r="AF48" s="150"/>
      <c r="AG48" s="150"/>
      <c r="AH48" s="114"/>
      <c r="AI48" s="114"/>
      <c r="AJ48" s="114"/>
      <c r="AK48" s="115"/>
      <c r="AL48" s="113">
        <f t="shared" si="4"/>
        <v>0</v>
      </c>
      <c r="AM48" s="116" t="e">
        <f t="shared" si="9"/>
        <v>#DIV/0!</v>
      </c>
      <c r="AN48" s="96"/>
      <c r="AO48" s="120"/>
      <c r="AP48" s="117"/>
      <c r="AQ48" s="117"/>
      <c r="AR48" s="121"/>
      <c r="AS48" s="127">
        <f t="shared" si="5"/>
        <v>0</v>
      </c>
      <c r="AT48" s="128" t="str">
        <f t="shared" si="6"/>
        <v/>
      </c>
      <c r="AU48" s="125">
        <f t="shared" si="7"/>
        <v>0</v>
      </c>
      <c r="AV48" s="126">
        <f t="shared" si="8"/>
        <v>0</v>
      </c>
      <c r="AW48" s="71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9">
        <v>26</v>
      </c>
      <c r="AA49" s="95"/>
      <c r="AB49" s="112"/>
      <c r="AC49" s="112"/>
      <c r="AD49" s="113">
        <f>VLOOKUP($AB$17,Aux_Lista!A:J,10,FALSE)</f>
        <v>10</v>
      </c>
      <c r="AE49" s="113">
        <f>VLOOKUP($AB$17,Aux_Lista!A:K,11,FALSE)</f>
        <v>260</v>
      </c>
      <c r="AF49" s="150"/>
      <c r="AG49" s="150"/>
      <c r="AH49" s="114"/>
      <c r="AI49" s="114"/>
      <c r="AJ49" s="114"/>
      <c r="AK49" s="115"/>
      <c r="AL49" s="113">
        <f t="shared" si="4"/>
        <v>0</v>
      </c>
      <c r="AM49" s="116" t="e">
        <f t="shared" si="9"/>
        <v>#DIV/0!</v>
      </c>
      <c r="AN49" s="96"/>
      <c r="AO49" s="120"/>
      <c r="AP49" s="117"/>
      <c r="AQ49" s="117"/>
      <c r="AR49" s="121"/>
      <c r="AS49" s="127">
        <f t="shared" si="5"/>
        <v>0</v>
      </c>
      <c r="AT49" s="128" t="str">
        <f t="shared" si="6"/>
        <v/>
      </c>
      <c r="AU49" s="125">
        <f t="shared" si="7"/>
        <v>0</v>
      </c>
      <c r="AV49" s="126">
        <f t="shared" si="8"/>
        <v>0</v>
      </c>
      <c r="AW49" s="71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9">
        <v>27</v>
      </c>
      <c r="AA50" s="95"/>
      <c r="AB50" s="112"/>
      <c r="AC50" s="112"/>
      <c r="AD50" s="113">
        <f>VLOOKUP($AB$17,Aux_Lista!A:J,10,FALSE)</f>
        <v>10</v>
      </c>
      <c r="AE50" s="113">
        <f>VLOOKUP($AB$17,Aux_Lista!A:K,11,FALSE)</f>
        <v>260</v>
      </c>
      <c r="AF50" s="150"/>
      <c r="AG50" s="150"/>
      <c r="AH50" s="114"/>
      <c r="AI50" s="114"/>
      <c r="AJ50" s="114"/>
      <c r="AK50" s="115"/>
      <c r="AL50" s="113">
        <f t="shared" si="4"/>
        <v>0</v>
      </c>
      <c r="AM50" s="116" t="e">
        <f t="shared" si="9"/>
        <v>#DIV/0!</v>
      </c>
      <c r="AN50" s="96"/>
      <c r="AO50" s="120"/>
      <c r="AP50" s="117"/>
      <c r="AQ50" s="117"/>
      <c r="AR50" s="121"/>
      <c r="AS50" s="127">
        <f t="shared" si="5"/>
        <v>0</v>
      </c>
      <c r="AT50" s="128" t="str">
        <f t="shared" si="6"/>
        <v/>
      </c>
      <c r="AU50" s="125">
        <f t="shared" si="7"/>
        <v>0</v>
      </c>
      <c r="AV50" s="126">
        <f t="shared" si="8"/>
        <v>0</v>
      </c>
      <c r="AW50" s="71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9">
        <v>28</v>
      </c>
      <c r="AA51" s="95"/>
      <c r="AB51" s="112"/>
      <c r="AC51" s="112"/>
      <c r="AD51" s="113">
        <f>VLOOKUP($AB$17,Aux_Lista!A:J,10,FALSE)</f>
        <v>10</v>
      </c>
      <c r="AE51" s="113">
        <f>VLOOKUP($AB$17,Aux_Lista!A:K,11,FALSE)</f>
        <v>260</v>
      </c>
      <c r="AF51" s="150"/>
      <c r="AG51" s="150"/>
      <c r="AH51" s="114"/>
      <c r="AI51" s="114"/>
      <c r="AJ51" s="114"/>
      <c r="AK51" s="115"/>
      <c r="AL51" s="113">
        <f t="shared" si="4"/>
        <v>0</v>
      </c>
      <c r="AM51" s="116" t="e">
        <f t="shared" si="9"/>
        <v>#DIV/0!</v>
      </c>
      <c r="AN51" s="96"/>
      <c r="AO51" s="120"/>
      <c r="AP51" s="117"/>
      <c r="AQ51" s="117"/>
      <c r="AR51" s="121"/>
      <c r="AS51" s="127">
        <f t="shared" si="5"/>
        <v>0</v>
      </c>
      <c r="AT51" s="128" t="str">
        <f t="shared" si="6"/>
        <v/>
      </c>
      <c r="AU51" s="125">
        <f t="shared" si="7"/>
        <v>0</v>
      </c>
      <c r="AV51" s="126">
        <f t="shared" si="8"/>
        <v>0</v>
      </c>
      <c r="AW51" s="71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9">
        <v>29</v>
      </c>
      <c r="AA52" s="95"/>
      <c r="AB52" s="112"/>
      <c r="AC52" s="112"/>
      <c r="AD52" s="113">
        <f>VLOOKUP($AB$17,Aux_Lista!A:J,10,FALSE)</f>
        <v>10</v>
      </c>
      <c r="AE52" s="113">
        <f>VLOOKUP($AB$17,Aux_Lista!A:K,11,FALSE)</f>
        <v>260</v>
      </c>
      <c r="AF52" s="150"/>
      <c r="AG52" s="150"/>
      <c r="AH52" s="114"/>
      <c r="AI52" s="114"/>
      <c r="AJ52" s="114"/>
      <c r="AK52" s="115"/>
      <c r="AL52" s="113">
        <f t="shared" si="4"/>
        <v>0</v>
      </c>
      <c r="AM52" s="116" t="e">
        <f t="shared" si="9"/>
        <v>#DIV/0!</v>
      </c>
      <c r="AN52" s="96"/>
      <c r="AO52" s="120"/>
      <c r="AP52" s="117"/>
      <c r="AQ52" s="117"/>
      <c r="AR52" s="121"/>
      <c r="AS52" s="127">
        <f t="shared" si="5"/>
        <v>0</v>
      </c>
      <c r="AT52" s="128" t="str">
        <f t="shared" si="6"/>
        <v/>
      </c>
      <c r="AU52" s="125">
        <f t="shared" si="7"/>
        <v>0</v>
      </c>
      <c r="AV52" s="126">
        <f t="shared" si="8"/>
        <v>0</v>
      </c>
      <c r="AW52" s="71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9">
        <v>30</v>
      </c>
      <c r="AA53" s="95"/>
      <c r="AB53" s="112"/>
      <c r="AC53" s="112"/>
      <c r="AD53" s="113">
        <f>VLOOKUP($AB$17,Aux_Lista!A:J,10,FALSE)</f>
        <v>10</v>
      </c>
      <c r="AE53" s="113">
        <f>VLOOKUP($AB$17,Aux_Lista!A:K,11,FALSE)</f>
        <v>260</v>
      </c>
      <c r="AF53" s="150"/>
      <c r="AG53" s="150"/>
      <c r="AH53" s="114"/>
      <c r="AI53" s="114"/>
      <c r="AJ53" s="114"/>
      <c r="AK53" s="115"/>
      <c r="AL53" s="113">
        <f t="shared" si="4"/>
        <v>0</v>
      </c>
      <c r="AM53" s="116" t="e">
        <f t="shared" si="9"/>
        <v>#DIV/0!</v>
      </c>
      <c r="AN53" s="96"/>
      <c r="AO53" s="120"/>
      <c r="AP53" s="117"/>
      <c r="AQ53" s="117"/>
      <c r="AR53" s="121"/>
      <c r="AS53" s="127">
        <f t="shared" si="5"/>
        <v>0</v>
      </c>
      <c r="AT53" s="128" t="str">
        <f t="shared" si="6"/>
        <v/>
      </c>
      <c r="AU53" s="125">
        <f t="shared" si="7"/>
        <v>0</v>
      </c>
      <c r="AV53" s="126">
        <f t="shared" si="8"/>
        <v>0</v>
      </c>
      <c r="AW53" s="71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9">
        <v>31</v>
      </c>
      <c r="AA54" s="95"/>
      <c r="AB54" s="112"/>
      <c r="AC54" s="112"/>
      <c r="AD54" s="113">
        <f>VLOOKUP($AB$17,Aux_Lista!A:J,10,FALSE)</f>
        <v>10</v>
      </c>
      <c r="AE54" s="113">
        <f>VLOOKUP($AB$17,Aux_Lista!A:K,11,FALSE)</f>
        <v>260</v>
      </c>
      <c r="AF54" s="150"/>
      <c r="AG54" s="150"/>
      <c r="AH54" s="114"/>
      <c r="AI54" s="114"/>
      <c r="AJ54" s="114"/>
      <c r="AK54" s="115"/>
      <c r="AL54" s="113">
        <f t="shared" si="4"/>
        <v>0</v>
      </c>
      <c r="AM54" s="116" t="e">
        <f t="shared" si="9"/>
        <v>#DIV/0!</v>
      </c>
      <c r="AN54" s="96"/>
      <c r="AO54" s="120"/>
      <c r="AP54" s="117"/>
      <c r="AQ54" s="117"/>
      <c r="AR54" s="121"/>
      <c r="AS54" s="127">
        <f t="shared" si="5"/>
        <v>0</v>
      </c>
      <c r="AT54" s="128" t="str">
        <f t="shared" si="6"/>
        <v/>
      </c>
      <c r="AU54" s="125">
        <f t="shared" si="7"/>
        <v>0</v>
      </c>
      <c r="AV54" s="126">
        <f t="shared" si="8"/>
        <v>0</v>
      </c>
      <c r="AW54" s="71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9">
        <v>32</v>
      </c>
      <c r="AA55" s="95"/>
      <c r="AB55" s="112"/>
      <c r="AC55" s="112"/>
      <c r="AD55" s="113">
        <f>VLOOKUP($AB$17,Aux_Lista!A:J,10,FALSE)</f>
        <v>10</v>
      </c>
      <c r="AE55" s="113">
        <f>VLOOKUP($AB$17,Aux_Lista!A:K,11,FALSE)</f>
        <v>260</v>
      </c>
      <c r="AF55" s="150"/>
      <c r="AG55" s="150"/>
      <c r="AH55" s="114"/>
      <c r="AI55" s="114"/>
      <c r="AJ55" s="114"/>
      <c r="AK55" s="115"/>
      <c r="AL55" s="113">
        <f t="shared" si="4"/>
        <v>0</v>
      </c>
      <c r="AM55" s="116" t="e">
        <f t="shared" si="9"/>
        <v>#DIV/0!</v>
      </c>
      <c r="AN55" s="96"/>
      <c r="AO55" s="120"/>
      <c r="AP55" s="117"/>
      <c r="AQ55" s="117"/>
      <c r="AR55" s="121"/>
      <c r="AS55" s="127">
        <f t="shared" si="5"/>
        <v>0</v>
      </c>
      <c r="AT55" s="128" t="str">
        <f t="shared" si="6"/>
        <v/>
      </c>
      <c r="AU55" s="125">
        <f t="shared" si="7"/>
        <v>0</v>
      </c>
      <c r="AV55" s="126">
        <f t="shared" si="8"/>
        <v>0</v>
      </c>
      <c r="AW55" s="71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9">
        <v>33</v>
      </c>
      <c r="AA56" s="95"/>
      <c r="AB56" s="112"/>
      <c r="AC56" s="112"/>
      <c r="AD56" s="113">
        <f>VLOOKUP($AB$17,Aux_Lista!A:J,10,FALSE)</f>
        <v>10</v>
      </c>
      <c r="AE56" s="113">
        <f>VLOOKUP($AB$17,Aux_Lista!A:K,11,FALSE)</f>
        <v>260</v>
      </c>
      <c r="AF56" s="150"/>
      <c r="AG56" s="150"/>
      <c r="AH56" s="114"/>
      <c r="AI56" s="114"/>
      <c r="AJ56" s="114"/>
      <c r="AK56" s="115"/>
      <c r="AL56" s="113">
        <f t="shared" si="4"/>
        <v>0</v>
      </c>
      <c r="AM56" s="116" t="e">
        <f t="shared" si="9"/>
        <v>#DIV/0!</v>
      </c>
      <c r="AN56" s="96"/>
      <c r="AO56" s="120"/>
      <c r="AP56" s="117"/>
      <c r="AQ56" s="117"/>
      <c r="AR56" s="121"/>
      <c r="AS56" s="127">
        <f t="shared" si="5"/>
        <v>0</v>
      </c>
      <c r="AT56" s="128" t="str">
        <f t="shared" si="6"/>
        <v/>
      </c>
      <c r="AU56" s="125">
        <f t="shared" si="7"/>
        <v>0</v>
      </c>
      <c r="AV56" s="126">
        <f t="shared" si="8"/>
        <v>0</v>
      </c>
      <c r="AW56" s="71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9">
        <v>34</v>
      </c>
      <c r="AA57" s="95"/>
      <c r="AB57" s="112"/>
      <c r="AC57" s="112"/>
      <c r="AD57" s="113">
        <f>VLOOKUP($AB$17,Aux_Lista!A:J,10,FALSE)</f>
        <v>10</v>
      </c>
      <c r="AE57" s="113">
        <f>VLOOKUP($AB$17,Aux_Lista!A:K,11,FALSE)</f>
        <v>260</v>
      </c>
      <c r="AF57" s="150"/>
      <c r="AG57" s="150"/>
      <c r="AH57" s="114"/>
      <c r="AI57" s="114"/>
      <c r="AJ57" s="114"/>
      <c r="AK57" s="115"/>
      <c r="AL57" s="113">
        <f t="shared" si="4"/>
        <v>0</v>
      </c>
      <c r="AM57" s="116" t="e">
        <f t="shared" si="9"/>
        <v>#DIV/0!</v>
      </c>
      <c r="AN57" s="96"/>
      <c r="AO57" s="120"/>
      <c r="AP57" s="117"/>
      <c r="AQ57" s="117"/>
      <c r="AR57" s="121"/>
      <c r="AS57" s="127">
        <f t="shared" si="5"/>
        <v>0</v>
      </c>
      <c r="AT57" s="128" t="str">
        <f t="shared" si="6"/>
        <v/>
      </c>
      <c r="AU57" s="125">
        <f t="shared" si="7"/>
        <v>0</v>
      </c>
      <c r="AV57" s="126">
        <f t="shared" si="8"/>
        <v>0</v>
      </c>
      <c r="AW57" s="71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9">
        <v>35</v>
      </c>
      <c r="AA58" s="95"/>
      <c r="AB58" s="112"/>
      <c r="AC58" s="112"/>
      <c r="AD58" s="113">
        <f>VLOOKUP($AB$17,Aux_Lista!A:J,10,FALSE)</f>
        <v>10</v>
      </c>
      <c r="AE58" s="113">
        <f>VLOOKUP($AB$17,Aux_Lista!A:K,11,FALSE)</f>
        <v>260</v>
      </c>
      <c r="AF58" s="150"/>
      <c r="AG58" s="150"/>
      <c r="AH58" s="114"/>
      <c r="AI58" s="114"/>
      <c r="AJ58" s="114"/>
      <c r="AK58" s="115"/>
      <c r="AL58" s="113">
        <f t="shared" si="4"/>
        <v>0</v>
      </c>
      <c r="AM58" s="116" t="e">
        <f t="shared" si="9"/>
        <v>#DIV/0!</v>
      </c>
      <c r="AN58" s="96"/>
      <c r="AO58" s="120"/>
      <c r="AP58" s="117"/>
      <c r="AQ58" s="117"/>
      <c r="AR58" s="121"/>
      <c r="AS58" s="127">
        <f t="shared" si="5"/>
        <v>0</v>
      </c>
      <c r="AT58" s="128" t="str">
        <f t="shared" si="6"/>
        <v/>
      </c>
      <c r="AU58" s="125">
        <f t="shared" si="7"/>
        <v>0</v>
      </c>
      <c r="AV58" s="126">
        <f t="shared" si="8"/>
        <v>0</v>
      </c>
      <c r="AW58" s="71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9">
        <v>36</v>
      </c>
      <c r="AA59" s="95"/>
      <c r="AB59" s="112"/>
      <c r="AC59" s="112"/>
      <c r="AD59" s="113">
        <f>VLOOKUP($AB$17,Aux_Lista!A:J,10,FALSE)</f>
        <v>10</v>
      </c>
      <c r="AE59" s="113">
        <f>VLOOKUP($AB$17,Aux_Lista!A:K,11,FALSE)</f>
        <v>260</v>
      </c>
      <c r="AF59" s="150"/>
      <c r="AG59" s="150"/>
      <c r="AH59" s="114"/>
      <c r="AI59" s="114"/>
      <c r="AJ59" s="114"/>
      <c r="AK59" s="115"/>
      <c r="AL59" s="113">
        <f t="shared" si="4"/>
        <v>0</v>
      </c>
      <c r="AM59" s="116" t="e">
        <f t="shared" si="9"/>
        <v>#DIV/0!</v>
      </c>
      <c r="AN59" s="96"/>
      <c r="AO59" s="120"/>
      <c r="AP59" s="117"/>
      <c r="AQ59" s="117"/>
      <c r="AR59" s="121"/>
      <c r="AS59" s="127">
        <f t="shared" si="5"/>
        <v>0</v>
      </c>
      <c r="AT59" s="128" t="str">
        <f t="shared" si="6"/>
        <v/>
      </c>
      <c r="AU59" s="125">
        <f t="shared" si="7"/>
        <v>0</v>
      </c>
      <c r="AV59" s="126">
        <f t="shared" si="8"/>
        <v>0</v>
      </c>
      <c r="AW59" s="71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9">
        <v>37</v>
      </c>
      <c r="AA60" s="95"/>
      <c r="AB60" s="112"/>
      <c r="AC60" s="112"/>
      <c r="AD60" s="113">
        <f>VLOOKUP($AB$17,Aux_Lista!A:J,10,FALSE)</f>
        <v>10</v>
      </c>
      <c r="AE60" s="113">
        <f>VLOOKUP($AB$17,Aux_Lista!A:K,11,FALSE)</f>
        <v>260</v>
      </c>
      <c r="AF60" s="150"/>
      <c r="AG60" s="150"/>
      <c r="AH60" s="114"/>
      <c r="AI60" s="114"/>
      <c r="AJ60" s="114"/>
      <c r="AK60" s="115"/>
      <c r="AL60" s="113">
        <f t="shared" si="4"/>
        <v>0</v>
      </c>
      <c r="AM60" s="116" t="e">
        <f t="shared" si="9"/>
        <v>#DIV/0!</v>
      </c>
      <c r="AN60" s="96"/>
      <c r="AO60" s="120"/>
      <c r="AP60" s="117"/>
      <c r="AQ60" s="117"/>
      <c r="AR60" s="121"/>
      <c r="AS60" s="127">
        <f t="shared" si="5"/>
        <v>0</v>
      </c>
      <c r="AT60" s="128" t="str">
        <f t="shared" si="6"/>
        <v/>
      </c>
      <c r="AU60" s="125">
        <f t="shared" si="7"/>
        <v>0</v>
      </c>
      <c r="AV60" s="126">
        <f t="shared" si="8"/>
        <v>0</v>
      </c>
      <c r="AW60" s="71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9">
        <v>38</v>
      </c>
      <c r="AA61" s="95"/>
      <c r="AB61" s="112"/>
      <c r="AC61" s="112"/>
      <c r="AD61" s="113">
        <f>VLOOKUP($AB$17,Aux_Lista!A:J,10,FALSE)</f>
        <v>10</v>
      </c>
      <c r="AE61" s="113">
        <f>VLOOKUP($AB$17,Aux_Lista!A:K,11,FALSE)</f>
        <v>260</v>
      </c>
      <c r="AF61" s="150"/>
      <c r="AG61" s="150"/>
      <c r="AH61" s="114"/>
      <c r="AI61" s="114"/>
      <c r="AJ61" s="114"/>
      <c r="AK61" s="115"/>
      <c r="AL61" s="113">
        <f t="shared" si="4"/>
        <v>0</v>
      </c>
      <c r="AM61" s="116" t="e">
        <f t="shared" si="9"/>
        <v>#DIV/0!</v>
      </c>
      <c r="AN61" s="96"/>
      <c r="AO61" s="120"/>
      <c r="AP61" s="117"/>
      <c r="AQ61" s="117"/>
      <c r="AR61" s="121"/>
      <c r="AS61" s="127">
        <f t="shared" si="5"/>
        <v>0</v>
      </c>
      <c r="AT61" s="128" t="str">
        <f t="shared" si="6"/>
        <v/>
      </c>
      <c r="AU61" s="125">
        <f t="shared" si="7"/>
        <v>0</v>
      </c>
      <c r="AV61" s="126">
        <f t="shared" si="8"/>
        <v>0</v>
      </c>
      <c r="AW61" s="71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9">
        <v>39</v>
      </c>
      <c r="AA62" s="95"/>
      <c r="AB62" s="112"/>
      <c r="AC62" s="112"/>
      <c r="AD62" s="113">
        <f>VLOOKUP($AB$17,Aux_Lista!A:J,10,FALSE)</f>
        <v>10</v>
      </c>
      <c r="AE62" s="113">
        <f>VLOOKUP($AB$17,Aux_Lista!A:K,11,FALSE)</f>
        <v>260</v>
      </c>
      <c r="AF62" s="150"/>
      <c r="AG62" s="150"/>
      <c r="AH62" s="114"/>
      <c r="AI62" s="114"/>
      <c r="AJ62" s="114"/>
      <c r="AK62" s="115"/>
      <c r="AL62" s="113">
        <f t="shared" si="4"/>
        <v>0</v>
      </c>
      <c r="AM62" s="116" t="e">
        <f t="shared" si="9"/>
        <v>#DIV/0!</v>
      </c>
      <c r="AN62" s="96"/>
      <c r="AO62" s="120"/>
      <c r="AP62" s="117"/>
      <c r="AQ62" s="117"/>
      <c r="AR62" s="121"/>
      <c r="AS62" s="127">
        <f t="shared" si="5"/>
        <v>0</v>
      </c>
      <c r="AT62" s="128" t="str">
        <f t="shared" si="6"/>
        <v/>
      </c>
      <c r="AU62" s="125">
        <f t="shared" si="7"/>
        <v>0</v>
      </c>
      <c r="AV62" s="126">
        <f t="shared" si="8"/>
        <v>0</v>
      </c>
      <c r="AW62" s="71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9">
        <v>40</v>
      </c>
      <c r="AA63" s="95"/>
      <c r="AB63" s="112"/>
      <c r="AC63" s="112"/>
      <c r="AD63" s="113">
        <f>VLOOKUP($AB$17,Aux_Lista!A:J,10,FALSE)</f>
        <v>10</v>
      </c>
      <c r="AE63" s="113">
        <f>VLOOKUP($AB$17,Aux_Lista!A:K,11,FALSE)</f>
        <v>260</v>
      </c>
      <c r="AF63" s="150"/>
      <c r="AG63" s="150"/>
      <c r="AH63" s="114"/>
      <c r="AI63" s="114"/>
      <c r="AJ63" s="114"/>
      <c r="AK63" s="115"/>
      <c r="AL63" s="113">
        <f t="shared" si="4"/>
        <v>0</v>
      </c>
      <c r="AM63" s="116" t="e">
        <f t="shared" si="9"/>
        <v>#DIV/0!</v>
      </c>
      <c r="AN63" s="96"/>
      <c r="AO63" s="120"/>
      <c r="AP63" s="117"/>
      <c r="AQ63" s="117"/>
      <c r="AR63" s="121"/>
      <c r="AS63" s="127">
        <f t="shared" si="5"/>
        <v>0</v>
      </c>
      <c r="AT63" s="128" t="str">
        <f t="shared" si="6"/>
        <v/>
      </c>
      <c r="AU63" s="125">
        <f t="shared" si="7"/>
        <v>0</v>
      </c>
      <c r="AV63" s="126">
        <f t="shared" si="8"/>
        <v>0</v>
      </c>
      <c r="AW63" s="71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9">
        <v>41</v>
      </c>
      <c r="AA64" s="95"/>
      <c r="AB64" s="112"/>
      <c r="AC64" s="112"/>
      <c r="AD64" s="113">
        <f>VLOOKUP($AB$17,Aux_Lista!A:J,10,FALSE)</f>
        <v>10</v>
      </c>
      <c r="AE64" s="113">
        <f>VLOOKUP($AB$17,Aux_Lista!A:K,11,FALSE)</f>
        <v>260</v>
      </c>
      <c r="AF64" s="150"/>
      <c r="AG64" s="150"/>
      <c r="AH64" s="114"/>
      <c r="AI64" s="114"/>
      <c r="AJ64" s="114"/>
      <c r="AK64" s="115"/>
      <c r="AL64" s="113">
        <f t="shared" si="4"/>
        <v>0</v>
      </c>
      <c r="AM64" s="116" t="e">
        <f t="shared" si="9"/>
        <v>#DIV/0!</v>
      </c>
      <c r="AN64" s="96"/>
      <c r="AO64" s="120"/>
      <c r="AP64" s="117"/>
      <c r="AQ64" s="117"/>
      <c r="AR64" s="121"/>
      <c r="AS64" s="127">
        <f t="shared" si="5"/>
        <v>0</v>
      </c>
      <c r="AT64" s="128" t="str">
        <f t="shared" si="6"/>
        <v/>
      </c>
      <c r="AU64" s="125">
        <f t="shared" si="7"/>
        <v>0</v>
      </c>
      <c r="AV64" s="126">
        <f t="shared" si="8"/>
        <v>0</v>
      </c>
      <c r="AW64" s="71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9">
        <v>42</v>
      </c>
      <c r="AA65" s="95"/>
      <c r="AB65" s="112"/>
      <c r="AC65" s="112"/>
      <c r="AD65" s="113">
        <f>VLOOKUP($AB$17,Aux_Lista!A:J,10,FALSE)</f>
        <v>10</v>
      </c>
      <c r="AE65" s="113">
        <f>VLOOKUP($AB$17,Aux_Lista!A:K,11,FALSE)</f>
        <v>260</v>
      </c>
      <c r="AF65" s="150"/>
      <c r="AG65" s="150"/>
      <c r="AH65" s="114"/>
      <c r="AI65" s="114"/>
      <c r="AJ65" s="114"/>
      <c r="AK65" s="115"/>
      <c r="AL65" s="113">
        <f t="shared" si="4"/>
        <v>0</v>
      </c>
      <c r="AM65" s="116" t="e">
        <f t="shared" si="9"/>
        <v>#DIV/0!</v>
      </c>
      <c r="AN65" s="96"/>
      <c r="AO65" s="120"/>
      <c r="AP65" s="117"/>
      <c r="AQ65" s="117"/>
      <c r="AR65" s="121"/>
      <c r="AS65" s="127">
        <f t="shared" si="5"/>
        <v>0</v>
      </c>
      <c r="AT65" s="128" t="str">
        <f t="shared" si="6"/>
        <v/>
      </c>
      <c r="AU65" s="125">
        <f t="shared" si="7"/>
        <v>0</v>
      </c>
      <c r="AV65" s="126">
        <f t="shared" si="8"/>
        <v>0</v>
      </c>
      <c r="AW65" s="71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9">
        <v>43</v>
      </c>
      <c r="AA66" s="95"/>
      <c r="AB66" s="112"/>
      <c r="AC66" s="112"/>
      <c r="AD66" s="113">
        <f>VLOOKUP($AB$17,Aux_Lista!A:J,10,FALSE)</f>
        <v>10</v>
      </c>
      <c r="AE66" s="113">
        <f>VLOOKUP($AB$17,Aux_Lista!A:K,11,FALSE)</f>
        <v>260</v>
      </c>
      <c r="AF66" s="150"/>
      <c r="AG66" s="150"/>
      <c r="AH66" s="114"/>
      <c r="AI66" s="114"/>
      <c r="AJ66" s="114"/>
      <c r="AK66" s="115"/>
      <c r="AL66" s="113">
        <f t="shared" si="4"/>
        <v>0</v>
      </c>
      <c r="AM66" s="116" t="e">
        <f t="shared" si="9"/>
        <v>#DIV/0!</v>
      </c>
      <c r="AN66" s="96"/>
      <c r="AO66" s="120"/>
      <c r="AP66" s="117"/>
      <c r="AQ66" s="117"/>
      <c r="AR66" s="121"/>
      <c r="AS66" s="127">
        <f t="shared" si="5"/>
        <v>0</v>
      </c>
      <c r="AT66" s="128" t="str">
        <f t="shared" si="6"/>
        <v/>
      </c>
      <c r="AU66" s="125">
        <f t="shared" si="7"/>
        <v>0</v>
      </c>
      <c r="AV66" s="126">
        <f t="shared" si="8"/>
        <v>0</v>
      </c>
      <c r="AW66" s="71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9">
        <v>44</v>
      </c>
      <c r="AA67" s="95"/>
      <c r="AB67" s="112"/>
      <c r="AC67" s="112"/>
      <c r="AD67" s="113">
        <f>VLOOKUP($AB$17,Aux_Lista!A:J,10,FALSE)</f>
        <v>10</v>
      </c>
      <c r="AE67" s="113">
        <f>VLOOKUP($AB$17,Aux_Lista!A:K,11,FALSE)</f>
        <v>260</v>
      </c>
      <c r="AF67" s="150"/>
      <c r="AG67" s="150"/>
      <c r="AH67" s="114"/>
      <c r="AI67" s="114"/>
      <c r="AJ67" s="114"/>
      <c r="AK67" s="115"/>
      <c r="AL67" s="113">
        <f t="shared" si="4"/>
        <v>0</v>
      </c>
      <c r="AM67" s="116" t="e">
        <f t="shared" si="9"/>
        <v>#DIV/0!</v>
      </c>
      <c r="AN67" s="96"/>
      <c r="AO67" s="120"/>
      <c r="AP67" s="117"/>
      <c r="AQ67" s="117"/>
      <c r="AR67" s="121"/>
      <c r="AS67" s="127">
        <f t="shared" si="5"/>
        <v>0</v>
      </c>
      <c r="AT67" s="128" t="str">
        <f t="shared" si="6"/>
        <v/>
      </c>
      <c r="AU67" s="125">
        <f t="shared" si="7"/>
        <v>0</v>
      </c>
      <c r="AV67" s="126">
        <f t="shared" si="8"/>
        <v>0</v>
      </c>
      <c r="AW67" s="71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9">
        <v>45</v>
      </c>
      <c r="AA68" s="95"/>
      <c r="AB68" s="112"/>
      <c r="AC68" s="112"/>
      <c r="AD68" s="113">
        <f>VLOOKUP($AB$17,Aux_Lista!A:J,10,FALSE)</f>
        <v>10</v>
      </c>
      <c r="AE68" s="113">
        <f>VLOOKUP($AB$17,Aux_Lista!A:K,11,FALSE)</f>
        <v>260</v>
      </c>
      <c r="AF68" s="150"/>
      <c r="AG68" s="150"/>
      <c r="AH68" s="114"/>
      <c r="AI68" s="114"/>
      <c r="AJ68" s="114"/>
      <c r="AK68" s="115"/>
      <c r="AL68" s="113">
        <f t="shared" si="4"/>
        <v>0</v>
      </c>
      <c r="AM68" s="116" t="e">
        <f t="shared" si="9"/>
        <v>#DIV/0!</v>
      </c>
      <c r="AN68" s="96"/>
      <c r="AO68" s="120"/>
      <c r="AP68" s="117"/>
      <c r="AQ68" s="117"/>
      <c r="AR68" s="121"/>
      <c r="AS68" s="127">
        <f t="shared" si="5"/>
        <v>0</v>
      </c>
      <c r="AT68" s="128" t="str">
        <f t="shared" si="6"/>
        <v/>
      </c>
      <c r="AU68" s="125">
        <f t="shared" si="7"/>
        <v>0</v>
      </c>
      <c r="AV68" s="126">
        <f t="shared" si="8"/>
        <v>0</v>
      </c>
      <c r="AW68" s="71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9">
        <v>46</v>
      </c>
      <c r="AA69" s="95"/>
      <c r="AB69" s="112"/>
      <c r="AC69" s="112"/>
      <c r="AD69" s="113">
        <f>VLOOKUP($AB$17,Aux_Lista!A:J,10,FALSE)</f>
        <v>10</v>
      </c>
      <c r="AE69" s="113">
        <f>VLOOKUP($AB$17,Aux_Lista!A:K,11,FALSE)</f>
        <v>260</v>
      </c>
      <c r="AF69" s="150"/>
      <c r="AG69" s="150"/>
      <c r="AH69" s="114"/>
      <c r="AI69" s="114"/>
      <c r="AJ69" s="114"/>
      <c r="AK69" s="115"/>
      <c r="AL69" s="113">
        <f t="shared" si="4"/>
        <v>0</v>
      </c>
      <c r="AM69" s="116" t="e">
        <f t="shared" si="9"/>
        <v>#DIV/0!</v>
      </c>
      <c r="AN69" s="96"/>
      <c r="AO69" s="120"/>
      <c r="AP69" s="117"/>
      <c r="AQ69" s="117"/>
      <c r="AR69" s="121"/>
      <c r="AS69" s="127">
        <f t="shared" si="5"/>
        <v>0</v>
      </c>
      <c r="AT69" s="128" t="str">
        <f t="shared" si="6"/>
        <v/>
      </c>
      <c r="AU69" s="125">
        <f t="shared" si="7"/>
        <v>0</v>
      </c>
      <c r="AV69" s="126">
        <f t="shared" si="8"/>
        <v>0</v>
      </c>
      <c r="AW69" s="71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9">
        <v>47</v>
      </c>
      <c r="AA70" s="95"/>
      <c r="AB70" s="112"/>
      <c r="AC70" s="112"/>
      <c r="AD70" s="113">
        <f>VLOOKUP($AB$17,Aux_Lista!A:J,10,FALSE)</f>
        <v>10</v>
      </c>
      <c r="AE70" s="113">
        <f>VLOOKUP($AB$17,Aux_Lista!A:K,11,FALSE)</f>
        <v>260</v>
      </c>
      <c r="AF70" s="150"/>
      <c r="AG70" s="150"/>
      <c r="AH70" s="114"/>
      <c r="AI70" s="114"/>
      <c r="AJ70" s="114"/>
      <c r="AK70" s="115"/>
      <c r="AL70" s="113">
        <f t="shared" si="4"/>
        <v>0</v>
      </c>
      <c r="AM70" s="116" t="e">
        <f t="shared" si="9"/>
        <v>#DIV/0!</v>
      </c>
      <c r="AN70" s="96"/>
      <c r="AO70" s="120"/>
      <c r="AP70" s="117"/>
      <c r="AQ70" s="117"/>
      <c r="AR70" s="121"/>
      <c r="AS70" s="127">
        <f t="shared" si="5"/>
        <v>0</v>
      </c>
      <c r="AT70" s="128" t="str">
        <f t="shared" si="6"/>
        <v/>
      </c>
      <c r="AU70" s="125">
        <f t="shared" si="7"/>
        <v>0</v>
      </c>
      <c r="AV70" s="126">
        <f t="shared" si="8"/>
        <v>0</v>
      </c>
      <c r="AW70" s="71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9">
        <v>48</v>
      </c>
      <c r="AA71" s="95"/>
      <c r="AB71" s="112"/>
      <c r="AC71" s="112"/>
      <c r="AD71" s="113">
        <f>VLOOKUP($AB$17,Aux_Lista!A:J,10,FALSE)</f>
        <v>10</v>
      </c>
      <c r="AE71" s="113">
        <f>VLOOKUP($AB$17,Aux_Lista!A:K,11,FALSE)</f>
        <v>260</v>
      </c>
      <c r="AF71" s="150"/>
      <c r="AG71" s="150"/>
      <c r="AH71" s="114"/>
      <c r="AI71" s="114"/>
      <c r="AJ71" s="114"/>
      <c r="AK71" s="115"/>
      <c r="AL71" s="113">
        <f t="shared" si="4"/>
        <v>0</v>
      </c>
      <c r="AM71" s="116" t="e">
        <f t="shared" si="9"/>
        <v>#DIV/0!</v>
      </c>
      <c r="AN71" s="96"/>
      <c r="AO71" s="120"/>
      <c r="AP71" s="117"/>
      <c r="AQ71" s="117"/>
      <c r="AR71" s="121"/>
      <c r="AS71" s="127">
        <f t="shared" si="5"/>
        <v>0</v>
      </c>
      <c r="AT71" s="128" t="str">
        <f t="shared" si="6"/>
        <v/>
      </c>
      <c r="AU71" s="125">
        <f t="shared" si="7"/>
        <v>0</v>
      </c>
      <c r="AV71" s="126">
        <f t="shared" si="8"/>
        <v>0</v>
      </c>
      <c r="AW71" s="71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9">
        <v>49</v>
      </c>
      <c r="AA72" s="95"/>
      <c r="AB72" s="112"/>
      <c r="AC72" s="112"/>
      <c r="AD72" s="113">
        <f>VLOOKUP($AB$17,Aux_Lista!A:J,10,FALSE)</f>
        <v>10</v>
      </c>
      <c r="AE72" s="113">
        <f>VLOOKUP($AB$17,Aux_Lista!A:K,11,FALSE)</f>
        <v>260</v>
      </c>
      <c r="AF72" s="150"/>
      <c r="AG72" s="150"/>
      <c r="AH72" s="114"/>
      <c r="AI72" s="114"/>
      <c r="AJ72" s="114"/>
      <c r="AK72" s="115"/>
      <c r="AL72" s="113">
        <f t="shared" si="4"/>
        <v>0</v>
      </c>
      <c r="AM72" s="116" t="e">
        <f t="shared" si="9"/>
        <v>#DIV/0!</v>
      </c>
      <c r="AN72" s="96"/>
      <c r="AO72" s="120"/>
      <c r="AP72" s="117"/>
      <c r="AQ72" s="117"/>
      <c r="AR72" s="121"/>
      <c r="AS72" s="127">
        <f t="shared" si="5"/>
        <v>0</v>
      </c>
      <c r="AT72" s="128" t="str">
        <f t="shared" si="6"/>
        <v/>
      </c>
      <c r="AU72" s="125">
        <f t="shared" si="7"/>
        <v>0</v>
      </c>
      <c r="AV72" s="126">
        <f t="shared" si="8"/>
        <v>0</v>
      </c>
      <c r="AW72" s="71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9">
        <v>50</v>
      </c>
      <c r="AA73" s="95"/>
      <c r="AB73" s="112"/>
      <c r="AC73" s="112"/>
      <c r="AD73" s="113">
        <f>VLOOKUP($AB$17,Aux_Lista!A:J,10,FALSE)</f>
        <v>10</v>
      </c>
      <c r="AE73" s="113">
        <f>VLOOKUP($AB$17,Aux_Lista!A:K,11,FALSE)</f>
        <v>260</v>
      </c>
      <c r="AF73" s="150"/>
      <c r="AG73" s="150"/>
      <c r="AH73" s="114"/>
      <c r="AI73" s="114"/>
      <c r="AJ73" s="114"/>
      <c r="AK73" s="115"/>
      <c r="AL73" s="113">
        <f t="shared" si="4"/>
        <v>0</v>
      </c>
      <c r="AM73" s="116" t="e">
        <f t="shared" si="9"/>
        <v>#DIV/0!</v>
      </c>
      <c r="AN73" s="96"/>
      <c r="AO73" s="122"/>
      <c r="AP73" s="123"/>
      <c r="AQ73" s="123"/>
      <c r="AR73" s="124"/>
      <c r="AS73" s="129">
        <f t="shared" si="5"/>
        <v>0</v>
      </c>
      <c r="AT73" s="130" t="str">
        <f t="shared" si="6"/>
        <v/>
      </c>
      <c r="AU73" s="125">
        <f t="shared" si="7"/>
        <v>0</v>
      </c>
      <c r="AV73" s="126">
        <f t="shared" si="8"/>
        <v>0</v>
      </c>
      <c r="AW73" s="71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Aux_Lista!$AB$2:$AB$5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Aux_Lista!$AD$2:$AD$31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zoomScale="85" zoomScaleNormal="85" workbookViewId="0"/>
  </sheetViews>
  <sheetFormatPr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8" t="s">
        <v>223</v>
      </c>
      <c r="H2" s="151" t="s">
        <v>222</v>
      </c>
      <c r="I2" s="152" t="s">
        <v>221</v>
      </c>
      <c r="J2" s="153" t="s">
        <v>220</v>
      </c>
      <c r="K2" s="154" t="s">
        <v>5518</v>
      </c>
      <c r="L2" s="196" t="s">
        <v>5826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40"/>
      <c r="B5" s="41" t="s">
        <v>189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75" t="s">
        <v>184</v>
      </c>
      <c r="C7" s="76" t="str">
        <f>Geral!C7</f>
        <v>Exemplo Ltda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75" t="s">
        <v>135</v>
      </c>
      <c r="C8" s="76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75" t="s">
        <v>5814</v>
      </c>
      <c r="C9" s="77" t="s">
        <v>6130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75" t="s">
        <v>6004</v>
      </c>
      <c r="C10" s="322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9"/>
      <c r="X10" s="142" t="s">
        <v>34</v>
      </c>
      <c r="Y10" s="143" t="s">
        <v>25</v>
      </c>
      <c r="Z10" s="144" t="s">
        <v>118</v>
      </c>
      <c r="AA10" s="145" t="s">
        <v>5766</v>
      </c>
      <c r="AB10" s="146" t="s">
        <v>5767</v>
      </c>
      <c r="AC10" s="59"/>
      <c r="AD10" s="73" t="s">
        <v>5772</v>
      </c>
      <c r="AE10"/>
    </row>
    <row r="11" spans="1:42" ht="30" customHeight="1" x14ac:dyDescent="0.25">
      <c r="A11"/>
      <c r="B11" s="75" t="s">
        <v>6005</v>
      </c>
      <c r="C11" s="322">
        <f>U27</f>
        <v>19145.021877818479</v>
      </c>
      <c r="D11"/>
      <c r="E11" s="12" t="s">
        <v>6123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75" t="s">
        <v>5771</v>
      </c>
      <c r="X11" s="187" t="s">
        <v>14</v>
      </c>
      <c r="Y11" s="187">
        <f>X12</f>
        <v>0.21</v>
      </c>
      <c r="Z11" s="187">
        <f>Y12</f>
        <v>0.14000000000000001</v>
      </c>
      <c r="AA11" s="187">
        <f>Z12</f>
        <v>7.0000000000000007E-2</v>
      </c>
      <c r="AB11" s="187">
        <f>AA12</f>
        <v>0</v>
      </c>
      <c r="AC11" s="59"/>
      <c r="AD11" s="385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25">
      <c r="A12"/>
      <c r="B12" s="75" t="s">
        <v>5815</v>
      </c>
      <c r="C12" s="198">
        <f>IF(ISERROR((C10-C11)/C10),0,(C10-C11)/C10)</f>
        <v>0.17791855864388076</v>
      </c>
      <c r="D12"/>
      <c r="E12" s="75" t="s">
        <v>6124</v>
      </c>
      <c r="F12" s="343">
        <f>V23*Aux_Lista!AP4*Aux_Lista!AM2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75" t="s">
        <v>5770</v>
      </c>
      <c r="X12" s="187">
        <f>IF($C$9="Por acumulação",0.3,0.21)</f>
        <v>0.21</v>
      </c>
      <c r="Y12" s="187">
        <f>IF($C$9="Por acumulação",0.2,0.14)</f>
        <v>0.14000000000000001</v>
      </c>
      <c r="Z12" s="187">
        <f>IF($C$9="Por acumulação",0.1,0.07)</f>
        <v>7.0000000000000007E-2</v>
      </c>
      <c r="AA12" s="187">
        <f>IF($C$9="Por acumulação",0,0)</f>
        <v>0</v>
      </c>
      <c r="AB12" s="187" t="s">
        <v>14</v>
      </c>
      <c r="AC12"/>
      <c r="AD12" s="385"/>
      <c r="AE12"/>
    </row>
    <row r="13" spans="1:42" ht="30" customHeight="1" x14ac:dyDescent="0.25">
      <c r="A13"/>
      <c r="B13" s="75" t="s">
        <v>5798</v>
      </c>
      <c r="C13" s="190" t="str">
        <f>AD11</f>
        <v>B</v>
      </c>
      <c r="D13"/>
      <c r="E13" s="75" t="s">
        <v>5777</v>
      </c>
      <c r="F13" s="343">
        <f>U23*Aux_Lista!AM2*Aux_Lista!AT2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6"/>
      <c r="R15" s="2"/>
      <c r="S15" s="2"/>
      <c r="T15" s="37"/>
      <c r="U15" s="37"/>
      <c r="V15" s="38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75" t="s">
        <v>7</v>
      </c>
      <c r="C16" s="259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6"/>
      <c r="R16" s="2"/>
      <c r="S16" s="2"/>
      <c r="T16" s="37"/>
      <c r="U16" s="37"/>
      <c r="V16" s="38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5"/>
      <c r="C17" s="45"/>
      <c r="D17" s="443"/>
      <c r="E17" s="443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6"/>
      <c r="R17" s="2"/>
      <c r="S17" s="2"/>
      <c r="T17" s="37"/>
      <c r="U17" s="37"/>
      <c r="V17" s="38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75" t="s">
        <v>6032</v>
      </c>
      <c r="C18" s="333">
        <f>IF(ISERROR(VLOOKUP(C16,Aux_TBS!A:R,17,FALSE)),"Escolha uma cidade Representativa na lista ao lado:",VLOOKUP(C16,Aux_TBS!A:R,18,FALSE))</f>
        <v>20.931891695000001</v>
      </c>
      <c r="D18" s="440"/>
      <c r="E18" s="440"/>
      <c r="F18" s="444" t="str">
        <f>IF(ISERROR(VLOOKUP(C16,Aux_TBS!A:R,17,FALSE)),"Dica: Escreva a cidade vírgula o estado, exemplo: 'Florianópolis, SC':","")</f>
        <v/>
      </c>
      <c r="G18" s="444"/>
      <c r="H18" s="444"/>
      <c r="I18" s="444"/>
      <c r="J18" s="2"/>
      <c r="K18" s="2"/>
      <c r="L18" s="2"/>
      <c r="M18" s="2"/>
      <c r="N18" s="2"/>
      <c r="O18" s="2"/>
      <c r="P18" s="2"/>
      <c r="Q18" s="36"/>
      <c r="R18" s="2"/>
      <c r="S18" s="2"/>
      <c r="T18" s="37"/>
      <c r="U18" s="37"/>
      <c r="V18" s="38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93"/>
      <c r="I19" s="442" t="s">
        <v>6070</v>
      </c>
      <c r="J19" s="442"/>
      <c r="K19" s="442"/>
      <c r="L19" s="294"/>
      <c r="M19" s="2"/>
      <c r="N19" s="293"/>
      <c r="O19" s="442" t="s">
        <v>6071</v>
      </c>
      <c r="P19" s="442"/>
      <c r="Q19" s="442"/>
      <c r="R19" s="294"/>
      <c r="S19" s="2"/>
      <c r="T19" s="2"/>
      <c r="U19" s="2"/>
      <c r="V19" s="38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6056</v>
      </c>
      <c r="C20" s="2"/>
      <c r="D20" s="2"/>
      <c r="E20" s="12" t="s">
        <v>6046</v>
      </c>
      <c r="F20" s="2"/>
      <c r="G20" s="2"/>
      <c r="H20" s="295"/>
      <c r="I20" s="12" t="s">
        <v>6068</v>
      </c>
      <c r="J20" s="2"/>
      <c r="K20" s="2"/>
      <c r="L20" s="296"/>
      <c r="M20" s="2"/>
      <c r="N20" s="295"/>
      <c r="O20" s="12" t="s">
        <v>6068</v>
      </c>
      <c r="P20" s="2"/>
      <c r="Q20" s="2"/>
      <c r="R20" s="296"/>
      <c r="S20" s="2"/>
      <c r="T20" s="2"/>
      <c r="U20" s="2"/>
      <c r="V20" s="38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68" t="s">
        <v>6049</v>
      </c>
      <c r="C21" s="265">
        <v>25</v>
      </c>
      <c r="D21" s="2"/>
      <c r="E21" s="268" t="s">
        <v>6088</v>
      </c>
      <c r="F21" s="79" t="s">
        <v>6089</v>
      </c>
      <c r="G21" s="2"/>
      <c r="H21" s="295"/>
      <c r="I21" s="441" t="s">
        <v>6067</v>
      </c>
      <c r="J21" s="284" t="s">
        <v>6058</v>
      </c>
      <c r="K21" s="285">
        <v>2.5000000000000001E-2</v>
      </c>
      <c r="L21" s="296"/>
      <c r="M21" s="2"/>
      <c r="N21" s="295"/>
      <c r="O21" s="441" t="s">
        <v>6067</v>
      </c>
      <c r="P21" s="284" t="s">
        <v>6058</v>
      </c>
      <c r="Q21" s="300">
        <v>0.03</v>
      </c>
      <c r="R21" s="296"/>
      <c r="S21" s="2"/>
      <c r="T21" s="429" t="s">
        <v>6082</v>
      </c>
      <c r="U21" s="445"/>
      <c r="V21" s="430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69" t="s">
        <v>6015</v>
      </c>
      <c r="C22" s="265">
        <v>50</v>
      </c>
      <c r="D22" s="2"/>
      <c r="E22" s="268" t="s">
        <v>6047</v>
      </c>
      <c r="F22" s="265">
        <v>0</v>
      </c>
      <c r="G22" s="2"/>
      <c r="H22" s="295"/>
      <c r="I22" s="441"/>
      <c r="J22" s="286" t="s">
        <v>6059</v>
      </c>
      <c r="K22" s="287">
        <v>4.8000000000000001E-2</v>
      </c>
      <c r="L22" s="296"/>
      <c r="M22" s="2"/>
      <c r="N22" s="295"/>
      <c r="O22" s="441"/>
      <c r="P22" s="286" t="s">
        <v>6059</v>
      </c>
      <c r="Q22" s="301">
        <v>3.2000000000000001E-2</v>
      </c>
      <c r="R22" s="296"/>
      <c r="S22" s="2"/>
      <c r="T22" s="304" t="s">
        <v>5519</v>
      </c>
      <c r="U22" s="305" t="s">
        <v>6083</v>
      </c>
      <c r="V22" s="306" t="s">
        <v>6084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68" t="s">
        <v>6048</v>
      </c>
      <c r="C23" s="266">
        <f>C22*C21/1000</f>
        <v>1.25</v>
      </c>
      <c r="D23" s="2"/>
      <c r="E23" s="269" t="s">
        <v>6051</v>
      </c>
      <c r="F23" s="265">
        <v>0</v>
      </c>
      <c r="G23" s="2"/>
      <c r="H23" s="295"/>
      <c r="I23" s="441"/>
      <c r="J23" s="286" t="s">
        <v>6060</v>
      </c>
      <c r="K23" s="287">
        <v>2.1999999999999999E-2</v>
      </c>
      <c r="L23" s="296"/>
      <c r="M23" s="2"/>
      <c r="N23" s="295"/>
      <c r="O23" s="441"/>
      <c r="P23" s="286" t="s">
        <v>6060</v>
      </c>
      <c r="Q23" s="301">
        <v>2.1999999999999999E-2</v>
      </c>
      <c r="R23" s="296"/>
      <c r="S23" s="2"/>
      <c r="T23" s="360">
        <f>((365*(C30+Q31+Q28+Q44+Q41+P51))/C36)</f>
        <v>14555.295949629799</v>
      </c>
      <c r="U23" s="361">
        <f>IF(OR(C34="GLP",C34="GNV"),0,(365*(C30-F27+K28+K31+K41+K44+J51)/C35))</f>
        <v>11965.638673636549</v>
      </c>
      <c r="V23" s="362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68" t="s">
        <v>6033</v>
      </c>
      <c r="C24" s="267">
        <f>IF(ISERROR(VLOOKUP(C16,Aux_TBS!A:U,21,FALSE)),VLOOKUP(AquecimentoÁgua!D18,Aux_TBS!C:U,16,FALSE),VLOOKUP(C16,Aux_TBS!A:U,18,FALSE))</f>
        <v>20.931891695000001</v>
      </c>
      <c r="D24" s="2"/>
      <c r="E24" s="268" t="s">
        <v>6052</v>
      </c>
      <c r="F24" s="265">
        <v>199.9</v>
      </c>
      <c r="G24" s="2"/>
      <c r="H24" s="295"/>
      <c r="I24" s="441"/>
      <c r="J24" s="286" t="s">
        <v>6061</v>
      </c>
      <c r="K24" s="287">
        <v>8</v>
      </c>
      <c r="L24" s="296"/>
      <c r="M24" s="2"/>
      <c r="N24" s="295"/>
      <c r="O24" s="441"/>
      <c r="P24" s="286" t="s">
        <v>6061</v>
      </c>
      <c r="Q24" s="301">
        <v>8</v>
      </c>
      <c r="R24" s="296"/>
      <c r="S24" s="2"/>
      <c r="T24" s="2"/>
      <c r="U24" s="38"/>
      <c r="V24" s="38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68" t="s">
        <v>6034</v>
      </c>
      <c r="C25" s="267">
        <v>1</v>
      </c>
      <c r="D25" s="2"/>
      <c r="E25" s="268" t="s">
        <v>6055</v>
      </c>
      <c r="F25" s="265">
        <v>96.24</v>
      </c>
      <c r="G25" s="2"/>
      <c r="H25" s="295"/>
      <c r="I25" s="441"/>
      <c r="J25" s="286" t="s">
        <v>6063</v>
      </c>
      <c r="K25" s="288">
        <f>(PI())/(1/(2*K$21)*LN(K$22/K$23)+1/(K$24*K$22))</f>
        <v>0.17254541465930054</v>
      </c>
      <c r="L25" s="296"/>
      <c r="M25" s="2"/>
      <c r="N25" s="295"/>
      <c r="O25" s="441"/>
      <c r="P25" s="286" t="s">
        <v>6063</v>
      </c>
      <c r="Q25" s="288">
        <f>(PI())/(1/(2*Q$21)*LN(Q$22/Q$23)+1/(Q$24*Q$22))</f>
        <v>0.30948173294522274</v>
      </c>
      <c r="R25" s="296"/>
      <c r="S25" s="2"/>
      <c r="T25" s="429" t="s">
        <v>6080</v>
      </c>
      <c r="U25" s="445"/>
      <c r="V25" s="38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68" t="s">
        <v>6035</v>
      </c>
      <c r="C26" s="267">
        <v>4180</v>
      </c>
      <c r="D26" s="2"/>
      <c r="E26" s="268" t="s">
        <v>6050</v>
      </c>
      <c r="F26" s="265">
        <v>4.4859999999999998</v>
      </c>
      <c r="G26" s="2"/>
      <c r="H26" s="295"/>
      <c r="I26" s="441"/>
      <c r="J26" s="286" t="s">
        <v>6064</v>
      </c>
      <c r="K26" s="288">
        <f>2.083*C$23</f>
        <v>2.6037500000000002</v>
      </c>
      <c r="L26" s="296"/>
      <c r="M26" s="2"/>
      <c r="N26" s="295"/>
      <c r="O26" s="441"/>
      <c r="P26" s="286" t="s">
        <v>6064</v>
      </c>
      <c r="Q26" s="288">
        <f>2.083*C$23</f>
        <v>2.6037500000000002</v>
      </c>
      <c r="R26" s="296"/>
      <c r="S26" s="2"/>
      <c r="T26" s="304" t="s">
        <v>5519</v>
      </c>
      <c r="U26" s="306" t="s">
        <v>6081</v>
      </c>
      <c r="V26" s="38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68" t="s">
        <v>6036</v>
      </c>
      <c r="C27" s="270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71" t="s">
        <v>6053</v>
      </c>
      <c r="F27" s="272">
        <f>IF(F21="Detalhado",0,((F24*F23/30.42)*(F26/5.35)))</f>
        <v>0</v>
      </c>
      <c r="G27" s="2"/>
      <c r="H27" s="295"/>
      <c r="I27" s="441" t="s">
        <v>6057</v>
      </c>
      <c r="J27" s="286" t="s">
        <v>6065</v>
      </c>
      <c r="K27" s="289">
        <v>354.85</v>
      </c>
      <c r="L27" s="296"/>
      <c r="M27" s="2"/>
      <c r="N27" s="295"/>
      <c r="O27" s="441" t="s">
        <v>6057</v>
      </c>
      <c r="P27" s="286" t="s">
        <v>6065</v>
      </c>
      <c r="Q27" s="302">
        <f>K27</f>
        <v>354.85</v>
      </c>
      <c r="R27" s="296"/>
      <c r="S27" s="2"/>
      <c r="T27" s="307">
        <f>(T23)*1.6</f>
        <v>23288.473519407678</v>
      </c>
      <c r="U27" s="308">
        <f>U23*1.6+V23*1.1</f>
        <v>19145.021877818479</v>
      </c>
      <c r="V27" s="38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68" t="s">
        <v>6037</v>
      </c>
      <c r="C28" s="273">
        <v>50</v>
      </c>
      <c r="D28" s="2"/>
      <c r="E28" s="438" t="str">
        <f>IF(F21="Detalhado","Calcule a Energia proveniente do aquecimento Solar na planilha a parte, e insira manualmente na célula F29.","")</f>
        <v/>
      </c>
      <c r="F28" s="438"/>
      <c r="G28" s="2"/>
      <c r="H28" s="295"/>
      <c r="I28" s="441"/>
      <c r="J28" s="292" t="s">
        <v>6066</v>
      </c>
      <c r="K28" s="290">
        <f>(K$26*K$25*K$27*(IF(ISERROR(VLOOKUP(C$16,Aux_TBS!$A:$U,21,FALSE)),VLOOKUP(AquecimentoÁgua!D$18,Aux_TBS!$C:$U,19,FALSE),VLOOKUP(C$16,Aux_TBS!$A:$U,21,FALSE))-C$24))/1000</f>
        <v>3.0398707956058919</v>
      </c>
      <c r="L28" s="296"/>
      <c r="M28" s="2"/>
      <c r="N28" s="295"/>
      <c r="O28" s="441"/>
      <c r="P28" s="292" t="s">
        <v>6066</v>
      </c>
      <c r="Q28" s="290">
        <f>(Q$26*Q$25*Q$27*(IF(ISERROR(VLOOKUP(C$16,Aux_TBS!$A:$U,21,FALSE)),VLOOKUP(AquecimentoÁgua!D$18,Aux_TBS!$C:$U,19,FALSE),VLOOKUP(C$16,Aux_TBS!$A:$U,21,FALSE))-C$24))/1000</f>
        <v>5.4523876140742997</v>
      </c>
      <c r="R28" s="296"/>
      <c r="S28" s="2"/>
      <c r="T28" s="2"/>
      <c r="U28" s="2"/>
      <c r="V28" s="38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68" t="s">
        <v>6086</v>
      </c>
      <c r="C29" s="273"/>
      <c r="D29" s="2"/>
      <c r="E29" s="439"/>
      <c r="F29" s="439"/>
      <c r="G29" s="2"/>
      <c r="H29" s="295"/>
      <c r="I29" s="441" t="s">
        <v>6062</v>
      </c>
      <c r="J29" s="286" t="s">
        <v>6063</v>
      </c>
      <c r="K29" s="291">
        <v>0</v>
      </c>
      <c r="L29" s="296"/>
      <c r="M29" s="2"/>
      <c r="N29" s="295"/>
      <c r="O29" s="441" t="s">
        <v>6062</v>
      </c>
      <c r="P29" s="286" t="s">
        <v>6063</v>
      </c>
      <c r="Q29" s="303">
        <f>Q25</f>
        <v>0.30948173294522274</v>
      </c>
      <c r="R29" s="296"/>
      <c r="S29" s="2"/>
      <c r="T29" s="2"/>
      <c r="U29" s="2"/>
      <c r="V29" s="38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71" t="s">
        <v>6045</v>
      </c>
      <c r="C30" s="272">
        <f>IF(C9="Com acumulação",C23*C25*C26*(C28-C24)/3600,C23*C25*C26*(C27-C24)/3600)+C29</f>
        <v>27.675240526006945</v>
      </c>
      <c r="D30" s="2"/>
      <c r="E30" s="439"/>
      <c r="F30" s="439"/>
      <c r="G30" s="2"/>
      <c r="H30" s="295"/>
      <c r="I30" s="441"/>
      <c r="J30" s="286" t="s">
        <v>6065</v>
      </c>
      <c r="K30" s="289">
        <v>0</v>
      </c>
      <c r="L30" s="296"/>
      <c r="M30" s="2"/>
      <c r="N30" s="295"/>
      <c r="O30" s="441"/>
      <c r="P30" s="286" t="s">
        <v>6065</v>
      </c>
      <c r="Q30" s="302">
        <f>K30</f>
        <v>0</v>
      </c>
      <c r="R30" s="296"/>
      <c r="S30" s="2"/>
      <c r="T30" s="2"/>
      <c r="U30" s="2"/>
      <c r="V30" s="38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95"/>
      <c r="I31" s="441"/>
      <c r="J31" s="292" t="s">
        <v>6066</v>
      </c>
      <c r="K31" s="290">
        <f>(K$26*K$29*K$30*(IF(ISERROR(VLOOKUP(C$16,Aux_TBS!$A:$U,21,FALSE)),VLOOKUP(AquecimentoÁgua!D$18,Aux_TBS!$C:$U,19,FALSE),VLOOKUP(C$16,Aux_TBS!$A:$U,21,FALSE))-C$24))/1000</f>
        <v>0</v>
      </c>
      <c r="L31" s="296"/>
      <c r="M31" s="2"/>
      <c r="N31" s="295"/>
      <c r="O31" s="441"/>
      <c r="P31" s="292" t="s">
        <v>6066</v>
      </c>
      <c r="Q31" s="290">
        <f>(Q$26*Q$29*Q$30*(IF(ISERROR(VLOOKUP(C$16,Aux_TBS!$A:$U,21,FALSE)),VLOOKUP(AquecimentoÁgua!D$18,Aux_TBS!$C:$U,19,FALSE),VLOOKUP(C$16,Aux_TBS!$A:$U,21,FALSE))-C$24))/1000</f>
        <v>0</v>
      </c>
      <c r="R31" s="296"/>
      <c r="S31" s="2"/>
      <c r="T31" s="2"/>
      <c r="U31" s="2"/>
      <c r="V31" s="38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95"/>
      <c r="I32" s="2"/>
      <c r="J32" s="2"/>
      <c r="K32" s="2"/>
      <c r="L32" s="296"/>
      <c r="M32" s="2"/>
      <c r="N32" s="295"/>
      <c r="O32" s="2"/>
      <c r="P32" s="2"/>
      <c r="Q32" s="2"/>
      <c r="R32" s="296"/>
      <c r="S32" s="2"/>
      <c r="T32" s="2"/>
      <c r="U32" s="2"/>
      <c r="V32" s="38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6077</v>
      </c>
      <c r="C33"/>
      <c r="D33" s="2"/>
      <c r="E33" s="2"/>
      <c r="F33" s="2"/>
      <c r="G33" s="2"/>
      <c r="H33" s="295"/>
      <c r="I33" s="12" t="s">
        <v>6069</v>
      </c>
      <c r="J33" s="2"/>
      <c r="K33" s="2"/>
      <c r="L33" s="296"/>
      <c r="M33" s="2"/>
      <c r="N33" s="295"/>
      <c r="O33" s="12" t="s">
        <v>6069</v>
      </c>
      <c r="P33" s="2"/>
      <c r="Q33" s="2"/>
      <c r="R33" s="296"/>
      <c r="S33" s="2"/>
      <c r="T33" s="2"/>
      <c r="U33" s="2"/>
      <c r="V33" s="38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69" t="s">
        <v>6079</v>
      </c>
      <c r="C34" s="79" t="s">
        <v>6137</v>
      </c>
      <c r="D34" s="2"/>
      <c r="E34" s="2"/>
      <c r="F34" s="2"/>
      <c r="G34" s="2"/>
      <c r="H34" s="295"/>
      <c r="I34" s="441" t="s">
        <v>6067</v>
      </c>
      <c r="J34" s="284" t="s">
        <v>6058</v>
      </c>
      <c r="K34" s="285">
        <v>0.03</v>
      </c>
      <c r="L34" s="296"/>
      <c r="M34" s="2"/>
      <c r="N34" s="295"/>
      <c r="O34" s="441" t="s">
        <v>6067</v>
      </c>
      <c r="P34" s="284" t="s">
        <v>6058</v>
      </c>
      <c r="Q34" s="300">
        <v>0.03</v>
      </c>
      <c r="R34" s="296"/>
      <c r="S34" s="2"/>
      <c r="T34" s="2"/>
      <c r="U34" s="2"/>
      <c r="V34" s="38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69" t="s">
        <v>6078</v>
      </c>
      <c r="C35" s="265">
        <v>0.95</v>
      </c>
      <c r="D35" s="2"/>
      <c r="E35" s="2"/>
      <c r="F35" s="2"/>
      <c r="G35" s="2"/>
      <c r="H35" s="295"/>
      <c r="I35" s="441"/>
      <c r="J35" s="286" t="s">
        <v>6059</v>
      </c>
      <c r="K35" s="287">
        <v>4.8000000000000001E-2</v>
      </c>
      <c r="L35" s="296"/>
      <c r="M35" s="2"/>
      <c r="N35" s="295"/>
      <c r="O35" s="441"/>
      <c r="P35" s="286" t="s">
        <v>6059</v>
      </c>
      <c r="Q35" s="301">
        <v>4.8000000000000001E-2</v>
      </c>
      <c r="R35" s="296"/>
      <c r="S35" s="2"/>
      <c r="T35" s="2"/>
      <c r="U35" s="2"/>
      <c r="V35" s="38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68" t="s">
        <v>6087</v>
      </c>
      <c r="C36" s="266">
        <v>0.85</v>
      </c>
      <c r="D36"/>
      <c r="E36" s="2"/>
      <c r="F36" s="2"/>
      <c r="G36" s="2"/>
      <c r="H36" s="295"/>
      <c r="I36" s="441"/>
      <c r="J36" s="286" t="s">
        <v>6060</v>
      </c>
      <c r="K36" s="287">
        <v>2.1999999999999999E-2</v>
      </c>
      <c r="L36" s="296"/>
      <c r="M36" s="2"/>
      <c r="N36" s="295"/>
      <c r="O36" s="441"/>
      <c r="P36" s="286" t="s">
        <v>6060</v>
      </c>
      <c r="Q36" s="301">
        <v>2.1999999999999999E-2</v>
      </c>
      <c r="R36" s="296"/>
      <c r="S36" s="2"/>
      <c r="T36" s="2"/>
      <c r="U36" s="2"/>
      <c r="V36" s="38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95"/>
      <c r="I37" s="441"/>
      <c r="J37" s="286" t="s">
        <v>6061</v>
      </c>
      <c r="K37" s="287">
        <v>8</v>
      </c>
      <c r="L37" s="296"/>
      <c r="M37" s="2"/>
      <c r="N37" s="295"/>
      <c r="O37" s="441"/>
      <c r="P37" s="286" t="s">
        <v>6061</v>
      </c>
      <c r="Q37" s="301">
        <v>8</v>
      </c>
      <c r="R37" s="296"/>
      <c r="S37" s="2"/>
      <c r="T37" s="2"/>
      <c r="U37" s="2"/>
      <c r="V37" s="38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95"/>
      <c r="I38" s="441"/>
      <c r="J38" s="286" t="s">
        <v>6063</v>
      </c>
      <c r="K38" s="288">
        <f>(PI())/(1/(2*K$21)*LN(K$22/K$23)+1/(K$24*K$22))</f>
        <v>0.17254541465930054</v>
      </c>
      <c r="L38" s="296"/>
      <c r="M38" s="2"/>
      <c r="N38" s="295"/>
      <c r="O38" s="441"/>
      <c r="P38" s="286" t="s">
        <v>6063</v>
      </c>
      <c r="Q38" s="288">
        <f>(PI())/(1/(2*Q$21)*LN(Q$22/Q$23)+1/(Q$24*Q$22))</f>
        <v>0.30948173294522274</v>
      </c>
      <c r="R38" s="296"/>
      <c r="S38" s="2"/>
      <c r="T38" s="2"/>
      <c r="U38" s="2"/>
      <c r="V38" s="38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95"/>
      <c r="I39" s="441"/>
      <c r="J39" s="286" t="s">
        <v>6064</v>
      </c>
      <c r="K39" s="288">
        <f>2.083*C$23</f>
        <v>2.6037500000000002</v>
      </c>
      <c r="L39" s="296"/>
      <c r="M39" s="2"/>
      <c r="N39" s="295"/>
      <c r="O39" s="441"/>
      <c r="P39" s="286" t="s">
        <v>6064</v>
      </c>
      <c r="Q39" s="288">
        <f>2.083*C$23</f>
        <v>2.6037500000000002</v>
      </c>
      <c r="R39" s="296"/>
      <c r="S39" s="2"/>
      <c r="T39" s="2"/>
      <c r="U39" s="2"/>
      <c r="V39" s="38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95"/>
      <c r="I40" s="441" t="s">
        <v>6057</v>
      </c>
      <c r="J40" s="286" t="s">
        <v>6065</v>
      </c>
      <c r="K40" s="289">
        <v>0</v>
      </c>
      <c r="L40" s="296"/>
      <c r="M40" s="2"/>
      <c r="N40" s="295"/>
      <c r="O40" s="441" t="s">
        <v>6057</v>
      </c>
      <c r="P40" s="286" t="s">
        <v>6065</v>
      </c>
      <c r="Q40" s="302">
        <f>K40</f>
        <v>0</v>
      </c>
      <c r="R40" s="296"/>
      <c r="S40" s="2"/>
      <c r="T40" s="2"/>
      <c r="U40" s="2"/>
      <c r="V40" s="38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95"/>
      <c r="I41" s="441"/>
      <c r="J41" s="292" t="s">
        <v>6066</v>
      </c>
      <c r="K41" s="290">
        <f>(K$39*K$38*K$40*(IF(ISERROR(VLOOKUP(C$16,Aux_TBS!$A:$U,21,FALSE)),VLOOKUP(AquecimentoÁgua!D$18,Aux_TBS!$C:$U,19,FALSE),VLOOKUP(C$16,Aux_TBS!$A:$U,21,FALSE))-C$24))/1000</f>
        <v>0</v>
      </c>
      <c r="L41" s="296"/>
      <c r="M41" s="2"/>
      <c r="N41" s="295"/>
      <c r="O41" s="441"/>
      <c r="P41" s="292" t="s">
        <v>6066</v>
      </c>
      <c r="Q41" s="290">
        <f>(Q$39*Q$38*Q$40*(IF(ISERROR(VLOOKUP(C$16,Aux_TBS!$A:$U,21,FALSE)),VLOOKUP(AquecimentoÁgua!D$18,Aux_TBS!$C:$U,19,FALSE),VLOOKUP(C$16,Aux_TBS!$A:$U,21,FALSE))-C$24))/1000</f>
        <v>0</v>
      </c>
      <c r="R41" s="296"/>
      <c r="S41" s="2"/>
      <c r="T41" s="2"/>
      <c r="U41" s="2"/>
      <c r="V41" s="38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95"/>
      <c r="I42" s="441" t="s">
        <v>6062</v>
      </c>
      <c r="J42" s="286" t="s">
        <v>6063</v>
      </c>
      <c r="K42" s="291">
        <f>K38</f>
        <v>0.17254541465930054</v>
      </c>
      <c r="L42" s="296"/>
      <c r="M42" s="2"/>
      <c r="N42" s="295"/>
      <c r="O42" s="441" t="s">
        <v>6062</v>
      </c>
      <c r="P42" s="286" t="s">
        <v>6063</v>
      </c>
      <c r="Q42" s="303">
        <f>Q38</f>
        <v>0.30948173294522274</v>
      </c>
      <c r="R42" s="296"/>
      <c r="S42" s="2"/>
      <c r="T42" s="2"/>
      <c r="U42" s="2"/>
      <c r="V42" s="38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95"/>
      <c r="I43" s="441"/>
      <c r="J43" s="286" t="s">
        <v>6065</v>
      </c>
      <c r="K43" s="289">
        <v>50</v>
      </c>
      <c r="L43" s="296"/>
      <c r="M43" s="2"/>
      <c r="N43" s="295"/>
      <c r="O43" s="441"/>
      <c r="P43" s="286" t="s">
        <v>6065</v>
      </c>
      <c r="Q43" s="302">
        <f>K43</f>
        <v>50</v>
      </c>
      <c r="R43" s="296"/>
      <c r="S43" s="2"/>
      <c r="T43" s="2"/>
      <c r="U43" s="2"/>
      <c r="V43" s="38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95"/>
      <c r="I44" s="441"/>
      <c r="J44" s="292" t="s">
        <v>6066</v>
      </c>
      <c r="K44" s="290">
        <f>(K$39*K$42*K$43*(IF(ISERROR(VLOOKUP(C$16,Aux_TBS!$A:$U,21,FALSE)),VLOOKUP(AquecimentoÁgua!D$18,Aux_TBS!$C:$U,19,FALSE),VLOOKUP(C$16,Aux_TBS!$A:$U,21,FALSE))-C$24))/1000</f>
        <v>0.42833180155078082</v>
      </c>
      <c r="L44" s="296"/>
      <c r="M44" s="2"/>
      <c r="N44" s="295"/>
      <c r="O44" s="441"/>
      <c r="P44" s="292" t="s">
        <v>6066</v>
      </c>
      <c r="Q44" s="290">
        <f>(Q$39*Q$42*Q$43*(IF(ISERROR(VLOOKUP(C$16,Aux_TBS!$A:$U,21,FALSE)),VLOOKUP(AquecimentoÁgua!D$18,Aux_TBS!$C:$U,19,FALSE),VLOOKUP(C$16,Aux_TBS!$A:$U,21,FALSE))-C$24))/1000</f>
        <v>0.76826653713883331</v>
      </c>
      <c r="R44" s="296"/>
      <c r="S44" s="2"/>
      <c r="T44" s="2"/>
      <c r="U44" s="2"/>
      <c r="V44" s="38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95"/>
      <c r="I45" s="2"/>
      <c r="J45" s="2"/>
      <c r="K45" s="2"/>
      <c r="L45" s="296"/>
      <c r="M45" s="2"/>
      <c r="N45" s="295"/>
      <c r="O45" s="2"/>
      <c r="P45" s="2"/>
      <c r="Q45" s="2"/>
      <c r="R45" s="296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95"/>
      <c r="I46" s="12" t="s">
        <v>112</v>
      </c>
      <c r="J46" s="2"/>
      <c r="K46" s="2"/>
      <c r="L46" s="296"/>
      <c r="M46" s="2"/>
      <c r="N46" s="295"/>
      <c r="O46" s="12" t="s">
        <v>112</v>
      </c>
      <c r="P46" s="2"/>
      <c r="Q46" s="2"/>
      <c r="R46" s="296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95"/>
      <c r="I47" s="280" t="s">
        <v>6072</v>
      </c>
      <c r="J47" s="278">
        <v>1000</v>
      </c>
      <c r="K47" s="2"/>
      <c r="L47" s="296"/>
      <c r="M47" s="2"/>
      <c r="N47" s="295"/>
      <c r="O47" s="280" t="s">
        <v>6072</v>
      </c>
      <c r="P47" s="281">
        <f>J47</f>
        <v>1000</v>
      </c>
      <c r="Q47" s="2"/>
      <c r="R47" s="296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95"/>
      <c r="I48" s="280" t="s">
        <v>6076</v>
      </c>
      <c r="J48" s="278">
        <v>5</v>
      </c>
      <c r="K48" s="2"/>
      <c r="L48" s="296"/>
      <c r="M48" s="2"/>
      <c r="N48" s="295"/>
      <c r="O48" s="280" t="s">
        <v>6076</v>
      </c>
      <c r="P48" s="281">
        <f>J48</f>
        <v>5</v>
      </c>
      <c r="Q48" s="2"/>
      <c r="R48" s="296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95"/>
      <c r="I49" s="280" t="s">
        <v>6073</v>
      </c>
      <c r="J49" s="278">
        <v>29</v>
      </c>
      <c r="K49" s="2"/>
      <c r="L49" s="296"/>
      <c r="M49" s="2"/>
      <c r="N49" s="295"/>
      <c r="O49" s="280" t="s">
        <v>6073</v>
      </c>
      <c r="P49" s="281">
        <f>J49</f>
        <v>29</v>
      </c>
      <c r="Q49" s="2"/>
      <c r="R49" s="296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95"/>
      <c r="I50" s="280" t="s">
        <v>6074</v>
      </c>
      <c r="J50" s="278">
        <v>0.14000000000000001</v>
      </c>
      <c r="K50" s="2"/>
      <c r="L50" s="296"/>
      <c r="M50" s="2"/>
      <c r="N50" s="295"/>
      <c r="O50" s="280" t="s">
        <v>6074</v>
      </c>
      <c r="P50" s="281">
        <f>J50</f>
        <v>0.14000000000000001</v>
      </c>
      <c r="Q50" s="2"/>
      <c r="R50" s="296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95"/>
      <c r="I51" s="282" t="s">
        <v>6075</v>
      </c>
      <c r="J51" s="283">
        <f>IF(C9="Sem acumulação",0,((C28-C24)/J49)*(J50*J47/30.42)*J48)</f>
        <v>0</v>
      </c>
      <c r="K51" s="2"/>
      <c r="L51" s="296"/>
      <c r="M51" s="2"/>
      <c r="N51" s="295"/>
      <c r="O51" s="282" t="s">
        <v>6075</v>
      </c>
      <c r="P51" s="283">
        <f>J51</f>
        <v>0</v>
      </c>
      <c r="Q51" s="2"/>
      <c r="R51" s="296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97"/>
      <c r="I52" s="298"/>
      <c r="J52" s="298"/>
      <c r="K52" s="298"/>
      <c r="L52" s="299"/>
      <c r="M52" s="2"/>
      <c r="N52" s="297"/>
      <c r="O52" s="298"/>
      <c r="P52" s="298"/>
      <c r="Q52" s="298"/>
      <c r="R52" s="299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6085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31" t="s">
        <v>76</v>
      </c>
      <c r="C56" s="432" t="s">
        <v>114</v>
      </c>
      <c r="D56" s="434"/>
      <c r="E56" s="434"/>
      <c r="F56" s="434"/>
      <c r="G56" s="434"/>
      <c r="H56" s="434"/>
      <c r="I56" s="434"/>
      <c r="J56" s="433"/>
      <c r="K56" s="434" t="s">
        <v>112</v>
      </c>
      <c r="L56" s="434"/>
      <c r="M56" s="432" t="s">
        <v>111</v>
      </c>
      <c r="N56" s="434"/>
      <c r="O56" s="434"/>
      <c r="P56" s="434"/>
      <c r="Q56" s="434"/>
      <c r="R56" s="434"/>
      <c r="S56" s="434"/>
      <c r="T56" s="434"/>
      <c r="U56" s="434"/>
      <c r="V56" s="433"/>
      <c r="W56" s="435" t="s">
        <v>105</v>
      </c>
      <c r="X56" s="436"/>
      <c r="Y56" s="437"/>
      <c r="Z56" s="432" t="s">
        <v>115</v>
      </c>
      <c r="AA56" s="434"/>
      <c r="AB56" s="433"/>
      <c r="AC56" s="432" t="s">
        <v>121</v>
      </c>
      <c r="AD56" s="433"/>
      <c r="AE56" s="432" t="s">
        <v>104</v>
      </c>
      <c r="AF56" s="434"/>
      <c r="AG56" s="433"/>
      <c r="AH56" s="434" t="s">
        <v>117</v>
      </c>
      <c r="AI56" s="434"/>
      <c r="AJ56" s="434"/>
      <c r="AK56" s="314" t="s">
        <v>6090</v>
      </c>
      <c r="AL56" s="429" t="s">
        <v>6091</v>
      </c>
      <c r="AM56" s="430"/>
      <c r="AN56" s="429" t="s">
        <v>5827</v>
      </c>
      <c r="AO56" s="430"/>
      <c r="AP56"/>
    </row>
    <row r="57" spans="1:42" ht="38.25" x14ac:dyDescent="0.25">
      <c r="A57"/>
      <c r="B57" s="431"/>
      <c r="C57" s="260" t="s">
        <v>173</v>
      </c>
      <c r="D57" s="199" t="s">
        <v>174</v>
      </c>
      <c r="E57" s="199" t="s">
        <v>175</v>
      </c>
      <c r="F57" s="199" t="s">
        <v>176</v>
      </c>
      <c r="G57" s="199" t="s">
        <v>177</v>
      </c>
      <c r="H57" s="199" t="s">
        <v>178</v>
      </c>
      <c r="I57" s="199" t="s">
        <v>179</v>
      </c>
      <c r="J57" s="261" t="s">
        <v>180</v>
      </c>
      <c r="K57" s="199" t="s">
        <v>107</v>
      </c>
      <c r="L57" s="199" t="s">
        <v>142</v>
      </c>
      <c r="M57" s="260" t="s">
        <v>107</v>
      </c>
      <c r="N57" s="199" t="s">
        <v>106</v>
      </c>
      <c r="O57" s="199" t="s">
        <v>123</v>
      </c>
      <c r="P57" s="199" t="s">
        <v>108</v>
      </c>
      <c r="Q57" s="199" t="s">
        <v>143</v>
      </c>
      <c r="R57" s="199" t="s">
        <v>181</v>
      </c>
      <c r="S57" s="199" t="s">
        <v>182</v>
      </c>
      <c r="T57" s="199" t="s">
        <v>49</v>
      </c>
      <c r="U57" s="199" t="s">
        <v>109</v>
      </c>
      <c r="V57" s="261" t="s">
        <v>110</v>
      </c>
      <c r="W57" s="92" t="s">
        <v>122</v>
      </c>
      <c r="X57" s="93" t="s">
        <v>123</v>
      </c>
      <c r="Y57" s="94" t="s">
        <v>138</v>
      </c>
      <c r="Z57" s="93" t="s">
        <v>106</v>
      </c>
      <c r="AA57" s="93" t="s">
        <v>123</v>
      </c>
      <c r="AB57" s="93" t="s">
        <v>139</v>
      </c>
      <c r="AC57" s="92" t="s">
        <v>106</v>
      </c>
      <c r="AD57" s="94" t="s">
        <v>77</v>
      </c>
      <c r="AE57" s="263" t="s">
        <v>113</v>
      </c>
      <c r="AF57" s="93" t="s">
        <v>183</v>
      </c>
      <c r="AG57" s="94" t="s">
        <v>140</v>
      </c>
      <c r="AH57" s="93" t="s">
        <v>119</v>
      </c>
      <c r="AI57" s="93" t="s">
        <v>116</v>
      </c>
      <c r="AJ57" s="93" t="s">
        <v>120</v>
      </c>
      <c r="AK57" s="202" t="s">
        <v>5519</v>
      </c>
      <c r="AL57" s="202" t="s">
        <v>6092</v>
      </c>
      <c r="AM57" s="203" t="s">
        <v>6093</v>
      </c>
      <c r="AN57" s="202" t="s">
        <v>5519</v>
      </c>
      <c r="AO57" s="203" t="s">
        <v>5520</v>
      </c>
      <c r="AP57"/>
    </row>
    <row r="58" spans="1:42" s="30" customFormat="1" ht="35.1" customHeight="1" x14ac:dyDescent="0.25">
      <c r="A58" s="2"/>
      <c r="B58" s="95"/>
      <c r="C58" s="312">
        <f>J47*J48</f>
        <v>5000</v>
      </c>
      <c r="D58" s="311">
        <f>C23*365</f>
        <v>456.25</v>
      </c>
      <c r="E58" s="113">
        <f>C28</f>
        <v>50</v>
      </c>
      <c r="F58" s="113">
        <f>C24</f>
        <v>20.931891695000001</v>
      </c>
      <c r="G58" s="113">
        <f>C27</f>
        <v>40</v>
      </c>
      <c r="H58" s="113">
        <f>C29</f>
        <v>0</v>
      </c>
      <c r="I58" s="113">
        <f>C30</f>
        <v>27.675240526006945</v>
      </c>
      <c r="J58" s="309"/>
      <c r="K58" s="113">
        <f>J48</f>
        <v>5</v>
      </c>
      <c r="L58" s="113">
        <f>J51</f>
        <v>0</v>
      </c>
      <c r="M58" s="312">
        <f>F23</f>
        <v>0</v>
      </c>
      <c r="N58" s="96"/>
      <c r="O58" s="96"/>
      <c r="P58" s="311">
        <f>F22</f>
        <v>0</v>
      </c>
      <c r="Q58" s="200"/>
      <c r="R58" s="96"/>
      <c r="S58" s="96"/>
      <c r="T58" s="201"/>
      <c r="U58" s="201"/>
      <c r="V58" s="262"/>
      <c r="W58" s="95"/>
      <c r="X58" s="96"/>
      <c r="Y58" s="310" t="str">
        <f>IF(C34="GLP",C35,"")</f>
        <v/>
      </c>
      <c r="Z58" s="96"/>
      <c r="AA58" s="96"/>
      <c r="AB58" s="311" t="str">
        <f>IF(C34="Elétrico, por Resistor",C35,"")</f>
        <v/>
      </c>
      <c r="AC58" s="95"/>
      <c r="AD58" s="97"/>
      <c r="AE58" s="313">
        <f>K28+K31</f>
        <v>3.0398707956058919</v>
      </c>
      <c r="AF58" s="114">
        <f>K21</f>
        <v>2.5000000000000001E-2</v>
      </c>
      <c r="AG58" s="97">
        <f>K22</f>
        <v>4.8000000000000001E-2</v>
      </c>
      <c r="AH58" s="96"/>
      <c r="AI58" s="96"/>
      <c r="AJ58" s="96"/>
      <c r="AK58" s="315">
        <f>T23</f>
        <v>14555.295949629799</v>
      </c>
      <c r="AL58" s="316">
        <f>U23</f>
        <v>11965.638673636549</v>
      </c>
      <c r="AM58" s="317">
        <f>V23</f>
        <v>0</v>
      </c>
      <c r="AN58" s="315">
        <f>T27</f>
        <v>23288.473519407678</v>
      </c>
      <c r="AO58" s="318">
        <f>U27</f>
        <v>19145.021877818479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9"/>
      <c r="R102" s="30"/>
      <c r="S102" s="30"/>
      <c r="T102" s="320"/>
      <c r="U102" s="320"/>
      <c r="V102" s="321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9"/>
      <c r="R103" s="30"/>
      <c r="S103" s="30"/>
      <c r="T103" s="320"/>
      <c r="U103" s="320"/>
      <c r="V103" s="321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9"/>
      <c r="R104" s="30"/>
      <c r="S104" s="30"/>
      <c r="T104" s="320"/>
      <c r="U104" s="320"/>
      <c r="V104" s="321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9"/>
      <c r="R105" s="30"/>
      <c r="S105" s="30"/>
      <c r="T105" s="320"/>
      <c r="U105" s="320"/>
      <c r="V105" s="321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9"/>
      <c r="R106" s="30"/>
      <c r="S106" s="30"/>
      <c r="T106" s="320"/>
      <c r="U106" s="320"/>
      <c r="V106" s="321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9"/>
      <c r="R107" s="30"/>
      <c r="S107" s="30"/>
      <c r="T107" s="320"/>
      <c r="U107" s="320"/>
      <c r="V107" s="321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9"/>
      <c r="R108" s="30"/>
      <c r="S108" s="30"/>
      <c r="T108" s="320"/>
      <c r="U108" s="320"/>
      <c r="V108" s="321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9"/>
      <c r="R109" s="30"/>
      <c r="S109" s="30"/>
      <c r="T109" s="320"/>
      <c r="U109" s="320"/>
      <c r="V109" s="321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9"/>
      <c r="R110" s="30"/>
      <c r="S110" s="30"/>
      <c r="T110" s="320"/>
      <c r="U110" s="320"/>
      <c r="V110" s="321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9"/>
      <c r="R111" s="30"/>
      <c r="S111" s="30"/>
      <c r="T111" s="320"/>
      <c r="U111" s="320"/>
      <c r="V111" s="321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9"/>
      <c r="R112" s="30"/>
      <c r="S112" s="30"/>
      <c r="T112" s="320"/>
      <c r="U112" s="320"/>
      <c r="V112" s="321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9"/>
      <c r="R113" s="30"/>
      <c r="S113" s="30"/>
      <c r="T113" s="320"/>
      <c r="U113" s="320"/>
      <c r="V113" s="321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9"/>
      <c r="R114" s="30"/>
      <c r="S114" s="30"/>
      <c r="T114" s="320"/>
      <c r="U114" s="320"/>
      <c r="V114" s="321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9"/>
      <c r="R115" s="30"/>
      <c r="S115" s="30"/>
      <c r="T115" s="320"/>
      <c r="U115" s="320"/>
      <c r="V115" s="321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9"/>
      <c r="R116" s="30"/>
      <c r="S116" s="30"/>
      <c r="T116" s="320"/>
      <c r="U116" s="320"/>
      <c r="V116" s="321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9"/>
      <c r="R117" s="30"/>
      <c r="S117" s="30"/>
      <c r="T117" s="320"/>
      <c r="U117" s="320"/>
      <c r="V117" s="321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9"/>
      <c r="R118" s="30"/>
      <c r="S118" s="30"/>
      <c r="T118" s="320"/>
      <c r="U118" s="320"/>
      <c r="V118" s="321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9"/>
      <c r="R119" s="30"/>
      <c r="S119" s="30"/>
      <c r="T119" s="320"/>
      <c r="U119" s="320"/>
      <c r="V119" s="321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9"/>
      <c r="R120" s="30"/>
      <c r="S120" s="30"/>
      <c r="T120" s="320"/>
      <c r="U120" s="320"/>
      <c r="V120" s="321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9"/>
      <c r="R121" s="30"/>
      <c r="S121" s="30"/>
      <c r="T121" s="320"/>
      <c r="U121" s="320"/>
      <c r="V121" s="321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9"/>
      <c r="R122" s="30"/>
      <c r="S122" s="30"/>
      <c r="T122" s="320"/>
      <c r="U122" s="320"/>
      <c r="V122" s="321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9"/>
      <c r="R123" s="30"/>
      <c r="S123" s="30"/>
      <c r="T123" s="320"/>
      <c r="U123" s="320"/>
      <c r="V123" s="321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9"/>
      <c r="R124" s="30"/>
      <c r="S124" s="30"/>
      <c r="T124" s="320"/>
      <c r="U124" s="320"/>
      <c r="V124" s="321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9"/>
      <c r="R125" s="30"/>
      <c r="S125" s="30"/>
      <c r="T125" s="320"/>
      <c r="U125" s="320"/>
      <c r="V125" s="321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9"/>
      <c r="R126" s="30"/>
      <c r="S126" s="30"/>
      <c r="T126" s="320"/>
      <c r="U126" s="320"/>
      <c r="V126" s="321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9"/>
      <c r="R127" s="30"/>
      <c r="S127" s="30"/>
      <c r="T127" s="320"/>
      <c r="U127" s="320"/>
      <c r="V127" s="321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9"/>
      <c r="R128" s="30"/>
      <c r="S128" s="30"/>
      <c r="T128" s="320"/>
      <c r="U128" s="320"/>
      <c r="V128" s="321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9"/>
      <c r="R129" s="30"/>
      <c r="S129" s="30"/>
      <c r="T129" s="320"/>
      <c r="U129" s="320"/>
      <c r="V129" s="321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9"/>
      <c r="R130" s="30"/>
      <c r="S130" s="30"/>
      <c r="T130" s="320"/>
      <c r="U130" s="320"/>
      <c r="V130" s="321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9"/>
      <c r="R131" s="30"/>
      <c r="S131" s="30"/>
      <c r="T131" s="320"/>
      <c r="U131" s="320"/>
      <c r="V131" s="321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9"/>
      <c r="R132" s="30"/>
      <c r="S132" s="30"/>
      <c r="T132" s="320"/>
      <c r="U132" s="320"/>
      <c r="V132" s="321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9"/>
      <c r="R133" s="30"/>
      <c r="S133" s="30"/>
      <c r="T133" s="320"/>
      <c r="U133" s="320"/>
      <c r="V133" s="321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9"/>
      <c r="R134" s="30"/>
      <c r="S134" s="30"/>
      <c r="T134" s="320"/>
      <c r="U134" s="320"/>
      <c r="V134" s="321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9"/>
      <c r="R135" s="30"/>
      <c r="S135" s="30"/>
      <c r="T135" s="320"/>
      <c r="U135" s="320"/>
      <c r="V135" s="321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9"/>
      <c r="R136" s="30"/>
      <c r="S136" s="30"/>
      <c r="T136" s="320"/>
      <c r="U136" s="320"/>
      <c r="V136" s="321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9"/>
      <c r="R137" s="30"/>
      <c r="S137" s="30"/>
      <c r="T137" s="320"/>
      <c r="U137" s="320"/>
      <c r="V137" s="321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9"/>
      <c r="R138" s="30"/>
      <c r="S138" s="30"/>
      <c r="T138" s="320"/>
      <c r="U138" s="320"/>
      <c r="V138" s="321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9"/>
      <c r="R139" s="30"/>
      <c r="S139" s="30"/>
      <c r="T139" s="320"/>
      <c r="U139" s="320"/>
      <c r="V139" s="321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9"/>
      <c r="R140" s="30"/>
      <c r="S140" s="30"/>
      <c r="T140" s="320"/>
      <c r="U140" s="320"/>
      <c r="V140" s="321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9"/>
      <c r="R141" s="30"/>
      <c r="S141" s="30"/>
      <c r="T141" s="320"/>
      <c r="U141" s="320"/>
      <c r="V141" s="321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9"/>
      <c r="R142" s="30"/>
      <c r="S142" s="30"/>
      <c r="T142" s="320"/>
      <c r="U142" s="320"/>
      <c r="V142" s="321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9"/>
      <c r="R143" s="30"/>
      <c r="S143" s="30"/>
      <c r="T143" s="320"/>
      <c r="U143" s="320"/>
      <c r="V143" s="321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D17:E17"/>
    <mergeCell ref="F18:I18"/>
    <mergeCell ref="T25:U25"/>
    <mergeCell ref="T21:V21"/>
    <mergeCell ref="O19:Q19"/>
    <mergeCell ref="O21:O26"/>
    <mergeCell ref="I34:I39"/>
    <mergeCell ref="I29:I31"/>
    <mergeCell ref="I19:K19"/>
    <mergeCell ref="I40:I41"/>
    <mergeCell ref="I42:I44"/>
    <mergeCell ref="O27:O28"/>
    <mergeCell ref="O29:O31"/>
    <mergeCell ref="O34:O39"/>
    <mergeCell ref="O40:O41"/>
    <mergeCell ref="O42:O44"/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RowHeight="15" x14ac:dyDescent="0.25"/>
  <cols>
    <col min="1" max="1" width="5.7109375" customWidth="1"/>
    <col min="2" max="2" width="19.140625" style="43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4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40"/>
      <c r="B5" s="41" t="s">
        <v>187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7" spans="1:15" ht="30" customHeight="1" x14ac:dyDescent="0.25">
      <c r="B7" s="75" t="s">
        <v>184</v>
      </c>
      <c r="C7" s="76" t="str">
        <f>Geral!C7</f>
        <v>Exemplo Ltda</v>
      </c>
    </row>
    <row r="8" spans="1:15" ht="30" customHeight="1" x14ac:dyDescent="0.25">
      <c r="B8" s="75" t="s">
        <v>135</v>
      </c>
      <c r="C8" s="76" t="str">
        <f>Geral!C10</f>
        <v>Projeto</v>
      </c>
    </row>
    <row r="10" spans="1:15" x14ac:dyDescent="0.25">
      <c r="B10" s="446" t="s">
        <v>188</v>
      </c>
      <c r="C10" s="447" t="s">
        <v>124</v>
      </c>
      <c r="D10" s="447"/>
      <c r="E10" s="447"/>
      <c r="F10" s="447"/>
      <c r="G10" s="447"/>
      <c r="H10" s="447"/>
      <c r="I10" s="447"/>
      <c r="J10" s="447"/>
      <c r="K10" s="447"/>
      <c r="L10" s="447"/>
      <c r="M10" s="447" t="s">
        <v>130</v>
      </c>
      <c r="N10" s="447"/>
    </row>
    <row r="11" spans="1:15" x14ac:dyDescent="0.25">
      <c r="B11" s="446"/>
      <c r="C11" s="450" t="s">
        <v>129</v>
      </c>
      <c r="D11" s="450"/>
      <c r="E11" s="450" t="s">
        <v>125</v>
      </c>
      <c r="F11" s="450"/>
      <c r="G11" s="450" t="s">
        <v>127</v>
      </c>
      <c r="H11" s="450"/>
      <c r="I11" s="450" t="s">
        <v>126</v>
      </c>
      <c r="J11" s="450"/>
      <c r="K11" s="450" t="s">
        <v>128</v>
      </c>
      <c r="L11" s="450"/>
      <c r="M11" s="448" t="s">
        <v>76</v>
      </c>
      <c r="N11" s="449" t="s">
        <v>131</v>
      </c>
    </row>
    <row r="12" spans="1:15" x14ac:dyDescent="0.25">
      <c r="B12" s="446"/>
      <c r="C12" s="184" t="s">
        <v>106</v>
      </c>
      <c r="D12" s="184" t="s">
        <v>141</v>
      </c>
      <c r="E12" s="184" t="s">
        <v>106</v>
      </c>
      <c r="F12" s="184" t="s">
        <v>141</v>
      </c>
      <c r="G12" s="184" t="s">
        <v>106</v>
      </c>
      <c r="H12" s="184" t="s">
        <v>141</v>
      </c>
      <c r="I12" s="184" t="s">
        <v>106</v>
      </c>
      <c r="J12" s="184" t="s">
        <v>141</v>
      </c>
      <c r="K12" s="184" t="s">
        <v>106</v>
      </c>
      <c r="L12" s="184" t="s">
        <v>141</v>
      </c>
      <c r="M12" s="448"/>
      <c r="N12" s="449"/>
    </row>
    <row r="13" spans="1:15" s="32" customFormat="1" x14ac:dyDescent="0.25">
      <c r="A13" s="1"/>
      <c r="B13" s="185">
        <v>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86"/>
      <c r="O13" s="1"/>
    </row>
    <row r="14" spans="1:15" x14ac:dyDescent="0.25">
      <c r="B14" s="185">
        <v>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86"/>
    </row>
    <row r="15" spans="1:15" x14ac:dyDescent="0.25">
      <c r="B15" s="185">
        <v>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86"/>
    </row>
    <row r="16" spans="1:15" x14ac:dyDescent="0.25">
      <c r="B16" s="185">
        <v>4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86"/>
    </row>
    <row r="17" spans="2:14" x14ac:dyDescent="0.25">
      <c r="B17" s="185">
        <v>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86"/>
    </row>
    <row r="18" spans="2:14" x14ac:dyDescent="0.25">
      <c r="B18" s="185">
        <v>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86"/>
    </row>
    <row r="19" spans="2:14" x14ac:dyDescent="0.25">
      <c r="B19" s="185">
        <v>7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86"/>
    </row>
    <row r="20" spans="2:14" x14ac:dyDescent="0.25">
      <c r="B20" s="185">
        <v>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86"/>
    </row>
    <row r="21" spans="2:14" x14ac:dyDescent="0.25">
      <c r="B21" s="185">
        <v>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86"/>
    </row>
    <row r="22" spans="2:14" x14ac:dyDescent="0.25">
      <c r="B22" s="185">
        <v>10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86"/>
    </row>
    <row r="23" spans="2:14" x14ac:dyDescent="0.25">
      <c r="B23" s="185">
        <v>11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86"/>
    </row>
    <row r="24" spans="2:14" x14ac:dyDescent="0.25">
      <c r="B24" s="185">
        <v>12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86"/>
    </row>
    <row r="25" spans="2:14" x14ac:dyDescent="0.25">
      <c r="B25" s="185">
        <v>13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86"/>
    </row>
    <row r="26" spans="2:14" x14ac:dyDescent="0.25">
      <c r="B26" s="185">
        <v>14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86"/>
    </row>
    <row r="27" spans="2:14" x14ac:dyDescent="0.25">
      <c r="B27" s="185">
        <v>15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86"/>
    </row>
    <row r="28" spans="2:14" x14ac:dyDescent="0.25">
      <c r="B28" s="185">
        <v>16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86"/>
    </row>
    <row r="29" spans="2:14" x14ac:dyDescent="0.25">
      <c r="B29" s="185">
        <v>17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86"/>
    </row>
    <row r="30" spans="2:14" x14ac:dyDescent="0.25">
      <c r="B30" s="185">
        <v>18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86"/>
    </row>
    <row r="31" spans="2:14" x14ac:dyDescent="0.25">
      <c r="B31" s="185">
        <v>19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86"/>
    </row>
    <row r="32" spans="2:14" x14ac:dyDescent="0.25">
      <c r="B32" s="185">
        <v>20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86"/>
    </row>
    <row r="33" spans="2:14" x14ac:dyDescent="0.25">
      <c r="B33" s="185">
        <v>21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86"/>
    </row>
    <row r="34" spans="2:14" x14ac:dyDescent="0.25">
      <c r="B34" s="185">
        <v>22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86"/>
    </row>
    <row r="35" spans="2:14" x14ac:dyDescent="0.25">
      <c r="B35" s="185">
        <v>23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86"/>
    </row>
    <row r="36" spans="2:14" x14ac:dyDescent="0.25">
      <c r="B36" s="185">
        <v>24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86"/>
    </row>
    <row r="37" spans="2:14" x14ac:dyDescent="0.25">
      <c r="B37" s="185">
        <v>25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86"/>
    </row>
    <row r="38" spans="2:14" x14ac:dyDescent="0.25">
      <c r="B38" s="185">
        <v>26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86"/>
    </row>
    <row r="39" spans="2:14" x14ac:dyDescent="0.25">
      <c r="B39" s="185">
        <v>27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86"/>
    </row>
    <row r="40" spans="2:14" x14ac:dyDescent="0.25">
      <c r="B40" s="185">
        <v>28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86"/>
    </row>
    <row r="41" spans="2:14" x14ac:dyDescent="0.25">
      <c r="B41" s="185">
        <v>29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86"/>
    </row>
    <row r="42" spans="2:14" x14ac:dyDescent="0.25">
      <c r="B42" s="185">
        <v>30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86"/>
    </row>
    <row r="43" spans="2:14" x14ac:dyDescent="0.25">
      <c r="B43" s="185">
        <v>31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86"/>
    </row>
    <row r="44" spans="2:14" x14ac:dyDescent="0.25">
      <c r="B44" s="185">
        <v>32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86"/>
    </row>
    <row r="45" spans="2:14" x14ac:dyDescent="0.25">
      <c r="B45" s="185">
        <v>33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86"/>
    </row>
    <row r="46" spans="2:14" x14ac:dyDescent="0.25">
      <c r="B46" s="185">
        <v>34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86"/>
    </row>
    <row r="47" spans="2:14" x14ac:dyDescent="0.25">
      <c r="B47" s="185">
        <v>35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86"/>
    </row>
    <row r="48" spans="2:14" x14ac:dyDescent="0.25">
      <c r="B48" s="185">
        <v>36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86"/>
    </row>
    <row r="49" spans="2:14" x14ac:dyDescent="0.25">
      <c r="B49" s="185">
        <v>37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86"/>
    </row>
    <row r="50" spans="2:14" x14ac:dyDescent="0.25">
      <c r="B50" s="185">
        <v>38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86"/>
    </row>
    <row r="51" spans="2:14" x14ac:dyDescent="0.25">
      <c r="B51" s="185">
        <v>39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86"/>
    </row>
    <row r="52" spans="2:14" x14ac:dyDescent="0.25">
      <c r="B52" s="185">
        <v>40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86"/>
    </row>
    <row r="53" spans="2:14" x14ac:dyDescent="0.25">
      <c r="B53" s="185">
        <v>41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86"/>
    </row>
    <row r="54" spans="2:14" x14ac:dyDescent="0.25">
      <c r="B54" s="185">
        <v>42</v>
      </c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86"/>
    </row>
    <row r="55" spans="2:14" x14ac:dyDescent="0.25">
      <c r="B55" s="185">
        <v>43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86"/>
    </row>
    <row r="56" spans="2:14" x14ac:dyDescent="0.25">
      <c r="B56" s="185">
        <v>44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86"/>
    </row>
    <row r="57" spans="2:14" x14ac:dyDescent="0.25">
      <c r="B57" s="185">
        <v>45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86"/>
    </row>
    <row r="58" spans="2:14" x14ac:dyDescent="0.25">
      <c r="B58" s="185">
        <v>46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86"/>
    </row>
    <row r="59" spans="2:14" x14ac:dyDescent="0.25">
      <c r="B59" s="185">
        <v>47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86"/>
    </row>
    <row r="60" spans="2:14" x14ac:dyDescent="0.25">
      <c r="B60" s="185">
        <v>48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86"/>
    </row>
    <row r="61" spans="2:14" x14ac:dyDescent="0.25">
      <c r="B61" s="185">
        <v>49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86"/>
    </row>
    <row r="62" spans="2:14" x14ac:dyDescent="0.25">
      <c r="B62" s="185">
        <v>50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86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RowHeight="15" x14ac:dyDescent="0.25"/>
  <cols>
    <col min="1" max="1" width="5.7109375" style="168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81"/>
      <c r="B3" s="27"/>
      <c r="C3" s="27"/>
      <c r="D3" s="27"/>
      <c r="E3" s="27"/>
      <c r="F3" s="27"/>
      <c r="G3" s="27"/>
      <c r="H3" s="27"/>
    </row>
    <row r="5" spans="1:8" s="42" customFormat="1" ht="18.75" x14ac:dyDescent="0.3">
      <c r="A5" s="182"/>
      <c r="B5" s="41" t="s">
        <v>186</v>
      </c>
      <c r="C5" s="40"/>
      <c r="D5" s="40"/>
      <c r="E5" s="40"/>
      <c r="F5" s="40"/>
      <c r="G5" s="40"/>
      <c r="H5" s="40"/>
    </row>
    <row r="7" spans="1:8" ht="30" customHeight="1" x14ac:dyDescent="0.25">
      <c r="B7" s="75" t="s">
        <v>184</v>
      </c>
      <c r="C7" s="76" t="str">
        <f>Geral!C7</f>
        <v>Exemplo Ltda</v>
      </c>
    </row>
    <row r="8" spans="1:8" ht="30" customHeight="1" x14ac:dyDescent="0.25">
      <c r="B8" s="75" t="s">
        <v>135</v>
      </c>
      <c r="C8" s="76" t="str">
        <f>Geral!C10</f>
        <v>Projeto</v>
      </c>
    </row>
    <row r="9" spans="1:8" ht="30" customHeight="1" x14ac:dyDescent="0.25">
      <c r="B9" s="75" t="s">
        <v>5814</v>
      </c>
      <c r="C9" s="227" t="s">
        <v>5858</v>
      </c>
    </row>
    <row r="10" spans="1:8" ht="30" customHeight="1" x14ac:dyDescent="0.25">
      <c r="B10" s="75" t="s">
        <v>5852</v>
      </c>
      <c r="C10" s="76">
        <f>SUM(G13:G17)</f>
        <v>2000</v>
      </c>
    </row>
    <row r="12" spans="1:8" s="35" customFormat="1" ht="45" x14ac:dyDescent="0.25">
      <c r="A12" s="183"/>
      <c r="B12" s="158" t="s">
        <v>76</v>
      </c>
      <c r="C12" s="158" t="s">
        <v>132</v>
      </c>
      <c r="D12" s="158" t="s">
        <v>107</v>
      </c>
      <c r="E12" s="158" t="s">
        <v>77</v>
      </c>
      <c r="F12" s="158" t="s">
        <v>133</v>
      </c>
      <c r="G12" s="158" t="s">
        <v>134</v>
      </c>
      <c r="H12" s="18"/>
    </row>
    <row r="13" spans="1:8" x14ac:dyDescent="0.25">
      <c r="A13" s="168">
        <v>1</v>
      </c>
      <c r="B13" s="156" t="s">
        <v>5855</v>
      </c>
      <c r="C13" s="156" t="s">
        <v>5856</v>
      </c>
      <c r="D13" s="156">
        <v>1</v>
      </c>
      <c r="E13" s="180">
        <v>0.95</v>
      </c>
      <c r="F13" s="156" t="s">
        <v>5857</v>
      </c>
      <c r="G13" s="156">
        <v>2000</v>
      </c>
    </row>
    <row r="14" spans="1:8" x14ac:dyDescent="0.25">
      <c r="A14" s="168">
        <v>2</v>
      </c>
      <c r="B14" s="155"/>
      <c r="C14" s="155"/>
      <c r="D14" s="155"/>
      <c r="E14" s="155"/>
      <c r="F14" s="155"/>
      <c r="G14" s="155"/>
    </row>
    <row r="15" spans="1:8" x14ac:dyDescent="0.25">
      <c r="A15" s="168">
        <v>3</v>
      </c>
      <c r="B15" s="155"/>
      <c r="C15" s="155"/>
      <c r="D15" s="155"/>
      <c r="E15" s="155"/>
      <c r="F15" s="155"/>
      <c r="G15" s="155"/>
    </row>
    <row r="16" spans="1:8" x14ac:dyDescent="0.25">
      <c r="A16" s="168">
        <v>4</v>
      </c>
      <c r="B16" s="155"/>
      <c r="C16" s="155"/>
      <c r="D16" s="155"/>
      <c r="E16" s="155"/>
      <c r="F16" s="155"/>
      <c r="G16" s="155"/>
    </row>
    <row r="17" spans="1:7" x14ac:dyDescent="0.25">
      <c r="A17" s="168">
        <v>5</v>
      </c>
      <c r="B17" s="155"/>
      <c r="C17" s="155"/>
      <c r="D17" s="155"/>
      <c r="E17" s="155"/>
      <c r="F17" s="155"/>
      <c r="G17" s="155"/>
    </row>
    <row r="18" spans="1:7" x14ac:dyDescent="0.25">
      <c r="A18" s="168">
        <v>6</v>
      </c>
      <c r="B18" s="155"/>
      <c r="C18" s="155"/>
      <c r="D18" s="155"/>
      <c r="E18" s="155"/>
      <c r="F18" s="155"/>
      <c r="G18" s="155"/>
    </row>
    <row r="19" spans="1:7" x14ac:dyDescent="0.25">
      <c r="A19" s="168">
        <v>7</v>
      </c>
      <c r="B19" s="155"/>
      <c r="C19" s="155"/>
      <c r="D19" s="155"/>
      <c r="E19" s="155"/>
      <c r="F19" s="155"/>
      <c r="G19" s="155"/>
    </row>
    <row r="20" spans="1:7" x14ac:dyDescent="0.25">
      <c r="A20" s="168">
        <v>8</v>
      </c>
      <c r="B20" s="155"/>
      <c r="C20" s="155"/>
      <c r="D20" s="155"/>
      <c r="E20" s="155"/>
      <c r="F20" s="155"/>
      <c r="G20" s="155"/>
    </row>
    <row r="21" spans="1:7" x14ac:dyDescent="0.25">
      <c r="A21" s="168">
        <v>9</v>
      </c>
      <c r="B21" s="155"/>
      <c r="C21" s="155"/>
      <c r="D21" s="155"/>
      <c r="E21" s="155"/>
      <c r="F21" s="155"/>
      <c r="G21" s="155"/>
    </row>
    <row r="22" spans="1:7" x14ac:dyDescent="0.25">
      <c r="A22" s="168">
        <v>10</v>
      </c>
      <c r="B22" s="155"/>
      <c r="C22" s="155"/>
      <c r="D22" s="155"/>
      <c r="E22" s="155"/>
      <c r="F22" s="155"/>
      <c r="G22" s="155"/>
    </row>
    <row r="23" spans="1:7" x14ac:dyDescent="0.25">
      <c r="A23" s="168">
        <v>11</v>
      </c>
      <c r="B23" s="155"/>
      <c r="C23" s="155"/>
      <c r="D23" s="155"/>
      <c r="E23" s="155"/>
      <c r="F23" s="155"/>
      <c r="G23" s="155"/>
    </row>
    <row r="24" spans="1:7" x14ac:dyDescent="0.25">
      <c r="A24" s="168">
        <v>12</v>
      </c>
      <c r="B24" s="155"/>
      <c r="C24" s="155"/>
      <c r="D24" s="155"/>
      <c r="E24" s="155"/>
      <c r="F24" s="155"/>
      <c r="G24" s="155"/>
    </row>
    <row r="25" spans="1:7" x14ac:dyDescent="0.25">
      <c r="A25" s="168">
        <v>13</v>
      </c>
      <c r="B25" s="155"/>
      <c r="C25" s="155"/>
      <c r="D25" s="155"/>
      <c r="E25" s="155"/>
      <c r="F25" s="155"/>
      <c r="G25" s="155"/>
    </row>
    <row r="26" spans="1:7" x14ac:dyDescent="0.25">
      <c r="A26" s="168">
        <v>14</v>
      </c>
      <c r="B26" s="155"/>
      <c r="C26" s="155"/>
      <c r="D26" s="155"/>
      <c r="E26" s="155"/>
      <c r="F26" s="155"/>
      <c r="G26" s="155"/>
    </row>
    <row r="27" spans="1:7" x14ac:dyDescent="0.25">
      <c r="A27" s="168">
        <v>15</v>
      </c>
      <c r="B27" s="155"/>
      <c r="C27" s="155"/>
      <c r="D27" s="155"/>
      <c r="E27" s="155"/>
      <c r="F27" s="155"/>
      <c r="G27" s="155"/>
    </row>
    <row r="28" spans="1:7" x14ac:dyDescent="0.25">
      <c r="A28" s="168">
        <v>16</v>
      </c>
      <c r="B28" s="155"/>
      <c r="C28" s="155"/>
      <c r="D28" s="155"/>
      <c r="E28" s="155"/>
      <c r="F28" s="155"/>
      <c r="G28" s="155"/>
    </row>
    <row r="29" spans="1:7" x14ac:dyDescent="0.25">
      <c r="A29" s="168">
        <v>17</v>
      </c>
      <c r="B29" s="155"/>
      <c r="C29" s="155"/>
      <c r="D29" s="155"/>
      <c r="E29" s="155"/>
      <c r="F29" s="155"/>
      <c r="G29" s="155"/>
    </row>
    <row r="30" spans="1:7" x14ac:dyDescent="0.25">
      <c r="A30" s="168">
        <v>18</v>
      </c>
      <c r="B30" s="155"/>
      <c r="C30" s="155"/>
      <c r="D30" s="155"/>
      <c r="E30" s="155"/>
      <c r="F30" s="155"/>
      <c r="G30" s="155"/>
    </row>
    <row r="31" spans="1:7" x14ac:dyDescent="0.25">
      <c r="A31" s="168">
        <v>19</v>
      </c>
      <c r="B31" s="155"/>
      <c r="C31" s="155"/>
      <c r="D31" s="155"/>
      <c r="E31" s="155"/>
      <c r="F31" s="155"/>
      <c r="G31" s="155"/>
    </row>
    <row r="32" spans="1:7" x14ac:dyDescent="0.25">
      <c r="A32" s="168">
        <v>20</v>
      </c>
      <c r="B32" s="155"/>
      <c r="C32" s="155"/>
      <c r="D32" s="155"/>
      <c r="E32" s="155"/>
      <c r="F32" s="155"/>
      <c r="G32" s="155"/>
    </row>
    <row r="33" spans="1:7" x14ac:dyDescent="0.25">
      <c r="A33" s="168">
        <v>21</v>
      </c>
      <c r="B33" s="155"/>
      <c r="C33" s="155"/>
      <c r="D33" s="155"/>
      <c r="E33" s="155"/>
      <c r="F33" s="155"/>
      <c r="G33" s="155"/>
    </row>
    <row r="34" spans="1:7" x14ac:dyDescent="0.25">
      <c r="A34" s="168">
        <v>22</v>
      </c>
      <c r="B34" s="155"/>
      <c r="C34" s="155"/>
      <c r="D34" s="155"/>
      <c r="E34" s="155"/>
      <c r="F34" s="155"/>
      <c r="G34" s="155"/>
    </row>
    <row r="35" spans="1:7" x14ac:dyDescent="0.25">
      <c r="A35" s="168">
        <v>23</v>
      </c>
      <c r="B35" s="155"/>
      <c r="C35" s="155"/>
      <c r="D35" s="155"/>
      <c r="E35" s="155"/>
      <c r="F35" s="155"/>
      <c r="G35" s="155"/>
    </row>
    <row r="36" spans="1:7" x14ac:dyDescent="0.25">
      <c r="A36" s="168">
        <v>24</v>
      </c>
      <c r="B36" s="155"/>
      <c r="C36" s="155"/>
      <c r="D36" s="155"/>
      <c r="E36" s="155"/>
      <c r="F36" s="155"/>
      <c r="G36" s="155"/>
    </row>
    <row r="37" spans="1:7" x14ac:dyDescent="0.25">
      <c r="A37" s="168">
        <v>25</v>
      </c>
      <c r="B37" s="155"/>
      <c r="C37" s="155"/>
      <c r="D37" s="155"/>
      <c r="E37" s="155"/>
      <c r="F37" s="155"/>
      <c r="G37" s="155"/>
    </row>
    <row r="38" spans="1:7" x14ac:dyDescent="0.25">
      <c r="A38" s="168">
        <v>26</v>
      </c>
      <c r="B38" s="155"/>
      <c r="C38" s="155"/>
      <c r="D38" s="155"/>
      <c r="E38" s="155"/>
      <c r="F38" s="155"/>
      <c r="G38" s="155"/>
    </row>
    <row r="39" spans="1:7" x14ac:dyDescent="0.25">
      <c r="A39" s="168">
        <v>27</v>
      </c>
      <c r="B39" s="155"/>
      <c r="C39" s="155"/>
      <c r="D39" s="155"/>
      <c r="E39" s="155"/>
      <c r="F39" s="155"/>
      <c r="G39" s="155"/>
    </row>
    <row r="40" spans="1:7" x14ac:dyDescent="0.25">
      <c r="A40" s="168">
        <v>28</v>
      </c>
      <c r="B40" s="155"/>
      <c r="C40" s="155"/>
      <c r="D40" s="155"/>
      <c r="E40" s="155"/>
      <c r="F40" s="155"/>
      <c r="G40" s="155"/>
    </row>
    <row r="41" spans="1:7" x14ac:dyDescent="0.25">
      <c r="A41" s="168">
        <v>29</v>
      </c>
      <c r="B41" s="155"/>
      <c r="C41" s="155"/>
      <c r="D41" s="155"/>
      <c r="E41" s="155"/>
      <c r="F41" s="155"/>
      <c r="G41" s="155"/>
    </row>
    <row r="42" spans="1:7" x14ac:dyDescent="0.25">
      <c r="A42" s="168">
        <v>30</v>
      </c>
      <c r="B42" s="155"/>
      <c r="C42" s="155"/>
      <c r="D42" s="155"/>
      <c r="E42" s="155"/>
      <c r="F42" s="155"/>
      <c r="G42" s="155"/>
    </row>
    <row r="43" spans="1:7" x14ac:dyDescent="0.25">
      <c r="A43" s="168">
        <v>31</v>
      </c>
      <c r="B43" s="155"/>
      <c r="C43" s="155"/>
      <c r="D43" s="155"/>
      <c r="E43" s="155"/>
      <c r="F43" s="155"/>
      <c r="G43" s="155"/>
    </row>
    <row r="44" spans="1:7" x14ac:dyDescent="0.25">
      <c r="A44" s="168">
        <v>32</v>
      </c>
      <c r="B44" s="155"/>
      <c r="C44" s="155"/>
      <c r="D44" s="155"/>
      <c r="E44" s="155"/>
      <c r="F44" s="155"/>
      <c r="G44" s="155"/>
    </row>
    <row r="45" spans="1:7" x14ac:dyDescent="0.25">
      <c r="A45" s="168">
        <v>33</v>
      </c>
      <c r="B45" s="155"/>
      <c r="C45" s="155"/>
      <c r="D45" s="155"/>
      <c r="E45" s="155"/>
      <c r="F45" s="155"/>
      <c r="G45" s="155"/>
    </row>
    <row r="46" spans="1:7" x14ac:dyDescent="0.25">
      <c r="A46" s="168">
        <v>34</v>
      </c>
      <c r="B46" s="155"/>
      <c r="C46" s="155"/>
      <c r="D46" s="155"/>
      <c r="E46" s="155"/>
      <c r="F46" s="155"/>
      <c r="G46" s="155"/>
    </row>
    <row r="47" spans="1:7" x14ac:dyDescent="0.25">
      <c r="A47" s="168">
        <v>35</v>
      </c>
      <c r="B47" s="155"/>
      <c r="C47" s="155"/>
      <c r="D47" s="155"/>
      <c r="E47" s="155"/>
      <c r="F47" s="155"/>
      <c r="G47" s="155"/>
    </row>
    <row r="48" spans="1:7" x14ac:dyDescent="0.25">
      <c r="A48" s="168">
        <v>36</v>
      </c>
      <c r="B48" s="155"/>
      <c r="C48" s="155"/>
      <c r="D48" s="155"/>
      <c r="E48" s="155"/>
      <c r="F48" s="155"/>
      <c r="G48" s="155"/>
    </row>
    <row r="49" spans="1:7" x14ac:dyDescent="0.25">
      <c r="A49" s="168">
        <v>37</v>
      </c>
      <c r="B49" s="155"/>
      <c r="C49" s="155"/>
      <c r="D49" s="155"/>
      <c r="E49" s="155"/>
      <c r="F49" s="155"/>
      <c r="G49" s="155"/>
    </row>
    <row r="50" spans="1:7" x14ac:dyDescent="0.25">
      <c r="A50" s="168">
        <v>38</v>
      </c>
      <c r="B50" s="155"/>
      <c r="C50" s="155"/>
      <c r="D50" s="155"/>
      <c r="E50" s="155"/>
      <c r="F50" s="155"/>
      <c r="G50" s="155"/>
    </row>
    <row r="51" spans="1:7" x14ac:dyDescent="0.25">
      <c r="A51" s="168">
        <v>39</v>
      </c>
      <c r="B51" s="155"/>
      <c r="C51" s="155"/>
      <c r="D51" s="155"/>
      <c r="E51" s="155"/>
      <c r="F51" s="155"/>
      <c r="G51" s="155"/>
    </row>
    <row r="52" spans="1:7" x14ac:dyDescent="0.25">
      <c r="A52" s="168">
        <v>40</v>
      </c>
      <c r="B52" s="155"/>
      <c r="C52" s="155"/>
      <c r="D52" s="155"/>
      <c r="E52" s="155"/>
      <c r="F52" s="155"/>
      <c r="G52" s="155"/>
    </row>
    <row r="53" spans="1:7" x14ac:dyDescent="0.25">
      <c r="A53" s="168">
        <v>41</v>
      </c>
      <c r="B53" s="155"/>
      <c r="C53" s="155"/>
      <c r="D53" s="155"/>
      <c r="E53" s="155"/>
      <c r="F53" s="155"/>
      <c r="G53" s="155"/>
    </row>
    <row r="54" spans="1:7" x14ac:dyDescent="0.25">
      <c r="A54" s="168">
        <v>42</v>
      </c>
      <c r="B54" s="155"/>
      <c r="C54" s="155"/>
      <c r="D54" s="155"/>
      <c r="E54" s="155"/>
      <c r="F54" s="155"/>
      <c r="G54" s="155"/>
    </row>
    <row r="55" spans="1:7" x14ac:dyDescent="0.25">
      <c r="A55" s="168">
        <v>43</v>
      </c>
      <c r="B55" s="155"/>
      <c r="C55" s="155"/>
      <c r="D55" s="155"/>
      <c r="E55" s="155"/>
      <c r="F55" s="155"/>
      <c r="G55" s="155"/>
    </row>
    <row r="56" spans="1:7" x14ac:dyDescent="0.25">
      <c r="A56" s="168">
        <v>44</v>
      </c>
      <c r="B56" s="155"/>
      <c r="C56" s="155"/>
      <c r="D56" s="155"/>
      <c r="E56" s="155"/>
      <c r="F56" s="155"/>
      <c r="G56" s="155"/>
    </row>
    <row r="57" spans="1:7" x14ac:dyDescent="0.25">
      <c r="A57" s="168">
        <v>45</v>
      </c>
      <c r="B57" s="155"/>
      <c r="C57" s="155"/>
      <c r="D57" s="155"/>
      <c r="E57" s="155"/>
      <c r="F57" s="155"/>
      <c r="G57" s="155"/>
    </row>
    <row r="58" spans="1:7" x14ac:dyDescent="0.25">
      <c r="A58" s="168">
        <v>46</v>
      </c>
      <c r="B58" s="155"/>
      <c r="C58" s="155"/>
      <c r="D58" s="155"/>
      <c r="E58" s="155"/>
      <c r="F58" s="155"/>
      <c r="G58" s="155"/>
    </row>
    <row r="59" spans="1:7" x14ac:dyDescent="0.25">
      <c r="A59" s="168">
        <v>47</v>
      </c>
      <c r="B59" s="155"/>
      <c r="C59" s="155"/>
      <c r="D59" s="155"/>
      <c r="E59" s="155"/>
      <c r="F59" s="155"/>
      <c r="G59" s="155"/>
    </row>
    <row r="60" spans="1:7" x14ac:dyDescent="0.25">
      <c r="A60" s="168">
        <v>48</v>
      </c>
      <c r="B60" s="155"/>
      <c r="C60" s="155"/>
      <c r="D60" s="155"/>
      <c r="E60" s="155"/>
      <c r="F60" s="155"/>
      <c r="G60" s="155"/>
    </row>
    <row r="61" spans="1:7" x14ac:dyDescent="0.25">
      <c r="A61" s="168">
        <v>49</v>
      </c>
      <c r="B61" s="155"/>
      <c r="C61" s="155"/>
      <c r="D61" s="155"/>
      <c r="E61" s="155"/>
      <c r="F61" s="155"/>
      <c r="G61" s="155"/>
    </row>
    <row r="62" spans="1:7" x14ac:dyDescent="0.25">
      <c r="A62" s="168">
        <v>50</v>
      </c>
      <c r="B62" s="155"/>
      <c r="C62" s="155"/>
      <c r="D62" s="155"/>
      <c r="E62" s="155"/>
      <c r="F62" s="155"/>
      <c r="G62" s="155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3" sqref="G3"/>
    </sheetView>
  </sheetViews>
  <sheetFormatPr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43"/>
    </row>
    <row r="2" spans="1:31" ht="20.100000000000001" customHeight="1" x14ac:dyDescent="0.25">
      <c r="B2" s="443"/>
      <c r="G2" s="48" t="s">
        <v>223</v>
      </c>
      <c r="H2" s="151" t="s">
        <v>222</v>
      </c>
      <c r="I2" s="152" t="s">
        <v>221</v>
      </c>
      <c r="J2" s="153" t="s">
        <v>220</v>
      </c>
      <c r="K2" s="154" t="s">
        <v>5518</v>
      </c>
    </row>
    <row r="3" spans="1:31" s="29" customFormat="1" ht="20.100000000000001" customHeight="1" x14ac:dyDescent="0.25">
      <c r="A3" s="27"/>
      <c r="B3" s="453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2" customFormat="1" ht="18.75" x14ac:dyDescent="0.3">
      <c r="A5" s="40"/>
      <c r="B5" s="41" t="s">
        <v>185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7" spans="1:31" ht="30" customHeight="1" x14ac:dyDescent="0.25">
      <c r="B7" s="75" t="s">
        <v>184</v>
      </c>
      <c r="C7" s="76" t="str">
        <f>Geral!C7</f>
        <v>Exemplo Ltda</v>
      </c>
      <c r="D7" s="13"/>
    </row>
    <row r="8" spans="1:31" ht="30" customHeight="1" x14ac:dyDescent="0.25">
      <c r="B8" s="75" t="s">
        <v>135</v>
      </c>
      <c r="C8" s="76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162</v>
      </c>
      <c r="C9" s="20"/>
      <c r="D9" s="20"/>
      <c r="E9" s="21"/>
      <c r="F9" s="21"/>
      <c r="G9" s="21"/>
      <c r="H9" s="21"/>
      <c r="I9" s="21"/>
      <c r="J9" s="21"/>
      <c r="K9" s="21"/>
      <c r="L9" s="459" t="s">
        <v>136</v>
      </c>
      <c r="M9" s="459"/>
      <c r="N9" s="459"/>
      <c r="O9" s="459"/>
      <c r="P9" s="459"/>
      <c r="Q9" s="458" t="s">
        <v>157</v>
      </c>
      <c r="R9" s="458"/>
      <c r="S9" s="458"/>
      <c r="T9" s="456" t="s">
        <v>137</v>
      </c>
      <c r="U9" s="456"/>
      <c r="V9" s="456"/>
      <c r="W9" s="456"/>
      <c r="X9" s="456"/>
      <c r="Y9" s="456"/>
      <c r="Z9" s="456"/>
      <c r="AA9" s="456"/>
      <c r="AB9" s="456"/>
      <c r="AC9" s="457"/>
      <c r="AD9" s="451" t="s">
        <v>5859</v>
      </c>
    </row>
    <row r="10" spans="1:31" ht="15" customHeight="1" x14ac:dyDescent="0.25">
      <c r="B10" s="175"/>
      <c r="C10" s="20"/>
      <c r="D10" s="20"/>
      <c r="E10" s="21"/>
      <c r="F10" s="21"/>
      <c r="G10" s="21"/>
      <c r="H10" s="21"/>
      <c r="I10" s="21"/>
      <c r="J10" s="21"/>
      <c r="K10" s="21"/>
      <c r="L10" s="459"/>
      <c r="M10" s="459"/>
      <c r="N10" s="459"/>
      <c r="O10" s="459"/>
      <c r="P10" s="459"/>
      <c r="Q10" s="458"/>
      <c r="R10" s="458"/>
      <c r="S10" s="458"/>
      <c r="T10" s="454" t="s">
        <v>3</v>
      </c>
      <c r="U10" s="454"/>
      <c r="V10" s="454"/>
      <c r="W10" s="454" t="s">
        <v>73</v>
      </c>
      <c r="X10" s="454"/>
      <c r="Y10" s="454"/>
      <c r="Z10" s="454" t="s">
        <v>74</v>
      </c>
      <c r="AA10" s="454"/>
      <c r="AB10" s="454"/>
      <c r="AC10" s="455"/>
      <c r="AD10" s="452"/>
    </row>
    <row r="11" spans="1:31" s="34" customFormat="1" ht="38.25" x14ac:dyDescent="0.25">
      <c r="A11" s="17"/>
      <c r="B11" s="176" t="s">
        <v>75</v>
      </c>
      <c r="C11" s="176" t="s">
        <v>148</v>
      </c>
      <c r="D11" s="176" t="s">
        <v>149</v>
      </c>
      <c r="E11" s="177" t="s">
        <v>147</v>
      </c>
      <c r="F11" s="177" t="s">
        <v>150</v>
      </c>
      <c r="G11" s="177" t="s">
        <v>145</v>
      </c>
      <c r="H11" s="177" t="s">
        <v>146</v>
      </c>
      <c r="I11" s="177" t="s">
        <v>144</v>
      </c>
      <c r="J11" s="177" t="s">
        <v>151</v>
      </c>
      <c r="K11" s="177" t="s">
        <v>152</v>
      </c>
      <c r="L11" s="172" t="s">
        <v>153</v>
      </c>
      <c r="M11" s="172" t="s">
        <v>154</v>
      </c>
      <c r="N11" s="172" t="s">
        <v>160</v>
      </c>
      <c r="O11" s="172" t="s">
        <v>155</v>
      </c>
      <c r="P11" s="172" t="s">
        <v>156</v>
      </c>
      <c r="Q11" s="172" t="s">
        <v>158</v>
      </c>
      <c r="R11" s="172" t="s">
        <v>159</v>
      </c>
      <c r="S11" s="172" t="s">
        <v>161</v>
      </c>
      <c r="T11" s="172" t="s">
        <v>163</v>
      </c>
      <c r="U11" s="172" t="s">
        <v>6006</v>
      </c>
      <c r="V11" s="172" t="s">
        <v>6007</v>
      </c>
      <c r="W11" s="172" t="s">
        <v>163</v>
      </c>
      <c r="X11" s="172" t="s">
        <v>6008</v>
      </c>
      <c r="Y11" s="172" t="s">
        <v>6009</v>
      </c>
      <c r="Z11" s="172" t="s">
        <v>163</v>
      </c>
      <c r="AA11" s="172" t="s">
        <v>6008</v>
      </c>
      <c r="AB11" s="172" t="s">
        <v>6010</v>
      </c>
      <c r="AC11" s="356" t="s">
        <v>6011</v>
      </c>
      <c r="AD11" s="172" t="s">
        <v>6129</v>
      </c>
      <c r="AE11" s="17"/>
    </row>
    <row r="12" spans="1:31" ht="24.95" customHeight="1" x14ac:dyDescent="0.25">
      <c r="B12" s="178"/>
      <c r="C12" s="179"/>
      <c r="D12" s="179"/>
      <c r="E12" s="173"/>
      <c r="F12" s="173"/>
      <c r="G12" s="173"/>
      <c r="H12" s="173"/>
      <c r="I12" s="173"/>
      <c r="J12" s="174"/>
      <c r="K12" s="174"/>
      <c r="L12" s="173"/>
      <c r="M12" s="173"/>
      <c r="N12" s="173"/>
      <c r="O12" s="173"/>
      <c r="P12" s="173"/>
      <c r="Q12" s="174"/>
      <c r="R12" s="173"/>
      <c r="S12" s="173"/>
      <c r="T12" s="174"/>
      <c r="U12" s="173"/>
      <c r="V12" s="173"/>
      <c r="W12" s="174"/>
      <c r="X12" s="173"/>
      <c r="Y12" s="173"/>
      <c r="Z12" s="174"/>
      <c r="AA12" s="173"/>
      <c r="AB12" s="173"/>
      <c r="AC12" s="357"/>
      <c r="AD12" s="173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Matheus Geraldi</cp:lastModifiedBy>
  <dcterms:created xsi:type="dcterms:W3CDTF">2020-11-06T19:44:14Z</dcterms:created>
  <dcterms:modified xsi:type="dcterms:W3CDTF">2022-10-20T12:52:27Z</dcterms:modified>
</cp:coreProperties>
</file>