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linische_Studien\1_Metabolische_Studien\1_Offene_Studien\PFI-X\9_Daten_Resultate\9d_Statistics\"/>
    </mc:Choice>
  </mc:AlternateContent>
  <xr:revisionPtr revIDLastSave="0" documentId="13_ncr:1_{4A82230C-E45B-4E7C-90E7-E5EFF7A07005}" xr6:coauthVersionLast="36" xr6:coauthVersionMax="36" xr10:uidLastSave="{00000000-0000-0000-0000-000000000000}"/>
  <bookViews>
    <workbookView xWindow="0" yWindow="0" windowWidth="21570" windowHeight="9360" activeTab="1" xr2:uid="{E1243307-140B-4287-BBED-2B84F6592906}"/>
  </bookViews>
  <sheets>
    <sheet name="energy_intake" sheetId="1" r:id="rId1"/>
    <sheet name="associa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2" l="1"/>
  <c r="L21" i="2"/>
  <c r="K21" i="2"/>
  <c r="J21" i="2"/>
  <c r="I21" i="2"/>
  <c r="H21" i="2"/>
  <c r="G21" i="2"/>
  <c r="F21" i="2"/>
  <c r="E21" i="2"/>
  <c r="M20" i="2"/>
  <c r="L20" i="2"/>
  <c r="K20" i="2"/>
  <c r="J20" i="2"/>
  <c r="I20" i="2"/>
  <c r="H20" i="2"/>
  <c r="G20" i="2"/>
  <c r="F20" i="2"/>
  <c r="E20" i="2"/>
  <c r="M19" i="2"/>
  <c r="L19" i="2"/>
  <c r="K19" i="2"/>
  <c r="I19" i="2"/>
  <c r="H19" i="2"/>
  <c r="G19" i="2"/>
  <c r="F19" i="2"/>
  <c r="E19" i="2"/>
  <c r="M18" i="2"/>
  <c r="L18" i="2"/>
  <c r="K18" i="2"/>
  <c r="J18" i="2"/>
  <c r="I18" i="2"/>
  <c r="H18" i="2"/>
  <c r="G18" i="2"/>
  <c r="F18" i="2"/>
  <c r="E18" i="2"/>
  <c r="M17" i="2"/>
  <c r="L17" i="2"/>
  <c r="K17" i="2"/>
  <c r="J17" i="2"/>
  <c r="I17" i="2"/>
  <c r="H17" i="2"/>
  <c r="G17" i="2"/>
  <c r="F17" i="2"/>
  <c r="E17" i="2"/>
  <c r="M16" i="2"/>
  <c r="L16" i="2"/>
  <c r="K16" i="2"/>
  <c r="J16" i="2"/>
  <c r="I16" i="2"/>
  <c r="H16" i="2"/>
  <c r="G16" i="2"/>
  <c r="F16" i="2"/>
  <c r="E16" i="2"/>
  <c r="M15" i="2"/>
  <c r="L15" i="2"/>
  <c r="K15" i="2"/>
  <c r="I15" i="2"/>
  <c r="H15" i="2"/>
  <c r="G15" i="2"/>
  <c r="F15" i="2"/>
  <c r="E15" i="2"/>
  <c r="M14" i="2"/>
  <c r="L14" i="2"/>
  <c r="K14" i="2"/>
  <c r="J14" i="2"/>
  <c r="I14" i="2"/>
  <c r="H14" i="2"/>
  <c r="G14" i="2"/>
  <c r="F14" i="2"/>
  <c r="E14" i="2"/>
  <c r="M13" i="2"/>
  <c r="L13" i="2"/>
  <c r="K13" i="2"/>
  <c r="J13" i="2"/>
  <c r="I13" i="2"/>
  <c r="H13" i="2"/>
  <c r="G13" i="2"/>
  <c r="F13" i="2"/>
  <c r="E13" i="2"/>
  <c r="M12" i="2"/>
  <c r="L12" i="2"/>
  <c r="K12" i="2"/>
  <c r="J12" i="2"/>
  <c r="I12" i="2"/>
  <c r="H12" i="2"/>
  <c r="G12" i="2"/>
  <c r="F12" i="2"/>
  <c r="E12" i="2"/>
  <c r="M11" i="2"/>
  <c r="L11" i="2"/>
  <c r="K11" i="2"/>
  <c r="J11" i="2"/>
  <c r="I11" i="2"/>
  <c r="H11" i="2"/>
  <c r="G11" i="2"/>
  <c r="F11" i="2"/>
  <c r="E11" i="2"/>
  <c r="M10" i="2"/>
  <c r="L10" i="2"/>
  <c r="K10" i="2"/>
  <c r="J10" i="2"/>
  <c r="I10" i="2"/>
  <c r="H10" i="2"/>
  <c r="G10" i="2"/>
  <c r="F10" i="2"/>
  <c r="E10" i="2"/>
  <c r="M9" i="2"/>
  <c r="L9" i="2"/>
  <c r="K9" i="2"/>
  <c r="J9" i="2"/>
  <c r="I9" i="2"/>
  <c r="H9" i="2"/>
  <c r="G9" i="2"/>
  <c r="F9" i="2"/>
  <c r="E9" i="2"/>
  <c r="M8" i="2"/>
  <c r="L8" i="2"/>
  <c r="K8" i="2"/>
  <c r="J8" i="2"/>
  <c r="I8" i="2"/>
  <c r="H8" i="2"/>
  <c r="G8" i="2"/>
  <c r="F8" i="2"/>
  <c r="E8" i="2"/>
  <c r="M7" i="2"/>
  <c r="L7" i="2"/>
  <c r="K7" i="2"/>
  <c r="J7" i="2"/>
  <c r="I7" i="2"/>
  <c r="H7" i="2"/>
  <c r="G7" i="2"/>
  <c r="F7" i="2"/>
  <c r="E7" i="2"/>
  <c r="M6" i="2"/>
  <c r="L6" i="2"/>
  <c r="K6" i="2"/>
  <c r="J6" i="2"/>
  <c r="I6" i="2"/>
  <c r="H6" i="2"/>
  <c r="G6" i="2"/>
  <c r="F6" i="2"/>
  <c r="E6" i="2"/>
  <c r="M5" i="2"/>
  <c r="L5" i="2"/>
  <c r="K5" i="2"/>
  <c r="J5" i="2"/>
  <c r="I5" i="2"/>
  <c r="H5" i="2"/>
  <c r="G5" i="2"/>
  <c r="F5" i="2"/>
  <c r="E5" i="2"/>
  <c r="M4" i="2"/>
  <c r="L4" i="2"/>
  <c r="K4" i="2"/>
  <c r="J4" i="2"/>
  <c r="I4" i="2"/>
  <c r="H4" i="2"/>
  <c r="G4" i="2"/>
  <c r="F4" i="2"/>
  <c r="E4" i="2"/>
  <c r="M3" i="2"/>
  <c r="L3" i="2"/>
  <c r="K3" i="2"/>
  <c r="J3" i="2"/>
  <c r="I3" i="2"/>
  <c r="H3" i="2"/>
  <c r="G3" i="2"/>
  <c r="F3" i="2"/>
  <c r="E3" i="2"/>
  <c r="M2" i="2"/>
  <c r="L2" i="2"/>
  <c r="K2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<sst xmlns="http://schemas.openxmlformats.org/spreadsheetml/2006/main" count="102" uniqueCount="22">
  <si>
    <t>subject</t>
  </si>
  <si>
    <t>gender</t>
  </si>
  <si>
    <t>age_yrs</t>
  </si>
  <si>
    <t>BMI_kg_m2</t>
  </si>
  <si>
    <t>condition</t>
  </si>
  <si>
    <t>order</t>
  </si>
  <si>
    <t>energy_intake</t>
  </si>
  <si>
    <t>delta_CCK_minus_1</t>
  </si>
  <si>
    <t>delta_GLP_minus_1</t>
  </si>
  <si>
    <t>sucrose</t>
  </si>
  <si>
    <t>ace-K</t>
  </si>
  <si>
    <t>water</t>
  </si>
  <si>
    <t>xylitol</t>
  </si>
  <si>
    <t>EI_X_S</t>
  </si>
  <si>
    <t>EI_X_W</t>
  </si>
  <si>
    <t>EI_X_A</t>
  </si>
  <si>
    <t>CCK_X_S</t>
  </si>
  <si>
    <t>CCK_X_A</t>
  </si>
  <si>
    <t>CCK_X_W</t>
  </si>
  <si>
    <t>GLP_X_S</t>
  </si>
  <si>
    <t>GLP_X_A</t>
  </si>
  <si>
    <t>GLP_X_W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</si>
</sst>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9"/>
      <color theme="1"/>
      <name val="Lucida Sans Unicode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/>
    <xf numFmtId="0" fontId="1" fillId="0" borderId="1" xfId="0" applyFont="1" applyFill="1" applyBorder="1"/>
    <xf numFmtId="2" fontId="1" fillId="0" borderId="0" xfId="0" applyNumberFormat="1" applyFont="1" applyFill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2" xfId="0" applyFont="1" applyBorder="1"/>
    <xf numFmtId="0" fontId="3" fillId="0" borderId="2" xfId="0" applyFont="1" applyFill="1" applyBorder="1"/>
    <xf numFmtId="2" fontId="2" fillId="0" borderId="0" xfId="0" applyNumberFormat="1" applyFont="1"/>
    <xf numFmtId="0" fontId="2" fillId="0" borderId="0" xfId="0" applyFont="1" applyBorder="1"/>
    <xf numFmtId="0" fontId="3" fillId="0" borderId="0" xfId="0" applyFont="1" applyFill="1" applyBorder="1"/>
    <xf numFmtId="0" fontId="3" fillId="0" borderId="1" xfId="0" applyFont="1" applyFill="1" applyBorder="1"/>
    <xf numFmtId="0" fontId="2" fillId="0" borderId="0" xfId="0" applyFont="1" applyFill="1" applyBorder="1"/>
    <xf numFmtId="164" fontId="3" fillId="0" borderId="0" xfId="0" applyNumberFormat="1" applyFont="1" applyFill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2" fontId="2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00EF-B28C-413C-8ED9-143CDAA117B2}">
  <dimension ref="A1:CJ81"/>
  <sheetViews>
    <sheetView workbookViewId="0">
      <selection activeCell="K1" sqref="K1"/>
    </sheetView>
  </sheetViews>
  <sheetFormatPr baseColWidth="10" defaultRowHeight="13.5" x14ac:dyDescent="0.25"/>
  <cols>
    <col min="1" max="6" width="11" style="9"/>
    <col min="7" max="7" width="10.5" style="9" bestFit="1" customWidth="1"/>
    <col min="8" max="8" width="15.375" style="9" bestFit="1" customWidth="1"/>
    <col min="9" max="9" width="15.125" style="9" bestFit="1" customWidth="1"/>
    <col min="89" max="16384" width="11" style="9"/>
  </cols>
  <sheetData>
    <row r="1" spans="1:9" s="9" customFormat="1" ht="12.7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pans="1:9" s="9" customFormat="1" ht="12.75" x14ac:dyDescent="0.2">
      <c r="A2" s="10">
        <v>1</v>
      </c>
      <c r="B2" s="10">
        <v>2</v>
      </c>
      <c r="C2" s="10">
        <v>40</v>
      </c>
      <c r="D2" s="10">
        <v>24.1</v>
      </c>
      <c r="E2" s="11" t="s">
        <v>9</v>
      </c>
      <c r="F2" s="10">
        <v>1</v>
      </c>
      <c r="G2" s="10">
        <v>744.6400000000001</v>
      </c>
      <c r="H2" s="9">
        <v>0.5</v>
      </c>
      <c r="I2" s="12">
        <v>2.1255219963469498</v>
      </c>
    </row>
    <row r="3" spans="1:9" s="9" customFormat="1" ht="12.75" x14ac:dyDescent="0.2">
      <c r="A3" s="13">
        <v>1</v>
      </c>
      <c r="B3" s="13">
        <v>2</v>
      </c>
      <c r="C3" s="13">
        <v>40</v>
      </c>
      <c r="D3" s="13">
        <v>24.1</v>
      </c>
      <c r="E3" s="14" t="s">
        <v>10</v>
      </c>
      <c r="F3" s="13">
        <v>2</v>
      </c>
      <c r="G3" s="13">
        <v>809.68000000000006</v>
      </c>
      <c r="H3" s="9">
        <v>0.7</v>
      </c>
      <c r="I3" s="12">
        <v>7.6676322876396696E-3</v>
      </c>
    </row>
    <row r="4" spans="1:9" s="9" customFormat="1" ht="12.75" x14ac:dyDescent="0.2">
      <c r="A4" s="13">
        <v>1</v>
      </c>
      <c r="B4" s="13">
        <v>2</v>
      </c>
      <c r="C4" s="13">
        <v>40</v>
      </c>
      <c r="D4" s="13">
        <v>24.1</v>
      </c>
      <c r="E4" s="14" t="s">
        <v>11</v>
      </c>
      <c r="F4" s="13">
        <v>3</v>
      </c>
      <c r="G4" s="13">
        <v>801.32</v>
      </c>
      <c r="H4" s="9">
        <v>0</v>
      </c>
      <c r="I4" s="12">
        <v>-2.1497099408527101</v>
      </c>
    </row>
    <row r="5" spans="1:9" s="9" customFormat="1" ht="12.75" x14ac:dyDescent="0.2">
      <c r="A5" s="7">
        <v>1</v>
      </c>
      <c r="B5" s="7">
        <v>2</v>
      </c>
      <c r="C5" s="7">
        <v>40</v>
      </c>
      <c r="D5" s="7">
        <v>24.1</v>
      </c>
      <c r="E5" s="15" t="s">
        <v>12</v>
      </c>
      <c r="F5" s="7">
        <v>4</v>
      </c>
      <c r="G5" s="7">
        <v>558.48</v>
      </c>
      <c r="H5" s="9">
        <v>2.1</v>
      </c>
      <c r="I5" s="12">
        <v>1.9905347184366802</v>
      </c>
    </row>
    <row r="6" spans="1:9" s="9" customFormat="1" ht="12.75" x14ac:dyDescent="0.2">
      <c r="A6" s="9">
        <v>2</v>
      </c>
      <c r="B6" s="9">
        <v>1</v>
      </c>
      <c r="C6" s="9">
        <v>23</v>
      </c>
      <c r="D6" s="16">
        <v>20.6</v>
      </c>
      <c r="E6" s="14" t="s">
        <v>11</v>
      </c>
      <c r="F6" s="9">
        <v>1</v>
      </c>
      <c r="G6" s="17">
        <v>309.24</v>
      </c>
      <c r="H6" s="9">
        <v>0.10000000000000009</v>
      </c>
      <c r="I6" s="12">
        <v>-0.85427005432420966</v>
      </c>
    </row>
    <row r="7" spans="1:9" s="9" customFormat="1" ht="12.75" x14ac:dyDescent="0.2">
      <c r="A7" s="9">
        <v>2</v>
      </c>
      <c r="B7" s="9">
        <v>1</v>
      </c>
      <c r="C7" s="9">
        <v>23</v>
      </c>
      <c r="D7" s="16">
        <v>20.6</v>
      </c>
      <c r="E7" s="14" t="s">
        <v>12</v>
      </c>
      <c r="F7" s="9">
        <v>2</v>
      </c>
      <c r="G7" s="17">
        <v>312.43200000000002</v>
      </c>
      <c r="H7" s="9">
        <v>0.40000000000000013</v>
      </c>
      <c r="I7" s="12">
        <v>1.2353457498289</v>
      </c>
    </row>
    <row r="8" spans="1:9" s="9" customFormat="1" ht="12.75" x14ac:dyDescent="0.2">
      <c r="A8" s="9">
        <v>2</v>
      </c>
      <c r="B8" s="9">
        <v>1</v>
      </c>
      <c r="C8" s="9">
        <v>23</v>
      </c>
      <c r="D8" s="16">
        <v>20.6</v>
      </c>
      <c r="E8" s="14" t="s">
        <v>9</v>
      </c>
      <c r="F8" s="9">
        <v>3</v>
      </c>
      <c r="G8" s="17">
        <v>307.536</v>
      </c>
      <c r="H8" s="9">
        <v>0.19999999999999996</v>
      </c>
      <c r="I8" s="12">
        <v>5.0553458698914504</v>
      </c>
    </row>
    <row r="9" spans="1:9" s="9" customFormat="1" ht="12.75" x14ac:dyDescent="0.2">
      <c r="A9" s="7">
        <v>2</v>
      </c>
      <c r="B9" s="7">
        <v>1</v>
      </c>
      <c r="C9" s="7">
        <v>23</v>
      </c>
      <c r="D9" s="8">
        <v>20.6</v>
      </c>
      <c r="E9" s="15" t="s">
        <v>10</v>
      </c>
      <c r="F9" s="7">
        <v>4</v>
      </c>
      <c r="G9" s="18">
        <v>323.024</v>
      </c>
      <c r="H9" s="9">
        <v>0</v>
      </c>
      <c r="I9" s="12">
        <v>-6.7091540462540067E-2</v>
      </c>
    </row>
    <row r="10" spans="1:9" s="9" customFormat="1" ht="12.75" x14ac:dyDescent="0.2">
      <c r="A10" s="9">
        <v>3</v>
      </c>
      <c r="B10" s="9">
        <v>2</v>
      </c>
      <c r="C10" s="9">
        <v>22</v>
      </c>
      <c r="D10" s="16">
        <v>22.2</v>
      </c>
      <c r="E10" s="14" t="s">
        <v>12</v>
      </c>
      <c r="F10" s="9">
        <v>1</v>
      </c>
      <c r="G10" s="17">
        <v>637.96</v>
      </c>
      <c r="H10" s="9">
        <v>1.0999999999999999</v>
      </c>
      <c r="I10" s="12">
        <v>3.9605173540921994</v>
      </c>
    </row>
    <row r="11" spans="1:9" s="9" customFormat="1" ht="12.75" x14ac:dyDescent="0.2">
      <c r="A11" s="9">
        <v>3</v>
      </c>
      <c r="B11" s="9">
        <v>2</v>
      </c>
      <c r="C11" s="9">
        <v>22</v>
      </c>
      <c r="D11" s="16">
        <v>22.2</v>
      </c>
      <c r="E11" s="14" t="s">
        <v>11</v>
      </c>
      <c r="F11" s="9">
        <v>2</v>
      </c>
      <c r="G11" s="17">
        <v>568.76</v>
      </c>
      <c r="H11" s="9">
        <v>0.30000000000000004</v>
      </c>
      <c r="I11" s="12">
        <v>1.7605407198858503</v>
      </c>
    </row>
    <row r="12" spans="1:9" s="9" customFormat="1" ht="12.75" x14ac:dyDescent="0.2">
      <c r="A12" s="9">
        <v>3</v>
      </c>
      <c r="B12" s="9">
        <v>2</v>
      </c>
      <c r="C12" s="9">
        <v>22</v>
      </c>
      <c r="D12" s="16">
        <v>22.2</v>
      </c>
      <c r="E12" s="14" t="s">
        <v>10</v>
      </c>
      <c r="F12" s="9">
        <v>3</v>
      </c>
      <c r="G12" s="17">
        <v>555.16</v>
      </c>
      <c r="H12" s="9">
        <v>1</v>
      </c>
      <c r="I12" s="12">
        <v>4.56810051572924</v>
      </c>
    </row>
    <row r="13" spans="1:9" s="9" customFormat="1" ht="12.75" x14ac:dyDescent="0.2">
      <c r="A13" s="7">
        <v>3</v>
      </c>
      <c r="B13" s="7">
        <v>2</v>
      </c>
      <c r="C13" s="7">
        <v>22</v>
      </c>
      <c r="D13" s="8">
        <v>22.2</v>
      </c>
      <c r="E13" s="15" t="s">
        <v>9</v>
      </c>
      <c r="F13" s="7">
        <v>4</v>
      </c>
      <c r="G13" s="18">
        <v>308.32</v>
      </c>
      <c r="H13" s="9">
        <v>0.49999999999999989</v>
      </c>
      <c r="I13" s="12">
        <v>4.2013472744540303</v>
      </c>
    </row>
    <row r="14" spans="1:9" s="9" customFormat="1" ht="12.75" x14ac:dyDescent="0.2">
      <c r="A14" s="9">
        <v>4</v>
      </c>
      <c r="B14" s="9">
        <v>2</v>
      </c>
      <c r="C14" s="9">
        <v>30</v>
      </c>
      <c r="D14" s="16">
        <v>21.5</v>
      </c>
      <c r="E14" s="14" t="s">
        <v>10</v>
      </c>
      <c r="F14" s="9">
        <v>1</v>
      </c>
      <c r="G14" s="17">
        <v>883.22400000000005</v>
      </c>
      <c r="H14" s="9">
        <v>0.60000000000000009</v>
      </c>
      <c r="I14" s="12">
        <v>-0.13804326744905016</v>
      </c>
    </row>
    <row r="15" spans="1:9" s="9" customFormat="1" ht="12.75" x14ac:dyDescent="0.2">
      <c r="A15" s="9">
        <v>4</v>
      </c>
      <c r="B15" s="9">
        <v>2</v>
      </c>
      <c r="C15" s="9">
        <v>30</v>
      </c>
      <c r="D15" s="16">
        <v>21.5</v>
      </c>
      <c r="E15" s="14" t="s">
        <v>11</v>
      </c>
      <c r="F15" s="9">
        <v>2</v>
      </c>
      <c r="G15" s="17">
        <v>784.69600000000003</v>
      </c>
      <c r="H15" s="9">
        <v>0.4</v>
      </c>
      <c r="I15" s="12">
        <v>-3.283344373423021</v>
      </c>
    </row>
    <row r="16" spans="1:9" s="9" customFormat="1" ht="12.75" x14ac:dyDescent="0.2">
      <c r="A16" s="9">
        <v>4</v>
      </c>
      <c r="B16" s="9">
        <v>2</v>
      </c>
      <c r="C16" s="9">
        <v>30</v>
      </c>
      <c r="D16" s="16">
        <v>21.5</v>
      </c>
      <c r="E16" s="14" t="s">
        <v>9</v>
      </c>
      <c r="F16" s="9">
        <v>3</v>
      </c>
      <c r="G16" s="17">
        <v>833.71199999999988</v>
      </c>
      <c r="H16" s="9">
        <v>0.4</v>
      </c>
      <c r="I16" s="12">
        <v>4.9717530601774405</v>
      </c>
    </row>
    <row r="17" spans="1:9" s="9" customFormat="1" ht="12.75" x14ac:dyDescent="0.2">
      <c r="A17" s="7">
        <v>4</v>
      </c>
      <c r="B17" s="7">
        <v>2</v>
      </c>
      <c r="C17" s="7">
        <v>30</v>
      </c>
      <c r="D17" s="8">
        <v>21.5</v>
      </c>
      <c r="E17" s="15" t="s">
        <v>12</v>
      </c>
      <c r="F17" s="7">
        <v>4</v>
      </c>
      <c r="G17" s="18">
        <v>813.00800000000004</v>
      </c>
      <c r="H17" s="9">
        <v>2</v>
      </c>
      <c r="I17" s="12">
        <v>3.5516709551776104</v>
      </c>
    </row>
    <row r="18" spans="1:9" s="9" customFormat="1" ht="12.75" x14ac:dyDescent="0.2">
      <c r="A18" s="9">
        <v>5</v>
      </c>
      <c r="B18" s="9">
        <v>1</v>
      </c>
      <c r="C18" s="9">
        <v>22</v>
      </c>
      <c r="D18" s="16">
        <v>24.5</v>
      </c>
      <c r="E18" s="14" t="s">
        <v>9</v>
      </c>
      <c r="F18" s="9">
        <v>1</v>
      </c>
      <c r="G18" s="17">
        <v>386.87199999999996</v>
      </c>
      <c r="H18" s="9">
        <v>2.2999999999999998</v>
      </c>
      <c r="I18" s="12">
        <v>8.2937261751957507</v>
      </c>
    </row>
    <row r="19" spans="1:9" s="9" customFormat="1" ht="12.75" x14ac:dyDescent="0.2">
      <c r="A19" s="9">
        <v>5</v>
      </c>
      <c r="B19" s="9">
        <v>1</v>
      </c>
      <c r="C19" s="9">
        <v>22</v>
      </c>
      <c r="D19" s="16">
        <v>24.5</v>
      </c>
      <c r="E19" s="14" t="s">
        <v>11</v>
      </c>
      <c r="F19" s="9">
        <v>2</v>
      </c>
      <c r="G19" s="17">
        <v>428.70400000000001</v>
      </c>
      <c r="H19" s="9">
        <v>0.40000000000000013</v>
      </c>
      <c r="I19" s="12">
        <v>0.2038457482481002</v>
      </c>
    </row>
    <row r="20" spans="1:9" s="9" customFormat="1" ht="12.75" x14ac:dyDescent="0.2">
      <c r="A20" s="9">
        <v>5</v>
      </c>
      <c r="B20" s="9">
        <v>1</v>
      </c>
      <c r="C20" s="9">
        <v>22</v>
      </c>
      <c r="D20" s="16">
        <v>24.5</v>
      </c>
      <c r="E20" s="14" t="s">
        <v>10</v>
      </c>
      <c r="F20" s="9">
        <v>3</v>
      </c>
      <c r="G20" s="17">
        <v>457.392</v>
      </c>
      <c r="H20" s="9">
        <v>1.9000000000000001</v>
      </c>
      <c r="I20" s="12">
        <v>4.2854317353025007</v>
      </c>
    </row>
    <row r="21" spans="1:9" s="9" customFormat="1" ht="12.75" x14ac:dyDescent="0.2">
      <c r="A21" s="7">
        <v>5</v>
      </c>
      <c r="B21" s="7">
        <v>1</v>
      </c>
      <c r="C21" s="7">
        <v>22</v>
      </c>
      <c r="D21" s="8">
        <v>24.5</v>
      </c>
      <c r="E21" s="15" t="s">
        <v>12</v>
      </c>
      <c r="F21" s="7">
        <v>4</v>
      </c>
      <c r="G21" s="18">
        <v>315.29600000000005</v>
      </c>
      <c r="H21" s="9">
        <v>4.3</v>
      </c>
      <c r="I21" s="12">
        <v>10.34236727738128</v>
      </c>
    </row>
    <row r="22" spans="1:9" s="9" customFormat="1" ht="12.75" x14ac:dyDescent="0.2">
      <c r="A22" s="9">
        <v>6</v>
      </c>
      <c r="B22" s="9">
        <v>1</v>
      </c>
      <c r="C22" s="9">
        <v>21</v>
      </c>
      <c r="D22" s="16">
        <v>23.6</v>
      </c>
      <c r="E22" s="14" t="s">
        <v>9</v>
      </c>
      <c r="F22" s="9">
        <v>1</v>
      </c>
      <c r="G22" s="17">
        <v>456.07400000000001</v>
      </c>
      <c r="H22" s="9">
        <v>0.49999999999999989</v>
      </c>
      <c r="I22" s="12">
        <v>4.5109866700534003</v>
      </c>
    </row>
    <row r="23" spans="1:9" s="9" customFormat="1" ht="12.75" x14ac:dyDescent="0.2">
      <c r="A23" s="9">
        <v>6</v>
      </c>
      <c r="B23" s="9">
        <v>1</v>
      </c>
      <c r="C23" s="9">
        <v>21</v>
      </c>
      <c r="D23" s="16">
        <v>23.6</v>
      </c>
      <c r="E23" s="14" t="s">
        <v>12</v>
      </c>
      <c r="F23" s="9">
        <v>2</v>
      </c>
      <c r="G23" s="17">
        <v>461.06799999999998</v>
      </c>
      <c r="H23" s="9">
        <v>2.1</v>
      </c>
      <c r="I23" s="12">
        <v>3.7492165725796998</v>
      </c>
    </row>
    <row r="24" spans="1:9" s="9" customFormat="1" ht="12.75" x14ac:dyDescent="0.2">
      <c r="A24" s="9">
        <v>6</v>
      </c>
      <c r="B24" s="9">
        <v>1</v>
      </c>
      <c r="C24" s="9">
        <v>21</v>
      </c>
      <c r="D24" s="16">
        <v>23.6</v>
      </c>
      <c r="E24" s="14" t="s">
        <v>10</v>
      </c>
      <c r="F24" s="9">
        <v>3</v>
      </c>
      <c r="G24" s="17">
        <v>458.404</v>
      </c>
      <c r="H24" s="9">
        <v>0</v>
      </c>
      <c r="I24" s="12">
        <v>3.0251412533137021</v>
      </c>
    </row>
    <row r="25" spans="1:9" s="9" customFormat="1" ht="12.75" x14ac:dyDescent="0.2">
      <c r="A25" s="7">
        <v>6</v>
      </c>
      <c r="B25" s="7">
        <v>1</v>
      </c>
      <c r="C25" s="7">
        <v>21</v>
      </c>
      <c r="D25" s="8">
        <v>23.6</v>
      </c>
      <c r="E25" s="15" t="s">
        <v>11</v>
      </c>
      <c r="F25" s="7">
        <v>4</v>
      </c>
      <c r="G25" s="18">
        <v>598.68000000000006</v>
      </c>
      <c r="H25" s="9">
        <v>0.29999999999999993</v>
      </c>
      <c r="I25" s="12">
        <v>3.9586502308047002</v>
      </c>
    </row>
    <row r="26" spans="1:9" s="9" customFormat="1" ht="12.75" x14ac:dyDescent="0.2">
      <c r="A26" s="9">
        <v>7</v>
      </c>
      <c r="B26" s="9">
        <v>1</v>
      </c>
      <c r="C26" s="9">
        <v>26</v>
      </c>
      <c r="D26" s="19">
        <v>20.5</v>
      </c>
      <c r="E26" s="14" t="s">
        <v>12</v>
      </c>
      <c r="F26" s="9">
        <v>1</v>
      </c>
      <c r="G26" s="17">
        <v>1257.8</v>
      </c>
      <c r="H26" s="9">
        <v>6</v>
      </c>
      <c r="I26" s="12">
        <v>-0.37370002750853892</v>
      </c>
    </row>
    <row r="27" spans="1:9" s="9" customFormat="1" ht="12.75" x14ac:dyDescent="0.2">
      <c r="A27" s="9">
        <v>7</v>
      </c>
      <c r="B27" s="9">
        <v>1</v>
      </c>
      <c r="C27" s="9">
        <v>26</v>
      </c>
      <c r="D27" s="19">
        <v>20.5</v>
      </c>
      <c r="E27" s="14" t="s">
        <v>9</v>
      </c>
      <c r="F27" s="9">
        <v>2</v>
      </c>
      <c r="G27" s="17">
        <v>1223</v>
      </c>
      <c r="H27" s="9">
        <v>0.9</v>
      </c>
      <c r="I27" s="12">
        <v>2.0831872973334207</v>
      </c>
    </row>
    <row r="28" spans="1:9" s="9" customFormat="1" ht="12.75" x14ac:dyDescent="0.2">
      <c r="A28" s="9">
        <v>7</v>
      </c>
      <c r="B28" s="9">
        <v>1</v>
      </c>
      <c r="C28" s="9">
        <v>26</v>
      </c>
      <c r="D28" s="19">
        <v>20.5</v>
      </c>
      <c r="E28" s="14" t="s">
        <v>11</v>
      </c>
      <c r="F28" s="9">
        <v>3</v>
      </c>
      <c r="G28" s="17">
        <v>1338.88</v>
      </c>
      <c r="H28" s="9">
        <v>9.9999999999999978E-2</v>
      </c>
      <c r="I28" s="12">
        <v>-0.64239137060839901</v>
      </c>
    </row>
    <row r="29" spans="1:9" s="9" customFormat="1" ht="12.75" x14ac:dyDescent="0.2">
      <c r="A29" s="7">
        <v>7</v>
      </c>
      <c r="B29" s="7">
        <v>1</v>
      </c>
      <c r="C29" s="7">
        <v>26</v>
      </c>
      <c r="D29" s="20">
        <v>20.5</v>
      </c>
      <c r="E29" s="15" t="s">
        <v>10</v>
      </c>
      <c r="F29" s="7">
        <v>4</v>
      </c>
      <c r="G29" s="18">
        <v>1449.44</v>
      </c>
      <c r="H29" s="9">
        <v>1</v>
      </c>
      <c r="I29" s="12">
        <v>0.43731531463539852</v>
      </c>
    </row>
    <row r="30" spans="1:9" s="9" customFormat="1" ht="12.75" x14ac:dyDescent="0.2">
      <c r="A30" s="9">
        <v>8</v>
      </c>
      <c r="B30" s="9">
        <v>2</v>
      </c>
      <c r="C30" s="9">
        <v>27</v>
      </c>
      <c r="D30" s="19">
        <v>23.9</v>
      </c>
      <c r="E30" s="14" t="s">
        <v>12</v>
      </c>
      <c r="F30" s="9">
        <v>1</v>
      </c>
      <c r="G30" s="17">
        <v>1938.96</v>
      </c>
      <c r="H30" s="9">
        <v>1.4</v>
      </c>
      <c r="I30" s="12">
        <v>2.8422305368526901</v>
      </c>
    </row>
    <row r="31" spans="1:9" s="9" customFormat="1" ht="12.75" x14ac:dyDescent="0.2">
      <c r="A31" s="9">
        <v>8</v>
      </c>
      <c r="B31" s="9">
        <v>2</v>
      </c>
      <c r="C31" s="9">
        <v>27</v>
      </c>
      <c r="D31" s="19">
        <v>23.9</v>
      </c>
      <c r="E31" s="14" t="s">
        <v>9</v>
      </c>
      <c r="F31" s="9">
        <v>2</v>
      </c>
      <c r="G31" s="17">
        <v>1995.1999999999998</v>
      </c>
      <c r="H31" s="9">
        <v>0.3</v>
      </c>
      <c r="I31" s="12">
        <v>3.9636168218322698</v>
      </c>
    </row>
    <row r="32" spans="1:9" s="9" customFormat="1" ht="12.75" x14ac:dyDescent="0.2">
      <c r="A32" s="9">
        <v>8</v>
      </c>
      <c r="B32" s="9">
        <v>2</v>
      </c>
      <c r="C32" s="9">
        <v>27</v>
      </c>
      <c r="D32" s="19">
        <v>23.9</v>
      </c>
      <c r="E32" s="14" t="s">
        <v>10</v>
      </c>
      <c r="F32" s="9">
        <v>3</v>
      </c>
      <c r="G32" s="17">
        <v>1645.68</v>
      </c>
      <c r="H32" s="9">
        <v>0.19999999999999998</v>
      </c>
      <c r="I32" s="12">
        <v>-0.27779517928590014</v>
      </c>
    </row>
    <row r="33" spans="1:9" s="9" customFormat="1" ht="12.75" x14ac:dyDescent="0.2">
      <c r="A33" s="7">
        <v>8</v>
      </c>
      <c r="B33" s="7">
        <v>2</v>
      </c>
      <c r="C33" s="7">
        <v>27</v>
      </c>
      <c r="D33" s="20">
        <v>23.9</v>
      </c>
      <c r="E33" s="15" t="s">
        <v>11</v>
      </c>
      <c r="F33" s="7">
        <v>4</v>
      </c>
      <c r="G33" s="18">
        <v>1704.76</v>
      </c>
      <c r="H33" s="9">
        <v>-0.4</v>
      </c>
      <c r="I33" s="12">
        <v>0.67874670106071022</v>
      </c>
    </row>
    <row r="34" spans="1:9" s="9" customFormat="1" ht="12.75" x14ac:dyDescent="0.2">
      <c r="A34" s="9">
        <v>10</v>
      </c>
      <c r="B34" s="9">
        <v>2</v>
      </c>
      <c r="C34" s="9">
        <v>28</v>
      </c>
      <c r="D34" s="19">
        <v>23.1</v>
      </c>
      <c r="E34" s="14" t="s">
        <v>11</v>
      </c>
      <c r="F34" s="9">
        <v>1</v>
      </c>
      <c r="G34" s="17">
        <v>1010.6079999999999</v>
      </c>
      <c r="H34" s="9">
        <v>0.19999999999999996</v>
      </c>
      <c r="I34" s="12">
        <v>0.47376447881845074</v>
      </c>
    </row>
    <row r="35" spans="1:9" s="9" customFormat="1" ht="12.75" x14ac:dyDescent="0.2">
      <c r="A35" s="9">
        <v>10</v>
      </c>
      <c r="B35" s="9">
        <v>2</v>
      </c>
      <c r="C35" s="9">
        <v>28</v>
      </c>
      <c r="D35" s="19">
        <v>23.1</v>
      </c>
      <c r="E35" s="14" t="s">
        <v>9</v>
      </c>
      <c r="F35" s="9">
        <v>2</v>
      </c>
      <c r="G35" s="17">
        <v>744</v>
      </c>
      <c r="H35" s="9">
        <v>0.39999999999999991</v>
      </c>
      <c r="I35" s="12">
        <v>3.7488136488524706</v>
      </c>
    </row>
    <row r="36" spans="1:9" s="9" customFormat="1" ht="12.75" x14ac:dyDescent="0.2">
      <c r="A36" s="9">
        <v>10</v>
      </c>
      <c r="B36" s="9">
        <v>2</v>
      </c>
      <c r="C36" s="9">
        <v>28</v>
      </c>
      <c r="D36" s="19">
        <v>23.1</v>
      </c>
      <c r="E36" s="14" t="s">
        <v>10</v>
      </c>
      <c r="F36" s="9">
        <v>3</v>
      </c>
      <c r="G36" s="17">
        <v>658.24</v>
      </c>
      <c r="H36" s="9">
        <v>0.5</v>
      </c>
      <c r="I36" s="12">
        <v>1.0395061656328801</v>
      </c>
    </row>
    <row r="37" spans="1:9" s="9" customFormat="1" ht="12.75" x14ac:dyDescent="0.2">
      <c r="A37" s="7">
        <v>10</v>
      </c>
      <c r="B37" s="7">
        <v>2</v>
      </c>
      <c r="C37" s="7">
        <v>28</v>
      </c>
      <c r="D37" s="20">
        <v>23.1</v>
      </c>
      <c r="E37" s="15" t="s">
        <v>12</v>
      </c>
      <c r="F37" s="7">
        <v>4</v>
      </c>
      <c r="G37" s="18">
        <v>615.16</v>
      </c>
      <c r="H37" s="9">
        <v>1.9</v>
      </c>
      <c r="I37" s="12">
        <v>2.4312235915524987</v>
      </c>
    </row>
    <row r="38" spans="1:9" s="9" customFormat="1" ht="12.75" x14ac:dyDescent="0.2">
      <c r="A38" s="9">
        <v>11</v>
      </c>
      <c r="B38" s="9">
        <v>2</v>
      </c>
      <c r="C38" s="9">
        <v>24</v>
      </c>
      <c r="D38" s="19">
        <v>24.7</v>
      </c>
      <c r="E38" s="14" t="s">
        <v>11</v>
      </c>
      <c r="F38" s="9">
        <v>1</v>
      </c>
      <c r="G38" s="17">
        <v>391.92</v>
      </c>
      <c r="H38" s="9">
        <v>0.39999999999999997</v>
      </c>
      <c r="I38" s="12">
        <v>0.860029994504111</v>
      </c>
    </row>
    <row r="39" spans="1:9" s="9" customFormat="1" ht="12.75" x14ac:dyDescent="0.2">
      <c r="A39" s="9">
        <v>11</v>
      </c>
      <c r="B39" s="9">
        <v>2</v>
      </c>
      <c r="C39" s="9">
        <v>24</v>
      </c>
      <c r="D39" s="19">
        <v>24.7</v>
      </c>
      <c r="E39" s="14" t="s">
        <v>9</v>
      </c>
      <c r="F39" s="9">
        <v>2</v>
      </c>
      <c r="G39" s="17">
        <v>634.24</v>
      </c>
      <c r="H39" s="9">
        <v>1.2</v>
      </c>
      <c r="I39" s="12">
        <v>5.3026445678361789</v>
      </c>
    </row>
    <row r="40" spans="1:9" s="9" customFormat="1" ht="12.75" x14ac:dyDescent="0.2">
      <c r="A40" s="9">
        <v>11</v>
      </c>
      <c r="B40" s="9">
        <v>2</v>
      </c>
      <c r="C40" s="9">
        <v>24</v>
      </c>
      <c r="D40" s="19">
        <v>24.7</v>
      </c>
      <c r="E40" s="14" t="s">
        <v>12</v>
      </c>
      <c r="F40" s="9">
        <v>3</v>
      </c>
      <c r="G40" s="17">
        <v>606.91999999999996</v>
      </c>
      <c r="H40" s="9">
        <v>0.49999999999999989</v>
      </c>
      <c r="I40" s="12">
        <v>-0.58337840168124</v>
      </c>
    </row>
    <row r="41" spans="1:9" s="9" customFormat="1" ht="12.75" x14ac:dyDescent="0.2">
      <c r="A41" s="7">
        <v>11</v>
      </c>
      <c r="B41" s="7">
        <v>2</v>
      </c>
      <c r="C41" s="7">
        <v>24</v>
      </c>
      <c r="D41" s="20">
        <v>24.7</v>
      </c>
      <c r="E41" s="15" t="s">
        <v>10</v>
      </c>
      <c r="F41" s="7">
        <v>4</v>
      </c>
      <c r="G41" s="18">
        <v>806.56</v>
      </c>
      <c r="H41" s="9">
        <v>-9.9999999999999978E-2</v>
      </c>
      <c r="I41" s="12">
        <v>0.86556168031469038</v>
      </c>
    </row>
    <row r="42" spans="1:9" s="9" customFormat="1" ht="12.75" x14ac:dyDescent="0.2">
      <c r="A42" s="9">
        <v>12</v>
      </c>
      <c r="B42" s="9">
        <v>2</v>
      </c>
      <c r="C42" s="9">
        <v>22</v>
      </c>
      <c r="D42" s="16">
        <v>23.6</v>
      </c>
      <c r="E42" s="14" t="s">
        <v>10</v>
      </c>
      <c r="F42" s="9">
        <v>1</v>
      </c>
      <c r="G42" s="17">
        <v>394.03999999999996</v>
      </c>
      <c r="H42" s="9">
        <v>0</v>
      </c>
      <c r="I42" s="12">
        <v>0.79395559699402973</v>
      </c>
    </row>
    <row r="43" spans="1:9" s="9" customFormat="1" ht="12.75" x14ac:dyDescent="0.2">
      <c r="A43" s="9">
        <v>12</v>
      </c>
      <c r="B43" s="9">
        <v>2</v>
      </c>
      <c r="C43" s="9">
        <v>22</v>
      </c>
      <c r="D43" s="16">
        <v>23.6</v>
      </c>
      <c r="E43" s="14" t="s">
        <v>11</v>
      </c>
      <c r="F43" s="9">
        <v>2</v>
      </c>
      <c r="G43" s="17">
        <v>792</v>
      </c>
      <c r="H43" s="9">
        <v>0</v>
      </c>
      <c r="I43" s="12">
        <v>-0.40054736745425057</v>
      </c>
    </row>
    <row r="44" spans="1:9" s="9" customFormat="1" ht="12.75" x14ac:dyDescent="0.2">
      <c r="A44" s="9">
        <v>12</v>
      </c>
      <c r="B44" s="9">
        <v>2</v>
      </c>
      <c r="C44" s="9">
        <v>22</v>
      </c>
      <c r="D44" s="16">
        <v>23.6</v>
      </c>
      <c r="E44" s="14" t="s">
        <v>12</v>
      </c>
      <c r="F44" s="9">
        <v>3</v>
      </c>
      <c r="G44" s="17">
        <v>478.72</v>
      </c>
      <c r="H44" s="9">
        <v>5.2</v>
      </c>
      <c r="I44" s="12">
        <v>2.5976573575108093</v>
      </c>
    </row>
    <row r="45" spans="1:9" s="9" customFormat="1" ht="12.75" x14ac:dyDescent="0.2">
      <c r="A45" s="7">
        <v>12</v>
      </c>
      <c r="B45" s="7">
        <v>2</v>
      </c>
      <c r="C45" s="7">
        <v>22</v>
      </c>
      <c r="D45" s="8">
        <v>23.6</v>
      </c>
      <c r="E45" s="15" t="s">
        <v>9</v>
      </c>
      <c r="F45" s="7">
        <v>4</v>
      </c>
      <c r="G45" s="18">
        <v>497.79999999999995</v>
      </c>
      <c r="H45" s="9">
        <v>1.7999999999999998</v>
      </c>
      <c r="I45" s="12">
        <v>-0.73625810399970071</v>
      </c>
    </row>
    <row r="46" spans="1:9" s="9" customFormat="1" ht="12.75" x14ac:dyDescent="0.2">
      <c r="A46" s="9">
        <v>13</v>
      </c>
      <c r="B46" s="9">
        <v>2</v>
      </c>
      <c r="C46" s="9">
        <v>31</v>
      </c>
      <c r="D46" s="19">
        <v>22.9</v>
      </c>
      <c r="E46" s="14" t="s">
        <v>12</v>
      </c>
      <c r="F46" s="9">
        <v>1</v>
      </c>
      <c r="G46" s="17">
        <v>1180.24</v>
      </c>
      <c r="H46" s="9">
        <v>0.20000000000000007</v>
      </c>
      <c r="I46" s="12">
        <v>0.56475895633972062</v>
      </c>
    </row>
    <row r="47" spans="1:9" s="9" customFormat="1" ht="12.75" x14ac:dyDescent="0.2">
      <c r="A47" s="9">
        <v>13</v>
      </c>
      <c r="B47" s="9">
        <v>2</v>
      </c>
      <c r="C47" s="9">
        <v>31</v>
      </c>
      <c r="D47" s="19">
        <v>22.9</v>
      </c>
      <c r="E47" s="14" t="s">
        <v>10</v>
      </c>
      <c r="F47" s="9">
        <v>2</v>
      </c>
      <c r="G47" s="17">
        <v>1573.9199999999998</v>
      </c>
      <c r="H47" s="9">
        <v>0.10000000000000003</v>
      </c>
      <c r="I47" s="12">
        <v>-1.4057510509372797</v>
      </c>
    </row>
    <row r="48" spans="1:9" s="9" customFormat="1" ht="12.75" x14ac:dyDescent="0.2">
      <c r="A48" s="9">
        <v>13</v>
      </c>
      <c r="B48" s="9">
        <v>2</v>
      </c>
      <c r="C48" s="9">
        <v>31</v>
      </c>
      <c r="D48" s="19">
        <v>22.9</v>
      </c>
      <c r="E48" s="14" t="s">
        <v>11</v>
      </c>
      <c r="F48" s="9">
        <v>3</v>
      </c>
      <c r="G48" s="17">
        <v>1461.64</v>
      </c>
      <c r="H48" s="9">
        <v>0.2</v>
      </c>
      <c r="I48" s="12">
        <v>-7.172163236773077E-2</v>
      </c>
    </row>
    <row r="49" spans="1:9" s="9" customFormat="1" ht="12.75" x14ac:dyDescent="0.2">
      <c r="A49" s="7">
        <v>13</v>
      </c>
      <c r="B49" s="7">
        <v>2</v>
      </c>
      <c r="C49" s="7">
        <v>31</v>
      </c>
      <c r="D49" s="20">
        <v>22.9</v>
      </c>
      <c r="E49" s="15" t="s">
        <v>9</v>
      </c>
      <c r="F49" s="7">
        <v>4</v>
      </c>
      <c r="G49" s="18">
        <v>1432.8400000000001</v>
      </c>
      <c r="H49" s="9">
        <v>0</v>
      </c>
      <c r="I49" s="12">
        <v>3.5610624226032792</v>
      </c>
    </row>
    <row r="50" spans="1:9" s="9" customFormat="1" ht="12.75" x14ac:dyDescent="0.2">
      <c r="A50" s="9">
        <v>14</v>
      </c>
      <c r="B50" s="9">
        <v>1</v>
      </c>
      <c r="C50" s="9">
        <v>54</v>
      </c>
      <c r="D50" s="16">
        <v>24.7</v>
      </c>
      <c r="E50" s="14" t="s">
        <v>11</v>
      </c>
      <c r="F50" s="9">
        <v>1</v>
      </c>
      <c r="G50" s="17">
        <v>876.24</v>
      </c>
      <c r="H50" s="9">
        <v>0.3</v>
      </c>
      <c r="I50" s="12">
        <v>1.5974638539159693</v>
      </c>
    </row>
    <row r="51" spans="1:9" s="9" customFormat="1" ht="12.75" x14ac:dyDescent="0.2">
      <c r="A51" s="9">
        <v>14</v>
      </c>
      <c r="B51" s="9">
        <v>1</v>
      </c>
      <c r="C51" s="9">
        <v>54</v>
      </c>
      <c r="D51" s="16">
        <v>24.7</v>
      </c>
      <c r="E51" s="14" t="s">
        <v>12</v>
      </c>
      <c r="F51" s="9">
        <v>2</v>
      </c>
      <c r="G51" s="17">
        <v>1138.44</v>
      </c>
      <c r="H51" s="9">
        <v>2.9</v>
      </c>
      <c r="I51" s="12">
        <v>3.3254612084926709</v>
      </c>
    </row>
    <row r="52" spans="1:9" s="9" customFormat="1" ht="12.75" x14ac:dyDescent="0.2">
      <c r="A52" s="9">
        <v>14</v>
      </c>
      <c r="B52" s="9">
        <v>1</v>
      </c>
      <c r="C52" s="9">
        <v>54</v>
      </c>
      <c r="D52" s="16">
        <v>24.7</v>
      </c>
      <c r="E52" s="14" t="s">
        <v>10</v>
      </c>
      <c r="F52" s="9">
        <v>3</v>
      </c>
      <c r="G52" s="17">
        <v>1068.56</v>
      </c>
      <c r="H52" s="9">
        <v>9.9999999999999978E-2</v>
      </c>
      <c r="I52" s="12">
        <v>0.55790149792398047</v>
      </c>
    </row>
    <row r="53" spans="1:9" s="9" customFormat="1" ht="12.75" x14ac:dyDescent="0.2">
      <c r="A53" s="7">
        <v>14</v>
      </c>
      <c r="B53" s="7">
        <v>1</v>
      </c>
      <c r="C53" s="7">
        <v>54</v>
      </c>
      <c r="D53" s="8">
        <v>24.7</v>
      </c>
      <c r="E53" s="15" t="s">
        <v>9</v>
      </c>
      <c r="F53" s="7">
        <v>4</v>
      </c>
      <c r="G53" s="18">
        <v>1124.96</v>
      </c>
      <c r="H53" s="9">
        <v>1.5</v>
      </c>
      <c r="I53" s="12">
        <v>4.3151834746581699</v>
      </c>
    </row>
    <row r="54" spans="1:9" s="9" customFormat="1" ht="12.75" x14ac:dyDescent="0.2">
      <c r="A54" s="9">
        <v>15</v>
      </c>
      <c r="B54" s="9">
        <v>1</v>
      </c>
      <c r="C54" s="9">
        <v>26</v>
      </c>
      <c r="D54" s="19">
        <v>23.4</v>
      </c>
      <c r="E54" s="14" t="s">
        <v>12</v>
      </c>
      <c r="F54" s="9">
        <v>1</v>
      </c>
      <c r="G54" s="17">
        <v>621.43200000000002</v>
      </c>
      <c r="H54" s="9">
        <v>1.2</v>
      </c>
      <c r="I54" s="12">
        <v>-0.18629526000000052</v>
      </c>
    </row>
    <row r="55" spans="1:9" s="9" customFormat="1" ht="12.75" x14ac:dyDescent="0.2">
      <c r="A55" s="9">
        <v>15</v>
      </c>
      <c r="B55" s="9">
        <v>1</v>
      </c>
      <c r="C55" s="9">
        <v>26</v>
      </c>
      <c r="D55" s="19">
        <v>23.4</v>
      </c>
      <c r="E55" s="14" t="s">
        <v>11</v>
      </c>
      <c r="F55" s="9">
        <v>2</v>
      </c>
      <c r="G55" s="17">
        <v>793.04000000000008</v>
      </c>
      <c r="H55" s="9">
        <v>0</v>
      </c>
      <c r="I55" s="12">
        <v>-0.83977229670380016</v>
      </c>
    </row>
    <row r="56" spans="1:9" s="9" customFormat="1" ht="12.75" x14ac:dyDescent="0.2">
      <c r="A56" s="9">
        <v>15</v>
      </c>
      <c r="B56" s="9">
        <v>1</v>
      </c>
      <c r="C56" s="9">
        <v>26</v>
      </c>
      <c r="D56" s="19">
        <v>23.4</v>
      </c>
      <c r="E56" s="14" t="s">
        <v>9</v>
      </c>
      <c r="F56" s="9">
        <v>3</v>
      </c>
      <c r="G56" s="17">
        <v>705.18399999999997</v>
      </c>
      <c r="H56" s="9">
        <v>0.6</v>
      </c>
      <c r="I56" s="12">
        <v>4.7919615095839898</v>
      </c>
    </row>
    <row r="57" spans="1:9" s="9" customFormat="1" ht="12.75" x14ac:dyDescent="0.2">
      <c r="A57" s="7">
        <v>15</v>
      </c>
      <c r="B57" s="7">
        <v>1</v>
      </c>
      <c r="C57" s="7">
        <v>26</v>
      </c>
      <c r="D57" s="20">
        <v>23.4</v>
      </c>
      <c r="E57" s="15" t="s">
        <v>10</v>
      </c>
      <c r="F57" s="7">
        <v>4</v>
      </c>
      <c r="G57" s="18">
        <v>717.68</v>
      </c>
      <c r="H57" s="9">
        <v>0.19999999999999998</v>
      </c>
      <c r="I57" s="12">
        <v>-0.38805585257145037</v>
      </c>
    </row>
    <row r="58" spans="1:9" s="9" customFormat="1" ht="12.75" x14ac:dyDescent="0.2">
      <c r="A58" s="9">
        <v>16</v>
      </c>
      <c r="B58" s="9">
        <v>1</v>
      </c>
      <c r="C58" s="9">
        <v>21</v>
      </c>
      <c r="D58" s="16">
        <v>23.8</v>
      </c>
      <c r="E58" s="14" t="s">
        <v>10</v>
      </c>
      <c r="F58" s="9">
        <v>1</v>
      </c>
      <c r="G58" s="17">
        <v>952.68000000000006</v>
      </c>
      <c r="H58" s="9">
        <v>0.10000000000000009</v>
      </c>
      <c r="I58" s="12">
        <v>-0.17722600427303004</v>
      </c>
    </row>
    <row r="59" spans="1:9" s="9" customFormat="1" ht="12.75" x14ac:dyDescent="0.2">
      <c r="A59" s="9">
        <v>16</v>
      </c>
      <c r="B59" s="9">
        <v>1</v>
      </c>
      <c r="C59" s="9">
        <v>21</v>
      </c>
      <c r="D59" s="16">
        <v>23.8</v>
      </c>
      <c r="E59" s="14" t="s">
        <v>9</v>
      </c>
      <c r="F59" s="9">
        <v>2</v>
      </c>
      <c r="G59" s="17">
        <v>977.59999999999991</v>
      </c>
      <c r="H59" s="9">
        <v>2.5</v>
      </c>
      <c r="I59" s="12">
        <v>4.8550269934425199</v>
      </c>
    </row>
    <row r="60" spans="1:9" s="9" customFormat="1" ht="12.75" x14ac:dyDescent="0.2">
      <c r="A60" s="9">
        <v>16</v>
      </c>
      <c r="B60" s="9">
        <v>1</v>
      </c>
      <c r="C60" s="9">
        <v>21</v>
      </c>
      <c r="D60" s="16">
        <v>23.8</v>
      </c>
      <c r="E60" s="14" t="s">
        <v>11</v>
      </c>
      <c r="F60" s="9">
        <v>3</v>
      </c>
      <c r="G60" s="17">
        <v>1065.1999999999998</v>
      </c>
      <c r="H60" s="9">
        <v>0.39999999999999997</v>
      </c>
      <c r="I60" s="12">
        <v>-0.53190943781831024</v>
      </c>
    </row>
    <row r="61" spans="1:9" s="9" customFormat="1" ht="12.75" x14ac:dyDescent="0.2">
      <c r="A61" s="7">
        <v>16</v>
      </c>
      <c r="B61" s="7">
        <v>1</v>
      </c>
      <c r="C61" s="7">
        <v>21</v>
      </c>
      <c r="D61" s="8">
        <v>23.8</v>
      </c>
      <c r="E61" s="15" t="s">
        <v>12</v>
      </c>
      <c r="F61" s="7">
        <v>4</v>
      </c>
      <c r="G61" s="18">
        <v>971.19999999999993</v>
      </c>
      <c r="H61" s="9">
        <v>3.2</v>
      </c>
      <c r="I61" s="12">
        <v>5.0390516951794595</v>
      </c>
    </row>
    <row r="62" spans="1:9" s="9" customFormat="1" ht="12.75" x14ac:dyDescent="0.2">
      <c r="A62" s="9">
        <v>17</v>
      </c>
      <c r="B62" s="9">
        <v>2</v>
      </c>
      <c r="C62" s="9">
        <v>35</v>
      </c>
      <c r="D62" s="16">
        <v>22.9</v>
      </c>
      <c r="E62" s="14" t="s">
        <v>12</v>
      </c>
      <c r="F62" s="9">
        <v>1</v>
      </c>
      <c r="G62" s="17">
        <v>644.36</v>
      </c>
      <c r="H62" s="9">
        <v>2.7</v>
      </c>
      <c r="I62" s="12">
        <v>0.78249073478450004</v>
      </c>
    </row>
    <row r="63" spans="1:9" s="9" customFormat="1" ht="12.75" x14ac:dyDescent="0.2">
      <c r="A63" s="9">
        <v>17</v>
      </c>
      <c r="B63" s="9">
        <v>2</v>
      </c>
      <c r="C63" s="9">
        <v>35</v>
      </c>
      <c r="D63" s="16">
        <v>22.9</v>
      </c>
      <c r="E63" s="14" t="s">
        <v>10</v>
      </c>
      <c r="F63" s="9">
        <v>2</v>
      </c>
      <c r="G63" s="17">
        <v>879.88799999999992</v>
      </c>
      <c r="H63" s="9">
        <v>0.6</v>
      </c>
      <c r="I63" s="12">
        <v>0.75525605941431007</v>
      </c>
    </row>
    <row r="64" spans="1:9" s="9" customFormat="1" ht="12.75" x14ac:dyDescent="0.2">
      <c r="A64" s="9">
        <v>17</v>
      </c>
      <c r="B64" s="9">
        <v>2</v>
      </c>
      <c r="C64" s="9">
        <v>35</v>
      </c>
      <c r="D64" s="16">
        <v>22.9</v>
      </c>
      <c r="E64" s="14" t="s">
        <v>9</v>
      </c>
      <c r="F64" s="9">
        <v>3</v>
      </c>
      <c r="G64" s="17">
        <v>986.68000000000006</v>
      </c>
      <c r="H64" s="9">
        <v>0.4</v>
      </c>
      <c r="I64" s="12">
        <v>3.2511638262754703</v>
      </c>
    </row>
    <row r="65" spans="1:9" s="9" customFormat="1" ht="12.75" x14ac:dyDescent="0.2">
      <c r="A65" s="7">
        <v>17</v>
      </c>
      <c r="B65" s="7">
        <v>2</v>
      </c>
      <c r="C65" s="7">
        <v>35</v>
      </c>
      <c r="D65" s="8">
        <v>22.9</v>
      </c>
      <c r="E65" s="15" t="s">
        <v>11</v>
      </c>
      <c r="F65" s="7">
        <v>4</v>
      </c>
      <c r="G65" s="18">
        <v>1159.24</v>
      </c>
      <c r="H65" s="9">
        <v>0.3</v>
      </c>
      <c r="I65" s="12">
        <v>0.21587056967118023</v>
      </c>
    </row>
    <row r="66" spans="1:9" s="9" customFormat="1" ht="12.75" x14ac:dyDescent="0.2">
      <c r="A66" s="9">
        <v>18</v>
      </c>
      <c r="B66" s="9">
        <v>2</v>
      </c>
      <c r="C66" s="9">
        <v>21</v>
      </c>
      <c r="D66" s="19">
        <v>22.5</v>
      </c>
      <c r="E66" s="14" t="s">
        <v>10</v>
      </c>
      <c r="F66" s="9">
        <v>1</v>
      </c>
      <c r="G66" s="17">
        <v>750.6400000000001</v>
      </c>
      <c r="H66" s="9">
        <v>0.60000000000000009</v>
      </c>
      <c r="I66" s="12">
        <v>1.1587490767602899</v>
      </c>
    </row>
    <row r="67" spans="1:9" s="9" customFormat="1" ht="12.75" x14ac:dyDescent="0.2">
      <c r="A67" s="9">
        <v>18</v>
      </c>
      <c r="B67" s="9">
        <v>2</v>
      </c>
      <c r="C67" s="9">
        <v>21</v>
      </c>
      <c r="D67" s="19">
        <v>22.5</v>
      </c>
      <c r="E67" s="14" t="s">
        <v>9</v>
      </c>
      <c r="F67" s="9">
        <v>2</v>
      </c>
      <c r="G67" s="17">
        <v>939.76</v>
      </c>
      <c r="H67" s="9">
        <v>1.0999999999999999</v>
      </c>
      <c r="I67" s="12">
        <v>6.3224921261190801</v>
      </c>
    </row>
    <row r="68" spans="1:9" s="9" customFormat="1" ht="12.75" x14ac:dyDescent="0.2">
      <c r="A68" s="9">
        <v>18</v>
      </c>
      <c r="B68" s="9">
        <v>2</v>
      </c>
      <c r="C68" s="9">
        <v>21</v>
      </c>
      <c r="D68" s="19">
        <v>22.5</v>
      </c>
      <c r="E68" s="14" t="s">
        <v>12</v>
      </c>
      <c r="F68" s="9">
        <v>3</v>
      </c>
      <c r="G68" s="17">
        <v>641.84</v>
      </c>
      <c r="H68" s="9">
        <v>5.5</v>
      </c>
      <c r="I68" s="12">
        <v>13.231090557476069</v>
      </c>
    </row>
    <row r="69" spans="1:9" s="9" customFormat="1" ht="12.75" x14ac:dyDescent="0.2">
      <c r="A69" s="7">
        <v>18</v>
      </c>
      <c r="B69" s="7">
        <v>2</v>
      </c>
      <c r="C69" s="7">
        <v>21</v>
      </c>
      <c r="D69" s="20">
        <v>22.5</v>
      </c>
      <c r="E69" s="15" t="s">
        <v>11</v>
      </c>
      <c r="F69" s="7">
        <v>4</v>
      </c>
      <c r="G69" s="18">
        <v>926.68000000000006</v>
      </c>
      <c r="H69" s="9">
        <v>1.2000000000000002</v>
      </c>
      <c r="I69" s="12">
        <v>11.01161818189729</v>
      </c>
    </row>
    <row r="70" spans="1:9" s="9" customFormat="1" ht="12.75" x14ac:dyDescent="0.2">
      <c r="A70" s="9">
        <v>19</v>
      </c>
      <c r="B70" s="9">
        <v>1</v>
      </c>
      <c r="C70" s="9">
        <v>28</v>
      </c>
      <c r="D70" s="19">
        <v>19.899999999999999</v>
      </c>
      <c r="E70" s="14" t="s">
        <v>11</v>
      </c>
      <c r="F70" s="9">
        <v>1</v>
      </c>
      <c r="G70" s="17">
        <v>323.35199999999998</v>
      </c>
      <c r="I70" s="12">
        <v>0.1142415332824207</v>
      </c>
    </row>
    <row r="71" spans="1:9" s="9" customFormat="1" ht="12.75" x14ac:dyDescent="0.2">
      <c r="A71" s="9">
        <v>19</v>
      </c>
      <c r="B71" s="9">
        <v>1</v>
      </c>
      <c r="C71" s="9">
        <v>28</v>
      </c>
      <c r="D71" s="19">
        <v>19.899999999999999</v>
      </c>
      <c r="E71" s="14" t="s">
        <v>10</v>
      </c>
      <c r="F71" s="9">
        <v>2</v>
      </c>
      <c r="G71" s="17">
        <v>550</v>
      </c>
      <c r="H71" s="9">
        <v>0</v>
      </c>
      <c r="I71" s="12">
        <v>3.4469849275080495</v>
      </c>
    </row>
    <row r="72" spans="1:9" s="9" customFormat="1" ht="12.75" x14ac:dyDescent="0.2">
      <c r="A72" s="9">
        <v>19</v>
      </c>
      <c r="B72" s="9">
        <v>1</v>
      </c>
      <c r="C72" s="9">
        <v>28</v>
      </c>
      <c r="D72" s="19">
        <v>19.899999999999999</v>
      </c>
      <c r="E72" s="14" t="s">
        <v>12</v>
      </c>
      <c r="F72" s="9">
        <v>3</v>
      </c>
      <c r="G72" s="17">
        <v>395.24799999999999</v>
      </c>
      <c r="H72" s="9">
        <v>2.7</v>
      </c>
      <c r="I72" s="12">
        <v>0.50956426195759974</v>
      </c>
    </row>
    <row r="73" spans="1:9" s="9" customFormat="1" ht="12.75" x14ac:dyDescent="0.2">
      <c r="A73" s="7">
        <v>19</v>
      </c>
      <c r="B73" s="7">
        <v>1</v>
      </c>
      <c r="C73" s="7">
        <v>28</v>
      </c>
      <c r="D73" s="20">
        <v>19.899999999999999</v>
      </c>
      <c r="E73" s="15" t="s">
        <v>9</v>
      </c>
      <c r="F73" s="7">
        <v>4</v>
      </c>
      <c r="G73" s="18">
        <v>440.096</v>
      </c>
      <c r="H73" s="9">
        <v>0.60000000000000009</v>
      </c>
      <c r="I73" s="12">
        <v>4.5123328716262199</v>
      </c>
    </row>
    <row r="74" spans="1:9" s="9" customFormat="1" ht="12.75" x14ac:dyDescent="0.2">
      <c r="A74" s="9">
        <v>20</v>
      </c>
      <c r="B74" s="9">
        <v>1</v>
      </c>
      <c r="C74" s="9">
        <v>22</v>
      </c>
      <c r="D74" s="16">
        <v>23.6</v>
      </c>
      <c r="E74" s="14" t="s">
        <v>10</v>
      </c>
      <c r="F74" s="9">
        <v>1</v>
      </c>
      <c r="G74" s="17">
        <v>302.32</v>
      </c>
      <c r="H74" s="9">
        <v>9.9999999999999978E-2</v>
      </c>
      <c r="I74" s="12">
        <v>0.55733187034411991</v>
      </c>
    </row>
    <row r="75" spans="1:9" s="9" customFormat="1" ht="12.75" x14ac:dyDescent="0.2">
      <c r="A75" s="9">
        <v>20</v>
      </c>
      <c r="B75" s="9">
        <v>1</v>
      </c>
      <c r="C75" s="9">
        <v>22</v>
      </c>
      <c r="D75" s="16">
        <v>23.6</v>
      </c>
      <c r="E75" s="14" t="s">
        <v>12</v>
      </c>
      <c r="F75" s="9">
        <v>2</v>
      </c>
      <c r="G75" s="17">
        <v>217.36</v>
      </c>
      <c r="H75" s="9">
        <v>3.4</v>
      </c>
      <c r="I75" s="12">
        <v>-8.4471239276790691</v>
      </c>
    </row>
    <row r="76" spans="1:9" s="9" customFormat="1" ht="12.75" x14ac:dyDescent="0.2">
      <c r="A76" s="9">
        <v>20</v>
      </c>
      <c r="B76" s="9">
        <v>1</v>
      </c>
      <c r="C76" s="9">
        <v>22</v>
      </c>
      <c r="D76" s="16">
        <v>23.6</v>
      </c>
      <c r="E76" s="14" t="s">
        <v>9</v>
      </c>
      <c r="F76" s="9">
        <v>3</v>
      </c>
      <c r="G76" s="17">
        <v>368.59999999999997</v>
      </c>
      <c r="H76" s="9">
        <v>0.79999999999999993</v>
      </c>
      <c r="I76" s="12">
        <v>7.9213310619428396</v>
      </c>
    </row>
    <row r="77" spans="1:9" s="9" customFormat="1" ht="12.75" x14ac:dyDescent="0.2">
      <c r="A77" s="7">
        <v>20</v>
      </c>
      <c r="B77" s="7">
        <v>1</v>
      </c>
      <c r="C77" s="7">
        <v>22</v>
      </c>
      <c r="D77" s="8">
        <v>23.6</v>
      </c>
      <c r="E77" s="15" t="s">
        <v>11</v>
      </c>
      <c r="F77" s="7">
        <v>4</v>
      </c>
      <c r="G77" s="18">
        <v>234.72</v>
      </c>
      <c r="H77" s="9">
        <v>0.39999999999999991</v>
      </c>
      <c r="I77" s="12">
        <v>4.6027352454011297</v>
      </c>
    </row>
    <row r="78" spans="1:9" s="9" customFormat="1" ht="12.75" x14ac:dyDescent="0.2">
      <c r="A78" s="9">
        <v>21</v>
      </c>
      <c r="B78" s="9">
        <v>1</v>
      </c>
      <c r="C78" s="9">
        <v>26</v>
      </c>
      <c r="D78" s="16">
        <v>24.7</v>
      </c>
      <c r="E78" s="14" t="s">
        <v>9</v>
      </c>
      <c r="F78" s="9">
        <v>1</v>
      </c>
      <c r="G78" s="17">
        <v>391.52600000000001</v>
      </c>
      <c r="H78" s="9">
        <v>1.5</v>
      </c>
      <c r="I78" s="12">
        <v>-2.5826283046049703</v>
      </c>
    </row>
    <row r="79" spans="1:9" s="9" customFormat="1" ht="12.75" x14ac:dyDescent="0.2">
      <c r="A79" s="9">
        <v>21</v>
      </c>
      <c r="B79" s="9">
        <v>1</v>
      </c>
      <c r="C79" s="9">
        <v>26</v>
      </c>
      <c r="D79" s="16">
        <v>24.7</v>
      </c>
      <c r="E79" s="14" t="s">
        <v>10</v>
      </c>
      <c r="F79" s="9">
        <v>2</v>
      </c>
      <c r="G79" s="17">
        <v>422.20800000000003</v>
      </c>
      <c r="H79" s="9">
        <v>0.30000000000000004</v>
      </c>
      <c r="I79" s="12">
        <v>0.54032805940864925</v>
      </c>
    </row>
    <row r="80" spans="1:9" s="9" customFormat="1" ht="12.75" x14ac:dyDescent="0.2">
      <c r="A80" s="9">
        <v>21</v>
      </c>
      <c r="B80" s="9">
        <v>1</v>
      </c>
      <c r="C80" s="9">
        <v>26</v>
      </c>
      <c r="D80" s="16">
        <v>24.7</v>
      </c>
      <c r="E80" s="14" t="s">
        <v>12</v>
      </c>
      <c r="F80" s="9">
        <v>3</v>
      </c>
      <c r="G80" s="17">
        <v>472.91999999999996</v>
      </c>
      <c r="H80" s="9">
        <v>1.7999999999999998</v>
      </c>
      <c r="I80" s="12">
        <v>0.98788542618621999</v>
      </c>
    </row>
    <row r="81" spans="1:9" s="9" customFormat="1" ht="12.75" x14ac:dyDescent="0.2">
      <c r="A81" s="9">
        <v>21</v>
      </c>
      <c r="B81" s="9">
        <v>1</v>
      </c>
      <c r="C81" s="9">
        <v>26</v>
      </c>
      <c r="D81" s="16">
        <v>24.7</v>
      </c>
      <c r="E81" s="14" t="s">
        <v>11</v>
      </c>
      <c r="F81" s="9">
        <v>4</v>
      </c>
      <c r="G81" s="17">
        <v>630.00800000000004</v>
      </c>
      <c r="H81" s="9">
        <v>0.10000000000000003</v>
      </c>
      <c r="I81" s="12">
        <v>-1.14384109614367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740F-8DBA-400A-993F-5244195ACB9C}">
  <dimension ref="A1:M21"/>
  <sheetViews>
    <sheetView tabSelected="1" workbookViewId="0">
      <selection activeCell="E2" sqref="E2"/>
    </sheetView>
  </sheetViews>
  <sheetFormatPr baseColWidth="10" defaultRowHeight="13.5" x14ac:dyDescent="0.25"/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2" t="s">
        <v>13</v>
      </c>
      <c r="F1" s="21" t="s">
        <v>15</v>
      </c>
      <c r="G1" s="21" t="s">
        <v>14</v>
      </c>
      <c r="H1" s="21" t="s">
        <v>16</v>
      </c>
      <c r="I1" s="21" t="s">
        <v>17</v>
      </c>
      <c r="J1" s="21" t="s">
        <v>18</v>
      </c>
      <c r="K1" s="22" t="s">
        <v>19</v>
      </c>
      <c r="L1" s="22" t="s">
        <v>20</v>
      </c>
      <c r="M1" s="22" t="s">
        <v>21</v>
      </c>
    </row>
    <row r="2" spans="1:13" x14ac:dyDescent="0.25">
      <c r="A2" s="1">
        <v>1</v>
      </c>
      <c r="B2" s="1">
        <v>2</v>
      </c>
      <c r="C2" s="1">
        <v>40</v>
      </c>
      <c r="D2" s="1">
        <v>24.1</v>
      </c>
      <c r="E2">
        <f>558.48-744.64</f>
        <v>-186.15999999999997</v>
      </c>
      <c r="F2">
        <f>558.48-809.68</f>
        <v>-251.19999999999993</v>
      </c>
      <c r="G2">
        <f>558.48-801.32</f>
        <v>-242.84000000000003</v>
      </c>
      <c r="H2">
        <f>2.1-0.5</f>
        <v>1.6</v>
      </c>
      <c r="I2">
        <f>2.1-0.7</f>
        <v>1.4000000000000001</v>
      </c>
      <c r="J2">
        <f>2.1-0</f>
        <v>2.1</v>
      </c>
      <c r="K2">
        <f>1.99-2.13</f>
        <v>-0.1399999999999999</v>
      </c>
      <c r="L2">
        <f>1.99-0.01</f>
        <v>1.98</v>
      </c>
      <c r="M2">
        <f>1.99+2.15</f>
        <v>4.1399999999999997</v>
      </c>
    </row>
    <row r="3" spans="1:13" x14ac:dyDescent="0.25">
      <c r="A3" s="4">
        <v>2</v>
      </c>
      <c r="B3" s="4">
        <v>1</v>
      </c>
      <c r="C3" s="4">
        <v>23</v>
      </c>
      <c r="D3" s="6">
        <v>20.6</v>
      </c>
      <c r="E3">
        <f>312.4-307.5</f>
        <v>4.8999999999999773</v>
      </c>
      <c r="F3">
        <f>312.4-323</f>
        <v>-10.600000000000023</v>
      </c>
      <c r="G3">
        <f>312.4-309.2</f>
        <v>3.1999999999999886</v>
      </c>
      <c r="H3">
        <f>0.4-0.2</f>
        <v>0.2</v>
      </c>
      <c r="I3">
        <f>0.4-0</f>
        <v>0.4</v>
      </c>
      <c r="J3">
        <f>0.4-0.1</f>
        <v>0.30000000000000004</v>
      </c>
      <c r="K3">
        <f>1.24-5.06</f>
        <v>-3.8199999999999994</v>
      </c>
      <c r="L3">
        <f>1.24+0.07</f>
        <v>1.31</v>
      </c>
      <c r="M3">
        <f>1.24+0.85</f>
        <v>2.09</v>
      </c>
    </row>
    <row r="4" spans="1:13" x14ac:dyDescent="0.25">
      <c r="A4" s="4">
        <v>3</v>
      </c>
      <c r="B4" s="4">
        <v>2</v>
      </c>
      <c r="C4" s="4">
        <v>22</v>
      </c>
      <c r="D4" s="6">
        <v>22.2</v>
      </c>
      <c r="E4">
        <f>638-308.3</f>
        <v>329.7</v>
      </c>
      <c r="F4">
        <f>638-555.2</f>
        <v>82.799999999999955</v>
      </c>
      <c r="G4">
        <f>638-568.8</f>
        <v>69.200000000000045</v>
      </c>
      <c r="H4">
        <f>1.1-0.5</f>
        <v>0.60000000000000009</v>
      </c>
      <c r="I4">
        <f>1.1-1</f>
        <v>0.10000000000000009</v>
      </c>
      <c r="J4">
        <f>1.1-0.3</f>
        <v>0.8</v>
      </c>
      <c r="K4">
        <f>3.96-4.2</f>
        <v>-0.24000000000000021</v>
      </c>
      <c r="L4">
        <f>3.96-4.57</f>
        <v>-0.61000000000000032</v>
      </c>
      <c r="M4">
        <f>3.96-1.76</f>
        <v>2.2000000000000002</v>
      </c>
    </row>
    <row r="5" spans="1:13" x14ac:dyDescent="0.25">
      <c r="A5" s="4">
        <v>4</v>
      </c>
      <c r="B5" s="4">
        <v>2</v>
      </c>
      <c r="C5" s="4">
        <v>30</v>
      </c>
      <c r="D5" s="6">
        <v>21.5</v>
      </c>
      <c r="E5">
        <f>813-833.7</f>
        <v>-20.700000000000045</v>
      </c>
      <c r="F5">
        <f>813-883.2</f>
        <v>-70.200000000000045</v>
      </c>
      <c r="G5">
        <f>813-784.7</f>
        <v>28.299999999999955</v>
      </c>
      <c r="H5">
        <f>2-0.4</f>
        <v>1.6</v>
      </c>
      <c r="I5">
        <f>2-0.6</f>
        <v>1.4</v>
      </c>
      <c r="J5">
        <f>2-0.4</f>
        <v>1.6</v>
      </c>
      <c r="K5">
        <f>3.55-4.97</f>
        <v>-1.42</v>
      </c>
      <c r="L5">
        <f>3.55+0.14</f>
        <v>3.69</v>
      </c>
      <c r="M5">
        <f>3.55+3.28</f>
        <v>6.83</v>
      </c>
    </row>
    <row r="6" spans="1:13" x14ac:dyDescent="0.25">
      <c r="A6" s="4">
        <v>5</v>
      </c>
      <c r="B6" s="4">
        <v>1</v>
      </c>
      <c r="C6" s="4">
        <v>22</v>
      </c>
      <c r="D6" s="6">
        <v>24.5</v>
      </c>
      <c r="E6">
        <f>315.3-386.9</f>
        <v>-71.599999999999966</v>
      </c>
      <c r="F6">
        <f>315.3-457.4</f>
        <v>-142.09999999999997</v>
      </c>
      <c r="G6">
        <f>315.3-428.7</f>
        <v>-113.39999999999998</v>
      </c>
      <c r="H6">
        <f>4.3-2.3</f>
        <v>2</v>
      </c>
      <c r="I6">
        <f>4.3-1.9</f>
        <v>2.4</v>
      </c>
      <c r="J6">
        <f>4.3-0.4</f>
        <v>3.9</v>
      </c>
      <c r="K6">
        <f>10.34-8.29</f>
        <v>2.0500000000000007</v>
      </c>
      <c r="L6">
        <f>10.34-4.29</f>
        <v>6.05</v>
      </c>
      <c r="M6">
        <f>10.34-0.2</f>
        <v>10.14</v>
      </c>
    </row>
    <row r="7" spans="1:13" x14ac:dyDescent="0.25">
      <c r="A7" s="4">
        <v>6</v>
      </c>
      <c r="B7" s="4">
        <v>1</v>
      </c>
      <c r="C7" s="4">
        <v>21</v>
      </c>
      <c r="D7" s="6">
        <v>23.6</v>
      </c>
      <c r="E7">
        <f>461.1-456.1</f>
        <v>5</v>
      </c>
      <c r="F7">
        <f>461.1-458.4</f>
        <v>2.7000000000000455</v>
      </c>
      <c r="G7">
        <f>461.1-598.7</f>
        <v>-137.60000000000002</v>
      </c>
      <c r="H7">
        <f>2.1-0.5</f>
        <v>1.6</v>
      </c>
      <c r="I7">
        <f>2.1-0</f>
        <v>2.1</v>
      </c>
      <c r="J7">
        <f>2.1-0.3</f>
        <v>1.8</v>
      </c>
      <c r="K7">
        <f>3.75-4.51</f>
        <v>-0.75999999999999979</v>
      </c>
      <c r="L7">
        <f>3.75-3.03</f>
        <v>0.7200000000000002</v>
      </c>
      <c r="M7">
        <f>3.75-3.96</f>
        <v>-0.20999999999999996</v>
      </c>
    </row>
    <row r="8" spans="1:13" x14ac:dyDescent="0.25">
      <c r="A8" s="4">
        <v>7</v>
      </c>
      <c r="B8" s="4">
        <v>1</v>
      </c>
      <c r="C8" s="4">
        <v>26</v>
      </c>
      <c r="D8" s="3">
        <v>20.5</v>
      </c>
      <c r="E8">
        <f>1257.8-1223</f>
        <v>34.799999999999955</v>
      </c>
      <c r="F8">
        <f>1257.8-1449.4</f>
        <v>-191.60000000000014</v>
      </c>
      <c r="G8">
        <f>1257.8-1338.9</f>
        <v>-81.100000000000136</v>
      </c>
      <c r="H8">
        <f>6-0.9</f>
        <v>5.0999999999999996</v>
      </c>
      <c r="I8">
        <f>6-1</f>
        <v>5</v>
      </c>
      <c r="J8">
        <f>6-0.1</f>
        <v>5.9</v>
      </c>
      <c r="K8">
        <f>-0.37-2.08</f>
        <v>-2.4500000000000002</v>
      </c>
      <c r="L8">
        <f>-0.37-0.44</f>
        <v>-0.81</v>
      </c>
      <c r="M8">
        <f>-0.37+0.64</f>
        <v>0.27</v>
      </c>
    </row>
    <row r="9" spans="1:13" x14ac:dyDescent="0.25">
      <c r="A9" s="4">
        <v>8</v>
      </c>
      <c r="B9" s="4">
        <v>2</v>
      </c>
      <c r="C9" s="4">
        <v>27</v>
      </c>
      <c r="D9" s="3">
        <v>23.9</v>
      </c>
      <c r="E9">
        <f>1939-1995.2</f>
        <v>-56.200000000000045</v>
      </c>
      <c r="F9">
        <f>1939-1645.7</f>
        <v>293.29999999999995</v>
      </c>
      <c r="G9">
        <f>1939-1704.8</f>
        <v>234.20000000000005</v>
      </c>
      <c r="H9">
        <f>1.4-0.3</f>
        <v>1.0999999999999999</v>
      </c>
      <c r="I9">
        <f>1.4-0.2</f>
        <v>1.2</v>
      </c>
      <c r="J9">
        <f>1.4+0.4</f>
        <v>1.7999999999999998</v>
      </c>
      <c r="K9">
        <f>2.84-3.96</f>
        <v>-1.1200000000000001</v>
      </c>
      <c r="L9">
        <f>2.84+0.28</f>
        <v>3.12</v>
      </c>
      <c r="M9">
        <f>2.84-0.68</f>
        <v>2.1599999999999997</v>
      </c>
    </row>
    <row r="10" spans="1:13" x14ac:dyDescent="0.25">
      <c r="A10" s="4">
        <v>10</v>
      </c>
      <c r="B10" s="4">
        <v>2</v>
      </c>
      <c r="C10" s="4">
        <v>28</v>
      </c>
      <c r="D10" s="3">
        <v>23.1</v>
      </c>
      <c r="E10">
        <f>615.2-744</f>
        <v>-128.79999999999995</v>
      </c>
      <c r="F10">
        <f>615.2-658.2</f>
        <v>-43</v>
      </c>
      <c r="G10">
        <f>615.2-1010.6</f>
        <v>-395.4</v>
      </c>
      <c r="H10">
        <f>1.9-0.4</f>
        <v>1.5</v>
      </c>
      <c r="I10">
        <f>1.9-0.5</f>
        <v>1.4</v>
      </c>
      <c r="J10">
        <f>1.9-0.2</f>
        <v>1.7</v>
      </c>
      <c r="K10">
        <f>2.43-3.75</f>
        <v>-1.3199999999999998</v>
      </c>
      <c r="L10">
        <f>2.43-1.04</f>
        <v>1.3900000000000001</v>
      </c>
      <c r="M10">
        <f>2.43-0.47</f>
        <v>1.9600000000000002</v>
      </c>
    </row>
    <row r="11" spans="1:13" x14ac:dyDescent="0.25">
      <c r="A11" s="4">
        <v>11</v>
      </c>
      <c r="B11" s="4">
        <v>2</v>
      </c>
      <c r="C11" s="4">
        <v>24</v>
      </c>
      <c r="D11" s="3">
        <v>24.7</v>
      </c>
      <c r="E11">
        <f>606.9-634.2</f>
        <v>-27.300000000000068</v>
      </c>
      <c r="F11">
        <f>606.9-806.6</f>
        <v>-199.70000000000005</v>
      </c>
      <c r="G11">
        <f>606.9-391.9</f>
        <v>215</v>
      </c>
      <c r="H11">
        <f>0.5-1.2</f>
        <v>-0.7</v>
      </c>
      <c r="I11">
        <f>0.5+0.1</f>
        <v>0.6</v>
      </c>
      <c r="J11">
        <f>0.5-0.4</f>
        <v>9.9999999999999978E-2</v>
      </c>
      <c r="K11">
        <f>-0.58-5.3</f>
        <v>-5.88</v>
      </c>
      <c r="L11">
        <f>-0.58-0.87</f>
        <v>-1.45</v>
      </c>
      <c r="M11">
        <f>-0.58-0.86</f>
        <v>-1.44</v>
      </c>
    </row>
    <row r="12" spans="1:13" x14ac:dyDescent="0.25">
      <c r="A12" s="4">
        <v>12</v>
      </c>
      <c r="B12" s="4">
        <v>2</v>
      </c>
      <c r="C12" s="4">
        <v>22</v>
      </c>
      <c r="D12" s="6">
        <v>23.6</v>
      </c>
      <c r="E12">
        <f>478.7-497.8</f>
        <v>-19.100000000000023</v>
      </c>
      <c r="F12">
        <f>478.7-394</f>
        <v>84.699999999999989</v>
      </c>
      <c r="G12">
        <f>478.7-792</f>
        <v>-313.3</v>
      </c>
      <c r="H12">
        <f>5.2-1.8</f>
        <v>3.4000000000000004</v>
      </c>
      <c r="I12">
        <f>5.2-0</f>
        <v>5.2</v>
      </c>
      <c r="J12">
        <f>5.2-0</f>
        <v>5.2</v>
      </c>
      <c r="K12">
        <f>2.6+0.74</f>
        <v>3.34</v>
      </c>
      <c r="L12">
        <f>2.6-0.79</f>
        <v>1.81</v>
      </c>
      <c r="M12">
        <f>2.6+0.4</f>
        <v>3</v>
      </c>
    </row>
    <row r="13" spans="1:13" x14ac:dyDescent="0.25">
      <c r="A13" s="4">
        <v>13</v>
      </c>
      <c r="B13" s="4">
        <v>2</v>
      </c>
      <c r="C13" s="4">
        <v>31</v>
      </c>
      <c r="D13" s="3">
        <v>22.9</v>
      </c>
      <c r="E13">
        <f>1180.2-1432.8</f>
        <v>-252.59999999999991</v>
      </c>
      <c r="F13">
        <f>1180.2-1573.9</f>
        <v>-393.70000000000005</v>
      </c>
      <c r="G13">
        <f>1180.2-1461.6</f>
        <v>-281.39999999999986</v>
      </c>
      <c r="H13">
        <f>0.2-0</f>
        <v>0.2</v>
      </c>
      <c r="I13">
        <f>0.2-0.1</f>
        <v>0.1</v>
      </c>
      <c r="J13">
        <f>0.2-0.2</f>
        <v>0</v>
      </c>
      <c r="K13">
        <f>0.56-3.56</f>
        <v>-3</v>
      </c>
      <c r="L13">
        <f>0.56+1.41</f>
        <v>1.97</v>
      </c>
      <c r="M13">
        <f>0.56+0.07</f>
        <v>0.63000000000000012</v>
      </c>
    </row>
    <row r="14" spans="1:13" x14ac:dyDescent="0.25">
      <c r="A14" s="4">
        <v>14</v>
      </c>
      <c r="B14" s="4">
        <v>1</v>
      </c>
      <c r="C14" s="4">
        <v>54</v>
      </c>
      <c r="D14" s="6">
        <v>24.7</v>
      </c>
      <c r="E14">
        <f>1138.4-1125</f>
        <v>13.400000000000091</v>
      </c>
      <c r="F14">
        <f>1138.4-1068.6</f>
        <v>69.800000000000182</v>
      </c>
      <c r="G14">
        <f>1138.4-876.2</f>
        <v>262.20000000000005</v>
      </c>
      <c r="H14">
        <f>2.9-1.5</f>
        <v>1.4</v>
      </c>
      <c r="I14">
        <f>2.9-0.1</f>
        <v>2.8</v>
      </c>
      <c r="J14">
        <f>2.9-0.3</f>
        <v>2.6</v>
      </c>
      <c r="K14">
        <f>3.33-4.32</f>
        <v>-0.99000000000000021</v>
      </c>
      <c r="L14">
        <f>3.33-0.56</f>
        <v>2.77</v>
      </c>
      <c r="M14">
        <f>3.33-1.6</f>
        <v>1.73</v>
      </c>
    </row>
    <row r="15" spans="1:13" x14ac:dyDescent="0.25">
      <c r="A15" s="4">
        <v>15</v>
      </c>
      <c r="B15" s="4">
        <v>1</v>
      </c>
      <c r="C15" s="4">
        <v>26</v>
      </c>
      <c r="D15" s="3">
        <v>23.4</v>
      </c>
      <c r="E15">
        <f>621.4-705.2</f>
        <v>-83.800000000000068</v>
      </c>
      <c r="F15">
        <f>621.4-717.7</f>
        <v>-96.300000000000068</v>
      </c>
      <c r="G15">
        <f>621.4-793</f>
        <v>-171.60000000000002</v>
      </c>
      <c r="H15">
        <f>1.2-0.6</f>
        <v>0.6</v>
      </c>
      <c r="I15">
        <f>1.2-0.2</f>
        <v>1</v>
      </c>
      <c r="J15">
        <v>1.2</v>
      </c>
      <c r="K15">
        <f>-0.19-4.79</f>
        <v>-4.9800000000000004</v>
      </c>
      <c r="L15">
        <f>-0.19+0.39</f>
        <v>0.2</v>
      </c>
      <c r="M15">
        <f>-0.19+0.84</f>
        <v>0.64999999999999991</v>
      </c>
    </row>
    <row r="16" spans="1:13" x14ac:dyDescent="0.25">
      <c r="A16" s="4">
        <v>16</v>
      </c>
      <c r="B16" s="4">
        <v>1</v>
      </c>
      <c r="C16" s="4">
        <v>21</v>
      </c>
      <c r="D16" s="6">
        <v>23.8</v>
      </c>
      <c r="E16">
        <f>971.2-977.6</f>
        <v>-6.3999999999999773</v>
      </c>
      <c r="F16">
        <f>971.2-952.7</f>
        <v>18.5</v>
      </c>
      <c r="G16">
        <f>971.2-1065.2</f>
        <v>-94</v>
      </c>
      <c r="H16">
        <f>3.2-2.5</f>
        <v>0.70000000000000018</v>
      </c>
      <c r="I16">
        <f>3.2-0.1</f>
        <v>3.1</v>
      </c>
      <c r="J16">
        <f>3.2-0.4</f>
        <v>2.8000000000000003</v>
      </c>
      <c r="K16">
        <f>5.04-4.86</f>
        <v>0.17999999999999972</v>
      </c>
      <c r="L16">
        <f>5.04+0.18</f>
        <v>5.22</v>
      </c>
      <c r="M16">
        <f>5.04+0.53</f>
        <v>5.57</v>
      </c>
    </row>
    <row r="17" spans="1:13" x14ac:dyDescent="0.25">
      <c r="A17" s="4">
        <v>17</v>
      </c>
      <c r="B17" s="4">
        <v>2</v>
      </c>
      <c r="C17" s="4">
        <v>35</v>
      </c>
      <c r="D17" s="6">
        <v>22.9</v>
      </c>
      <c r="E17">
        <f>644.4-986.7</f>
        <v>-342.30000000000007</v>
      </c>
      <c r="F17">
        <f>644.4-879.9</f>
        <v>-235.5</v>
      </c>
      <c r="G17">
        <f>644.4-1159.2</f>
        <v>-514.80000000000007</v>
      </c>
      <c r="H17">
        <f>2.7-0.4</f>
        <v>2.3000000000000003</v>
      </c>
      <c r="I17">
        <f>2.7-0.6</f>
        <v>2.1</v>
      </c>
      <c r="J17">
        <f>2.7-0.3</f>
        <v>2.4000000000000004</v>
      </c>
      <c r="K17">
        <f>0.78-3.25</f>
        <v>-2.4699999999999998</v>
      </c>
      <c r="L17">
        <f>0.78-0.76</f>
        <v>2.0000000000000018E-2</v>
      </c>
      <c r="M17">
        <f>0.78-0.22</f>
        <v>0.56000000000000005</v>
      </c>
    </row>
    <row r="18" spans="1:13" x14ac:dyDescent="0.25">
      <c r="A18" s="4">
        <v>18</v>
      </c>
      <c r="B18" s="4">
        <v>2</v>
      </c>
      <c r="C18" s="4">
        <v>21</v>
      </c>
      <c r="D18" s="3">
        <v>22.5</v>
      </c>
      <c r="E18">
        <f>641.8-939.8</f>
        <v>-298</v>
      </c>
      <c r="F18">
        <f>641.8-750.6</f>
        <v>-108.80000000000007</v>
      </c>
      <c r="G18">
        <f>641.8-926.7</f>
        <v>-284.90000000000009</v>
      </c>
      <c r="H18">
        <f>5.5-1.1</f>
        <v>4.4000000000000004</v>
      </c>
      <c r="I18">
        <f>5.5-0.6</f>
        <v>4.9000000000000004</v>
      </c>
      <c r="J18">
        <f>5.5-1.2</f>
        <v>4.3</v>
      </c>
      <c r="K18">
        <f>13.23-6.32</f>
        <v>6.91</v>
      </c>
      <c r="L18">
        <f>13.23-1.16</f>
        <v>12.07</v>
      </c>
      <c r="M18">
        <f>13.23-11.01</f>
        <v>2.2200000000000006</v>
      </c>
    </row>
    <row r="19" spans="1:13" x14ac:dyDescent="0.25">
      <c r="A19" s="4">
        <v>19</v>
      </c>
      <c r="B19" s="4">
        <v>1</v>
      </c>
      <c r="C19" s="4">
        <v>28</v>
      </c>
      <c r="D19" s="3">
        <v>19.899999999999999</v>
      </c>
      <c r="E19">
        <f>395.2-440.1</f>
        <v>-44.900000000000034</v>
      </c>
      <c r="F19">
        <f>395.2-550</f>
        <v>-154.80000000000001</v>
      </c>
      <c r="G19">
        <f>395.2-323.4</f>
        <v>71.800000000000011</v>
      </c>
      <c r="H19">
        <f>2.7-0.6</f>
        <v>2.1</v>
      </c>
      <c r="I19">
        <f>2.7-0</f>
        <v>2.7</v>
      </c>
      <c r="K19">
        <f>0.51-4.51</f>
        <v>-4</v>
      </c>
      <c r="L19">
        <f>0.51-3.45</f>
        <v>-2.9400000000000004</v>
      </c>
      <c r="M19">
        <f>4.51-0.11</f>
        <v>4.3999999999999995</v>
      </c>
    </row>
    <row r="20" spans="1:13" x14ac:dyDescent="0.25">
      <c r="A20" s="4">
        <v>20</v>
      </c>
      <c r="B20" s="4">
        <v>1</v>
      </c>
      <c r="C20" s="4">
        <v>22</v>
      </c>
      <c r="D20" s="6">
        <v>23.6</v>
      </c>
      <c r="E20">
        <f>217.4-368.6</f>
        <v>-151.20000000000002</v>
      </c>
      <c r="F20">
        <f>217.4-302.3</f>
        <v>-84.9</v>
      </c>
      <c r="G20">
        <f>217.4-234.7</f>
        <v>-17.299999999999983</v>
      </c>
      <c r="H20">
        <f>3.4-0.8</f>
        <v>2.5999999999999996</v>
      </c>
      <c r="I20">
        <f>3.4-0.1</f>
        <v>3.3</v>
      </c>
      <c r="J20">
        <f>3.4-0.4</f>
        <v>3</v>
      </c>
      <c r="K20">
        <f>-8.45-7.92</f>
        <v>-16.369999999999997</v>
      </c>
      <c r="L20">
        <f>-8.45-0.56</f>
        <v>-9.01</v>
      </c>
      <c r="M20">
        <f>-8.45-4.6</f>
        <v>-13.049999999999999</v>
      </c>
    </row>
    <row r="21" spans="1:13" x14ac:dyDescent="0.25">
      <c r="A21" s="4">
        <v>21</v>
      </c>
      <c r="B21" s="4">
        <v>1</v>
      </c>
      <c r="C21" s="4">
        <v>26</v>
      </c>
      <c r="D21" s="6">
        <v>24.7</v>
      </c>
      <c r="E21">
        <f>472.9-391.5</f>
        <v>81.399999999999977</v>
      </c>
      <c r="F21">
        <f>472.9-422.2</f>
        <v>50.699999999999989</v>
      </c>
      <c r="G21">
        <f>472.9-630</f>
        <v>-157.10000000000002</v>
      </c>
      <c r="H21">
        <f>1.8-1.5</f>
        <v>0.30000000000000004</v>
      </c>
      <c r="I21">
        <f>1.8-0.3</f>
        <v>1.5</v>
      </c>
      <c r="J21">
        <f>1.8-0.1</f>
        <v>1.7</v>
      </c>
      <c r="K21">
        <f>0.99+2.58</f>
        <v>3.5700000000000003</v>
      </c>
      <c r="L21">
        <f>0.99-0.54</f>
        <v>0.44999999999999996</v>
      </c>
      <c r="M21">
        <f>0.99+1.14</f>
        <v>2.13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energy_intake</vt:lpstr>
      <vt:lpstr>associations</vt:lpstr>
    </vt:vector>
  </TitlesOfParts>
  <Company>St. Claraspital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Flad, Emilie</dc:creator>
  <cp:lastModifiedBy>Draxler, Ann-Kathrin</cp:lastModifiedBy>
  <dcterms:created xsi:type="dcterms:W3CDTF">2024-07-01T13:00:27Z</dcterms:created>
  <dcterms:modified xsi:type="dcterms:W3CDTF">2024-09-30T14:10:50Z</dcterms:modified>
</cp:coreProperties>
</file>