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CN\loc\Sgh\RBCN\RBEI_ECN\RBEI_ECN\01-Projects\@Partner_Cost\"/>
    </mc:Choice>
  </mc:AlternateContent>
  <bookViews>
    <workbookView xWindow="255" yWindow="465" windowWidth="28800" windowHeight="15795" tabRatio="580" activeTab="3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D4" i="6"/>
  <c r="D7" i="6" s="1"/>
  <c r="D6" i="6"/>
  <c r="D14" i="8"/>
  <c r="E14" i="8"/>
  <c r="D13" i="8" l="1"/>
  <c r="D12" i="8"/>
  <c r="D11" i="8"/>
  <c r="D9" i="8"/>
  <c r="D8" i="8"/>
  <c r="D7" i="8"/>
  <c r="D10" i="8"/>
  <c r="D3" i="8"/>
  <c r="E13" i="8"/>
  <c r="E12" i="8"/>
  <c r="E11" i="8"/>
  <c r="E10" i="8"/>
  <c r="E9" i="8"/>
  <c r="E8" i="8"/>
  <c r="E7" i="8"/>
  <c r="E4" i="8"/>
  <c r="D4" i="8"/>
  <c r="E15" i="2" l="1"/>
  <c r="C15" i="2"/>
  <c r="E14" i="2" l="1"/>
  <c r="C14" i="2"/>
  <c r="C13" i="2"/>
  <c r="G5" i="10" l="1"/>
  <c r="D5" i="8" l="1"/>
  <c r="F13" i="8"/>
  <c r="C12" i="2" s="1"/>
  <c r="E12" i="2" s="1"/>
  <c r="F12" i="8"/>
  <c r="C11" i="2" s="1"/>
  <c r="E11" i="2" s="1"/>
  <c r="E13" i="2" l="1"/>
  <c r="G2" i="10"/>
  <c r="H12" i="4" l="1"/>
  <c r="H13" i="4" s="1"/>
  <c r="H11" i="4"/>
  <c r="D6" i="8"/>
  <c r="C18" i="2" l="1"/>
  <c r="H10" i="4"/>
  <c r="H9" i="4"/>
  <c r="H8" i="4"/>
  <c r="H7" i="4"/>
  <c r="H6" i="4"/>
  <c r="H5" i="4"/>
  <c r="H4" i="4"/>
  <c r="H3" i="4"/>
  <c r="F11" i="8"/>
  <c r="C10" i="2" s="1"/>
  <c r="E10" i="2" s="1"/>
  <c r="F7" i="8"/>
  <c r="C6" i="2" s="1"/>
  <c r="E6" i="2" s="1"/>
  <c r="F4" i="8"/>
  <c r="C3" i="2" s="1"/>
  <c r="F5" i="8"/>
  <c r="C4" i="2" s="1"/>
  <c r="E4" i="2" s="1"/>
  <c r="F6" i="8"/>
  <c r="C5" i="2" s="1"/>
  <c r="E5" i="2" s="1"/>
  <c r="F8" i="8"/>
  <c r="C7" i="2" s="1"/>
  <c r="E7" i="2" s="1"/>
  <c r="F9" i="8"/>
  <c r="C8" i="2" s="1"/>
  <c r="E8" i="2" s="1"/>
  <c r="F10" i="8"/>
  <c r="C9" i="2" s="1"/>
  <c r="E9" i="2" s="1"/>
  <c r="F3" i="8"/>
  <c r="E17" i="2"/>
  <c r="C17" i="2" s="1"/>
  <c r="G6" i="10"/>
  <c r="C4" i="9"/>
  <c r="E16" i="2"/>
  <c r="C16" i="2" s="1"/>
  <c r="C2" i="2" l="1"/>
  <c r="E2" i="2" s="1"/>
  <c r="F14" i="8"/>
  <c r="E3" i="2"/>
  <c r="C19" i="2" l="1"/>
  <c r="E19" i="2"/>
</calcChain>
</file>

<file path=xl/comments1.xml><?xml version="1.0" encoding="utf-8"?>
<comments xmlns="http://schemas.openxmlformats.org/spreadsheetml/2006/main">
  <authors>
    <author>tc={869BBAF4-4763-F44A-A087-A1AE3B92EB9F}</author>
    <author>tc={6B07562F-9470-BB43-8DBE-10975FC30A69}</author>
    <author>tc={0AC1E47C-ED22-ED46-83A9-FF83F5CA1C78}</author>
    <author>tc={6A311662-BA35-D547-9168-EABC4109DD53}</author>
  </authors>
  <commentList>
    <comment ref="D3" authorId="0" shapeId="0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last day为5月16日,5月11日全新病假1天。</t>
        </r>
      </text>
    </comment>
    <comment ref="D8" authorId="1" shapeId="0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5月18日一天调休</t>
        </r>
      </text>
    </comment>
    <comment ref="D10" authorId="2" shapeId="0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5月4日调休一天</t>
        </r>
      </text>
    </comment>
    <comment ref="D13" authorId="3" shapeId="0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5月25日半天调休</t>
        </r>
      </text>
    </comment>
  </commentList>
</comments>
</file>

<file path=xl/sharedStrings.xml><?xml version="1.0" encoding="utf-8"?>
<sst xmlns="http://schemas.openxmlformats.org/spreadsheetml/2006/main" count="165" uniqueCount="119">
  <si>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</si>
  <si>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</si>
  <si>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</si>
  <si>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</si>
  <si>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</si>
  <si>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</si>
  <si>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</si>
  <si>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</si>
  <si>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</si>
  <si>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</si>
  <si>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</si>
  <si>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</si>
  <si>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</si>
  <si>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</si>
  <si>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</si>
  <si>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</si>
  <si>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</si>
  <si>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</si>
  <si>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</si>
  <si>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</si>
  <si>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</si>
  <si>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</si>
  <si>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</si>
  <si>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</si>
  <si>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</si>
  <si>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</si>
  <si>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</si>
  <si>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</si>
  <si>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</si>
  <si>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</si>
  <si>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</si>
  <si>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</si>
  <si>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</si>
  <si>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</si>
  <si>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</si>
  <si>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</si>
  <si>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</si>
  <si>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</si>
  <si>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</si>
  <si>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</si>
  <si>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</si>
  <si>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</si>
  <si>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</si>
  <si>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</si>
  <si>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</si>
  <si>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</si>
  <si>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</si>
  <si>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</si>
  <si>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</si>
  <si>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</si>
  <si>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</si>
  <si>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</si>
  <si>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</si>
  <si>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</si>
  <si>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</si>
  <si>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</si>
  <si>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</si>
  <si>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</si>
  <si>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</si>
  <si>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</si>
  <si>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</si>
  <si>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</si>
  <si>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</si>
  <si>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</si>
  <si>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</si>
  <si>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</si>
  <si>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</si>
  <si>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</si>
  <si>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</si>
  <si>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</si>
  <si>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</si>
  <si>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</si>
  <si>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</si>
  <si>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</si>
  <si>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</si>
  <si>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</si>
  <si>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</si>
  <si>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</si>
  <si>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GE-13</t>
    <phoneticPr fontId="21" type="noConversion"/>
  </si>
  <si>
    <t>杨明星/Mingxing Yang</t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</si>
  <si>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</si>
  <si>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</si>
  <si>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</si>
  <si>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Vehicle Spy1</t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</si>
  <si>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</si>
  <si>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t>CANoe1</t>
  </si>
  <si>
    <t>GL3000</t>
  </si>
  <si>
    <t>CANoe2</t>
  </si>
  <si>
    <t>CANanalyer</t>
  </si>
  <si>
    <r>
      <rPr>
        <sz val="11"/>
        <color indexed="8"/>
        <rFont val="宋体"/>
        <family val="3"/>
        <charset val="134"/>
      </rPr>
      <t>程控电源</t>
    </r>
  </si>
  <si>
    <t>CANoe3</t>
    <phoneticPr fontId="21" type="noConversion"/>
  </si>
  <si>
    <t>Vehicle Spy 2</t>
  </si>
  <si>
    <t>Vehicle Spy 3</t>
  </si>
  <si>
    <t>FE-3AH</t>
    <phoneticPr fontId="21" type="noConversion"/>
  </si>
  <si>
    <t>Rm3003-Venugopal</t>
    <phoneticPr fontId="21" type="noConversion"/>
  </si>
  <si>
    <t>文明鑫</t>
    <phoneticPr fontId="21" type="noConversion"/>
  </si>
  <si>
    <t>CANoe4</t>
    <phoneticPr fontId="21" type="noConversion"/>
  </si>
  <si>
    <t>叶贤辉/Xianhui Ye</t>
    <phoneticPr fontId="21" type="noConversion"/>
  </si>
  <si>
    <t>王嘉伟/Jiawei Wang</t>
    <phoneticPr fontId="21" type="noConversion"/>
  </si>
  <si>
    <t>2020/02/01-2020/04/30</t>
    <phoneticPr fontId="21" type="noConversion"/>
  </si>
  <si>
    <t>2020/04/01-2020/04/30</t>
    <phoneticPr fontId="21" type="noConversion"/>
  </si>
  <si>
    <r>
      <rPr>
        <sz val="11"/>
        <color rgb="FF000000"/>
        <rFont val="SimSun"/>
        <family val="3"/>
        <charset val="134"/>
      </rPr>
      <t>电费</t>
    </r>
    <r>
      <rPr>
        <sz val="11"/>
        <color rgb="FF000000"/>
        <rFont val="Arial"/>
        <family val="2"/>
      </rPr>
      <t>/ Electricity Usage</t>
    </r>
    <phoneticPr fontId="21" type="noConversion"/>
  </si>
  <si>
    <r>
      <rPr>
        <sz val="11"/>
        <color rgb="FF000000"/>
        <rFont val="SimSun"/>
        <family val="3"/>
        <charset val="134"/>
      </rPr>
      <t>电费</t>
    </r>
    <r>
      <rPr>
        <sz val="11"/>
        <color rgb="FF000000"/>
        <rFont val="Arial"/>
        <family val="2"/>
      </rPr>
      <t>/Electricity Usage</t>
    </r>
    <phoneticPr fontId="21" type="noConversion"/>
  </si>
  <si>
    <r>
      <rPr>
        <sz val="11"/>
        <color rgb="FF000000"/>
        <rFont val="SimSun"/>
        <family val="3"/>
        <charset val="134"/>
      </rPr>
      <t>水费</t>
    </r>
    <r>
      <rPr>
        <sz val="11"/>
        <color rgb="FF000000"/>
        <rFont val="Arial"/>
        <family val="2"/>
      </rPr>
      <t>/Water  Usage</t>
    </r>
    <phoneticPr fontId="21" type="noConversion"/>
  </si>
  <si>
    <t>御海苑-Manoj</t>
    <phoneticPr fontId="21" type="noConversion"/>
  </si>
  <si>
    <t>房租/Rent</t>
    <phoneticPr fontId="21" type="noConversion"/>
  </si>
  <si>
    <t>2020/06/01-2020/06/30</t>
    <phoneticPr fontId="21" type="noConversion"/>
  </si>
  <si>
    <t>信息娱乐域测试/Infotainment Testing</t>
    <phoneticPr fontId="21" type="noConversion"/>
  </si>
  <si>
    <t>车身域测试/BCM Testing</t>
    <phoneticPr fontId="21" type="noConversion"/>
  </si>
  <si>
    <t>采购点烟器3个</t>
    <phoneticPr fontId="21" type="noConversion"/>
  </si>
  <si>
    <t>北汽</t>
    <phoneticPr fontId="21" type="noConversion"/>
  </si>
  <si>
    <t>投标费用</t>
    <phoneticPr fontId="21" type="noConversion"/>
  </si>
  <si>
    <t>工程师酒店预订（10天）</t>
    <phoneticPr fontId="21" type="noConversion"/>
  </si>
  <si>
    <t>核酸检测（2人）</t>
    <phoneticPr fontId="21" type="noConversion"/>
  </si>
  <si>
    <t>蔡乙男</t>
    <phoneticPr fontId="21" type="noConversion"/>
  </si>
  <si>
    <t>王科</t>
    <phoneticPr fontId="21" type="noConversion"/>
  </si>
  <si>
    <t>王玉龙</t>
    <phoneticPr fontId="21" type="noConversion"/>
  </si>
  <si>
    <t>Team Building/团建聚餐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</si>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</sst>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yyyy\-mm\-dd;@"/>
    <numFmt numFmtId="166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vertical="center" wrapText="1"/>
    </xf>
    <xf numFmtId="165" fontId="24" fillId="0" borderId="13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4" fontId="24" fillId="0" borderId="13" xfId="0" quotePrefix="1" applyNumberFormat="1" applyFont="1" applyBorder="1" applyAlignment="1">
      <alignment horizontal="right" vertical="center"/>
    </xf>
    <xf numFmtId="164" fontId="24" fillId="0" borderId="13" xfId="0" applyNumberFormat="1" applyFont="1" applyBorder="1" applyAlignment="1">
      <alignment horizontal="right" vertical="center"/>
    </xf>
    <xf numFmtId="164" fontId="25" fillId="2" borderId="1" xfId="0" applyNumberFormat="1" applyFont="1" applyFill="1" applyBorder="1" applyAlignment="1">
      <alignment horizontal="right" vertical="center"/>
    </xf>
    <xf numFmtId="0" fontId="37" fillId="0" borderId="13" xfId="0" applyFont="1" applyBorder="1">
      <alignment vertical="center"/>
    </xf>
    <xf numFmtId="0" fontId="33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66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9" fillId="0" borderId="13" xfId="0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8" fillId="0" borderId="16" xfId="0" applyFont="1" applyBorder="1" applyAlignment="1">
      <alignment horizontal="center" vertical="center"/>
    </xf>
    <xf numFmtId="0" fontId="24" fillId="0" borderId="14" xfId="0" applyFont="1" applyBorder="1">
      <alignment vertical="center"/>
    </xf>
    <xf numFmtId="0" fontId="29" fillId="0" borderId="15" xfId="0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 wrapText="1"/>
    </xf>
    <xf numFmtId="166" fontId="25" fillId="2" borderId="13" xfId="0" applyNumberFormat="1" applyFont="1" applyFill="1" applyBorder="1">
      <alignment vertical="center"/>
    </xf>
    <xf numFmtId="0" fontId="38" fillId="0" borderId="19" xfId="0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38" fillId="0" borderId="19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05-05T09:40:29.75" personId="{022C12EE-C0E3-5843-A6F5-30918977BB58}" id="{869BBAF4-4763-F44A-A087-A1AE3B92EB9F}">
    <text>last day为5月16日,5月11日全新病假1天。</text>
  </threadedComment>
  <threadedComment ref="D8" dT="2020-06-02T03:57:21.37" personId="{022C12EE-C0E3-5843-A6F5-30918977BB58}" id="{6B07562F-9470-BB43-8DBE-10975FC30A69}">
    <text>5月18日一天调休</text>
  </threadedComment>
  <threadedComment ref="D10" dT="2020-06-02T03:58:06.46" personId="{022C12EE-C0E3-5843-A6F5-30918977BB58}" id="{0AC1E47C-ED22-ED46-83A9-FF83F5CA1C78}">
    <text>5月4日调休一天</text>
  </threadedComment>
  <threadedComment ref="D13" dT="2020-05-05T09:26:18.84" personId="{022C12EE-C0E3-5843-A6F5-30918977BB58}" id="{6A311662-BA35-D547-9168-EABC4109DD53}">
    <text>5月25日半天调休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Normal="100" workbookViewId="0">
      <selection activeCell="B1" sqref="B1"/>
    </sheetView>
  </sheetViews>
  <sheetFormatPr defaultColWidth="8.875" defaultRowHeight="14.25"/>
  <cols>
    <col min="1" max="1" width="46.625" style="21" customWidth="1"/>
    <col min="2" max="2" width="22.875" style="21" customWidth="1"/>
    <col min="3" max="3" width="18.5" style="22" customWidth="1"/>
    <col min="4" max="4" width="17.5" style="21" customWidth="1"/>
    <col min="5" max="5" width="20.125" style="22" customWidth="1"/>
    <col min="6" max="6" width="18.1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32" t="s">
        <v>70</v>
      </c>
      <c r="C2" s="15">
        <f>'工时清单Effort Hours Breakdown'!F3</f>
        <v>80</v>
      </c>
      <c r="D2" s="14">
        <v>225</v>
      </c>
      <c r="E2" s="16">
        <f>D2*C2</f>
        <v>18000</v>
      </c>
      <c r="F2" s="14"/>
    </row>
    <row r="3" spans="1:6">
      <c r="A3" s="14" t="s">
        <v>39</v>
      </c>
      <c r="B3" s="32" t="s">
        <v>71</v>
      </c>
      <c r="C3" s="15">
        <f>'工时清单Effort Hours Breakdown'!F4</f>
        <v>220.8</v>
      </c>
      <c r="D3" s="14">
        <v>225</v>
      </c>
      <c r="E3" s="16">
        <f t="shared" ref="E3:E12" si="0">D3*C3</f>
        <v>49680</v>
      </c>
      <c r="F3" s="14"/>
    </row>
    <row r="4" spans="1:6">
      <c r="A4" s="14" t="s">
        <v>39</v>
      </c>
      <c r="B4" s="32" t="s">
        <v>72</v>
      </c>
      <c r="C4" s="15">
        <f>'工时清单Effort Hours Breakdown'!F5</f>
        <v>198.85</v>
      </c>
      <c r="D4" s="14">
        <v>225</v>
      </c>
      <c r="E4" s="16">
        <f t="shared" si="0"/>
        <v>44741.25</v>
      </c>
      <c r="F4" s="14"/>
    </row>
    <row r="5" spans="1:6">
      <c r="A5" s="14" t="s">
        <v>39</v>
      </c>
      <c r="B5" s="32" t="s">
        <v>73</v>
      </c>
      <c r="C5" s="15">
        <f>'工时清单Effort Hours Breakdown'!F6</f>
        <v>225.2</v>
      </c>
      <c r="D5" s="14">
        <v>225</v>
      </c>
      <c r="E5" s="16">
        <f t="shared" si="0"/>
        <v>50670</v>
      </c>
      <c r="F5" s="14"/>
    </row>
    <row r="6" spans="1:6">
      <c r="A6" s="14" t="s">
        <v>39</v>
      </c>
      <c r="B6" s="36" t="s">
        <v>74</v>
      </c>
      <c r="C6" s="15">
        <f>'工时清单Effort Hours Breakdown'!F7</f>
        <v>210.35</v>
      </c>
      <c r="D6" s="14">
        <v>225</v>
      </c>
      <c r="E6" s="16">
        <f t="shared" si="0"/>
        <v>47328.75</v>
      </c>
      <c r="F6" s="24"/>
    </row>
    <row r="7" spans="1:6">
      <c r="A7" s="14" t="s">
        <v>39</v>
      </c>
      <c r="B7" s="36" t="s">
        <v>75</v>
      </c>
      <c r="C7" s="15">
        <f>'工时清单Effort Hours Breakdown'!F8</f>
        <v>278.8</v>
      </c>
      <c r="D7" s="14">
        <v>225</v>
      </c>
      <c r="E7" s="16">
        <f t="shared" si="0"/>
        <v>62730</v>
      </c>
      <c r="F7" s="32"/>
    </row>
    <row r="8" spans="1:6">
      <c r="A8" s="14" t="s">
        <v>39</v>
      </c>
      <c r="B8" s="33" t="s">
        <v>76</v>
      </c>
      <c r="C8" s="15">
        <f>'工时清单Effort Hours Breakdown'!F9</f>
        <v>193.85</v>
      </c>
      <c r="D8" s="14">
        <v>225</v>
      </c>
      <c r="E8" s="16">
        <f t="shared" si="0"/>
        <v>43616.25</v>
      </c>
      <c r="F8" s="32"/>
    </row>
    <row r="9" spans="1:6">
      <c r="A9" s="14" t="s">
        <v>39</v>
      </c>
      <c r="B9" s="36" t="s">
        <v>77</v>
      </c>
      <c r="C9" s="15">
        <f>'工时清单Effort Hours Breakdown'!F10</f>
        <v>243.60000000000002</v>
      </c>
      <c r="D9" s="14">
        <v>225</v>
      </c>
      <c r="E9" s="16">
        <f t="shared" si="0"/>
        <v>54810.000000000007</v>
      </c>
      <c r="F9" s="32"/>
    </row>
    <row r="10" spans="1:6">
      <c r="A10" s="14" t="s">
        <v>39</v>
      </c>
      <c r="B10" s="36" t="s">
        <v>79</v>
      </c>
      <c r="C10" s="15">
        <f>'工时清单Effort Hours Breakdown'!F11</f>
        <v>236.2</v>
      </c>
      <c r="D10" s="14">
        <v>225</v>
      </c>
      <c r="E10" s="16">
        <f t="shared" si="0"/>
        <v>53145</v>
      </c>
      <c r="F10" s="32"/>
    </row>
    <row r="11" spans="1:6">
      <c r="A11" s="14" t="s">
        <v>39</v>
      </c>
      <c r="B11" s="64" t="s">
        <v>97</v>
      </c>
      <c r="C11" s="15">
        <f>'工时清单Effort Hours Breakdown'!F12</f>
        <v>284.60000000000002</v>
      </c>
      <c r="D11" s="14">
        <v>225</v>
      </c>
      <c r="E11" s="16">
        <f t="shared" si="0"/>
        <v>64035.000000000007</v>
      </c>
      <c r="F11" s="32"/>
    </row>
    <row r="12" spans="1:6">
      <c r="A12" s="14" t="s">
        <v>39</v>
      </c>
      <c r="B12" s="64" t="s">
        <v>98</v>
      </c>
      <c r="C12" s="15">
        <f>'工时清单Effort Hours Breakdown'!F13</f>
        <v>226.15</v>
      </c>
      <c r="D12" s="14">
        <v>225</v>
      </c>
      <c r="E12" s="16">
        <f t="shared" si="0"/>
        <v>50883.75</v>
      </c>
      <c r="F12" s="32"/>
    </row>
    <row r="13" spans="1:6">
      <c r="A13" s="33" t="s">
        <v>107</v>
      </c>
      <c r="B13" s="32"/>
      <c r="C13" s="25">
        <f>8*30</f>
        <v>240</v>
      </c>
      <c r="D13" s="32">
        <v>225</v>
      </c>
      <c r="E13" s="25">
        <f>C13*D13</f>
        <v>54000</v>
      </c>
      <c r="F13" s="32"/>
    </row>
    <row r="14" spans="1:6">
      <c r="A14" s="33" t="s">
        <v>108</v>
      </c>
      <c r="B14" s="32"/>
      <c r="C14" s="62">
        <f>8*10</f>
        <v>80</v>
      </c>
      <c r="D14" s="33">
        <v>225</v>
      </c>
      <c r="E14" s="25">
        <f>C14*D14</f>
        <v>18000</v>
      </c>
      <c r="F14" s="32"/>
    </row>
    <row r="15" spans="1:6">
      <c r="A15" s="71" t="s">
        <v>118</v>
      </c>
      <c r="B15" s="32"/>
      <c r="C15" s="62">
        <f>72+132</f>
        <v>204</v>
      </c>
      <c r="D15" s="33">
        <v>225</v>
      </c>
      <c r="E15" s="25">
        <f>C15*D15</f>
        <v>45900</v>
      </c>
      <c r="F15" s="32"/>
    </row>
    <row r="16" spans="1:6">
      <c r="A16" s="14" t="s">
        <v>40</v>
      </c>
      <c r="B16" s="67"/>
      <c r="C16" s="62">
        <f>E16/D16</f>
        <v>212</v>
      </c>
      <c r="D16" s="32">
        <v>225</v>
      </c>
      <c r="E16" s="16">
        <f>'租赁设备费Equipment Rental'!H13</f>
        <v>47700</v>
      </c>
      <c r="F16" s="14"/>
    </row>
    <row r="17" spans="1:6">
      <c r="A17" s="14" t="s">
        <v>41</v>
      </c>
      <c r="B17" s="14"/>
      <c r="C17" s="16">
        <f t="shared" ref="C17:C18" si="1">E17/D17</f>
        <v>33.76</v>
      </c>
      <c r="D17" s="32">
        <v>225</v>
      </c>
      <c r="E17" s="16">
        <f>报销Reimbursement!D7</f>
        <v>7596</v>
      </c>
      <c r="F17" s="14"/>
    </row>
    <row r="18" spans="1:6">
      <c r="A18" s="29" t="s">
        <v>56</v>
      </c>
      <c r="B18" s="32"/>
      <c r="C18" s="16">
        <f t="shared" si="1"/>
        <v>19.936444444444444</v>
      </c>
      <c r="D18" s="32">
        <v>225</v>
      </c>
      <c r="E18" s="25">
        <f>印度工程师费用IndianEngineerExpenses!G6</f>
        <v>4485.7</v>
      </c>
      <c r="F18" s="24"/>
    </row>
    <row r="19" spans="1:6" ht="18">
      <c r="A19" s="30" t="s">
        <v>57</v>
      </c>
      <c r="B19" s="18"/>
      <c r="C19" s="19">
        <f>SUM(C2:C18)</f>
        <v>3188.0964444444448</v>
      </c>
      <c r="D19" s="18"/>
      <c r="E19" s="47">
        <f>SUM(E2:E18)</f>
        <v>717321.7</v>
      </c>
      <c r="F19" s="20"/>
    </row>
  </sheetData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4"/>
  <sheetViews>
    <sheetView zoomScaleNormal="100" workbookViewId="0">
      <selection activeCell="H19" sqref="H19"/>
    </sheetView>
  </sheetViews>
  <sheetFormatPr defaultColWidth="9" defaultRowHeight="13.5"/>
  <cols>
    <col min="1" max="1" width="8.625" customWidth="1"/>
    <col min="2" max="2" width="22.5" customWidth="1"/>
    <col min="3" max="3" width="20.5" customWidth="1"/>
    <col min="4" max="4" width="15.5" customWidth="1"/>
    <col min="5" max="5" width="12.875" customWidth="1"/>
    <col min="6" max="6" width="17.625" customWidth="1"/>
    <col min="7" max="12" width="9" customWidth="1"/>
    <col min="13" max="13" width="8" customWidth="1"/>
  </cols>
  <sheetData>
    <row r="1" spans="1:38">
      <c r="A1" s="5"/>
      <c r="R1" s="46"/>
      <c r="AJ1" s="44"/>
      <c r="AK1" s="44"/>
      <c r="AL1" s="45"/>
    </row>
    <row r="2" spans="1:38" ht="30">
      <c r="A2" s="23" t="s">
        <v>65</v>
      </c>
      <c r="B2" s="23" t="s">
        <v>66</v>
      </c>
      <c r="C2" s="23" t="s">
        <v>67</v>
      </c>
      <c r="D2" s="23" t="s">
        <v>68</v>
      </c>
      <c r="E2" s="23" t="s">
        <v>69</v>
      </c>
      <c r="F2" s="49" t="s">
        <v>82</v>
      </c>
    </row>
    <row r="3" spans="1:38" ht="14.25">
      <c r="A3" s="32">
        <v>1</v>
      </c>
      <c r="B3" s="32" t="s">
        <v>70</v>
      </c>
      <c r="C3" s="36" t="s">
        <v>78</v>
      </c>
      <c r="D3" s="32">
        <f>8*(16-5-1)</f>
        <v>80</v>
      </c>
      <c r="E3" s="32">
        <v>0</v>
      </c>
      <c r="F3" s="32">
        <f>E3*1.1+D3</f>
        <v>80</v>
      </c>
    </row>
    <row r="4" spans="1:38" ht="14.25">
      <c r="A4" s="32">
        <v>2</v>
      </c>
      <c r="B4" s="32" t="s">
        <v>71</v>
      </c>
      <c r="C4" s="36" t="s">
        <v>78</v>
      </c>
      <c r="D4" s="32">
        <f>8*21</f>
        <v>168</v>
      </c>
      <c r="E4" s="32">
        <f>24+24</f>
        <v>48</v>
      </c>
      <c r="F4" s="32">
        <f>E4*1.1+D4</f>
        <v>220.8</v>
      </c>
    </row>
    <row r="5" spans="1:38" ht="14.25">
      <c r="A5" s="32">
        <v>3</v>
      </c>
      <c r="B5" s="32" t="s">
        <v>72</v>
      </c>
      <c r="C5" s="36" t="s">
        <v>78</v>
      </c>
      <c r="D5" s="32">
        <f>8*(21-1.5-0.625)</f>
        <v>151</v>
      </c>
      <c r="E5" s="32">
        <v>43.5</v>
      </c>
      <c r="F5" s="32">
        <f>E5*1.1+D5</f>
        <v>198.85</v>
      </c>
    </row>
    <row r="6" spans="1:38" ht="14.25">
      <c r="A6" s="32">
        <v>4</v>
      </c>
      <c r="B6" s="32" t="s">
        <v>73</v>
      </c>
      <c r="C6" s="36" t="s">
        <v>78</v>
      </c>
      <c r="D6" s="32">
        <f t="shared" ref="D6" si="0">8*21</f>
        <v>168</v>
      </c>
      <c r="E6" s="32">
        <v>52</v>
      </c>
      <c r="F6" s="32">
        <f t="shared" ref="F6:F13" si="1">E6*1.1+D6</f>
        <v>225.2</v>
      </c>
    </row>
    <row r="7" spans="1:38" ht="14.25">
      <c r="A7" s="32">
        <v>5</v>
      </c>
      <c r="B7" s="36" t="s">
        <v>74</v>
      </c>
      <c r="C7" s="36" t="s">
        <v>80</v>
      </c>
      <c r="D7" s="32">
        <f>8*21</f>
        <v>168</v>
      </c>
      <c r="E7" s="32">
        <f>25.5+13</f>
        <v>38.5</v>
      </c>
      <c r="F7" s="32">
        <f t="shared" si="1"/>
        <v>210.35</v>
      </c>
    </row>
    <row r="8" spans="1:38" ht="14.25">
      <c r="A8" s="32">
        <v>6</v>
      </c>
      <c r="B8" s="36" t="s">
        <v>75</v>
      </c>
      <c r="C8" s="36" t="s">
        <v>81</v>
      </c>
      <c r="D8" s="32">
        <f>8*(21-1)</f>
        <v>160</v>
      </c>
      <c r="E8" s="32">
        <f>77.5+30.5</f>
        <v>108</v>
      </c>
      <c r="F8" s="32">
        <f t="shared" si="1"/>
        <v>278.8</v>
      </c>
    </row>
    <row r="9" spans="1:38" ht="14.25">
      <c r="A9" s="32">
        <v>7</v>
      </c>
      <c r="B9" s="33" t="s">
        <v>76</v>
      </c>
      <c r="C9" s="36" t="s">
        <v>78</v>
      </c>
      <c r="D9" s="32">
        <f>8*21</f>
        <v>168</v>
      </c>
      <c r="E9" s="32">
        <f>17+6.5</f>
        <v>23.5</v>
      </c>
      <c r="F9" s="32">
        <f t="shared" si="1"/>
        <v>193.85</v>
      </c>
    </row>
    <row r="10" spans="1:38" ht="14.25">
      <c r="A10" s="32">
        <v>8</v>
      </c>
      <c r="B10" s="36" t="s">
        <v>77</v>
      </c>
      <c r="C10" s="36" t="s">
        <v>80</v>
      </c>
      <c r="D10" s="32">
        <f>8*(21-1)</f>
        <v>160</v>
      </c>
      <c r="E10" s="32">
        <f>44+32</f>
        <v>76</v>
      </c>
      <c r="F10" s="32">
        <f t="shared" si="1"/>
        <v>243.60000000000002</v>
      </c>
    </row>
    <row r="11" spans="1:38" ht="14.25">
      <c r="A11" s="32">
        <v>9</v>
      </c>
      <c r="B11" s="36" t="s">
        <v>79</v>
      </c>
      <c r="C11" s="36" t="s">
        <v>78</v>
      </c>
      <c r="D11" s="32">
        <f>8*21</f>
        <v>168</v>
      </c>
      <c r="E11" s="32">
        <f>37+25</f>
        <v>62</v>
      </c>
      <c r="F11" s="32">
        <f t="shared" si="1"/>
        <v>236.2</v>
      </c>
    </row>
    <row r="12" spans="1:38" ht="14.25">
      <c r="A12" s="32">
        <v>10</v>
      </c>
      <c r="B12" s="64" t="s">
        <v>97</v>
      </c>
      <c r="C12" s="36" t="s">
        <v>93</v>
      </c>
      <c r="D12" s="32">
        <f>8*21</f>
        <v>168</v>
      </c>
      <c r="E12" s="32">
        <f>71.5+34.5</f>
        <v>106</v>
      </c>
      <c r="F12" s="32">
        <f t="shared" si="1"/>
        <v>284.60000000000002</v>
      </c>
    </row>
    <row r="13" spans="1:38" ht="14.25">
      <c r="A13" s="32">
        <v>11</v>
      </c>
      <c r="B13" s="64" t="s">
        <v>98</v>
      </c>
      <c r="C13" s="36" t="s">
        <v>93</v>
      </c>
      <c r="D13" s="32">
        <f>8*(21-0.5)</f>
        <v>164</v>
      </c>
      <c r="E13" s="32">
        <f>26+30.5</f>
        <v>56.5</v>
      </c>
      <c r="F13" s="32">
        <f t="shared" si="1"/>
        <v>226.15</v>
      </c>
    </row>
    <row r="14" spans="1:38" ht="15">
      <c r="A14" s="72" t="s">
        <v>55</v>
      </c>
      <c r="B14" s="73"/>
      <c r="C14" s="27"/>
      <c r="D14" s="41">
        <f>SUM(D3:D13)</f>
        <v>1723</v>
      </c>
      <c r="E14" s="41">
        <f>SUM(E3:E13)</f>
        <v>614</v>
      </c>
      <c r="F14" s="41">
        <f>SUM(F3:F13)</f>
        <v>2398.4</v>
      </c>
    </row>
  </sheetData>
  <mergeCells count="1">
    <mergeCell ref="A14:B14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zoomScale="115" zoomScaleNormal="115" workbookViewId="0">
      <selection activeCell="H2" sqref="H2:H12"/>
    </sheetView>
  </sheetViews>
  <sheetFormatPr defaultColWidth="9" defaultRowHeight="14.25"/>
  <cols>
    <col min="1" max="1" width="7" style="21" customWidth="1"/>
    <col min="2" max="3" width="14.125" style="21" customWidth="1"/>
    <col min="4" max="4" width="9.875" style="21" customWidth="1"/>
    <col min="5" max="5" width="15.5" style="21" customWidth="1"/>
    <col min="6" max="6" width="14.625" style="21" customWidth="1"/>
    <col min="7" max="7" width="13.125" style="21" customWidth="1"/>
    <col min="8" max="8" width="12.625" style="22" customWidth="1"/>
    <col min="9" max="16384" width="9" style="17"/>
  </cols>
  <sheetData>
    <row r="1" spans="1:8" s="52" customFormat="1" ht="43.5">
      <c r="A1" s="23" t="s">
        <v>42</v>
      </c>
      <c r="B1" s="23" t="s">
        <v>43</v>
      </c>
      <c r="C1" s="23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51" t="s">
        <v>48</v>
      </c>
    </row>
    <row r="2" spans="1:8">
      <c r="A2" s="14">
        <v>1</v>
      </c>
      <c r="B2" s="32" t="s">
        <v>83</v>
      </c>
      <c r="C2" s="32"/>
      <c r="D2" s="32">
        <v>1</v>
      </c>
      <c r="E2" s="32">
        <v>3000</v>
      </c>
      <c r="F2" s="50">
        <v>43437</v>
      </c>
      <c r="G2" s="32">
        <v>31</v>
      </c>
      <c r="H2" s="53">
        <v>3000</v>
      </c>
    </row>
    <row r="3" spans="1:8">
      <c r="A3" s="14">
        <v>2</v>
      </c>
      <c r="B3" s="32" t="s">
        <v>84</v>
      </c>
      <c r="C3" s="32"/>
      <c r="D3" s="32">
        <v>2</v>
      </c>
      <c r="E3" s="32">
        <v>200</v>
      </c>
      <c r="F3" s="50">
        <v>43453</v>
      </c>
      <c r="G3" s="32">
        <v>31</v>
      </c>
      <c r="H3" s="54">
        <f>D3*E3*G3/31</f>
        <v>400</v>
      </c>
    </row>
    <row r="4" spans="1:8">
      <c r="A4" s="14">
        <v>3</v>
      </c>
      <c r="B4" s="32" t="s">
        <v>85</v>
      </c>
      <c r="C4" s="32"/>
      <c r="D4" s="32">
        <v>1</v>
      </c>
      <c r="E4" s="32">
        <v>8000</v>
      </c>
      <c r="F4" s="50">
        <v>43456</v>
      </c>
      <c r="G4" s="32">
        <v>31</v>
      </c>
      <c r="H4" s="54">
        <f t="shared" ref="H4:H10" si="0">D4*E4*G4/31</f>
        <v>8000</v>
      </c>
    </row>
    <row r="5" spans="1:8">
      <c r="A5" s="14">
        <v>4</v>
      </c>
      <c r="B5" s="32" t="s">
        <v>86</v>
      </c>
      <c r="C5" s="32"/>
      <c r="D5" s="32">
        <v>1</v>
      </c>
      <c r="E5" s="32">
        <v>3000</v>
      </c>
      <c r="F5" s="50">
        <v>43493</v>
      </c>
      <c r="G5" s="32">
        <v>31</v>
      </c>
      <c r="H5" s="54">
        <f t="shared" si="0"/>
        <v>3000</v>
      </c>
    </row>
    <row r="6" spans="1:8">
      <c r="A6" s="14">
        <v>5</v>
      </c>
      <c r="B6" s="32" t="s">
        <v>87</v>
      </c>
      <c r="C6" s="32"/>
      <c r="D6" s="32">
        <v>1</v>
      </c>
      <c r="E6" s="32">
        <v>8000</v>
      </c>
      <c r="F6" s="50">
        <v>43475</v>
      </c>
      <c r="G6" s="32">
        <v>31</v>
      </c>
      <c r="H6" s="54">
        <f t="shared" si="0"/>
        <v>8000</v>
      </c>
    </row>
    <row r="7" spans="1:8">
      <c r="A7" s="14">
        <v>6</v>
      </c>
      <c r="B7" s="32" t="s">
        <v>88</v>
      </c>
      <c r="C7" s="32"/>
      <c r="D7" s="32">
        <v>1</v>
      </c>
      <c r="E7" s="32">
        <v>3000</v>
      </c>
      <c r="F7" s="50">
        <v>43476</v>
      </c>
      <c r="G7" s="32">
        <v>31</v>
      </c>
      <c r="H7" s="54">
        <f t="shared" si="0"/>
        <v>3000</v>
      </c>
    </row>
    <row r="8" spans="1:8">
      <c r="A8" s="14">
        <v>7</v>
      </c>
      <c r="B8" s="32" t="s">
        <v>89</v>
      </c>
      <c r="C8" s="32"/>
      <c r="D8" s="32">
        <v>1</v>
      </c>
      <c r="E8" s="32">
        <v>300</v>
      </c>
      <c r="F8" s="50">
        <v>43479</v>
      </c>
      <c r="G8" s="32">
        <v>31</v>
      </c>
      <c r="H8" s="54">
        <f t="shared" si="0"/>
        <v>300</v>
      </c>
    </row>
    <row r="9" spans="1:8">
      <c r="A9" s="14">
        <v>8</v>
      </c>
      <c r="B9" s="32" t="s">
        <v>90</v>
      </c>
      <c r="C9" s="32"/>
      <c r="D9" s="32">
        <v>1</v>
      </c>
      <c r="E9" s="32">
        <v>8000</v>
      </c>
      <c r="F9" s="50">
        <v>43475</v>
      </c>
      <c r="G9" s="32">
        <v>31</v>
      </c>
      <c r="H9" s="54">
        <f t="shared" si="0"/>
        <v>8000</v>
      </c>
    </row>
    <row r="10" spans="1:8">
      <c r="A10" s="14">
        <v>9</v>
      </c>
      <c r="B10" s="32" t="s">
        <v>91</v>
      </c>
      <c r="C10" s="32"/>
      <c r="D10" s="32">
        <v>1</v>
      </c>
      <c r="E10" s="32">
        <v>3000</v>
      </c>
      <c r="F10" s="50">
        <v>43516</v>
      </c>
      <c r="G10" s="32">
        <v>31</v>
      </c>
      <c r="H10" s="54">
        <f t="shared" si="0"/>
        <v>3000</v>
      </c>
    </row>
    <row r="11" spans="1:8">
      <c r="A11" s="14">
        <v>10</v>
      </c>
      <c r="B11" s="32" t="s">
        <v>92</v>
      </c>
      <c r="C11" s="32"/>
      <c r="D11" s="32">
        <v>1</v>
      </c>
      <c r="E11" s="32">
        <v>3000</v>
      </c>
      <c r="F11" s="50">
        <v>43516</v>
      </c>
      <c r="G11" s="32">
        <v>31</v>
      </c>
      <c r="H11" s="54">
        <f>D11*E11*G11/31</f>
        <v>3000</v>
      </c>
    </row>
    <row r="12" spans="1:8">
      <c r="A12" s="14">
        <v>11</v>
      </c>
      <c r="B12" s="32" t="s">
        <v>96</v>
      </c>
      <c r="C12" s="32"/>
      <c r="D12" s="32">
        <v>1</v>
      </c>
      <c r="E12" s="32">
        <v>8000</v>
      </c>
      <c r="F12" s="50">
        <v>43939</v>
      </c>
      <c r="G12" s="32">
        <v>31</v>
      </c>
      <c r="H12" s="54">
        <f>D12*E12*G12/31</f>
        <v>8000</v>
      </c>
    </row>
    <row r="13" spans="1:8" ht="21.95" customHeight="1">
      <c r="A13" s="74" t="s">
        <v>64</v>
      </c>
      <c r="B13" s="75"/>
      <c r="C13" s="75"/>
      <c r="D13" s="76"/>
      <c r="E13" s="75"/>
      <c r="F13" s="75"/>
      <c r="G13" s="77"/>
      <c r="H13" s="55">
        <f>SUM(H2:H12)</f>
        <v>47700</v>
      </c>
    </row>
  </sheetData>
  <mergeCells count="1">
    <mergeCell ref="A13:G1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:C6"/>
    </sheetView>
  </sheetViews>
  <sheetFormatPr defaultColWidth="9" defaultRowHeight="14.25"/>
  <cols>
    <col min="1" max="1" width="13" style="17" customWidth="1"/>
    <col min="2" max="2" width="20.125" style="21" customWidth="1"/>
    <col min="3" max="3" width="43.5" style="21" customWidth="1"/>
    <col min="4" max="4" width="15.125" style="21" customWidth="1"/>
    <col min="5" max="5" width="45.875" style="17" customWidth="1"/>
    <col min="6" max="7" width="44.375" style="17" customWidth="1"/>
    <col min="8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28" t="s">
        <v>49</v>
      </c>
      <c r="B1" s="28" t="s">
        <v>50</v>
      </c>
      <c r="C1" s="23" t="s">
        <v>67</v>
      </c>
      <c r="D1" s="28" t="s">
        <v>51</v>
      </c>
      <c r="E1" s="26" t="s">
        <v>52</v>
      </c>
    </row>
    <row r="2" spans="1:5" ht="15" customHeight="1">
      <c r="A2" s="32">
        <v>1</v>
      </c>
      <c r="B2" s="33" t="s">
        <v>95</v>
      </c>
      <c r="C2" s="66" t="s">
        <v>93</v>
      </c>
      <c r="D2" s="38">
        <v>80</v>
      </c>
      <c r="E2" s="65" t="s">
        <v>109</v>
      </c>
    </row>
    <row r="3" spans="1:5" s="21" customFormat="1">
      <c r="A3" s="32">
        <v>2</v>
      </c>
      <c r="B3" s="61" t="s">
        <v>116</v>
      </c>
      <c r="C3" s="36" t="s">
        <v>93</v>
      </c>
      <c r="D3" s="38">
        <v>1100</v>
      </c>
      <c r="E3" s="63" t="s">
        <v>117</v>
      </c>
    </row>
    <row r="4" spans="1:5" s="21" customFormat="1">
      <c r="A4" s="32">
        <v>3</v>
      </c>
      <c r="B4" s="61"/>
      <c r="C4" s="36" t="s">
        <v>110</v>
      </c>
      <c r="D4" s="38">
        <f>2831+330</f>
        <v>3161</v>
      </c>
      <c r="E4" s="65" t="s">
        <v>111</v>
      </c>
    </row>
    <row r="5" spans="1:5">
      <c r="A5" s="32">
        <v>4</v>
      </c>
      <c r="B5" s="61" t="s">
        <v>114</v>
      </c>
      <c r="C5" s="80" t="s">
        <v>118</v>
      </c>
      <c r="D5" s="38">
        <v>2780</v>
      </c>
      <c r="E5" s="65" t="s">
        <v>112</v>
      </c>
    </row>
    <row r="6" spans="1:5">
      <c r="A6" s="32">
        <v>5</v>
      </c>
      <c r="B6" s="68" t="s">
        <v>115</v>
      </c>
      <c r="C6" s="81"/>
      <c r="D6" s="38">
        <f>240+235</f>
        <v>475</v>
      </c>
      <c r="E6" s="65" t="s">
        <v>113</v>
      </c>
    </row>
    <row r="7" spans="1:5" ht="15">
      <c r="A7" s="78" t="s">
        <v>62</v>
      </c>
      <c r="B7" s="79"/>
      <c r="C7" s="48"/>
      <c r="D7" s="39">
        <f>SUM(D2:D6)</f>
        <v>7596</v>
      </c>
      <c r="E7" s="27"/>
    </row>
  </sheetData>
  <mergeCells count="2">
    <mergeCell ref="A7:B7"/>
    <mergeCell ref="C5:C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90" zoomScaleNormal="90" workbookViewId="0">
      <selection activeCell="H11" sqref="H11"/>
    </sheetView>
  </sheetViews>
  <sheetFormatPr defaultColWidth="10.875" defaultRowHeight="14.25"/>
  <cols>
    <col min="1" max="1" width="8.125" style="17" customWidth="1"/>
    <col min="2" max="2" width="39" style="17" customWidth="1"/>
    <col min="3" max="3" width="21.5" style="17" customWidth="1"/>
    <col min="4" max="4" width="22" style="17" customWidth="1"/>
    <col min="5" max="5" width="16" style="43" customWidth="1"/>
    <col min="6" max="6" width="12.375" style="17" customWidth="1"/>
    <col min="7" max="7" width="12.625" style="43" customWidth="1"/>
    <col min="8" max="8" width="30.875" style="17" customWidth="1"/>
    <col min="9" max="16384" width="10.875" style="17"/>
  </cols>
  <sheetData>
    <row r="1" spans="1:8" s="60" customFormat="1" ht="42" customHeight="1">
      <c r="A1" s="57" t="s">
        <v>63</v>
      </c>
      <c r="B1" s="58" t="s">
        <v>53</v>
      </c>
      <c r="C1" s="23" t="s">
        <v>67</v>
      </c>
      <c r="D1" s="58" t="s">
        <v>54</v>
      </c>
      <c r="E1" s="69" t="s">
        <v>61</v>
      </c>
      <c r="F1" s="58" t="s">
        <v>58</v>
      </c>
      <c r="G1" s="59" t="s">
        <v>60</v>
      </c>
      <c r="H1" s="58" t="s">
        <v>59</v>
      </c>
    </row>
    <row r="2" spans="1:8" ht="23.1" customHeight="1">
      <c r="A2" s="32">
        <v>1</v>
      </c>
      <c r="B2" s="36" t="s">
        <v>101</v>
      </c>
      <c r="C2" s="32" t="s">
        <v>78</v>
      </c>
      <c r="D2" s="32" t="s">
        <v>100</v>
      </c>
      <c r="E2" s="38">
        <v>52.33</v>
      </c>
      <c r="F2" s="32">
        <v>1</v>
      </c>
      <c r="G2" s="32">
        <f>E2*F2</f>
        <v>52.33</v>
      </c>
      <c r="H2" s="56" t="s">
        <v>94</v>
      </c>
    </row>
    <row r="3" spans="1:8" ht="26.1" customHeight="1">
      <c r="A3" s="32">
        <v>2</v>
      </c>
      <c r="B3" s="36" t="s">
        <v>102</v>
      </c>
      <c r="C3" s="32" t="s">
        <v>78</v>
      </c>
      <c r="D3" s="34" t="s">
        <v>99</v>
      </c>
      <c r="E3" s="38">
        <v>828.37</v>
      </c>
      <c r="F3" s="32">
        <v>1</v>
      </c>
      <c r="G3" s="32">
        <v>828.37</v>
      </c>
      <c r="H3" s="82" t="s">
        <v>104</v>
      </c>
    </row>
    <row r="4" spans="1:8" ht="26.1" customHeight="1">
      <c r="A4" s="32">
        <v>3</v>
      </c>
      <c r="B4" s="36" t="s">
        <v>103</v>
      </c>
      <c r="C4" s="32" t="s">
        <v>78</v>
      </c>
      <c r="D4" s="32" t="s">
        <v>99</v>
      </c>
      <c r="E4" s="38">
        <v>105</v>
      </c>
      <c r="F4" s="32">
        <v>1</v>
      </c>
      <c r="G4" s="32">
        <v>105</v>
      </c>
      <c r="H4" s="83"/>
    </row>
    <row r="5" spans="1:8" ht="57" customHeight="1">
      <c r="A5" s="32">
        <v>4</v>
      </c>
      <c r="B5" s="33" t="s">
        <v>105</v>
      </c>
      <c r="C5" s="32" t="s">
        <v>78</v>
      </c>
      <c r="D5" s="35" t="s">
        <v>106</v>
      </c>
      <c r="E5" s="38">
        <v>3500</v>
      </c>
      <c r="F5" s="32">
        <v>1</v>
      </c>
      <c r="G5" s="38">
        <f>E5*F5</f>
        <v>3500</v>
      </c>
      <c r="H5" s="84"/>
    </row>
    <row r="6" spans="1:8" ht="27.95" customHeight="1">
      <c r="A6" s="41"/>
      <c r="B6" s="37" t="s">
        <v>55</v>
      </c>
      <c r="C6" s="37"/>
      <c r="D6" s="40"/>
      <c r="E6" s="70"/>
      <c r="F6" s="31"/>
      <c r="G6" s="42">
        <f>SUM(G2:G5)</f>
        <v>4485.7</v>
      </c>
      <c r="H6" s="27"/>
    </row>
  </sheetData>
  <mergeCells count="1">
    <mergeCell ref="H3:H5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XIA Sammi (RBEI/EVS1)</cp:lastModifiedBy>
  <cp:lastPrinted>2020-01-07T02:38:56Z</cp:lastPrinted>
  <dcterms:created xsi:type="dcterms:W3CDTF">2015-10-16T09:07:00Z</dcterms:created>
  <dcterms:modified xsi:type="dcterms:W3CDTF">2020-06-05T04:33:28Z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