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495" windowWidth="23250" windowHeight="12570" activeTab="1"/>
  </bookViews>
  <sheets>
    <sheet name="Meta Data" sheetId="3" r:id="rId1"/>
    <sheet name="Billing Status" sheetId="1" r:id="rId2"/>
    <sheet name="Sheet1" sheetId="5" state="hidden" r:id="rId3"/>
    <sheet name="Sheet2" sheetId="9" state="hidden" r:id="rId4"/>
    <sheet name="Billing Status_Digital Projects" sheetId="11" r:id="rId5"/>
    <sheet name="Profit Estimation" sheetId="12" r:id="rId6"/>
    <sheet name="Sheet3" sheetId="10" r:id="rId7"/>
  </sheets>
  <definedNames>
    <definedName name="_xlnm._FilterDatabase" localSheetId="1" hidden="1">'Billing Status'!$B$2:$R$80</definedName>
    <definedName name="_xlnm._FilterDatabase" localSheetId="4" hidden="1">'Billing Status_Digital Projects'!$A$2:$J$2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3" i="12" l="1"/>
  <c r="S83" i="12"/>
  <c r="R83" i="12"/>
  <c r="O71" i="12"/>
  <c r="N71" i="12"/>
  <c r="M71" i="12"/>
  <c r="L71" i="12"/>
  <c r="K71" i="12"/>
  <c r="J71" i="12"/>
  <c r="H71" i="12"/>
  <c r="G71" i="12"/>
  <c r="F71" i="12"/>
  <c r="E71" i="12"/>
  <c r="D71" i="12"/>
  <c r="P70" i="12"/>
  <c r="I70" i="12"/>
  <c r="I71" i="12" s="1"/>
  <c r="O69" i="12"/>
  <c r="N69" i="12"/>
  <c r="M69" i="12"/>
  <c r="L69" i="12"/>
  <c r="K69" i="12"/>
  <c r="J69" i="12"/>
  <c r="I69" i="12"/>
  <c r="H69" i="12"/>
  <c r="G69" i="12"/>
  <c r="F69" i="12"/>
  <c r="P68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P66" i="12"/>
  <c r="P65" i="12"/>
  <c r="P64" i="12"/>
  <c r="I63" i="12"/>
  <c r="H63" i="12"/>
  <c r="G63" i="12"/>
  <c r="F63" i="12"/>
  <c r="E63" i="12"/>
  <c r="D63" i="12"/>
  <c r="O62" i="12"/>
  <c r="L62" i="12"/>
  <c r="J61" i="12"/>
  <c r="O61" i="12" s="1"/>
  <c r="S60" i="12"/>
  <c r="O60" i="12"/>
  <c r="N60" i="12"/>
  <c r="M60" i="12"/>
  <c r="L60" i="12"/>
  <c r="O59" i="12"/>
  <c r="N59" i="12"/>
  <c r="M59" i="12"/>
  <c r="L59" i="12"/>
  <c r="K59" i="12"/>
  <c r="J59" i="12"/>
  <c r="H59" i="12"/>
  <c r="F59" i="12"/>
  <c r="E59" i="12"/>
  <c r="D59" i="12"/>
  <c r="I58" i="12"/>
  <c r="I59" i="12" s="1"/>
  <c r="R57" i="12"/>
  <c r="P57" i="12"/>
  <c r="G57" i="12"/>
  <c r="G59" i="12" s="1"/>
  <c r="R56" i="12"/>
  <c r="P56" i="12"/>
  <c r="R55" i="12"/>
  <c r="O55" i="12"/>
  <c r="N55" i="12"/>
  <c r="M55" i="12"/>
  <c r="L55" i="12"/>
  <c r="K55" i="12"/>
  <c r="J55" i="12"/>
  <c r="I55" i="12"/>
  <c r="F55" i="12"/>
  <c r="E55" i="12"/>
  <c r="D55" i="12"/>
  <c r="P54" i="12"/>
  <c r="G53" i="12"/>
  <c r="G55" i="12" s="1"/>
  <c r="P52" i="12"/>
  <c r="J51" i="12"/>
  <c r="I51" i="12"/>
  <c r="H51" i="12"/>
  <c r="F51" i="12"/>
  <c r="E51" i="12"/>
  <c r="D51" i="12"/>
  <c r="P50" i="12"/>
  <c r="R50" i="12" s="1"/>
  <c r="R49" i="12"/>
  <c r="G49" i="12"/>
  <c r="P49" i="12" s="1"/>
  <c r="R48" i="12"/>
  <c r="O48" i="12"/>
  <c r="O51" i="12" s="1"/>
  <c r="N48" i="12"/>
  <c r="N51" i="12" s="1"/>
  <c r="M48" i="12"/>
  <c r="M51" i="12" s="1"/>
  <c r="L48" i="12"/>
  <c r="L51" i="12" s="1"/>
  <c r="K48" i="12"/>
  <c r="K51" i="12" s="1"/>
  <c r="O47" i="12"/>
  <c r="N47" i="12"/>
  <c r="M47" i="12"/>
  <c r="L47" i="12"/>
  <c r="K47" i="12"/>
  <c r="J47" i="12"/>
  <c r="I47" i="12"/>
  <c r="H47" i="12"/>
  <c r="F47" i="12"/>
  <c r="E47" i="12"/>
  <c r="D47" i="12"/>
  <c r="P46" i="12"/>
  <c r="G45" i="12"/>
  <c r="P45" i="12" s="1"/>
  <c r="P44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P42" i="12"/>
  <c r="P41" i="12"/>
  <c r="P40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P38" i="12"/>
  <c r="P37" i="12"/>
  <c r="P36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P34" i="12"/>
  <c r="P33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30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P26" i="12"/>
  <c r="P25" i="12"/>
  <c r="P24" i="12"/>
  <c r="O23" i="12"/>
  <c r="N23" i="12"/>
  <c r="M23" i="12"/>
  <c r="L23" i="12"/>
  <c r="J23" i="12"/>
  <c r="I23" i="12"/>
  <c r="H23" i="12"/>
  <c r="F23" i="12"/>
  <c r="E23" i="12"/>
  <c r="D23" i="12"/>
  <c r="G21" i="12"/>
  <c r="G23" i="12" s="1"/>
  <c r="P20" i="12"/>
  <c r="O19" i="12"/>
  <c r="N19" i="12"/>
  <c r="M19" i="12"/>
  <c r="L19" i="12"/>
  <c r="K19" i="12"/>
  <c r="J19" i="12"/>
  <c r="I19" i="12"/>
  <c r="H19" i="12"/>
  <c r="F19" i="12"/>
  <c r="E19" i="12"/>
  <c r="D19" i="12"/>
  <c r="P18" i="12"/>
  <c r="G17" i="12"/>
  <c r="G19" i="12" s="1"/>
  <c r="P16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P14" i="12"/>
  <c r="P13" i="12"/>
  <c r="P12" i="12"/>
  <c r="N11" i="12"/>
  <c r="L11" i="12"/>
  <c r="J11" i="12"/>
  <c r="I11" i="12"/>
  <c r="H11" i="12"/>
  <c r="G11" i="12"/>
  <c r="F11" i="12"/>
  <c r="E11" i="12"/>
  <c r="D11" i="12"/>
  <c r="P10" i="12"/>
  <c r="P9" i="12"/>
  <c r="K8" i="12"/>
  <c r="K11" i="12" s="1"/>
  <c r="O7" i="12"/>
  <c r="N7" i="12"/>
  <c r="M7" i="12"/>
  <c r="L7" i="12"/>
  <c r="K7" i="12"/>
  <c r="J7" i="12"/>
  <c r="I7" i="12"/>
  <c r="H7" i="12"/>
  <c r="G7" i="12"/>
  <c r="F7" i="12"/>
  <c r="E7" i="12"/>
  <c r="D7" i="12"/>
  <c r="P6" i="12"/>
  <c r="P5" i="12"/>
  <c r="P4" i="12"/>
  <c r="P67" i="12" l="1"/>
  <c r="E76" i="12"/>
  <c r="I76" i="12"/>
  <c r="M8" i="12"/>
  <c r="O8" i="12" s="1"/>
  <c r="O11" i="12" s="1"/>
  <c r="P15" i="12"/>
  <c r="P19" i="12"/>
  <c r="P39" i="12"/>
  <c r="O76" i="12"/>
  <c r="P17" i="12"/>
  <c r="P31" i="12"/>
  <c r="O63" i="12"/>
  <c r="D76" i="12"/>
  <c r="F76" i="12"/>
  <c r="P27" i="12"/>
  <c r="P35" i="12"/>
  <c r="P43" i="12"/>
  <c r="P62" i="12"/>
  <c r="P69" i="12"/>
  <c r="P71" i="12"/>
  <c r="P59" i="12"/>
  <c r="P7" i="12"/>
  <c r="P8" i="12"/>
  <c r="S4" i="12" s="1"/>
  <c r="M11" i="12"/>
  <c r="P11" i="12" s="1"/>
  <c r="G47" i="12"/>
  <c r="G51" i="12"/>
  <c r="P51" i="12" s="1"/>
  <c r="H53" i="12"/>
  <c r="H55" i="12" s="1"/>
  <c r="P55" i="12" s="1"/>
  <c r="L61" i="12"/>
  <c r="L63" i="12" s="1"/>
  <c r="L76" i="12" s="1"/>
  <c r="N61" i="12"/>
  <c r="N63" i="12" s="1"/>
  <c r="N76" i="12" s="1"/>
  <c r="J63" i="12"/>
  <c r="J76" i="12" s="1"/>
  <c r="P21" i="12"/>
  <c r="P58" i="12"/>
  <c r="K61" i="12"/>
  <c r="K63" i="12" s="1"/>
  <c r="M61" i="12"/>
  <c r="M63" i="12" s="1"/>
  <c r="M76" i="12" l="1"/>
  <c r="G76" i="12"/>
  <c r="H76" i="12"/>
  <c r="P63" i="12"/>
  <c r="P47" i="12"/>
  <c r="P61" i="12"/>
  <c r="P53" i="12"/>
  <c r="H62" i="1"/>
  <c r="H61" i="1"/>
  <c r="R61" i="1" l="1"/>
  <c r="S61" i="1" s="1"/>
  <c r="L61" i="1"/>
  <c r="AE15" i="10" l="1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14" i="10"/>
  <c r="G3" i="11" l="1"/>
  <c r="G4" i="11"/>
  <c r="G5" i="11"/>
  <c r="G6" i="11"/>
  <c r="G7" i="11"/>
  <c r="G8" i="11"/>
  <c r="G9" i="11"/>
  <c r="I9" i="11" s="1"/>
  <c r="I3" i="11" l="1"/>
  <c r="I12" i="11" s="1"/>
  <c r="I13" i="11" s="1"/>
  <c r="W45" i="1" l="1"/>
  <c r="V45" i="1"/>
  <c r="U37" i="1"/>
  <c r="U38" i="1" s="1"/>
  <c r="U39" i="1" s="1"/>
  <c r="T41" i="1"/>
  <c r="F67" i="1" l="1"/>
  <c r="H69" i="1" l="1"/>
  <c r="N69" i="1" s="1"/>
  <c r="H68" i="1"/>
  <c r="H67" i="1"/>
  <c r="F63" i="1"/>
  <c r="H63" i="1" s="1"/>
  <c r="M67" i="1" l="1"/>
  <c r="H64" i="1"/>
  <c r="H65" i="1"/>
  <c r="H66" i="1"/>
  <c r="T73" i="1" l="1"/>
  <c r="V44" i="1" l="1"/>
  <c r="Y13" i="9" l="1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12" i="9"/>
  <c r="C16" i="5" l="1"/>
  <c r="K17" i="5"/>
  <c r="K16" i="5"/>
  <c r="H15" i="5" l="1"/>
  <c r="G15" i="5"/>
  <c r="B15" i="5"/>
  <c r="F52" i="1" l="1"/>
  <c r="O16" i="1" l="1"/>
  <c r="O13" i="1"/>
  <c r="F58" i="1" l="1"/>
  <c r="F55" i="1"/>
  <c r="H57" i="1" l="1"/>
  <c r="S55" i="1"/>
  <c r="H2" i="5"/>
  <c r="H59" i="1"/>
  <c r="M59" i="1" s="1"/>
  <c r="H58" i="1"/>
  <c r="H60" i="1"/>
  <c r="L55" i="1"/>
  <c r="H56" i="1"/>
  <c r="H55" i="1"/>
  <c r="F49" i="1"/>
  <c r="S49" i="1" s="1"/>
  <c r="L58" i="1" l="1"/>
  <c r="R58" i="1"/>
  <c r="K58" i="1"/>
  <c r="G2" i="5"/>
  <c r="O43" i="1"/>
  <c r="P45" i="1"/>
  <c r="O40" i="1"/>
  <c r="O37" i="1"/>
  <c r="O33" i="1"/>
  <c r="O32" i="1"/>
  <c r="O23" i="1"/>
  <c r="O22" i="1"/>
  <c r="P22" i="1" s="1"/>
  <c r="O19" i="1"/>
  <c r="Q13" i="1"/>
  <c r="F29" i="1" l="1"/>
  <c r="H29" i="1" l="1"/>
  <c r="K29" i="1" s="1"/>
  <c r="H54" i="1" l="1"/>
  <c r="M54" i="1" s="1"/>
  <c r="H52" i="1" l="1"/>
  <c r="H53" i="1"/>
  <c r="R53" i="1" s="1"/>
  <c r="S53" i="1" s="1"/>
  <c r="H28" i="1"/>
  <c r="K28" i="1" s="1"/>
  <c r="F28" i="1"/>
  <c r="L52" i="1" l="1"/>
  <c r="F2" i="5"/>
  <c r="H27" i="1"/>
  <c r="K27" i="1" s="1"/>
  <c r="F27" i="1"/>
  <c r="R42" i="1" l="1"/>
  <c r="H49" i="1" l="1"/>
  <c r="K49" i="1" s="1"/>
  <c r="F46" i="1"/>
  <c r="H47" i="1" s="1"/>
  <c r="H51" i="1" l="1"/>
  <c r="R51" i="1" s="1"/>
  <c r="H50" i="1"/>
  <c r="H48" i="1"/>
  <c r="H46" i="1"/>
  <c r="K46" i="1" s="1"/>
  <c r="L6" i="1" l="1"/>
  <c r="E2" i="5"/>
  <c r="L48" i="1"/>
  <c r="D2" i="5"/>
  <c r="L50" i="1"/>
  <c r="F43" i="1" l="1"/>
  <c r="H45" i="1" l="1"/>
  <c r="K45" i="1" s="1"/>
  <c r="H44" i="1"/>
  <c r="H43" i="1"/>
  <c r="K43" i="1" l="1"/>
  <c r="P43" i="1" s="1"/>
  <c r="Q43" i="1" s="1"/>
  <c r="F40" i="1"/>
  <c r="H41" i="1" l="1"/>
  <c r="H42" i="1"/>
  <c r="H40" i="1"/>
  <c r="K40" i="1" l="1"/>
  <c r="P40" i="1" s="1"/>
  <c r="Q40" i="1" s="1"/>
  <c r="B4" i="3"/>
  <c r="B2" i="3"/>
  <c r="K21" i="1" l="1"/>
  <c r="P21" i="1" s="1"/>
  <c r="J19" i="1"/>
  <c r="P19" i="1" s="1"/>
  <c r="K16" i="1"/>
  <c r="P16" i="1" s="1"/>
  <c r="J13" i="1"/>
  <c r="P13" i="1" s="1"/>
  <c r="Q19" i="1" l="1"/>
  <c r="F32" i="1"/>
  <c r="F36" i="1" l="1"/>
  <c r="H39" i="1" l="1"/>
  <c r="T39" i="1" s="1"/>
  <c r="T46" i="1" s="1"/>
  <c r="T47" i="1" s="1"/>
  <c r="H38" i="1"/>
  <c r="H37" i="1"/>
  <c r="K37" i="1" s="1"/>
  <c r="H36" i="1"/>
  <c r="J36" i="1" s="1"/>
  <c r="P36" i="1" s="1"/>
  <c r="F22" i="1"/>
  <c r="J32" i="1"/>
  <c r="F30" i="1"/>
  <c r="P30" i="1" s="1"/>
  <c r="Q30" i="1" s="1"/>
  <c r="H34" i="1"/>
  <c r="K22" i="12" s="1"/>
  <c r="H35" i="1"/>
  <c r="H33" i="1"/>
  <c r="H32" i="1"/>
  <c r="S32" i="1" s="1"/>
  <c r="J30" i="1"/>
  <c r="K33" i="1" l="1"/>
  <c r="K23" i="12"/>
  <c r="P22" i="12"/>
  <c r="L7" i="1"/>
  <c r="T40" i="1"/>
  <c r="V42" i="1" s="1"/>
  <c r="L5" i="1"/>
  <c r="L34" i="1"/>
  <c r="L9" i="1"/>
  <c r="M35" i="1"/>
  <c r="L3" i="1"/>
  <c r="L4" i="1"/>
  <c r="L12" i="1" s="1"/>
  <c r="B2" i="5"/>
  <c r="C2" i="5"/>
  <c r="L38" i="1"/>
  <c r="P39" i="1" s="1"/>
  <c r="P35" i="1"/>
  <c r="P37" i="1"/>
  <c r="Q22" i="1"/>
  <c r="P32" i="1"/>
  <c r="H22" i="1"/>
  <c r="H26" i="1"/>
  <c r="H23" i="1"/>
  <c r="H25" i="1"/>
  <c r="H24" i="1"/>
  <c r="P23" i="12" l="1"/>
  <c r="Q76" i="12" s="1"/>
  <c r="R76" i="12" s="1"/>
  <c r="K76" i="12"/>
  <c r="P76" i="12" s="1"/>
  <c r="L11" i="1"/>
  <c r="Q36" i="1"/>
  <c r="K26" i="1"/>
  <c r="K22" i="1"/>
  <c r="P33" i="1"/>
  <c r="Q32" i="1" s="1"/>
  <c r="Q78" i="12" l="1"/>
  <c r="P79" i="12"/>
  <c r="Q82" i="12"/>
  <c r="Q83" i="12" s="1"/>
  <c r="P23" i="1"/>
</calcChain>
</file>

<file path=xl/comments1.xml><?xml version="1.0" encoding="utf-8"?>
<comments xmlns="http://schemas.openxmlformats.org/spreadsheetml/2006/main">
  <authors>
    <author>Author</author>
  </authors>
  <commentList>
    <comment ref="P6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1,000,000 as travel fee not confirmed</t>
        </r>
      </text>
    </comment>
  </commentList>
</comments>
</file>

<file path=xl/sharedStrings.xml><?xml version="1.0" encoding="utf-8"?>
<sst xmlns="http://schemas.openxmlformats.org/spreadsheetml/2006/main" count="794" uniqueCount="239">
  <si>
    <t>Milestone</t>
  </si>
  <si>
    <t>Planned Closure Date</t>
  </si>
  <si>
    <t>Actual Closure Date</t>
  </si>
  <si>
    <t>Amount (RMB)</t>
  </si>
  <si>
    <t>Invoicing Status</t>
  </si>
  <si>
    <t>2019 Forecast</t>
  </si>
  <si>
    <t>2020 Forecast</t>
  </si>
  <si>
    <t>M2 Test Phase</t>
  </si>
  <si>
    <t>Done</t>
  </si>
  <si>
    <t>-</t>
  </si>
  <si>
    <t>M2-2 Test Phase</t>
  </si>
  <si>
    <t>VP2 Test Phase</t>
  </si>
  <si>
    <t>Not yet</t>
  </si>
  <si>
    <t>TT Test Phase</t>
  </si>
  <si>
    <t>SOP +6</t>
  </si>
  <si>
    <t>Project Name</t>
  </si>
  <si>
    <t>GE13</t>
  </si>
  <si>
    <t>GE12B</t>
  </si>
  <si>
    <t>RBEI/ECN Billing Status (W/O. Tax)</t>
  </si>
  <si>
    <t>UAES</t>
  </si>
  <si>
    <t>1st phase</t>
  </si>
  <si>
    <t>2nd phase</t>
  </si>
  <si>
    <t>BYD</t>
  </si>
  <si>
    <t>Total Amount</t>
  </si>
  <si>
    <t>Payment Percentage</t>
  </si>
  <si>
    <t>Prepayment</t>
  </si>
  <si>
    <t>3rd phase</t>
  </si>
  <si>
    <t>GAC</t>
  </si>
  <si>
    <t>FE5AB/6AB</t>
  </si>
  <si>
    <t>2021 Forecast</t>
  </si>
  <si>
    <t>SOP+6</t>
  </si>
  <si>
    <t>VP1 Test Phase</t>
  </si>
  <si>
    <t>PP Test Phase</t>
  </si>
  <si>
    <t xml:space="preserve">TT2 Test Phase </t>
  </si>
  <si>
    <t>Meeting Minutes</t>
  </si>
  <si>
    <t>Document Meta Data:</t>
  </si>
  <si>
    <t>Project (Number and Name)</t>
  </si>
  <si>
    <t>Document Approver</t>
  </si>
  <si>
    <t>Xia Sammi</t>
  </si>
  <si>
    <t>Document Status</t>
  </si>
  <si>
    <t>Draft</t>
  </si>
  <si>
    <t>Note: Press F9 to update the automatic calculated fields</t>
  </si>
  <si>
    <t>Note: Version history is updated automatic, when new Meeting is generated.</t>
  </si>
  <si>
    <t>Version</t>
  </si>
  <si>
    <t>Author</t>
  </si>
  <si>
    <t>Date</t>
  </si>
  <si>
    <t>Change (Why, What)</t>
  </si>
  <si>
    <t>RBEI_ECN_Billing_Status</t>
  </si>
  <si>
    <t>Sammi</t>
  </si>
  <si>
    <t>DFM</t>
  </si>
  <si>
    <t>- add FE3AH into the list</t>
  </si>
  <si>
    <t>FE3AH</t>
  </si>
  <si>
    <t>VP Test Phase</t>
  </si>
  <si>
    <t>TT&amp;PP Test Phase</t>
  </si>
  <si>
    <t>Project</t>
  </si>
  <si>
    <t>TT1 Test Phase</t>
  </si>
  <si>
    <t>-GE12B SOP+6 billing done
-GE13 PP phase renamed as TT2 and delayed till 5/1 and SOP+6 till 10/31
- BYD the 1st phase will be delayed till 5/31
- GAC the 1st phase will be delayed till 7/31</t>
  </si>
  <si>
    <t>- GE13 TT1 phase billing finished
- FE5AB/6AB VP2 phase billing finished</t>
  </si>
  <si>
    <t>- FE6AB TT phase delay, billing plan updated
- GAC 1st phase delay till 8/31, billing plan updated
- BYD 1st phase delay till 7/31, billing plan updated
- DFM confirmed the entering date, project plan updated</t>
  </si>
  <si>
    <t>Delayed</t>
  </si>
  <si>
    <t>RBJAC</t>
  </si>
  <si>
    <t>FRS D0</t>
  </si>
  <si>
    <t xml:space="preserve">FRS Bugfix </t>
  </si>
  <si>
    <t>Final Acceptence</t>
  </si>
  <si>
    <t>BJEV</t>
  </si>
  <si>
    <t>- Add RBJAC payment plan
- Add BJEV payment plan</t>
  </si>
  <si>
    <t>- FE5AB/6AB TT phase billing finished 
- FE3AH delayed because the customer software releasing one month late</t>
  </si>
  <si>
    <t>FE5AB/6AB_Extension</t>
  </si>
  <si>
    <t>- add the FE5AB/6AB_extension project</t>
  </si>
  <si>
    <t>30th Jun 2021</t>
  </si>
  <si>
    <t>GAC_Complex Driver</t>
  </si>
  <si>
    <t>- DFM prepayment done</t>
  </si>
  <si>
    <t>Profit CN (Total)</t>
  </si>
  <si>
    <t>FE5AB/6AB_3rd Party_1</t>
  </si>
  <si>
    <t>FE5AB/6AB_3rd Party_2</t>
  </si>
  <si>
    <t>- FE3AH 1 phase payment done
- FE5AB/6AB_3rd Party_1 total payment done
- add GAC complex driver</t>
  </si>
  <si>
    <t>- add the FE5AB/6AB_3rd Party_1 project</t>
  </si>
  <si>
    <t>- DFM 1st done
- FE5AB/6AB_3rd Party_2 total payment done
- FE5AB/6AB PP phase done
-BYD will delay to Oct</t>
  </si>
  <si>
    <t>Paid to vendor</t>
  </si>
  <si>
    <t>Profit CN</t>
  </si>
  <si>
    <t>Done, but risk for payment</t>
  </si>
  <si>
    <t>- FE5AB/6AB billing complete done, last 10% shift from 2021 to 2020
- FE3AH billing complete done, last 10% shift from 2021 to 2020
- FE5AB/6AB extend billing complete done</t>
  </si>
  <si>
    <t>- GAC 1st payment done</t>
  </si>
  <si>
    <t xml:space="preserve">FRS D1&amp; Bugfix </t>
  </si>
  <si>
    <t>FE-6-A3</t>
  </si>
  <si>
    <t>Canceled, because of the delay</t>
  </si>
  <si>
    <t>-update BJEV billing percentage of each phase according to the contract'</t>
  </si>
  <si>
    <t>Delayed, alternative solution for Variant 3 setup</t>
  </si>
  <si>
    <t>30th Sep 2021</t>
  </si>
  <si>
    <t>31th Mar 2021</t>
  </si>
  <si>
    <t>31th Dec 2021</t>
  </si>
  <si>
    <t>-GAC_PT and GAC_CDD was blocked by internal credit applying
-BJEV was blocked because the deliverables review</t>
  </si>
  <si>
    <t>HMI_overhead</t>
  </si>
  <si>
    <t>AE_overhead</t>
  </si>
  <si>
    <t>V&amp;V_overhead</t>
  </si>
  <si>
    <t>Vender Cost Reserved</t>
  </si>
  <si>
    <t>Revenue 2021 total (per Project)</t>
  </si>
  <si>
    <t>Vender Cost 01</t>
  </si>
  <si>
    <t>Vender Cost 02</t>
  </si>
  <si>
    <t>Vender Cost 03</t>
  </si>
  <si>
    <t>Vender Cost 04</t>
  </si>
  <si>
    <t>Vender Cost 05</t>
  </si>
  <si>
    <t>Vender Cost 06</t>
  </si>
  <si>
    <t>Vender Cost 07</t>
  </si>
  <si>
    <t>Vender Cost 08</t>
  </si>
  <si>
    <t>Vender Cost 09</t>
  </si>
  <si>
    <t>Vender Cost 10</t>
  </si>
  <si>
    <t>Vender Cost 11</t>
  </si>
  <si>
    <t>Vender Cost 12</t>
  </si>
  <si>
    <t>Internal Cost 01</t>
  </si>
  <si>
    <t>Internal Cost 02</t>
  </si>
  <si>
    <t>Internal Cost 03</t>
  </si>
  <si>
    <t>Internal Cost 04</t>
  </si>
  <si>
    <t>Internal Cost 05</t>
  </si>
  <si>
    <t>Internal Cost 06</t>
  </si>
  <si>
    <t>Internal Cost 07</t>
  </si>
  <si>
    <t>Internal Cost 08</t>
  </si>
  <si>
    <t>Internal Cost 09</t>
  </si>
  <si>
    <t>Internal Cost 10</t>
  </si>
  <si>
    <t>Internal Cost 11</t>
  </si>
  <si>
    <t>Internal Cost 12</t>
  </si>
  <si>
    <t>Revenue 2021/01</t>
  </si>
  <si>
    <t>Revenue 2021/02</t>
  </si>
  <si>
    <t>Revenue 2021/03</t>
  </si>
  <si>
    <t>Revenue 2021/04</t>
  </si>
  <si>
    <t>Revenue 2021/05</t>
  </si>
  <si>
    <t>Revenue 2021/06</t>
  </si>
  <si>
    <t>Revenue 2021/07</t>
  </si>
  <si>
    <t>Revenue 2021/08</t>
  </si>
  <si>
    <t>Revenue 2021/09</t>
  </si>
  <si>
    <t>Revenue 2021/10</t>
  </si>
  <si>
    <t>Revenue 2021/11</t>
  </si>
  <si>
    <t>Revenue 2021/12</t>
  </si>
  <si>
    <t>RBJAC_commercial</t>
  </si>
  <si>
    <t>GAC_CDD</t>
  </si>
  <si>
    <t>AE Testing</t>
  </si>
  <si>
    <t>AE Testing Total</t>
  </si>
  <si>
    <t>BJEV Total</t>
  </si>
  <si>
    <t>BYD Total</t>
  </si>
  <si>
    <t>DFM Total</t>
  </si>
  <si>
    <t>FE3AH Total</t>
  </si>
  <si>
    <t>FE5AB/6AB Total</t>
  </si>
  <si>
    <t>GAC Total</t>
  </si>
  <si>
    <t>GE13 Total</t>
  </si>
  <si>
    <t>HMI</t>
  </si>
  <si>
    <t>HMI Total</t>
  </si>
  <si>
    <t>RBJAC Total</t>
  </si>
  <si>
    <t>V&amp;V Testing</t>
  </si>
  <si>
    <t>V&amp;V Testing Total</t>
  </si>
  <si>
    <t>FE-6-A3 Total</t>
  </si>
  <si>
    <t>GAC_CDD Total</t>
  </si>
  <si>
    <t>Overhead_Acquisation</t>
  </si>
  <si>
    <t>Overhead_Acquisation Total</t>
  </si>
  <si>
    <t>RBJAC_commercial Total</t>
  </si>
  <si>
    <t>Digital_Supporting</t>
  </si>
  <si>
    <t>Digital_Supporting Total</t>
  </si>
  <si>
    <t>Grand Total</t>
  </si>
  <si>
    <t>01-Vendor</t>
  </si>
  <si>
    <t>02-RBEI</t>
  </si>
  <si>
    <t>03-Revenue</t>
  </si>
  <si>
    <t>Jan</t>
  </si>
  <si>
    <t>Feb</t>
  </si>
  <si>
    <t>Mar</t>
  </si>
  <si>
    <t>Apr</t>
  </si>
  <si>
    <t>May</t>
  </si>
  <si>
    <t>Sep</t>
  </si>
  <si>
    <t>Nov</t>
  </si>
  <si>
    <t>Dec</t>
  </si>
  <si>
    <t>2021 Total</t>
  </si>
  <si>
    <t>2022 Forecast</t>
  </si>
  <si>
    <t>Aug</t>
  </si>
  <si>
    <t>Jun</t>
  </si>
  <si>
    <t>Cost source</t>
  </si>
  <si>
    <t>Audi_Platform</t>
  </si>
  <si>
    <t>Audi_Platform Total</t>
  </si>
  <si>
    <t>Baoneng_EE</t>
  </si>
  <si>
    <t>Baoneng_EE Total</t>
  </si>
  <si>
    <t>Jul</t>
  </si>
  <si>
    <t>Oct</t>
  </si>
  <si>
    <t>Existing Project</t>
  </si>
  <si>
    <t>High probability Project</t>
  </si>
  <si>
    <t>RBJAC (G2020)</t>
  </si>
  <si>
    <t>Geely: FE-6-A3</t>
  </si>
  <si>
    <t>High Act+Commit+Execute</t>
  </si>
  <si>
    <t>Commit+Execute</t>
  </si>
  <si>
    <t>Gross margin</t>
  </si>
  <si>
    <t>Overall cost/Rev</t>
  </si>
  <si>
    <t>2022+ Total</t>
  </si>
  <si>
    <t>vendor</t>
  </si>
  <si>
    <t>costs</t>
  </si>
  <si>
    <t>Rev</t>
  </si>
  <si>
    <t>internal</t>
  </si>
  <si>
    <t>Q1</t>
  </si>
  <si>
    <t>Q2</t>
  </si>
  <si>
    <t>AUDI_PPE&amp;CADA&amp;CAPA</t>
  </si>
  <si>
    <t>Baoneng_GX16_EE</t>
  </si>
  <si>
    <t>VF11-A2</t>
  </si>
  <si>
    <t>shaohaihui</t>
  </si>
  <si>
    <t>Audi-2nd phase</t>
  </si>
  <si>
    <t>Nanjing</t>
  </si>
  <si>
    <t>Garett</t>
  </si>
  <si>
    <t>CF billing</t>
  </si>
  <si>
    <t>GPE</t>
  </si>
  <si>
    <t>CF06_Plan</t>
  </si>
  <si>
    <t>CF03_Plan</t>
  </si>
  <si>
    <t>CF03_Actual</t>
  </si>
  <si>
    <t>CF06_Actual</t>
  </si>
  <si>
    <t>CF09_Plan</t>
  </si>
  <si>
    <t>CF09_Actual</t>
  </si>
  <si>
    <t>CF12_Plan</t>
  </si>
  <si>
    <t>CF12_Actual</t>
  </si>
  <si>
    <t>Total_Plan</t>
  </si>
  <si>
    <t>Total_Actual</t>
  </si>
  <si>
    <t>-BJEV will be reversed in Apr.
-RBJAC and RBJAC commercial will happen in advance
-BYD was blocked</t>
  </si>
  <si>
    <t>J1 Test Phase</t>
  </si>
  <si>
    <t>VP Test  Phase</t>
  </si>
  <si>
    <t>2023 Forecast</t>
  </si>
  <si>
    <t>TBD</t>
  </si>
  <si>
    <t>whole porject</t>
  </si>
  <si>
    <t>Shanghai Jiuzheng Phantom PoC</t>
  </si>
  <si>
    <t>Bosch Rexroth PMS</t>
  </si>
  <si>
    <t>3rd Phase</t>
  </si>
  <si>
    <t>2nd Phase</t>
  </si>
  <si>
    <t>1st Phase</t>
  </si>
  <si>
    <t>Shaohaihui Indus 4.0 Demo Line</t>
  </si>
  <si>
    <t>Hold hope Lite Mes</t>
  </si>
  <si>
    <t>Digital Projects Billing Status (W/O. Tax)</t>
  </si>
  <si>
    <t>Cancel</t>
  </si>
  <si>
    <t>/</t>
  </si>
  <si>
    <t>vendor cost</t>
  </si>
  <si>
    <t>VF11-A2 Total</t>
  </si>
  <si>
    <t>Delayed, because the whole customer SOP timeline changing</t>
  </si>
  <si>
    <t>Delayed, because offshore delivery blocking</t>
  </si>
  <si>
    <t>Delayed, because the contracting was blocked</t>
  </si>
  <si>
    <t>Plan to bill in 2021</t>
  </si>
  <si>
    <t>Rest payment in 2021</t>
  </si>
  <si>
    <t>All planned Milstone was delayed by the acceptence process and contracting</t>
  </si>
  <si>
    <t>2021-11-31</t>
  </si>
  <si>
    <t>12/12/2012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</si>
</sst>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¥-804]* #,##0.00_ ;_ [$¥-804]* \-#,##0.00_ ;_ [$¥-804]* &quot;-&quot;??_ ;_ @_ "/>
    <numFmt numFmtId="165" formatCode="dd/mm/yy"/>
    <numFmt numFmtId="166" formatCode="yyyy\-mm\-dd"/>
    <numFmt numFmtId="167" formatCode="_ [$¥-804]* #,##0_ ;_ [$¥-804]* \-#,##0_ ;_ [$¥-804]* &quot;-&quot;??_ ;_ @_ "/>
    <numFmt numFmtId="168" formatCode="[$¥-804]#,##0"/>
    <numFmt numFmtId="169" formatCode="yyyy\-mm\-dd;@"/>
    <numFmt numFmtId="170" formatCode="_(* #,##0_);_(* \(#,##0\);_(* &quot;-&quot;??_);_(@_)"/>
    <numFmt numFmtId="171" formatCode="_(&quot;$&quot;* #,##0_);_(&quot;$&quot;* \(#,##0\);_(&quot;$&quot;* &quot;-&quot;??_);_(@_)"/>
    <numFmt numFmtId="172" formatCode="[$-409]mmmm\ d\,\ yyyy;@"/>
    <numFmt numFmtId="173" formatCode="[$¥-804]#,##0.00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20"/>
      <color indexed="9"/>
      <name val="Tahoma"/>
      <family val="2"/>
    </font>
    <font>
      <b/>
      <sz val="20"/>
      <name val="Tahoma"/>
      <family val="2"/>
    </font>
    <font>
      <sz val="16"/>
      <color indexed="55"/>
      <name val="Tahoma"/>
      <family val="2"/>
    </font>
    <font>
      <sz val="18"/>
      <name val="Tahoma"/>
      <family val="2"/>
    </font>
    <font>
      <b/>
      <sz val="10"/>
      <name val="Tahoma"/>
      <family val="2"/>
    </font>
    <font>
      <sz val="10"/>
      <color indexed="22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u/>
      <sz val="8"/>
      <name val="Tahoma"/>
      <family val="2"/>
    </font>
    <font>
      <b/>
      <sz val="10"/>
      <color indexed="10"/>
      <name val="Tahoma"/>
      <family val="2"/>
    </font>
    <font>
      <sz val="8"/>
      <name val="Tahoma"/>
      <family val="2"/>
    </font>
    <font>
      <sz val="11"/>
      <name val="Calibri"/>
      <family val="2"/>
      <scheme val="minor"/>
    </font>
    <font>
      <sz val="10"/>
      <color rgb="FF000000"/>
      <name val="Bosch Office Sans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79998168889431442"/>
        <bgColor theme="8" tint="0.59999389629810485"/>
      </patternFill>
    </fill>
    <fill>
      <patternFill patternType="solid">
        <fgColor rgb="FFFF0000"/>
        <bgColor theme="8" tint="0.5999938962981048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0000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DEDF"/>
        <bgColor indexed="64"/>
      </patternFill>
    </fill>
    <fill>
      <patternFill patternType="solid">
        <fgColor rgb="FFE7EFF0"/>
        <bgColor indexed="64"/>
      </patternFill>
    </fill>
    <fill>
      <patternFill patternType="solid">
        <fgColor rgb="FFC00000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8" tint="0.59999389629810485"/>
      </patternFill>
    </fill>
    <fill>
      <patternFill patternType="solid">
        <fgColor theme="0" tint="-0.14999847407452621"/>
        <bgColor theme="8" tint="0.79998168889431442"/>
      </patternFill>
    </fill>
    <fill>
      <patternFill patternType="solid">
        <fgColor rgb="FFC00000"/>
        <bgColor theme="8" tint="0.59999389629810485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theme="8" tint="0.59999389629810485"/>
      </patternFill>
    </fill>
    <fill>
      <patternFill patternType="solid">
        <fgColor theme="4" tint="-0.249977111117893"/>
        <bgColor theme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theme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ashed">
        <color indexed="22"/>
      </left>
      <right/>
      <top style="dashed">
        <color indexed="22"/>
      </top>
      <bottom style="thin">
        <color indexed="22"/>
      </bottom>
      <diagonal/>
    </border>
    <border>
      <left/>
      <right/>
      <top style="dashed">
        <color indexed="22"/>
      </top>
      <bottom style="thin">
        <color indexed="22"/>
      </bottom>
      <diagonal/>
    </border>
    <border>
      <left/>
      <right style="dashed">
        <color indexed="22"/>
      </right>
      <top style="dashed">
        <color indexed="22"/>
      </top>
      <bottom style="thin">
        <color indexed="2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2" tint="-0.24994659260841701"/>
      </left>
      <right style="thin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/>
      <bottom/>
      <diagonal/>
    </border>
    <border>
      <left style="medium">
        <color theme="2" tint="-0.24994659260841701"/>
      </left>
      <right/>
      <top/>
      <bottom/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/>
      <diagonal/>
    </border>
    <border>
      <left style="medium">
        <color theme="2" tint="-0.24994659260841701"/>
      </left>
      <right style="thin">
        <color theme="2" tint="-0.24994659260841701"/>
      </right>
      <top/>
      <bottom/>
      <diagonal/>
    </border>
    <border>
      <left style="medium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8" fillId="0" borderId="0" applyFont="0" applyFill="0" applyBorder="0" applyAlignment="0" applyProtection="0"/>
    <xf numFmtId="0" fontId="9" fillId="0" borderId="0">
      <alignment vertical="top"/>
    </xf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43" fontId="8" fillId="0" borderId="0" applyFont="0" applyFill="0" applyBorder="0" applyAlignment="0" applyProtection="0"/>
    <xf numFmtId="0" fontId="3" fillId="0" borderId="0"/>
  </cellStyleXfs>
  <cellXfs count="433">
    <xf numFmtId="0" fontId="0" fillId="0" borderId="0" xfId="0"/>
    <xf numFmtId="164" fontId="0" fillId="0" borderId="0" xfId="0" applyNumberFormat="1"/>
    <xf numFmtId="0" fontId="0" fillId="8" borderId="0" xfId="2" applyFont="1" applyFill="1" applyProtection="1">
      <alignment vertical="top"/>
      <protection locked="0"/>
    </xf>
    <xf numFmtId="0" fontId="11" fillId="8" borderId="0" xfId="2" applyFont="1" applyFill="1" applyAlignment="1" applyProtection="1">
      <alignment vertical="center"/>
      <protection locked="0"/>
    </xf>
    <xf numFmtId="0" fontId="0" fillId="8" borderId="0" xfId="2" applyFont="1" applyFill="1" applyAlignment="1" applyProtection="1">
      <alignment vertical="center"/>
      <protection locked="0"/>
    </xf>
    <xf numFmtId="0" fontId="13" fillId="8" borderId="0" xfId="2" applyFont="1" applyFill="1" applyAlignment="1" applyProtection="1">
      <alignment horizontal="center" vertical="top"/>
      <protection locked="0"/>
    </xf>
    <xf numFmtId="0" fontId="0" fillId="8" borderId="0" xfId="2" applyFont="1" applyFill="1" applyAlignment="1" applyProtection="1">
      <alignment horizontal="center" vertical="top"/>
      <protection locked="0"/>
    </xf>
    <xf numFmtId="49" fontId="15" fillId="8" borderId="0" xfId="2" applyNumberFormat="1" applyFont="1" applyFill="1" applyProtection="1">
      <alignment vertical="top"/>
      <protection locked="0"/>
    </xf>
    <xf numFmtId="0" fontId="0" fillId="8" borderId="0" xfId="2" applyFont="1" applyFill="1" applyBorder="1" applyAlignment="1" applyProtection="1">
      <alignment horizontal="left"/>
      <protection locked="0"/>
    </xf>
    <xf numFmtId="49" fontId="0" fillId="8" borderId="0" xfId="2" applyNumberFormat="1" applyFont="1" applyFill="1" applyProtection="1">
      <alignment vertical="top"/>
      <protection locked="0"/>
    </xf>
    <xf numFmtId="0" fontId="0" fillId="8" borderId="13" xfId="2" applyFont="1" applyFill="1" applyBorder="1" applyProtection="1">
      <alignment vertical="top"/>
      <protection locked="0"/>
    </xf>
    <xf numFmtId="0" fontId="0" fillId="8" borderId="14" xfId="2" applyFont="1" applyFill="1" applyBorder="1" applyProtection="1">
      <alignment vertical="top"/>
      <protection locked="0"/>
    </xf>
    <xf numFmtId="0" fontId="0" fillId="8" borderId="15" xfId="2" applyFont="1" applyFill="1" applyBorder="1" applyProtection="1">
      <alignment vertical="top"/>
      <protection locked="0"/>
    </xf>
    <xf numFmtId="49" fontId="17" fillId="10" borderId="10" xfId="3" applyNumberFormat="1" applyFont="1" applyFill="1" applyBorder="1" applyAlignment="1" applyProtection="1">
      <alignment horizontal="center" vertical="center" wrapText="1"/>
      <protection locked="0"/>
    </xf>
    <xf numFmtId="0" fontId="9" fillId="8" borderId="0" xfId="2" applyFont="1" applyFill="1" applyProtection="1">
      <alignment vertical="top"/>
      <protection locked="0"/>
    </xf>
    <xf numFmtId="165" fontId="9" fillId="8" borderId="0" xfId="2" applyNumberFormat="1" applyFont="1" applyFill="1" applyProtection="1">
      <alignment vertical="top"/>
      <protection locked="0"/>
    </xf>
    <xf numFmtId="166" fontId="18" fillId="0" borderId="10" xfId="4" applyNumberFormat="1" applyFont="1" applyBorder="1" applyAlignment="1" applyProtection="1">
      <alignment horizontal="center" vertical="top" wrapText="1"/>
      <protection locked="0"/>
    </xf>
    <xf numFmtId="0" fontId="19" fillId="8" borderId="0" xfId="2" applyFont="1" applyFill="1" applyAlignment="1" applyProtection="1">
      <alignment vertical="top" wrapText="1"/>
      <protection locked="0"/>
    </xf>
    <xf numFmtId="0" fontId="0" fillId="8" borderId="0" xfId="2" applyFont="1" applyFill="1" applyAlignment="1" applyProtection="1">
      <alignment vertical="top" wrapText="1"/>
      <protection locked="0"/>
    </xf>
    <xf numFmtId="1" fontId="0" fillId="0" borderId="10" xfId="3" applyNumberFormat="1" applyFont="1" applyBorder="1" applyAlignment="1" applyProtection="1">
      <alignment horizontal="center" vertical="top" wrapText="1"/>
      <protection locked="0"/>
    </xf>
    <xf numFmtId="15" fontId="20" fillId="0" borderId="10" xfId="3" applyNumberFormat="1" applyFont="1" applyBorder="1" applyAlignment="1" applyProtection="1">
      <alignment horizontal="center" vertical="top" wrapText="1"/>
      <protection locked="0"/>
    </xf>
    <xf numFmtId="0" fontId="0" fillId="0" borderId="10" xfId="3" applyNumberFormat="1" applyFont="1" applyBorder="1" applyAlignment="1" applyProtection="1">
      <alignment horizontal="left" vertical="top" wrapText="1"/>
      <protection locked="0"/>
    </xf>
    <xf numFmtId="0" fontId="20" fillId="0" borderId="10" xfId="3" applyNumberFormat="1" applyFont="1" applyBorder="1" applyAlignment="1" applyProtection="1">
      <alignment horizontal="center" vertical="top" wrapText="1"/>
      <protection locked="0"/>
    </xf>
    <xf numFmtId="15" fontId="0" fillId="0" borderId="10" xfId="3" quotePrefix="1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3" borderId="3" xfId="0" applyFont="1" applyFill="1" applyBorder="1" applyAlignment="1">
      <alignment vertical="center"/>
    </xf>
    <xf numFmtId="9" fontId="0" fillId="3" borderId="3" xfId="0" applyNumberFormat="1" applyFont="1" applyFill="1" applyBorder="1" applyAlignment="1">
      <alignment horizontal="left" vertical="center"/>
    </xf>
    <xf numFmtId="164" fontId="0" fillId="3" borderId="3" xfId="0" applyNumberFormat="1" applyFont="1" applyFill="1" applyBorder="1" applyAlignment="1">
      <alignment horizontal="left" vertical="center"/>
    </xf>
    <xf numFmtId="164" fontId="0" fillId="6" borderId="3" xfId="0" applyNumberFormat="1" applyFont="1" applyFill="1" applyBorder="1" applyAlignment="1">
      <alignment horizontal="left" vertical="center"/>
    </xf>
    <xf numFmtId="0" fontId="0" fillId="6" borderId="3" xfId="0" applyFont="1" applyFill="1" applyBorder="1" applyAlignment="1">
      <alignment vertical="center"/>
    </xf>
    <xf numFmtId="9" fontId="0" fillId="6" borderId="3" xfId="0" applyNumberFormat="1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vertical="center"/>
    </xf>
    <xf numFmtId="9" fontId="0" fillId="5" borderId="3" xfId="0" applyNumberFormat="1" applyFont="1" applyFill="1" applyBorder="1" applyAlignment="1">
      <alignment horizontal="left" vertical="center"/>
    </xf>
    <xf numFmtId="0" fontId="0" fillId="11" borderId="3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64" fontId="0" fillId="17" borderId="3" xfId="0" applyNumberFormat="1" applyFont="1" applyFill="1" applyBorder="1" applyAlignment="1">
      <alignment horizontal="left" vertical="center" wrapText="1"/>
    </xf>
    <xf numFmtId="0" fontId="0" fillId="18" borderId="17" xfId="0" applyFill="1" applyBorder="1" applyAlignment="1">
      <alignment vertical="center"/>
    </xf>
    <xf numFmtId="0" fontId="0" fillId="18" borderId="17" xfId="0" applyFill="1" applyBorder="1" applyAlignment="1">
      <alignment vertical="center" wrapText="1"/>
    </xf>
    <xf numFmtId="164" fontId="0" fillId="18" borderId="17" xfId="0" applyNumberFormat="1" applyFill="1" applyBorder="1" applyAlignment="1">
      <alignment vertical="center"/>
    </xf>
    <xf numFmtId="0" fontId="0" fillId="12" borderId="17" xfId="0" applyFill="1" applyBorder="1" applyAlignment="1">
      <alignment vertical="center"/>
    </xf>
    <xf numFmtId="0" fontId="0" fillId="12" borderId="17" xfId="0" applyFill="1" applyBorder="1" applyAlignment="1">
      <alignment vertical="center" wrapText="1"/>
    </xf>
    <xf numFmtId="0" fontId="0" fillId="18" borderId="1" xfId="0" applyFill="1" applyBorder="1" applyAlignment="1">
      <alignment vertical="center"/>
    </xf>
    <xf numFmtId="0" fontId="0" fillId="18" borderId="2" xfId="0" applyFill="1" applyBorder="1" applyAlignment="1">
      <alignment vertical="center"/>
    </xf>
    <xf numFmtId="44" fontId="0" fillId="18" borderId="2" xfId="1" applyFont="1" applyFill="1" applyBorder="1" applyAlignment="1">
      <alignment vertical="center"/>
    </xf>
    <xf numFmtId="0" fontId="0" fillId="18" borderId="2" xfId="0" applyFill="1" applyBorder="1" applyAlignment="1">
      <alignment vertical="center" wrapText="1"/>
    </xf>
    <xf numFmtId="14" fontId="0" fillId="18" borderId="17" xfId="0" applyNumberFormat="1" applyFill="1" applyBorder="1" applyAlignment="1">
      <alignment vertical="center"/>
    </xf>
    <xf numFmtId="14" fontId="0" fillId="12" borderId="17" xfId="0" applyNumberFormat="1" applyFill="1" applyBorder="1" applyAlignment="1">
      <alignment vertical="center"/>
    </xf>
    <xf numFmtId="164" fontId="0" fillId="12" borderId="17" xfId="0" applyNumberFormat="1" applyFill="1" applyBorder="1" applyAlignment="1">
      <alignment vertical="center"/>
    </xf>
    <xf numFmtId="167" fontId="0" fillId="18" borderId="17" xfId="0" applyNumberFormat="1" applyFill="1" applyBorder="1" applyAlignment="1">
      <alignment vertical="center"/>
    </xf>
    <xf numFmtId="167" fontId="0" fillId="0" borderId="0" xfId="0" applyNumberFormat="1" applyAlignment="1">
      <alignment vertical="center"/>
    </xf>
    <xf numFmtId="167" fontId="0" fillId="12" borderId="17" xfId="0" applyNumberFormat="1" applyFill="1" applyBorder="1" applyAlignment="1">
      <alignment vertical="center"/>
    </xf>
    <xf numFmtId="167" fontId="0" fillId="18" borderId="2" xfId="0" applyNumberFormat="1" applyFill="1" applyBorder="1" applyAlignment="1">
      <alignment vertical="center"/>
    </xf>
    <xf numFmtId="167" fontId="0" fillId="18" borderId="3" xfId="0" applyNumberFormat="1" applyFill="1" applyBorder="1" applyAlignment="1">
      <alignment vertical="center"/>
    </xf>
    <xf numFmtId="167" fontId="0" fillId="18" borderId="17" xfId="1" applyNumberFormat="1" applyFont="1" applyFill="1" applyBorder="1" applyAlignment="1">
      <alignment vertical="center"/>
    </xf>
    <xf numFmtId="167" fontId="0" fillId="12" borderId="17" xfId="1" applyNumberFormat="1" applyFont="1" applyFill="1" applyBorder="1" applyAlignment="1">
      <alignment vertical="center"/>
    </xf>
    <xf numFmtId="164" fontId="0" fillId="3" borderId="2" xfId="0" applyNumberFormat="1" applyFont="1" applyFill="1" applyBorder="1" applyAlignment="1">
      <alignment vertical="center"/>
    </xf>
    <xf numFmtId="164" fontId="0" fillId="6" borderId="17" xfId="0" applyNumberFormat="1" applyFont="1" applyFill="1" applyBorder="1" applyAlignment="1">
      <alignment vertical="center"/>
    </xf>
    <xf numFmtId="164" fontId="0" fillId="18" borderId="2" xfId="5" applyNumberFormat="1" applyFont="1" applyFill="1" applyBorder="1" applyAlignment="1">
      <alignment vertical="center"/>
    </xf>
    <xf numFmtId="164" fontId="23" fillId="12" borderId="17" xfId="0" applyNumberFormat="1" applyFont="1" applyFill="1" applyBorder="1" applyAlignment="1">
      <alignment vertical="center"/>
    </xf>
    <xf numFmtId="164" fontId="23" fillId="18" borderId="17" xfId="0" applyNumberFormat="1" applyFont="1" applyFill="1" applyBorder="1" applyAlignment="1">
      <alignment vertical="center"/>
    </xf>
    <xf numFmtId="0" fontId="0" fillId="19" borderId="3" xfId="0" applyFont="1" applyFill="1" applyBorder="1" applyAlignment="1">
      <alignment vertical="center"/>
    </xf>
    <xf numFmtId="0" fontId="0" fillId="19" borderId="3" xfId="0" applyFont="1" applyFill="1" applyBorder="1" applyAlignment="1">
      <alignment horizontal="left" vertical="center"/>
    </xf>
    <xf numFmtId="164" fontId="0" fillId="19" borderId="3" xfId="0" applyNumberFormat="1" applyFont="1" applyFill="1" applyBorder="1" applyAlignment="1">
      <alignment horizontal="left" vertical="center"/>
    </xf>
    <xf numFmtId="0" fontId="0" fillId="19" borderId="3" xfId="0" applyFont="1" applyFill="1" applyBorder="1" applyAlignment="1">
      <alignment horizontal="left" vertical="center" wrapText="1"/>
    </xf>
    <xf numFmtId="0" fontId="0" fillId="20" borderId="3" xfId="0" applyFont="1" applyFill="1" applyBorder="1" applyAlignment="1">
      <alignment vertical="center"/>
    </xf>
    <xf numFmtId="0" fontId="0" fillId="20" borderId="3" xfId="0" applyFont="1" applyFill="1" applyBorder="1" applyAlignment="1">
      <alignment horizontal="left" vertical="center"/>
    </xf>
    <xf numFmtId="164" fontId="0" fillId="20" borderId="3" xfId="0" applyNumberFormat="1" applyFont="1" applyFill="1" applyBorder="1" applyAlignment="1">
      <alignment horizontal="left" vertical="center"/>
    </xf>
    <xf numFmtId="0" fontId="0" fillId="20" borderId="3" xfId="0" applyFont="1" applyFill="1" applyBorder="1" applyAlignment="1">
      <alignment horizontal="left" vertical="center" wrapText="1"/>
    </xf>
    <xf numFmtId="167" fontId="0" fillId="20" borderId="3" xfId="0" applyNumberFormat="1" applyFont="1" applyFill="1" applyBorder="1" applyAlignment="1">
      <alignment horizontal="center" vertical="center"/>
    </xf>
    <xf numFmtId="9" fontId="0" fillId="20" borderId="3" xfId="0" applyNumberFormat="1" applyFont="1" applyFill="1" applyBorder="1" applyAlignment="1">
      <alignment horizontal="left" vertical="center"/>
    </xf>
    <xf numFmtId="167" fontId="0" fillId="20" borderId="3" xfId="0" applyNumberFormat="1" applyFont="1" applyFill="1" applyBorder="1" applyAlignment="1">
      <alignment horizontal="left" vertical="center"/>
    </xf>
    <xf numFmtId="9" fontId="0" fillId="19" borderId="3" xfId="0" applyNumberFormat="1" applyFont="1" applyFill="1" applyBorder="1" applyAlignment="1">
      <alignment horizontal="left" vertical="center"/>
    </xf>
    <xf numFmtId="167" fontId="0" fillId="19" borderId="3" xfId="0" applyNumberFormat="1" applyFont="1" applyFill="1" applyBorder="1" applyAlignment="1">
      <alignment horizontal="left" vertical="center"/>
    </xf>
    <xf numFmtId="167" fontId="24" fillId="19" borderId="17" xfId="0" applyNumberFormat="1" applyFont="1" applyFill="1" applyBorder="1" applyAlignment="1">
      <alignment vertical="center"/>
    </xf>
    <xf numFmtId="167" fontId="24" fillId="19" borderId="17" xfId="0" quotePrefix="1" applyNumberFormat="1" applyFont="1" applyFill="1" applyBorder="1" applyAlignment="1">
      <alignment horizontal="center" vertical="center"/>
    </xf>
    <xf numFmtId="167" fontId="0" fillId="3" borderId="17" xfId="0" applyNumberFormat="1" applyFont="1" applyFill="1" applyBorder="1" applyAlignment="1">
      <alignment vertical="center"/>
    </xf>
    <xf numFmtId="167" fontId="0" fillId="20" borderId="17" xfId="0" quotePrefix="1" applyNumberFormat="1" applyFont="1" applyFill="1" applyBorder="1" applyAlignment="1">
      <alignment vertical="center"/>
    </xf>
    <xf numFmtId="164" fontId="0" fillId="19" borderId="3" xfId="0" quotePrefix="1" applyNumberFormat="1" applyFont="1" applyFill="1" applyBorder="1" applyAlignment="1">
      <alignment horizontal="left" vertical="center"/>
    </xf>
    <xf numFmtId="164" fontId="0" fillId="20" borderId="17" xfId="0" applyNumberFormat="1" applyFont="1" applyFill="1" applyBorder="1" applyAlignment="1">
      <alignment horizontal="left" vertical="center"/>
    </xf>
    <xf numFmtId="167" fontId="0" fillId="19" borderId="17" xfId="0" applyNumberFormat="1" applyFont="1" applyFill="1" applyBorder="1" applyAlignment="1">
      <alignment vertical="center"/>
    </xf>
    <xf numFmtId="164" fontId="0" fillId="19" borderId="17" xfId="0" applyNumberFormat="1" applyFont="1" applyFill="1" applyBorder="1" applyAlignment="1">
      <alignment horizontal="center" vertical="center"/>
    </xf>
    <xf numFmtId="167" fontId="0" fillId="4" borderId="17" xfId="0" applyNumberFormat="1" applyFont="1" applyFill="1" applyBorder="1" applyAlignment="1">
      <alignment vertical="center"/>
    </xf>
    <xf numFmtId="167" fontId="0" fillId="20" borderId="17" xfId="0" applyNumberFormat="1" applyFont="1" applyFill="1" applyBorder="1" applyAlignment="1">
      <alignment vertical="center"/>
    </xf>
    <xf numFmtId="167" fontId="0" fillId="5" borderId="17" xfId="0" applyNumberFormat="1" applyFont="1" applyFill="1" applyBorder="1" applyAlignment="1">
      <alignment vertical="center"/>
    </xf>
    <xf numFmtId="164" fontId="0" fillId="20" borderId="3" xfId="0" applyNumberFormat="1" applyFont="1" applyFill="1" applyBorder="1" applyAlignment="1">
      <alignment horizontal="left" vertical="center" wrapText="1"/>
    </xf>
    <xf numFmtId="167" fontId="0" fillId="6" borderId="17" xfId="0" applyNumberFormat="1" applyFont="1" applyFill="1" applyBorder="1" applyAlignment="1">
      <alignment vertical="center"/>
    </xf>
    <xf numFmtId="164" fontId="0" fillId="19" borderId="3" xfId="0" applyNumberFormat="1" applyFont="1" applyFill="1" applyBorder="1" applyAlignment="1">
      <alignment horizontal="left" vertical="center" wrapText="1"/>
    </xf>
    <xf numFmtId="168" fontId="25" fillId="0" borderId="18" xfId="0" applyNumberFormat="1" applyFont="1" applyBorder="1"/>
    <xf numFmtId="167" fontId="0" fillId="20" borderId="17" xfId="0" applyNumberFormat="1" applyFont="1" applyFill="1" applyBorder="1" applyAlignment="1">
      <alignment horizontal="center" vertical="center"/>
    </xf>
    <xf numFmtId="164" fontId="0" fillId="19" borderId="2" xfId="0" applyNumberFormat="1" applyFont="1" applyFill="1" applyBorder="1" applyAlignment="1">
      <alignment horizontal="center" vertical="center"/>
    </xf>
    <xf numFmtId="167" fontId="0" fillId="20" borderId="2" xfId="0" applyNumberFormat="1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 wrapText="1"/>
    </xf>
    <xf numFmtId="167" fontId="0" fillId="19" borderId="4" xfId="0" applyNumberFormat="1" applyFont="1" applyFill="1" applyBorder="1" applyAlignment="1">
      <alignment vertical="center"/>
    </xf>
    <xf numFmtId="164" fontId="21" fillId="19" borderId="3" xfId="0" applyNumberFormat="1" applyFont="1" applyFill="1" applyBorder="1" applyAlignment="1">
      <alignment horizontal="left" vertical="center"/>
    </xf>
    <xf numFmtId="164" fontId="21" fillId="20" borderId="3" xfId="0" applyNumberFormat="1" applyFont="1" applyFill="1" applyBorder="1" applyAlignment="1">
      <alignment horizontal="left" vertical="center"/>
    </xf>
    <xf numFmtId="164" fontId="21" fillId="11" borderId="3" xfId="0" applyNumberFormat="1" applyFont="1" applyFill="1" applyBorder="1" applyAlignment="1">
      <alignment horizontal="left" vertical="center"/>
    </xf>
    <xf numFmtId="164" fontId="21" fillId="6" borderId="3" xfId="0" applyNumberFormat="1" applyFont="1" applyFill="1" applyBorder="1" applyAlignment="1">
      <alignment horizontal="left" vertical="center"/>
    </xf>
    <xf numFmtId="164" fontId="21" fillId="17" borderId="3" xfId="0" applyNumberFormat="1" applyFont="1" applyFill="1" applyBorder="1" applyAlignment="1">
      <alignment horizontal="left" vertical="center"/>
    </xf>
    <xf numFmtId="164" fontId="21" fillId="21" borderId="3" xfId="0" applyNumberFormat="1" applyFont="1" applyFill="1" applyBorder="1" applyAlignment="1">
      <alignment horizontal="left" vertical="center"/>
    </xf>
    <xf numFmtId="164" fontId="21" fillId="3" borderId="3" xfId="0" applyNumberFormat="1" applyFont="1" applyFill="1" applyBorder="1" applyAlignment="1">
      <alignment horizontal="left" vertical="center"/>
    </xf>
    <xf numFmtId="164" fontId="0" fillId="3" borderId="17" xfId="0" applyNumberFormat="1" applyFont="1" applyFill="1" applyBorder="1" applyAlignment="1">
      <alignment vertical="center"/>
    </xf>
    <xf numFmtId="0" fontId="0" fillId="0" borderId="10" xfId="3" quotePrefix="1" applyNumberFormat="1" applyFont="1" applyBorder="1" applyAlignment="1" applyProtection="1">
      <alignment horizontal="left" vertical="top" wrapText="1"/>
      <protection locked="0"/>
    </xf>
    <xf numFmtId="9" fontId="0" fillId="0" borderId="0" xfId="5" applyFont="1" applyAlignment="1">
      <alignment vertical="center"/>
    </xf>
    <xf numFmtId="9" fontId="21" fillId="19" borderId="3" xfId="0" applyNumberFormat="1" applyFont="1" applyFill="1" applyBorder="1" applyAlignment="1">
      <alignment horizontal="left" vertical="center"/>
    </xf>
    <xf numFmtId="164" fontId="0" fillId="19" borderId="17" xfId="0" applyNumberFormat="1" applyFont="1" applyFill="1" applyBorder="1" applyAlignment="1">
      <alignment vertical="center"/>
    </xf>
    <xf numFmtId="9" fontId="0" fillId="4" borderId="3" xfId="0" applyNumberFormat="1" applyFont="1" applyFill="1" applyBorder="1" applyAlignment="1">
      <alignment horizontal="left" vertical="center"/>
    </xf>
    <xf numFmtId="167" fontId="0" fillId="6" borderId="17" xfId="0" applyNumberFormat="1" applyFont="1" applyFill="1" applyBorder="1" applyAlignment="1">
      <alignment horizontal="left" vertical="center"/>
    </xf>
    <xf numFmtId="164" fontId="0" fillId="18" borderId="17" xfId="5" applyNumberFormat="1" applyFont="1" applyFill="1" applyBorder="1" applyAlignment="1">
      <alignment vertical="center"/>
    </xf>
    <xf numFmtId="167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64" fontId="21" fillId="13" borderId="3" xfId="0" applyNumberFormat="1" applyFont="1" applyFill="1" applyBorder="1" applyAlignment="1">
      <alignment horizontal="left" vertical="center"/>
    </xf>
    <xf numFmtId="164" fontId="21" fillId="19" borderId="17" xfId="0" applyNumberFormat="1" applyFont="1" applyFill="1" applyBorder="1" applyAlignment="1">
      <alignment horizontal="center" vertical="center"/>
    </xf>
    <xf numFmtId="164" fontId="21" fillId="19" borderId="3" xfId="0" applyNumberFormat="1" applyFont="1" applyFill="1" applyBorder="1" applyAlignment="1">
      <alignment horizontal="center" vertical="center"/>
    </xf>
    <xf numFmtId="164" fontId="0" fillId="22" borderId="3" xfId="0" applyNumberFormat="1" applyFont="1" applyFill="1" applyBorder="1" applyAlignment="1">
      <alignment horizontal="left" vertical="center"/>
    </xf>
    <xf numFmtId="164" fontId="21" fillId="23" borderId="3" xfId="0" applyNumberFormat="1" applyFont="1" applyFill="1" applyBorder="1" applyAlignment="1">
      <alignment horizontal="left" vertical="center"/>
    </xf>
    <xf numFmtId="164" fontId="0" fillId="23" borderId="3" xfId="0" applyNumberFormat="1" applyFont="1" applyFill="1" applyBorder="1" applyAlignment="1">
      <alignment horizontal="left" vertical="center"/>
    </xf>
    <xf numFmtId="167" fontId="0" fillId="23" borderId="17" xfId="0" applyNumberFormat="1" applyFont="1" applyFill="1" applyBorder="1" applyAlignment="1">
      <alignment vertical="center"/>
    </xf>
    <xf numFmtId="0" fontId="0" fillId="23" borderId="3" xfId="0" applyFont="1" applyFill="1" applyBorder="1" applyAlignment="1">
      <alignment vertical="center"/>
    </xf>
    <xf numFmtId="9" fontId="0" fillId="23" borderId="3" xfId="0" applyNumberFormat="1" applyFont="1" applyFill="1" applyBorder="1" applyAlignment="1">
      <alignment horizontal="left" vertical="center"/>
    </xf>
    <xf numFmtId="167" fontId="0" fillId="23" borderId="17" xfId="0" quotePrefix="1" applyNumberFormat="1" applyFont="1" applyFill="1" applyBorder="1" applyAlignment="1">
      <alignment vertical="center"/>
    </xf>
    <xf numFmtId="0" fontId="0" fillId="22" borderId="3" xfId="0" applyFont="1" applyFill="1" applyBorder="1" applyAlignment="1">
      <alignment vertical="center"/>
    </xf>
    <xf numFmtId="167" fontId="0" fillId="23" borderId="2" xfId="0" applyNumberFormat="1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 wrapText="1"/>
    </xf>
    <xf numFmtId="164" fontId="6" fillId="2" borderId="19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 wrapText="1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0" fillId="19" borderId="4" xfId="0" applyFont="1" applyFill="1" applyBorder="1" applyAlignment="1">
      <alignment vertical="center"/>
    </xf>
    <xf numFmtId="9" fontId="0" fillId="19" borderId="4" xfId="0" applyNumberFormat="1" applyFont="1" applyFill="1" applyBorder="1" applyAlignment="1">
      <alignment horizontal="left" vertical="center"/>
    </xf>
    <xf numFmtId="164" fontId="0" fillId="19" borderId="4" xfId="0" applyNumberFormat="1" applyFont="1" applyFill="1" applyBorder="1" applyAlignment="1">
      <alignment horizontal="left" vertical="center"/>
    </xf>
    <xf numFmtId="0" fontId="0" fillId="19" borderId="4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vertical="center"/>
    </xf>
    <xf numFmtId="0" fontId="6" fillId="24" borderId="0" xfId="0" applyFont="1" applyFill="1" applyBorder="1" applyAlignment="1">
      <alignment vertical="center"/>
    </xf>
    <xf numFmtId="0" fontId="26" fillId="25" borderId="0" xfId="0" applyFont="1" applyFill="1"/>
    <xf numFmtId="0" fontId="0" fillId="0" borderId="0" xfId="0" applyAlignment="1">
      <alignment wrapText="1"/>
    </xf>
    <xf numFmtId="0" fontId="0" fillId="0" borderId="0" xfId="0" applyAlignment="1"/>
    <xf numFmtId="167" fontId="27" fillId="0" borderId="20" xfId="0" applyNumberFormat="1" applyFont="1" applyBorder="1"/>
    <xf numFmtId="164" fontId="0" fillId="19" borderId="17" xfId="0" applyNumberFormat="1" applyFont="1" applyFill="1" applyBorder="1" applyAlignment="1">
      <alignment horizontal="center" vertical="center"/>
    </xf>
    <xf numFmtId="164" fontId="0" fillId="20" borderId="3" xfId="0" applyNumberFormat="1" applyFont="1" applyFill="1" applyBorder="1" applyAlignment="1">
      <alignment horizontal="left" vertical="center"/>
    </xf>
    <xf numFmtId="164" fontId="0" fillId="19" borderId="2" xfId="0" applyNumberFormat="1" applyFont="1" applyFill="1" applyBorder="1" applyAlignment="1">
      <alignment horizontal="center" vertical="center"/>
    </xf>
    <xf numFmtId="169" fontId="0" fillId="19" borderId="4" xfId="0" applyNumberFormat="1" applyFont="1" applyFill="1" applyBorder="1" applyAlignment="1">
      <alignment vertical="center"/>
    </xf>
    <xf numFmtId="169" fontId="0" fillId="20" borderId="3" xfId="0" applyNumberFormat="1" applyFont="1" applyFill="1" applyBorder="1" applyAlignment="1">
      <alignment vertical="center"/>
    </xf>
    <xf numFmtId="169" fontId="0" fillId="19" borderId="3" xfId="0" applyNumberFormat="1" applyFont="1" applyFill="1" applyBorder="1" applyAlignment="1">
      <alignment vertical="center"/>
    </xf>
    <xf numFmtId="169" fontId="0" fillId="23" borderId="3" xfId="0" applyNumberFormat="1" applyFont="1" applyFill="1" applyBorder="1" applyAlignment="1">
      <alignment vertical="center"/>
    </xf>
    <xf numFmtId="169" fontId="0" fillId="5" borderId="3" xfId="0" applyNumberFormat="1" applyFont="1" applyFill="1" applyBorder="1" applyAlignment="1">
      <alignment vertical="center"/>
    </xf>
    <xf numFmtId="169" fontId="0" fillId="7" borderId="3" xfId="0" applyNumberFormat="1" applyFont="1" applyFill="1" applyBorder="1" applyAlignment="1">
      <alignment vertical="center"/>
    </xf>
    <xf numFmtId="169" fontId="0" fillId="6" borderId="3" xfId="0" applyNumberFormat="1" applyFont="1" applyFill="1" applyBorder="1" applyAlignment="1">
      <alignment vertical="center"/>
    </xf>
    <xf numFmtId="169" fontId="0" fillId="17" borderId="3" xfId="0" applyNumberFormat="1" applyFont="1" applyFill="1" applyBorder="1" applyAlignment="1">
      <alignment vertical="center"/>
    </xf>
    <xf numFmtId="169" fontId="0" fillId="22" borderId="3" xfId="0" applyNumberFormat="1" applyFont="1" applyFill="1" applyBorder="1" applyAlignment="1">
      <alignment vertical="center"/>
    </xf>
    <xf numFmtId="169" fontId="0" fillId="4" borderId="3" xfId="0" applyNumberFormat="1" applyFont="1" applyFill="1" applyBorder="1" applyAlignment="1">
      <alignment vertical="center"/>
    </xf>
    <xf numFmtId="169" fontId="0" fillId="0" borderId="0" xfId="0" applyNumberFormat="1"/>
    <xf numFmtId="169" fontId="0" fillId="11" borderId="3" xfId="0" applyNumberFormat="1" applyFont="1" applyFill="1" applyBorder="1" applyAlignment="1">
      <alignment vertical="center"/>
    </xf>
    <xf numFmtId="167" fontId="0" fillId="6" borderId="2" xfId="0" applyNumberFormat="1" applyFont="1" applyFill="1" applyBorder="1" applyAlignment="1">
      <alignment horizontal="center" vertical="center"/>
    </xf>
    <xf numFmtId="167" fontId="0" fillId="6" borderId="7" xfId="0" applyNumberFormat="1" applyFont="1" applyFill="1" applyBorder="1" applyAlignment="1">
      <alignment horizontal="center" vertical="center"/>
    </xf>
    <xf numFmtId="167" fontId="0" fillId="19" borderId="3" xfId="0" applyNumberFormat="1" applyFont="1" applyFill="1" applyBorder="1" applyAlignment="1">
      <alignment horizontal="center" vertical="center"/>
    </xf>
    <xf numFmtId="167" fontId="0" fillId="19" borderId="4" xfId="0" applyNumberFormat="1" applyFont="1" applyFill="1" applyBorder="1" applyAlignment="1">
      <alignment horizontal="center" vertical="center"/>
    </xf>
    <xf numFmtId="167" fontId="0" fillId="19" borderId="9" xfId="0" applyNumberFormat="1" applyFont="1" applyFill="1" applyBorder="1" applyAlignment="1">
      <alignment horizontal="center" vertical="center"/>
    </xf>
    <xf numFmtId="167" fontId="0" fillId="6" borderId="8" xfId="0" applyNumberFormat="1" applyFont="1" applyFill="1" applyBorder="1" applyAlignment="1">
      <alignment horizontal="center" vertical="center"/>
    </xf>
    <xf numFmtId="167" fontId="0" fillId="20" borderId="3" xfId="0" quotePrefix="1" applyNumberFormat="1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67" fontId="0" fillId="20" borderId="9" xfId="0" applyNumberFormat="1" applyFont="1" applyFill="1" applyBorder="1" applyAlignment="1">
      <alignment horizontal="center" vertical="center"/>
    </xf>
    <xf numFmtId="167" fontId="0" fillId="19" borderId="3" xfId="0" quotePrefix="1" applyNumberFormat="1" applyFont="1" applyFill="1" applyBorder="1" applyAlignment="1">
      <alignment horizontal="center" vertical="center"/>
    </xf>
    <xf numFmtId="167" fontId="0" fillId="3" borderId="3" xfId="0" applyNumberFormat="1" applyFont="1" applyFill="1" applyBorder="1" applyAlignment="1">
      <alignment horizontal="center" vertical="center"/>
    </xf>
    <xf numFmtId="167" fontId="0" fillId="3" borderId="9" xfId="0" applyNumberFormat="1" applyFont="1" applyFill="1" applyBorder="1" applyAlignment="1">
      <alignment horizontal="center" vertical="center"/>
    </xf>
    <xf numFmtId="167" fontId="0" fillId="3" borderId="8" xfId="0" quotePrefix="1" applyNumberFormat="1" applyFont="1" applyFill="1" applyBorder="1" applyAlignment="1">
      <alignment horizontal="center" vertical="center"/>
    </xf>
    <xf numFmtId="167" fontId="0" fillId="19" borderId="2" xfId="0" quotePrefix="1" applyNumberFormat="1" applyFont="1" applyFill="1" applyBorder="1" applyAlignment="1">
      <alignment horizontal="center" vertical="center"/>
    </xf>
    <xf numFmtId="167" fontId="0" fillId="6" borderId="17" xfId="0" applyNumberFormat="1" applyFont="1" applyFill="1" applyBorder="1" applyAlignment="1">
      <alignment horizontal="center" vertical="center"/>
    </xf>
    <xf numFmtId="168" fontId="25" fillId="0" borderId="0" xfId="0" applyNumberFormat="1" applyFont="1" applyBorder="1"/>
    <xf numFmtId="167" fontId="0" fillId="19" borderId="4" xfId="0" applyNumberFormat="1" applyFont="1" applyFill="1" applyBorder="1" applyAlignment="1">
      <alignment horizontal="left" vertical="center"/>
    </xf>
    <xf numFmtId="167" fontId="0" fillId="23" borderId="2" xfId="0" quotePrefix="1" applyNumberFormat="1" applyFont="1" applyFill="1" applyBorder="1" applyAlignment="1">
      <alignment vertical="center"/>
    </xf>
    <xf numFmtId="167" fontId="0" fillId="19" borderId="7" xfId="0" quotePrefix="1" applyNumberFormat="1" applyFont="1" applyFill="1" applyBorder="1" applyAlignment="1">
      <alignment horizontal="center" vertical="center"/>
    </xf>
    <xf numFmtId="167" fontId="0" fillId="19" borderId="8" xfId="0" applyNumberFormat="1" applyFont="1" applyFill="1" applyBorder="1" applyAlignment="1">
      <alignment vertical="center"/>
    </xf>
    <xf numFmtId="0" fontId="29" fillId="28" borderId="22" xfId="8" applyFont="1" applyBorder="1"/>
    <xf numFmtId="0" fontId="29" fillId="28" borderId="23" xfId="8" applyFont="1" applyBorder="1"/>
    <xf numFmtId="0" fontId="29" fillId="28" borderId="25" xfId="8" applyFont="1" applyBorder="1"/>
    <xf numFmtId="164" fontId="5" fillId="27" borderId="25" xfId="7" applyNumberFormat="1" applyBorder="1"/>
    <xf numFmtId="164" fontId="5" fillId="27" borderId="26" xfId="7" applyNumberFormat="1" applyBorder="1"/>
    <xf numFmtId="0" fontId="29" fillId="28" borderId="28" xfId="8" applyFont="1" applyBorder="1"/>
    <xf numFmtId="164" fontId="16" fillId="29" borderId="25" xfId="9" applyNumberFormat="1" applyFont="1" applyBorder="1"/>
    <xf numFmtId="164" fontId="16" fillId="29" borderId="26" xfId="9" applyNumberFormat="1" applyFont="1" applyBorder="1"/>
    <xf numFmtId="0" fontId="29" fillId="29" borderId="25" xfId="9" applyFont="1" applyBorder="1"/>
    <xf numFmtId="164" fontId="29" fillId="28" borderId="28" xfId="8" applyNumberFormat="1" applyFont="1" applyBorder="1"/>
    <xf numFmtId="164" fontId="29" fillId="28" borderId="29" xfId="8" applyNumberFormat="1" applyFont="1" applyBorder="1"/>
    <xf numFmtId="0" fontId="30" fillId="28" borderId="0" xfId="8" applyAlignment="1">
      <alignment horizontal="center" vertical="center"/>
    </xf>
    <xf numFmtId="0" fontId="30" fillId="30" borderId="0" xfId="10" applyAlignment="1">
      <alignment horizontal="center" vertical="center"/>
    </xf>
    <xf numFmtId="0" fontId="29" fillId="28" borderId="21" xfId="8" applyFont="1" applyBorder="1" applyAlignment="1">
      <alignment horizontal="center" vertical="center"/>
    </xf>
    <xf numFmtId="0" fontId="29" fillId="28" borderId="27" xfId="8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29" borderId="30" xfId="9" applyNumberFormat="1" applyFont="1" applyBorder="1"/>
    <xf numFmtId="167" fontId="0" fillId="19" borderId="9" xfId="0" applyNumberFormat="1" applyFont="1" applyFill="1" applyBorder="1" applyAlignment="1">
      <alignment horizontal="center" vertical="center"/>
    </xf>
    <xf numFmtId="167" fontId="0" fillId="19" borderId="3" xfId="0" applyNumberFormat="1" applyFont="1" applyFill="1" applyBorder="1" applyAlignment="1">
      <alignment horizontal="center" vertical="center"/>
    </xf>
    <xf numFmtId="9" fontId="0" fillId="19" borderId="3" xfId="0" quotePrefix="1" applyNumberFormat="1" applyFont="1" applyFill="1" applyBorder="1" applyAlignment="1">
      <alignment horizontal="left" vertical="center" wrapText="1"/>
    </xf>
    <xf numFmtId="0" fontId="0" fillId="0" borderId="0" xfId="0" applyFill="1"/>
    <xf numFmtId="164" fontId="5" fillId="0" borderId="25" xfId="6" applyNumberFormat="1" applyFill="1" applyBorder="1"/>
    <xf numFmtId="164" fontId="24" fillId="0" borderId="0" xfId="0" applyNumberFormat="1" applyFont="1" applyAlignment="1">
      <alignment horizontal="center" vertical="center"/>
    </xf>
    <xf numFmtId="164" fontId="21" fillId="4" borderId="3" xfId="0" applyNumberFormat="1" applyFont="1" applyFill="1" applyBorder="1" applyAlignment="1">
      <alignment horizontal="left" vertical="center"/>
    </xf>
    <xf numFmtId="164" fontId="0" fillId="4" borderId="3" xfId="0" applyNumberFormat="1" applyFont="1" applyFill="1" applyBorder="1" applyAlignment="1">
      <alignment horizontal="left" vertical="center" wrapText="1"/>
    </xf>
    <xf numFmtId="167" fontId="0" fillId="6" borderId="17" xfId="0" quotePrefix="1" applyNumberFormat="1" applyFont="1" applyFill="1" applyBorder="1" applyAlignment="1">
      <alignment horizontal="center" vertical="center"/>
    </xf>
    <xf numFmtId="164" fontId="0" fillId="7" borderId="3" xfId="0" applyNumberFormat="1" applyFont="1" applyFill="1" applyBorder="1" applyAlignment="1">
      <alignment horizontal="left" vertical="center"/>
    </xf>
    <xf numFmtId="164" fontId="5" fillId="31" borderId="25" xfId="7" applyNumberFormat="1" applyFill="1" applyBorder="1"/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center" vertical="center"/>
    </xf>
    <xf numFmtId="9" fontId="0" fillId="0" borderId="0" xfId="5" applyFont="1" applyAlignment="1">
      <alignment horizontal="center" vertical="center"/>
    </xf>
    <xf numFmtId="0" fontId="29" fillId="28" borderId="0" xfId="8" applyFont="1" applyBorder="1"/>
    <xf numFmtId="1" fontId="0" fillId="0" borderId="0" xfId="0" applyNumberFormat="1"/>
    <xf numFmtId="164" fontId="0" fillId="19" borderId="2" xfId="0" applyNumberFormat="1" applyFont="1" applyFill="1" applyBorder="1" applyAlignment="1">
      <alignment horizontal="center" vertical="center"/>
    </xf>
    <xf numFmtId="164" fontId="0" fillId="20" borderId="3" xfId="0" applyNumberFormat="1" applyFont="1" applyFill="1" applyBorder="1" applyAlignment="1">
      <alignment horizontal="left" vertical="center"/>
    </xf>
    <xf numFmtId="164" fontId="0" fillId="19" borderId="17" xfId="0" applyNumberFormat="1" applyFont="1" applyFill="1" applyBorder="1" applyAlignment="1">
      <alignment horizontal="center" vertical="center"/>
    </xf>
    <xf numFmtId="167" fontId="0" fillId="19" borderId="2" xfId="0" applyNumberFormat="1" applyFont="1" applyFill="1" applyBorder="1" applyAlignment="1">
      <alignment vertical="center"/>
    </xf>
    <xf numFmtId="167" fontId="0" fillId="6" borderId="7" xfId="0" quotePrefix="1" applyNumberFormat="1" applyFont="1" applyFill="1" applyBorder="1" applyAlignment="1">
      <alignment horizontal="center" vertical="center"/>
    </xf>
    <xf numFmtId="164" fontId="0" fillId="4" borderId="17" xfId="0" applyNumberFormat="1" applyFont="1" applyFill="1" applyBorder="1" applyAlignment="1">
      <alignment horizontal="center" vertical="center"/>
    </xf>
    <xf numFmtId="14" fontId="0" fillId="0" borderId="0" xfId="0" applyNumberFormat="1"/>
    <xf numFmtId="167" fontId="0" fillId="6" borderId="8" xfId="0" applyNumberFormat="1" applyFont="1" applyFill="1" applyBorder="1" applyAlignment="1">
      <alignment horizontal="center" vertical="center"/>
    </xf>
    <xf numFmtId="167" fontId="0" fillId="6" borderId="7" xfId="0" quotePrefix="1" applyNumberFormat="1" applyFont="1" applyFill="1" applyBorder="1" applyAlignment="1">
      <alignment horizontal="center" vertical="center"/>
    </xf>
    <xf numFmtId="164" fontId="0" fillId="4" borderId="17" xfId="0" applyNumberFormat="1" applyFont="1" applyFill="1" applyBorder="1" applyAlignment="1">
      <alignment horizontal="center" vertical="center"/>
    </xf>
    <xf numFmtId="164" fontId="0" fillId="19" borderId="17" xfId="0" applyNumberFormat="1" applyFont="1" applyFill="1" applyBorder="1" applyAlignment="1">
      <alignment horizontal="center" vertical="center"/>
    </xf>
    <xf numFmtId="164" fontId="0" fillId="20" borderId="3" xfId="0" applyNumberFormat="1" applyFont="1" applyFill="1" applyBorder="1" applyAlignment="1">
      <alignment horizontal="left" vertical="center"/>
    </xf>
    <xf numFmtId="164" fontId="0" fillId="19" borderId="2" xfId="0" applyNumberFormat="1" applyFont="1" applyFill="1" applyBorder="1" applyAlignment="1">
      <alignment horizontal="center" vertical="center"/>
    </xf>
    <xf numFmtId="167" fontId="0" fillId="6" borderId="7" xfId="0" applyNumberFormat="1" applyFont="1" applyFill="1" applyBorder="1" applyAlignment="1">
      <alignment vertical="center"/>
    </xf>
    <xf numFmtId="167" fontId="0" fillId="6" borderId="17" xfId="0" applyNumberFormat="1" applyFont="1" applyFill="1" applyBorder="1" applyAlignment="1">
      <alignment horizontal="center" vertical="center"/>
    </xf>
    <xf numFmtId="167" fontId="0" fillId="6" borderId="7" xfId="0" quotePrefix="1" applyNumberFormat="1" applyFont="1" applyFill="1" applyBorder="1" applyAlignment="1">
      <alignment horizontal="center" vertical="center"/>
    </xf>
    <xf numFmtId="164" fontId="0" fillId="4" borderId="17" xfId="0" applyNumberFormat="1" applyFont="1" applyFill="1" applyBorder="1" applyAlignment="1">
      <alignment horizontal="center" vertical="center"/>
    </xf>
    <xf numFmtId="167" fontId="0" fillId="6" borderId="7" xfId="0" applyNumberFormat="1" applyFont="1" applyFill="1" applyBorder="1" applyAlignment="1">
      <alignment horizontal="center" vertical="center"/>
    </xf>
    <xf numFmtId="167" fontId="0" fillId="6" borderId="8" xfId="0" applyNumberFormat="1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167" fontId="0" fillId="19" borderId="2" xfId="0" quotePrefix="1" applyNumberFormat="1" applyFont="1" applyFill="1" applyBorder="1" applyAlignment="1">
      <alignment horizontal="center" vertical="center"/>
    </xf>
    <xf numFmtId="167" fontId="0" fillId="3" borderId="3" xfId="0" applyNumberFormat="1" applyFont="1" applyFill="1" applyBorder="1" applyAlignment="1">
      <alignment horizontal="center" vertical="center"/>
    </xf>
    <xf numFmtId="167" fontId="0" fillId="3" borderId="9" xfId="0" applyNumberFormat="1" applyFont="1" applyFill="1" applyBorder="1" applyAlignment="1">
      <alignment horizontal="center" vertical="center"/>
    </xf>
    <xf numFmtId="167" fontId="0" fillId="3" borderId="8" xfId="0" quotePrefix="1" applyNumberFormat="1" applyFont="1" applyFill="1" applyBorder="1" applyAlignment="1">
      <alignment horizontal="center" vertical="center"/>
    </xf>
    <xf numFmtId="167" fontId="0" fillId="19" borderId="3" xfId="0" applyNumberFormat="1" applyFont="1" applyFill="1" applyBorder="1" applyAlignment="1">
      <alignment horizontal="center" vertical="center"/>
    </xf>
    <xf numFmtId="167" fontId="0" fillId="19" borderId="9" xfId="0" applyNumberFormat="1" applyFont="1" applyFill="1" applyBorder="1" applyAlignment="1">
      <alignment horizontal="center" vertical="center"/>
    </xf>
    <xf numFmtId="167" fontId="0" fillId="19" borderId="4" xfId="0" applyNumberFormat="1" applyFont="1" applyFill="1" applyBorder="1" applyAlignment="1">
      <alignment horizontal="center" vertical="center"/>
    </xf>
    <xf numFmtId="167" fontId="0" fillId="20" borderId="3" xfId="0" quotePrefix="1" applyNumberFormat="1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67" fontId="0" fillId="20" borderId="9" xfId="0" applyNumberFormat="1" applyFont="1" applyFill="1" applyBorder="1" applyAlignment="1">
      <alignment horizontal="center" vertical="center"/>
    </xf>
    <xf numFmtId="167" fontId="0" fillId="19" borderId="3" xfId="0" quotePrefix="1" applyNumberFormat="1" applyFont="1" applyFill="1" applyBorder="1" applyAlignment="1">
      <alignment horizontal="center" vertical="center"/>
    </xf>
    <xf numFmtId="170" fontId="0" fillId="0" borderId="0" xfId="11" applyNumberFormat="1" applyFont="1" applyAlignment="1">
      <alignment vertical="center"/>
    </xf>
    <xf numFmtId="44" fontId="0" fillId="0" borderId="0" xfId="1" applyFont="1" applyAlignment="1">
      <alignment vertical="center"/>
    </xf>
    <xf numFmtId="171" fontId="0" fillId="0" borderId="0" xfId="1" applyNumberFormat="1" applyFont="1" applyAlignment="1">
      <alignment vertical="center"/>
    </xf>
    <xf numFmtId="164" fontId="24" fillId="0" borderId="0" xfId="0" applyNumberFormat="1" applyFont="1" applyAlignment="1">
      <alignment vertical="center"/>
    </xf>
    <xf numFmtId="44" fontId="24" fillId="0" borderId="0" xfId="0" applyNumberFormat="1" applyFont="1" applyAlignment="1">
      <alignment vertical="center"/>
    </xf>
    <xf numFmtId="0" fontId="0" fillId="0" borderId="0" xfId="0" applyFont="1"/>
    <xf numFmtId="14" fontId="24" fillId="0" borderId="0" xfId="0" applyNumberFormat="1" applyFont="1"/>
    <xf numFmtId="0" fontId="3" fillId="0" borderId="0" xfId="12"/>
    <xf numFmtId="172" fontId="3" fillId="0" borderId="0" xfId="12" applyNumberFormat="1"/>
    <xf numFmtId="173" fontId="3" fillId="0" borderId="0" xfId="12" applyNumberFormat="1" applyAlignment="1">
      <alignment vertical="center"/>
    </xf>
    <xf numFmtId="0" fontId="3" fillId="32" borderId="17" xfId="12" applyFill="1" applyBorder="1"/>
    <xf numFmtId="173" fontId="3" fillId="32" borderId="17" xfId="12" applyNumberFormat="1" applyFill="1" applyBorder="1"/>
    <xf numFmtId="0" fontId="3" fillId="32" borderId="7" xfId="12" applyFill="1" applyBorder="1"/>
    <xf numFmtId="9" fontId="3" fillId="32" borderId="17" xfId="12" applyNumberFormat="1" applyFill="1" applyBorder="1"/>
    <xf numFmtId="173" fontId="3" fillId="32" borderId="17" xfId="12" applyNumberFormat="1" applyFill="1" applyBorder="1" applyAlignment="1">
      <alignment vertical="center"/>
    </xf>
    <xf numFmtId="0" fontId="3" fillId="33" borderId="0" xfId="12" applyFill="1" applyAlignment="1">
      <alignment horizontal="center" wrapText="1"/>
    </xf>
    <xf numFmtId="0" fontId="3" fillId="34" borderId="17" xfId="12" applyFill="1" applyBorder="1"/>
    <xf numFmtId="0" fontId="6" fillId="35" borderId="4" xfId="12" applyFont="1" applyFill="1" applyBorder="1" applyAlignment="1">
      <alignment vertical="center"/>
    </xf>
    <xf numFmtId="0" fontId="6" fillId="35" borderId="4" xfId="12" applyFont="1" applyFill="1" applyBorder="1" applyAlignment="1">
      <alignment vertical="center" wrapText="1"/>
    </xf>
    <xf numFmtId="172" fontId="6" fillId="35" borderId="4" xfId="12" applyNumberFormat="1" applyFont="1" applyFill="1" applyBorder="1" applyAlignment="1">
      <alignment vertical="center"/>
    </xf>
    <xf numFmtId="0" fontId="6" fillId="35" borderId="0" xfId="12" applyFont="1" applyFill="1" applyAlignment="1">
      <alignment vertical="center"/>
    </xf>
    <xf numFmtId="164" fontId="5" fillId="0" borderId="25" xfId="7" applyNumberFormat="1" applyFill="1" applyBorder="1"/>
    <xf numFmtId="164" fontId="4" fillId="0" borderId="25" xfId="1" applyNumberFormat="1" applyFont="1" applyFill="1" applyBorder="1"/>
    <xf numFmtId="173" fontId="3" fillId="0" borderId="0" xfId="12" applyNumberFormat="1"/>
    <xf numFmtId="44" fontId="3" fillId="0" borderId="0" xfId="1" applyFont="1"/>
    <xf numFmtId="170" fontId="0" fillId="0" borderId="0" xfId="0" applyNumberFormat="1" applyAlignment="1">
      <alignment vertical="center"/>
    </xf>
    <xf numFmtId="167" fontId="0" fillId="19" borderId="8" xfId="0" applyNumberFormat="1" applyFont="1" applyFill="1" applyBorder="1" applyAlignment="1">
      <alignment horizontal="center" vertical="center"/>
    </xf>
    <xf numFmtId="167" fontId="0" fillId="19" borderId="2" xfId="0" applyNumberFormat="1" applyFont="1" applyFill="1" applyBorder="1" applyAlignment="1">
      <alignment horizontal="center" vertical="center"/>
    </xf>
    <xf numFmtId="164" fontId="0" fillId="20" borderId="17" xfId="0" applyNumberFormat="1" applyFont="1" applyFill="1" applyBorder="1" applyAlignment="1">
      <alignment horizontal="center" vertical="center"/>
    </xf>
    <xf numFmtId="167" fontId="0" fillId="0" borderId="0" xfId="0" applyNumberFormat="1"/>
    <xf numFmtId="164" fontId="2" fillId="27" borderId="25" xfId="7" applyNumberFormat="1" applyFont="1" applyBorder="1" applyAlignment="1">
      <alignment horizontal="left"/>
    </xf>
    <xf numFmtId="164" fontId="2" fillId="37" borderId="25" xfId="7" applyNumberFormat="1" applyFont="1" applyFill="1" applyBorder="1" applyAlignment="1">
      <alignment horizontal="left"/>
    </xf>
    <xf numFmtId="164" fontId="16" fillId="29" borderId="33" xfId="9" applyNumberFormat="1" applyFont="1" applyBorder="1"/>
    <xf numFmtId="164" fontId="16" fillId="29" borderId="34" xfId="9" applyNumberFormat="1" applyFont="1" applyBorder="1"/>
    <xf numFmtId="164" fontId="16" fillId="0" borderId="33" xfId="9" applyNumberFormat="1" applyFont="1" applyFill="1" applyBorder="1"/>
    <xf numFmtId="164" fontId="16" fillId="0" borderId="34" xfId="9" applyNumberFormat="1" applyFont="1" applyFill="1" applyBorder="1"/>
    <xf numFmtId="164" fontId="21" fillId="7" borderId="3" xfId="0" applyNumberFormat="1" applyFont="1" applyFill="1" applyBorder="1" applyAlignment="1">
      <alignment horizontal="left" vertical="center"/>
    </xf>
    <xf numFmtId="164" fontId="0" fillId="7" borderId="3" xfId="0" applyNumberFormat="1" applyFont="1" applyFill="1" applyBorder="1" applyAlignment="1">
      <alignment horizontal="left" vertical="center" wrapText="1"/>
    </xf>
    <xf numFmtId="9" fontId="0" fillId="7" borderId="3" xfId="0" applyNumberFormat="1" applyFont="1" applyFill="1" applyBorder="1" applyAlignment="1">
      <alignment horizontal="left" vertical="center"/>
    </xf>
    <xf numFmtId="167" fontId="0" fillId="6" borderId="2" xfId="0" applyNumberFormat="1" applyFont="1" applyFill="1" applyBorder="1" applyAlignment="1">
      <alignment vertical="center"/>
    </xf>
    <xf numFmtId="167" fontId="0" fillId="12" borderId="19" xfId="0" applyNumberFormat="1" applyFill="1" applyBorder="1" applyAlignment="1">
      <alignment vertical="center"/>
    </xf>
    <xf numFmtId="0" fontId="0" fillId="18" borderId="19" xfId="0" applyFill="1" applyBorder="1" applyAlignment="1">
      <alignment vertical="center"/>
    </xf>
    <xf numFmtId="0" fontId="0" fillId="12" borderId="19" xfId="0" applyFill="1" applyBorder="1" applyAlignment="1">
      <alignment vertical="center"/>
    </xf>
    <xf numFmtId="0" fontId="0" fillId="0" borderId="37" xfId="0" applyBorder="1" applyAlignment="1">
      <alignment vertical="center"/>
    </xf>
    <xf numFmtId="164" fontId="0" fillId="0" borderId="37" xfId="0" applyNumberFormat="1" applyBorder="1" applyAlignment="1">
      <alignment vertical="center"/>
    </xf>
    <xf numFmtId="0" fontId="22" fillId="16" borderId="37" xfId="0" applyFont="1" applyFill="1" applyBorder="1" applyAlignment="1">
      <alignment horizontal="left" vertical="center" wrapText="1" readingOrder="1"/>
    </xf>
    <xf numFmtId="0" fontId="22" fillId="15" borderId="37" xfId="0" applyFont="1" applyFill="1" applyBorder="1" applyAlignment="1">
      <alignment horizontal="left" vertical="center" wrapText="1" readingOrder="1"/>
    </xf>
    <xf numFmtId="0" fontId="1" fillId="32" borderId="17" xfId="12" applyFont="1" applyFill="1" applyBorder="1"/>
    <xf numFmtId="169" fontId="1" fillId="32" borderId="17" xfId="12" applyNumberFormat="1" applyFont="1" applyFill="1" applyBorder="1" applyAlignment="1">
      <alignment horizontal="left"/>
    </xf>
    <xf numFmtId="0" fontId="0" fillId="10" borderId="10" xfId="2" applyFont="1" applyFill="1" applyBorder="1" applyAlignment="1" applyProtection="1">
      <alignment horizontal="left"/>
      <protection locked="0"/>
    </xf>
    <xf numFmtId="0" fontId="0" fillId="8" borderId="11" xfId="2" applyFont="1" applyFill="1" applyBorder="1" applyAlignment="1" applyProtection="1">
      <alignment horizontal="left"/>
      <protection locked="0"/>
    </xf>
    <xf numFmtId="0" fontId="0" fillId="8" borderId="12" xfId="2" applyFont="1" applyFill="1" applyBorder="1" applyAlignment="1" applyProtection="1">
      <alignment horizontal="left"/>
      <protection locked="0"/>
    </xf>
    <xf numFmtId="0" fontId="10" fillId="9" borderId="0" xfId="2" applyNumberFormat="1" applyFont="1" applyFill="1" applyAlignment="1" applyProtection="1">
      <alignment horizontal="center" vertical="center"/>
    </xf>
    <xf numFmtId="0" fontId="12" fillId="8" borderId="0" xfId="2" applyFont="1" applyFill="1" applyAlignment="1" applyProtection="1">
      <alignment horizontal="center" vertical="top"/>
    </xf>
    <xf numFmtId="0" fontId="14" fillId="8" borderId="0" xfId="2" applyFont="1" applyFill="1" applyBorder="1" applyAlignment="1" applyProtection="1">
      <alignment horizontal="left" vertical="center"/>
      <protection locked="0"/>
    </xf>
    <xf numFmtId="0" fontId="0" fillId="4" borderId="1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164" fontId="0" fillId="4" borderId="8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164" fontId="0" fillId="20" borderId="2" xfId="0" applyNumberFormat="1" applyFont="1" applyFill="1" applyBorder="1" applyAlignment="1">
      <alignment horizontal="left" vertical="center"/>
    </xf>
    <xf numFmtId="164" fontId="0" fillId="20" borderId="7" xfId="0" applyNumberFormat="1" applyFont="1" applyFill="1" applyBorder="1" applyAlignment="1">
      <alignment horizontal="left" vertical="center"/>
    </xf>
    <xf numFmtId="0" fontId="0" fillId="20" borderId="1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6" xfId="0" applyFont="1" applyFill="1" applyBorder="1" applyAlignment="1">
      <alignment horizontal="center" vertical="center"/>
    </xf>
    <xf numFmtId="164" fontId="0" fillId="20" borderId="2" xfId="0" applyNumberFormat="1" applyFont="1" applyFill="1" applyBorder="1" applyAlignment="1">
      <alignment horizontal="center" vertical="center"/>
    </xf>
    <xf numFmtId="164" fontId="0" fillId="20" borderId="7" xfId="0" applyNumberFormat="1" applyFont="1" applyFill="1" applyBorder="1" applyAlignment="1">
      <alignment horizontal="center" vertical="center"/>
    </xf>
    <xf numFmtId="164" fontId="0" fillId="20" borderId="8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horizontal="center" vertical="center"/>
    </xf>
    <xf numFmtId="164" fontId="0" fillId="19" borderId="7" xfId="0" applyNumberFormat="1" applyFont="1" applyFill="1" applyBorder="1" applyAlignment="1">
      <alignment horizontal="left" vertical="center"/>
    </xf>
    <xf numFmtId="164" fontId="0" fillId="19" borderId="8" xfId="0" applyNumberFormat="1" applyFont="1" applyFill="1" applyBorder="1" applyAlignment="1">
      <alignment horizontal="left" vertical="center"/>
    </xf>
    <xf numFmtId="0" fontId="0" fillId="19" borderId="1" xfId="0" applyFont="1" applyFill="1" applyBorder="1" applyAlignment="1">
      <alignment horizontal="center" vertical="center"/>
    </xf>
    <xf numFmtId="164" fontId="0" fillId="19" borderId="2" xfId="0" applyNumberFormat="1" applyFont="1" applyFill="1" applyBorder="1" applyAlignment="1">
      <alignment horizontal="left" vertical="center"/>
    </xf>
    <xf numFmtId="164" fontId="0" fillId="19" borderId="2" xfId="0" applyNumberFormat="1" applyFont="1" applyFill="1" applyBorder="1" applyAlignment="1">
      <alignment horizontal="center" vertical="center"/>
    </xf>
    <xf numFmtId="164" fontId="0" fillId="19" borderId="7" xfId="0" applyNumberFormat="1" applyFont="1" applyFill="1" applyBorder="1" applyAlignment="1">
      <alignment horizontal="center" vertical="center"/>
    </xf>
    <xf numFmtId="164" fontId="0" fillId="19" borderId="8" xfId="0" applyNumberFormat="1" applyFont="1" applyFill="1" applyBorder="1" applyAlignment="1">
      <alignment horizontal="center" vertical="center"/>
    </xf>
    <xf numFmtId="164" fontId="0" fillId="20" borderId="8" xfId="0" applyNumberFormat="1" applyFont="1" applyFill="1" applyBorder="1" applyAlignment="1">
      <alignment horizontal="left" vertical="center"/>
    </xf>
    <xf numFmtId="167" fontId="0" fillId="3" borderId="2" xfId="0" applyNumberFormat="1" applyFont="1" applyFill="1" applyBorder="1" applyAlignment="1">
      <alignment horizontal="center" vertical="center"/>
    </xf>
    <xf numFmtId="167" fontId="0" fillId="3" borderId="8" xfId="0" applyNumberFormat="1" applyFont="1" applyFill="1" applyBorder="1" applyAlignment="1">
      <alignment horizontal="center" vertical="center"/>
    </xf>
    <xf numFmtId="164" fontId="0" fillId="18" borderId="4" xfId="0" applyNumberForma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167" fontId="0" fillId="6" borderId="7" xfId="0" applyNumberFormat="1" applyFont="1" applyFill="1" applyBorder="1" applyAlignment="1">
      <alignment horizontal="center" vertical="center"/>
    </xf>
    <xf numFmtId="164" fontId="0" fillId="12" borderId="4" xfId="0" applyNumberForma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7" fontId="0" fillId="18" borderId="4" xfId="0" applyNumberForma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167" fontId="0" fillId="13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67" fontId="0" fillId="19" borderId="2" xfId="0" applyNumberFormat="1" applyFont="1" applyFill="1" applyBorder="1" applyAlignment="1">
      <alignment horizontal="center" vertical="center"/>
    </xf>
    <xf numFmtId="167" fontId="0" fillId="19" borderId="7" xfId="0" applyNumberFormat="1" applyFont="1" applyFill="1" applyBorder="1" applyAlignment="1">
      <alignment horizontal="center" vertical="center"/>
    </xf>
    <xf numFmtId="167" fontId="0" fillId="19" borderId="8" xfId="0" applyNumberFormat="1" applyFont="1" applyFill="1" applyBorder="1" applyAlignment="1">
      <alignment horizontal="center" vertical="center"/>
    </xf>
    <xf numFmtId="167" fontId="0" fillId="23" borderId="2" xfId="0" applyNumberFormat="1" applyFont="1" applyFill="1" applyBorder="1" applyAlignment="1">
      <alignment horizontal="center" vertical="center"/>
    </xf>
    <xf numFmtId="167" fontId="0" fillId="23" borderId="8" xfId="0" applyNumberFormat="1" applyFont="1" applyFill="1" applyBorder="1" applyAlignment="1">
      <alignment horizontal="center" vertical="center"/>
    </xf>
    <xf numFmtId="167" fontId="0" fillId="14" borderId="4" xfId="0" applyNumberForma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167" fontId="24" fillId="19" borderId="2" xfId="0" applyNumberFormat="1" applyFont="1" applyFill="1" applyBorder="1" applyAlignment="1">
      <alignment horizontal="center" vertical="center"/>
    </xf>
    <xf numFmtId="167" fontId="24" fillId="19" borderId="8" xfId="0" applyNumberFormat="1" applyFont="1" applyFill="1" applyBorder="1" applyAlignment="1">
      <alignment horizontal="center" vertical="center"/>
    </xf>
    <xf numFmtId="167" fontId="0" fillId="19" borderId="3" xfId="0" applyNumberFormat="1" applyFont="1" applyFill="1" applyBorder="1" applyAlignment="1">
      <alignment horizontal="center" vertical="center"/>
    </xf>
    <xf numFmtId="167" fontId="0" fillId="19" borderId="4" xfId="0" applyNumberFormat="1" applyFont="1" applyFill="1" applyBorder="1" applyAlignment="1">
      <alignment horizontal="center" vertical="center"/>
    </xf>
    <xf numFmtId="167" fontId="0" fillId="19" borderId="9" xfId="0" applyNumberFormat="1" applyFont="1" applyFill="1" applyBorder="1" applyAlignment="1">
      <alignment horizontal="center" vertical="center"/>
    </xf>
    <xf numFmtId="164" fontId="0" fillId="18" borderId="3" xfId="0" applyNumberFormat="1" applyFill="1" applyBorder="1" applyAlignment="1">
      <alignment horizontal="center" vertical="center"/>
    </xf>
    <xf numFmtId="167" fontId="0" fillId="3" borderId="7" xfId="0" applyNumberFormat="1" applyFont="1" applyFill="1" applyBorder="1" applyAlignment="1">
      <alignment horizontal="center" vertical="center"/>
    </xf>
    <xf numFmtId="167" fontId="0" fillId="20" borderId="19" xfId="0" applyNumberFormat="1" applyFont="1" applyFill="1" applyBorder="1" applyAlignment="1">
      <alignment horizontal="center" vertical="center"/>
    </xf>
    <xf numFmtId="167" fontId="0" fillId="4" borderId="2" xfId="0" applyNumberFormat="1" applyFont="1" applyFill="1" applyBorder="1" applyAlignment="1">
      <alignment horizontal="center" vertical="center"/>
    </xf>
    <xf numFmtId="167" fontId="0" fillId="4" borderId="8" xfId="0" applyNumberFormat="1" applyFon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7" fontId="0" fillId="20" borderId="17" xfId="0" applyNumberFormat="1" applyFont="1" applyFill="1" applyBorder="1" applyAlignment="1">
      <alignment horizontal="center" vertical="center"/>
    </xf>
    <xf numFmtId="167" fontId="0" fillId="20" borderId="3" xfId="0" quotePrefix="1" applyNumberFormat="1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67" fontId="0" fillId="20" borderId="9" xfId="0" applyNumberFormat="1" applyFont="1" applyFill="1" applyBorder="1" applyAlignment="1">
      <alignment horizontal="center" vertical="center"/>
    </xf>
    <xf numFmtId="167" fontId="0" fillId="19" borderId="3" xfId="0" quotePrefix="1" applyNumberFormat="1" applyFont="1" applyFill="1" applyBorder="1" applyAlignment="1">
      <alignment horizontal="center" vertical="center"/>
    </xf>
    <xf numFmtId="164" fontId="0" fillId="6" borderId="2" xfId="0" quotePrefix="1" applyNumberFormat="1" applyFont="1" applyFill="1" applyBorder="1" applyAlignment="1">
      <alignment horizontal="center" vertical="center"/>
    </xf>
    <xf numFmtId="164" fontId="0" fillId="6" borderId="7" xfId="0" applyNumberFormat="1" applyFont="1" applyFill="1" applyBorder="1" applyAlignment="1">
      <alignment horizontal="center" vertical="center"/>
    </xf>
    <xf numFmtId="167" fontId="0" fillId="19" borderId="2" xfId="0" quotePrefix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0" fillId="19" borderId="7" xfId="0" applyNumberFormat="1" applyFont="1" applyFill="1" applyBorder="1" applyAlignment="1">
      <alignment horizontal="left" vertical="center"/>
    </xf>
    <xf numFmtId="167" fontId="0" fillId="19" borderId="8" xfId="0" applyNumberFormat="1" applyFont="1" applyFill="1" applyBorder="1" applyAlignment="1">
      <alignment horizontal="left" vertical="center"/>
    </xf>
    <xf numFmtId="164" fontId="0" fillId="20" borderId="3" xfId="0" applyNumberFormat="1" applyFont="1" applyFill="1" applyBorder="1" applyAlignment="1">
      <alignment horizontal="left" vertical="center"/>
    </xf>
    <xf numFmtId="164" fontId="0" fillId="20" borderId="4" xfId="0" applyNumberFormat="1" applyFont="1" applyFill="1" applyBorder="1" applyAlignment="1">
      <alignment horizontal="left" vertical="center"/>
    </xf>
    <xf numFmtId="164" fontId="0" fillId="20" borderId="9" xfId="0" applyNumberFormat="1" applyFont="1" applyFill="1" applyBorder="1" applyAlignment="1">
      <alignment horizontal="left" vertical="center"/>
    </xf>
    <xf numFmtId="167" fontId="0" fillId="19" borderId="2" xfId="0" applyNumberFormat="1" applyFont="1" applyFill="1" applyBorder="1" applyAlignment="1">
      <alignment horizontal="left" vertical="center"/>
    </xf>
    <xf numFmtId="167" fontId="0" fillId="20" borderId="2" xfId="0" applyNumberFormat="1" applyFont="1" applyFill="1" applyBorder="1" applyAlignment="1">
      <alignment horizontal="left" vertical="center"/>
    </xf>
    <xf numFmtId="167" fontId="0" fillId="20" borderId="8" xfId="0" applyNumberFormat="1" applyFont="1" applyFill="1" applyBorder="1" applyAlignment="1">
      <alignment horizontal="left" vertical="center"/>
    </xf>
    <xf numFmtId="167" fontId="0" fillId="20" borderId="2" xfId="0" applyNumberFormat="1" applyFont="1" applyFill="1" applyBorder="1" applyAlignment="1">
      <alignment horizontal="center" vertical="center"/>
    </xf>
    <xf numFmtId="167" fontId="0" fillId="20" borderId="7" xfId="0" applyNumberFormat="1" applyFont="1" applyFill="1" applyBorder="1" applyAlignment="1">
      <alignment horizontal="center" vertical="center"/>
    </xf>
    <xf numFmtId="167" fontId="0" fillId="20" borderId="8" xfId="0" applyNumberFormat="1" applyFont="1" applyFill="1" applyBorder="1" applyAlignment="1">
      <alignment horizontal="center" vertical="center"/>
    </xf>
    <xf numFmtId="0" fontId="6" fillId="2" borderId="7" xfId="0" quotePrefix="1" applyFont="1" applyFill="1" applyBorder="1" applyAlignment="1">
      <alignment horizontal="left" vertical="center" wrapText="1"/>
    </xf>
    <xf numFmtId="0" fontId="6" fillId="2" borderId="8" xfId="0" quotePrefix="1" applyFont="1" applyFill="1" applyBorder="1" applyAlignment="1">
      <alignment horizontal="left" vertical="center" wrapText="1"/>
    </xf>
    <xf numFmtId="0" fontId="6" fillId="2" borderId="2" xfId="0" quotePrefix="1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67" fontId="0" fillId="6" borderId="2" xfId="0" quotePrefix="1" applyNumberFormat="1" applyFont="1" applyFill="1" applyBorder="1" applyAlignment="1">
      <alignment horizontal="center" vertical="center"/>
    </xf>
    <xf numFmtId="167" fontId="0" fillId="6" borderId="7" xfId="0" quotePrefix="1" applyNumberFormat="1" applyFont="1" applyFill="1" applyBorder="1" applyAlignment="1">
      <alignment horizontal="center" vertical="center"/>
    </xf>
    <xf numFmtId="167" fontId="0" fillId="6" borderId="8" xfId="0" quotePrefix="1" applyNumberFormat="1" applyFont="1" applyFill="1" applyBorder="1" applyAlignment="1">
      <alignment horizontal="center" vertical="center"/>
    </xf>
    <xf numFmtId="164" fontId="0" fillId="4" borderId="17" xfId="0" applyNumberFormat="1" applyFont="1" applyFill="1" applyBorder="1" applyAlignment="1">
      <alignment horizontal="center" vertical="center"/>
    </xf>
    <xf numFmtId="167" fontId="0" fillId="6" borderId="8" xfId="0" applyNumberFormat="1" applyFont="1" applyFill="1" applyBorder="1" applyAlignment="1">
      <alignment horizontal="center" vertical="center"/>
    </xf>
    <xf numFmtId="164" fontId="0" fillId="6" borderId="8" xfId="0" applyNumberFormat="1" applyFont="1" applyFill="1" applyBorder="1" applyAlignment="1">
      <alignment horizontal="center" vertical="center"/>
    </xf>
    <xf numFmtId="167" fontId="0" fillId="3" borderId="2" xfId="0" quotePrefix="1" applyNumberFormat="1" applyFont="1" applyFill="1" applyBorder="1" applyAlignment="1">
      <alignment horizontal="center" vertical="center"/>
    </xf>
    <xf numFmtId="167" fontId="0" fillId="20" borderId="2" xfId="0" quotePrefix="1" applyNumberFormat="1" applyFont="1" applyFill="1" applyBorder="1" applyAlignment="1">
      <alignment horizontal="center" vertical="center"/>
    </xf>
    <xf numFmtId="164" fontId="0" fillId="6" borderId="17" xfId="0" quotePrefix="1" applyNumberFormat="1" applyFont="1" applyFill="1" applyBorder="1" applyAlignment="1">
      <alignment horizontal="center" vertical="center"/>
    </xf>
    <xf numFmtId="164" fontId="0" fillId="3" borderId="17" xfId="0" applyNumberFormat="1" applyFont="1" applyFill="1" applyBorder="1" applyAlignment="1">
      <alignment horizontal="center" vertical="center"/>
    </xf>
    <xf numFmtId="164" fontId="0" fillId="19" borderId="17" xfId="0" applyNumberFormat="1" applyFont="1" applyFill="1" applyBorder="1" applyAlignment="1">
      <alignment horizontal="center" vertical="center"/>
    </xf>
    <xf numFmtId="167" fontId="0" fillId="3" borderId="17" xfId="0" quotePrefix="1" applyNumberFormat="1" applyFont="1" applyFill="1" applyBorder="1" applyAlignment="1">
      <alignment horizontal="center" vertical="center"/>
    </xf>
    <xf numFmtId="167" fontId="0" fillId="19" borderId="8" xfId="0" quotePrefix="1" applyNumberFormat="1" applyFont="1" applyFill="1" applyBorder="1" applyAlignment="1">
      <alignment horizontal="center" vertical="center"/>
    </xf>
    <xf numFmtId="167" fontId="0" fillId="3" borderId="3" xfId="0" applyNumberFormat="1" applyFont="1" applyFill="1" applyBorder="1" applyAlignment="1">
      <alignment horizontal="center" vertical="center"/>
    </xf>
    <xf numFmtId="167" fontId="0" fillId="3" borderId="9" xfId="0" applyNumberFormat="1" applyFont="1" applyFill="1" applyBorder="1" applyAlignment="1">
      <alignment horizontal="center" vertical="center"/>
    </xf>
    <xf numFmtId="167" fontId="0" fillId="3" borderId="7" xfId="0" quotePrefix="1" applyNumberFormat="1" applyFont="1" applyFill="1" applyBorder="1" applyAlignment="1">
      <alignment horizontal="center" vertical="center"/>
    </xf>
    <xf numFmtId="167" fontId="0" fillId="3" borderId="8" xfId="0" quotePrefix="1" applyNumberFormat="1" applyFont="1" applyFill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7" fontId="0" fillId="6" borderId="17" xfId="0" applyNumberFormat="1" applyFont="1" applyFill="1" applyBorder="1" applyAlignment="1">
      <alignment horizontal="center" vertical="center"/>
    </xf>
    <xf numFmtId="164" fontId="0" fillId="12" borderId="19" xfId="0" applyNumberForma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3" fontId="3" fillId="32" borderId="17" xfId="12" applyNumberFormat="1" applyFill="1" applyBorder="1" applyAlignment="1">
      <alignment horizontal="center" vertical="center"/>
    </xf>
    <xf numFmtId="0" fontId="3" fillId="32" borderId="17" xfId="12" applyFill="1" applyBorder="1" applyAlignment="1">
      <alignment horizontal="center" vertical="center"/>
    </xf>
    <xf numFmtId="0" fontId="25" fillId="0" borderId="0" xfId="12" applyFont="1" applyAlignment="1">
      <alignment horizontal="center"/>
    </xf>
    <xf numFmtId="0" fontId="3" fillId="0" borderId="0" xfId="12" applyAlignment="1">
      <alignment horizontal="center"/>
    </xf>
    <xf numFmtId="0" fontId="3" fillId="34" borderId="17" xfId="12" applyFill="1" applyBorder="1" applyAlignment="1">
      <alignment horizontal="center" vertical="center"/>
    </xf>
    <xf numFmtId="0" fontId="3" fillId="33" borderId="17" xfId="12" applyFill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9" fillId="28" borderId="32" xfId="8" applyFont="1" applyBorder="1" applyAlignment="1">
      <alignment horizontal="center" vertical="center"/>
    </xf>
    <xf numFmtId="0" fontId="29" fillId="28" borderId="35" xfId="8" applyFont="1" applyBorder="1" applyAlignment="1">
      <alignment horizontal="center" vertical="center"/>
    </xf>
    <xf numFmtId="0" fontId="29" fillId="28" borderId="36" xfId="8" applyFont="1" applyBorder="1" applyAlignment="1">
      <alignment horizontal="center" vertical="center"/>
    </xf>
    <xf numFmtId="0" fontId="29" fillId="28" borderId="24" xfId="8" applyFont="1" applyBorder="1" applyAlignment="1">
      <alignment horizontal="center" vertical="center"/>
    </xf>
    <xf numFmtId="0" fontId="29" fillId="30" borderId="24" xfId="10" applyFont="1" applyBorder="1" applyAlignment="1">
      <alignment horizontal="center" vertical="center"/>
    </xf>
    <xf numFmtId="0" fontId="29" fillId="36" borderId="24" xfId="10" applyFont="1" applyFill="1" applyBorder="1" applyAlignment="1">
      <alignment horizontal="center" vertical="center"/>
    </xf>
  </cellXfs>
  <cellStyles count="13">
    <cellStyle name="20% - Accent3" xfId="6" builtinId="38"/>
    <cellStyle name="40% - Accent3" xfId="7" builtinId="39"/>
    <cellStyle name="60% - Accent5" xfId="9" builtinId="48"/>
    <cellStyle name="Accent5" xfId="8" builtinId="45"/>
    <cellStyle name="Accent6" xfId="10" builtinId="49"/>
    <cellStyle name="Comma" xfId="11" builtinId="3"/>
    <cellStyle name="Currency" xfId="1" builtinId="4"/>
    <cellStyle name="Hyperlink" xfId="4" builtinId="8"/>
    <cellStyle name="Normal" xfId="0" builtinId="0"/>
    <cellStyle name="Normal 2" xfId="12"/>
    <cellStyle name="Percent" xfId="5" builtinId="5"/>
    <cellStyle name="Standard_CM_Plan_V14_Ri" xfId="2"/>
    <cellStyle name="Standard_RE_Analysis_PD_v1_0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RBEI/ECN Billing Status</a:t>
            </a:r>
          </a:p>
        </c:rich>
      </c:tx>
      <c:layout>
        <c:manualLayout>
          <c:xMode val="edge"/>
          <c:yMode val="edge"/>
          <c:x val="0.484088638515296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'Billing Status'!$J$2:$L$2</c:f>
              <c:strCache>
                <c:ptCount val="1"/>
                <c:pt idx="0">
                  <c:v>2021 Forecast</c:v>
                </c:pt>
              </c:strCache>
            </c:strRef>
          </c:cat>
          <c:val>
            <c:numRef>
              <c:f>'Billing Status'!$J$56:$L$56</c:f>
              <c:numCache>
                <c:formatCode>_ [$¥-804]* #,##0_ ;_ [$¥-804]* \-#,##0_ ;_ [$¥-804]* "-"??_ ;_ @_ 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E0E-48A3-828A-C46107B7C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5673152"/>
        <c:axId val="375670528"/>
        <c:axId val="0"/>
      </c:bar3DChart>
      <c:catAx>
        <c:axId val="3756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70528"/>
        <c:crosses val="autoZero"/>
        <c:auto val="1"/>
        <c:lblAlgn val="ctr"/>
        <c:lblOffset val="100"/>
        <c:noMultiLvlLbl val="0"/>
      </c:catAx>
      <c:valAx>
        <c:axId val="3756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 [$¥-804]* #,##0_ ;_ [$¥-804]* \-#,##0_ ;_ [$¥-804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621285</xdr:colOff>
      <xdr:row>0</xdr:row>
      <xdr:rowOff>156886</xdr:rowOff>
    </xdr:from>
    <xdr:to>
      <xdr:col>26</xdr:col>
      <xdr:colOff>567255</xdr:colOff>
      <xdr:row>23</xdr:row>
      <xdr:rowOff>104258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autoPageBreaks="0" fitToPage="1"/>
  </sheetPr>
  <dimension ref="B1:H35"/>
  <sheetViews>
    <sheetView workbookViewId="0">
      <selection activeCell="C37" sqref="C37"/>
    </sheetView>
  </sheetViews>
  <sheetFormatPr defaultColWidth="8.5703125" defaultRowHeight="15"/>
  <cols>
    <col min="1" max="1" width="2.5703125" style="2" customWidth="1"/>
    <col min="2" max="2" width="9.5703125" style="2" customWidth="1"/>
    <col min="3" max="3" width="14.5703125" style="2" customWidth="1"/>
    <col min="4" max="4" width="12.5703125" style="2" customWidth="1"/>
    <col min="5" max="5" width="55.5703125" style="2" customWidth="1"/>
    <col min="6" max="6" width="3.42578125" style="2" customWidth="1"/>
    <col min="7" max="16384" width="8.5703125" style="2"/>
  </cols>
  <sheetData>
    <row r="1" spans="2:8" ht="45" customHeight="1"/>
    <row r="2" spans="2:8" s="4" customFormat="1" ht="25.5">
      <c r="B2" s="302" t="str">
        <f>IF(D6&lt;&gt;"",D6,"")</f>
        <v>RBEI_ECN_Billing_Status</v>
      </c>
      <c r="C2" s="302"/>
      <c r="D2" s="302"/>
      <c r="E2" s="302"/>
      <c r="F2" s="2"/>
      <c r="G2" s="3"/>
    </row>
    <row r="3" spans="2:8" ht="30" customHeight="1">
      <c r="B3" s="303" t="s">
        <v>34</v>
      </c>
      <c r="C3" s="303"/>
      <c r="D3" s="303"/>
      <c r="E3" s="303"/>
      <c r="F3" s="5"/>
    </row>
    <row r="4" spans="2:8" ht="30" hidden="1" customHeight="1">
      <c r="B4" s="6" t="e">
        <f>#REF!</f>
        <v>#REF!</v>
      </c>
      <c r="C4" s="6"/>
      <c r="D4" s="6"/>
      <c r="E4" s="6"/>
    </row>
    <row r="5" spans="2:8" ht="18" customHeight="1">
      <c r="B5" s="304" t="s">
        <v>35</v>
      </c>
      <c r="C5" s="304"/>
      <c r="D5" s="304"/>
      <c r="E5" s="304"/>
    </row>
    <row r="6" spans="2:8">
      <c r="B6" s="299" t="s">
        <v>36</v>
      </c>
      <c r="C6" s="299"/>
      <c r="D6" s="300" t="s">
        <v>47</v>
      </c>
      <c r="E6" s="301"/>
    </row>
    <row r="7" spans="2:8">
      <c r="B7" s="299" t="s">
        <v>37</v>
      </c>
      <c r="C7" s="299"/>
      <c r="D7" s="300" t="s">
        <v>38</v>
      </c>
      <c r="E7" s="301"/>
    </row>
    <row r="8" spans="2:8">
      <c r="B8" s="299" t="s">
        <v>39</v>
      </c>
      <c r="C8" s="299"/>
      <c r="D8" s="300" t="s">
        <v>40</v>
      </c>
      <c r="E8" s="301"/>
    </row>
    <row r="9" spans="2:8">
      <c r="B9" s="7" t="s">
        <v>41</v>
      </c>
      <c r="C9" s="8"/>
      <c r="D9" s="8"/>
      <c r="E9" s="8"/>
    </row>
    <row r="10" spans="2:8">
      <c r="B10" s="8"/>
      <c r="C10" s="8"/>
      <c r="D10" s="8"/>
      <c r="E10" s="8"/>
    </row>
    <row r="11" spans="2:8">
      <c r="B11" s="9"/>
    </row>
    <row r="12" spans="2:8">
      <c r="B12" s="10" t="s">
        <v>42</v>
      </c>
      <c r="C12" s="11"/>
      <c r="D12" s="11"/>
      <c r="E12" s="12"/>
    </row>
    <row r="13" spans="2:8" s="14" customFormat="1" ht="12.75">
      <c r="B13" s="13" t="s">
        <v>43</v>
      </c>
      <c r="C13" s="13" t="s">
        <v>44</v>
      </c>
      <c r="D13" s="13" t="s">
        <v>45</v>
      </c>
      <c r="E13" s="13" t="s">
        <v>46</v>
      </c>
      <c r="H13" s="15"/>
    </row>
    <row r="14" spans="2:8" s="18" customFormat="1" ht="75" hidden="1">
      <c r="B14" s="19">
        <v>1</v>
      </c>
      <c r="C14" s="20" t="s">
        <v>48</v>
      </c>
      <c r="D14" s="16">
        <v>43899</v>
      </c>
      <c r="E14" s="23" t="s">
        <v>56</v>
      </c>
      <c r="F14" s="17"/>
      <c r="G14" s="17"/>
    </row>
    <row r="15" spans="2:8" s="18" customFormat="1" hidden="1">
      <c r="B15" s="19">
        <v>2</v>
      </c>
      <c r="C15" s="20" t="s">
        <v>48</v>
      </c>
      <c r="D15" s="16">
        <v>43913</v>
      </c>
      <c r="E15" s="23" t="s">
        <v>50</v>
      </c>
      <c r="F15" s="17"/>
      <c r="G15" s="17"/>
    </row>
    <row r="16" spans="2:8" s="18" customFormat="1" ht="30" hidden="1">
      <c r="B16" s="19">
        <v>3</v>
      </c>
      <c r="C16" s="20" t="s">
        <v>48</v>
      </c>
      <c r="D16" s="16">
        <v>43949</v>
      </c>
      <c r="E16" s="23" t="s">
        <v>57</v>
      </c>
      <c r="F16" s="17"/>
      <c r="G16" s="17"/>
    </row>
    <row r="17" spans="2:7" s="18" customFormat="1" ht="60" hidden="1">
      <c r="B17" s="19">
        <v>4</v>
      </c>
      <c r="C17" s="20" t="s">
        <v>48</v>
      </c>
      <c r="D17" s="16">
        <v>43972</v>
      </c>
      <c r="E17" s="23" t="s">
        <v>58</v>
      </c>
      <c r="F17" s="17"/>
      <c r="G17" s="17"/>
    </row>
    <row r="18" spans="2:7" s="18" customFormat="1" ht="30" hidden="1">
      <c r="B18" s="19">
        <v>5</v>
      </c>
      <c r="C18" s="20" t="s">
        <v>48</v>
      </c>
      <c r="D18" s="16">
        <v>44000</v>
      </c>
      <c r="E18" s="23" t="s">
        <v>65</v>
      </c>
      <c r="F18" s="17"/>
      <c r="G18" s="17"/>
    </row>
    <row r="19" spans="2:7" s="18" customFormat="1" ht="45" hidden="1">
      <c r="B19" s="19">
        <v>6</v>
      </c>
      <c r="C19" s="20" t="s">
        <v>48</v>
      </c>
      <c r="D19" s="16">
        <v>44012</v>
      </c>
      <c r="E19" s="23" t="s">
        <v>66</v>
      </c>
      <c r="F19" s="17"/>
      <c r="G19" s="17"/>
    </row>
    <row r="20" spans="2:7" s="18" customFormat="1" hidden="1">
      <c r="B20" s="19">
        <v>7</v>
      </c>
      <c r="C20" s="20" t="s">
        <v>48</v>
      </c>
      <c r="D20" s="16">
        <v>44020</v>
      </c>
      <c r="E20" s="23" t="s">
        <v>68</v>
      </c>
      <c r="F20" s="17"/>
      <c r="G20" s="17"/>
    </row>
    <row r="21" spans="2:7" s="18" customFormat="1" hidden="1">
      <c r="B21" s="19">
        <v>8</v>
      </c>
      <c r="C21" s="20" t="s">
        <v>48</v>
      </c>
      <c r="D21" s="16">
        <v>44032</v>
      </c>
      <c r="E21" s="23" t="s">
        <v>76</v>
      </c>
      <c r="F21" s="17"/>
      <c r="G21" s="17"/>
    </row>
    <row r="22" spans="2:7" s="18" customFormat="1" ht="45" hidden="1">
      <c r="B22" s="19">
        <v>9</v>
      </c>
      <c r="C22" s="20" t="s">
        <v>48</v>
      </c>
      <c r="D22" s="16">
        <v>44050</v>
      </c>
      <c r="E22" s="23" t="s">
        <v>75</v>
      </c>
      <c r="F22" s="17"/>
      <c r="G22" s="17"/>
    </row>
    <row r="23" spans="2:7" s="18" customFormat="1" hidden="1">
      <c r="B23" s="19">
        <v>10</v>
      </c>
      <c r="C23" s="20" t="s">
        <v>48</v>
      </c>
      <c r="D23" s="16">
        <v>44070</v>
      </c>
      <c r="E23" s="23" t="s">
        <v>71</v>
      </c>
      <c r="F23" s="17"/>
      <c r="G23" s="17"/>
    </row>
    <row r="24" spans="2:7" s="18" customFormat="1" ht="60" hidden="1">
      <c r="B24" s="19">
        <v>11</v>
      </c>
      <c r="C24" s="20" t="s">
        <v>48</v>
      </c>
      <c r="D24" s="16">
        <v>44100</v>
      </c>
      <c r="E24" s="23" t="s">
        <v>77</v>
      </c>
      <c r="F24" s="17"/>
      <c r="G24" s="17"/>
    </row>
    <row r="25" spans="2:7" s="18" customFormat="1" ht="75" hidden="1">
      <c r="B25" s="19">
        <v>12</v>
      </c>
      <c r="C25" s="20" t="s">
        <v>48</v>
      </c>
      <c r="D25" s="16">
        <v>44146</v>
      </c>
      <c r="E25" s="23" t="s">
        <v>81</v>
      </c>
      <c r="F25" s="17"/>
      <c r="G25" s="17"/>
    </row>
    <row r="26" spans="2:7" s="18" customFormat="1" hidden="1">
      <c r="B26" s="19">
        <v>13</v>
      </c>
      <c r="C26" s="20" t="s">
        <v>48</v>
      </c>
      <c r="D26" s="16">
        <v>44176</v>
      </c>
      <c r="E26" s="107" t="s">
        <v>82</v>
      </c>
      <c r="F26" s="17"/>
      <c r="G26" s="17"/>
    </row>
    <row r="27" spans="2:7" s="18" customFormat="1" ht="30" hidden="1">
      <c r="B27" s="19">
        <v>14</v>
      </c>
      <c r="C27" s="20" t="s">
        <v>48</v>
      </c>
      <c r="D27" s="16">
        <v>44182</v>
      </c>
      <c r="E27" s="107" t="s">
        <v>86</v>
      </c>
      <c r="F27" s="17"/>
      <c r="G27" s="17"/>
    </row>
    <row r="28" spans="2:7" s="18" customFormat="1">
      <c r="B28" s="19">
        <v>15</v>
      </c>
      <c r="C28" s="20" t="s">
        <v>48</v>
      </c>
      <c r="D28" s="16">
        <v>44249</v>
      </c>
      <c r="E28" s="21"/>
      <c r="F28" s="17"/>
      <c r="G28" s="17"/>
    </row>
    <row r="29" spans="2:7" s="18" customFormat="1">
      <c r="B29" s="19"/>
      <c r="C29" s="20"/>
      <c r="D29" s="16"/>
      <c r="E29" s="21"/>
      <c r="F29" s="17"/>
      <c r="G29" s="17"/>
    </row>
    <row r="30" spans="2:7" s="18" customFormat="1">
      <c r="B30" s="19"/>
      <c r="C30" s="20"/>
      <c r="D30" s="16"/>
      <c r="E30" s="21"/>
      <c r="F30" s="17"/>
      <c r="G30" s="17"/>
    </row>
    <row r="31" spans="2:7" s="18" customFormat="1">
      <c r="B31" s="19"/>
      <c r="C31" s="20"/>
      <c r="D31" s="16"/>
      <c r="E31" s="21"/>
      <c r="F31" s="17"/>
      <c r="G31" s="17"/>
    </row>
    <row r="32" spans="2:7" s="18" customFormat="1">
      <c r="B32" s="19"/>
      <c r="C32" s="20"/>
      <c r="D32" s="16"/>
      <c r="E32" s="21"/>
      <c r="F32" s="17"/>
      <c r="G32" s="17"/>
    </row>
    <row r="33" spans="2:7" s="18" customFormat="1">
      <c r="B33" s="19"/>
      <c r="C33" s="20"/>
      <c r="D33" s="16"/>
      <c r="E33" s="21"/>
      <c r="F33" s="17"/>
      <c r="G33" s="17"/>
    </row>
    <row r="34" spans="2:7" s="18" customFormat="1">
      <c r="B34" s="19"/>
      <c r="C34" s="20"/>
      <c r="D34" s="16"/>
      <c r="E34" s="21"/>
      <c r="F34" s="17"/>
      <c r="G34" s="17"/>
    </row>
    <row r="35" spans="2:7">
      <c r="B35" s="19"/>
      <c r="C35" s="22"/>
      <c r="D35" s="22"/>
      <c r="E35" s="21"/>
    </row>
  </sheetData>
  <sheetProtection formatCells="0" formatColumns="0" formatRows="0" insertColumns="0" insertRows="0" insertHyperlinks="0" deleteColumns="0" deleteRows="0" selectLockedCells="1" sort="0" autoFilter="0" pivotTables="0"/>
  <mergeCells count="9">
    <mergeCell ref="B8:C8"/>
    <mergeCell ref="D8:E8"/>
    <mergeCell ref="B2:E2"/>
    <mergeCell ref="B3:E3"/>
    <mergeCell ref="B5:E5"/>
    <mergeCell ref="B6:C6"/>
    <mergeCell ref="D6:E6"/>
    <mergeCell ref="B7:C7"/>
    <mergeCell ref="D7:E7"/>
  </mergeCells>
  <dataValidations count="2">
    <dataValidation type="list" allowBlank="1" showInputMessage="1" showErrorMessage="1" sqref="D8:E8">
      <formula1>"Draft,In Review,Released"</formula1>
    </dataValidation>
    <dataValidation allowBlank="1" showErrorMessage="1" promptTitle="Confidentiality" prompt="Internal _x000a_= Public for all ETAS_x000a__x000a_Confidential_x000a_= _x000a__x000a_Stricly Confidential_x000a_-" sqref="D9:E10"/>
  </dataValidations>
  <pageMargins left="0.78740157480314965" right="0.78740157480314965" top="1.1811023622047245" bottom="0.94488188976377963" header="0.19685039370078741" footer="0.39370078740157483"/>
  <pageSetup paperSize="9" scale="79" orientation="portrait" horizontalDpi="4294967294" r:id="rId1"/>
  <headerFooter alignWithMargins="0">
    <oddHeader>&amp;L&amp;"Tahoma,Fett"
OIL and Meeting Minutes&amp;"Tahoma,Standard"
&amp;R&amp;G</oddHeader>
    <oddFooter>&amp;LIf printed, this document is an uncontrolled copy.
&amp;CConfidential
&amp;R Page &amp;P of &amp;N
Template: 00TE00052 V16 - released
File: &amp;F / Sheet: &amp;A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3"/>
  <sheetViews>
    <sheetView tabSelected="1" zoomScale="85" zoomScaleNormal="85" workbookViewId="0">
      <pane xSplit="2" ySplit="2" topLeftCell="C54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defaultColWidth="17.5703125" defaultRowHeight="15"/>
  <cols>
    <col min="1" max="1" width="0" style="24" hidden="1" customWidth="1"/>
    <col min="2" max="2" width="25.42578125" style="24" customWidth="1"/>
    <col min="3" max="3" width="17.5703125" style="24" customWidth="1"/>
    <col min="4" max="4" width="20.5703125" style="24" customWidth="1"/>
    <col min="5" max="5" width="21.5703125" style="24" bestFit="1" customWidth="1"/>
    <col min="6" max="7" width="19" style="24" customWidth="1"/>
    <col min="8" max="8" width="17.5703125" style="24" customWidth="1"/>
    <col min="9" max="9" width="24" style="40" customWidth="1"/>
    <col min="10" max="11" width="17.5703125" style="24" hidden="1" customWidth="1"/>
    <col min="12" max="12" width="21.42578125" style="24" bestFit="1" customWidth="1"/>
    <col min="13" max="14" width="21.42578125" style="24" customWidth="1"/>
    <col min="15" max="15" width="19.42578125" style="24" hidden="1" customWidth="1"/>
    <col min="16" max="17" width="17.5703125" style="24" hidden="1" customWidth="1"/>
    <col min="18" max="16384" width="17.5703125" style="24"/>
  </cols>
  <sheetData>
    <row r="1" spans="1:25" ht="19.5" thickBot="1">
      <c r="B1" s="375" t="s">
        <v>18</v>
      </c>
      <c r="C1" s="375"/>
      <c r="D1" s="375"/>
      <c r="E1" s="375"/>
      <c r="F1" s="375"/>
      <c r="G1" s="375"/>
      <c r="H1" s="375"/>
      <c r="I1" s="375"/>
      <c r="J1" s="375"/>
      <c r="K1" s="375"/>
      <c r="L1" s="93">
        <v>-73782.539999999994</v>
      </c>
      <c r="M1" s="180"/>
      <c r="N1" s="180"/>
    </row>
    <row r="2" spans="1:25">
      <c r="B2" s="25" t="s">
        <v>15</v>
      </c>
      <c r="C2" s="26" t="s">
        <v>0</v>
      </c>
      <c r="D2" s="26" t="s">
        <v>1</v>
      </c>
      <c r="E2" s="26" t="s">
        <v>2</v>
      </c>
      <c r="F2" s="26" t="s">
        <v>23</v>
      </c>
      <c r="G2" s="26" t="s">
        <v>24</v>
      </c>
      <c r="H2" s="26" t="s">
        <v>3</v>
      </c>
      <c r="I2" s="27" t="s">
        <v>4</v>
      </c>
      <c r="J2" s="26" t="s">
        <v>5</v>
      </c>
      <c r="K2" s="26" t="s">
        <v>6</v>
      </c>
      <c r="L2" s="26" t="s">
        <v>29</v>
      </c>
      <c r="M2" s="26" t="s">
        <v>169</v>
      </c>
      <c r="N2" s="26" t="s">
        <v>216</v>
      </c>
      <c r="O2" s="27" t="s">
        <v>78</v>
      </c>
      <c r="P2" s="26" t="s">
        <v>79</v>
      </c>
      <c r="Q2" s="26" t="s">
        <v>72</v>
      </c>
      <c r="R2" s="293" t="s">
        <v>234</v>
      </c>
      <c r="S2" s="293" t="s">
        <v>235</v>
      </c>
    </row>
    <row r="3" spans="1:25" ht="49.5" customHeight="1">
      <c r="B3" s="25" t="s">
        <v>204</v>
      </c>
      <c r="C3" s="341" t="s">
        <v>89</v>
      </c>
      <c r="D3" s="133"/>
      <c r="E3" s="133"/>
      <c r="F3" s="133"/>
      <c r="G3" s="133"/>
      <c r="H3" s="133"/>
      <c r="I3" s="387" t="s">
        <v>91</v>
      </c>
      <c r="J3" s="133"/>
      <c r="K3" s="133"/>
      <c r="L3" s="135">
        <f>H38+H50+H52</f>
        <v>1911955.6603773583</v>
      </c>
      <c r="M3" s="135"/>
      <c r="N3" s="135"/>
      <c r="O3" s="134"/>
      <c r="P3" s="133"/>
      <c r="Q3" s="133"/>
      <c r="R3" s="293"/>
      <c r="S3" s="293"/>
    </row>
    <row r="4" spans="1:25" ht="47.25" customHeight="1">
      <c r="B4" s="25" t="s">
        <v>205</v>
      </c>
      <c r="C4" s="342"/>
      <c r="D4" s="128"/>
      <c r="E4" s="128"/>
      <c r="F4" s="128"/>
      <c r="G4" s="128"/>
      <c r="H4" s="128"/>
      <c r="I4" s="388"/>
      <c r="J4" s="128"/>
      <c r="K4" s="128"/>
      <c r="L4" s="130">
        <f>H38+H52</f>
        <v>867924.52830188675</v>
      </c>
      <c r="M4" s="130"/>
      <c r="N4" s="130"/>
      <c r="O4" s="129"/>
      <c r="P4" s="128"/>
      <c r="Q4" s="128"/>
      <c r="R4" s="293"/>
      <c r="S4" s="293"/>
    </row>
    <row r="5" spans="1:25" ht="51.75" customHeight="1">
      <c r="B5" s="136" t="s">
        <v>203</v>
      </c>
      <c r="C5" s="343" t="s">
        <v>69</v>
      </c>
      <c r="D5" s="128"/>
      <c r="E5" s="128"/>
      <c r="F5" s="128"/>
      <c r="G5" s="128"/>
      <c r="H5" s="128"/>
      <c r="I5" s="389" t="s">
        <v>213</v>
      </c>
      <c r="J5" s="128"/>
      <c r="K5" s="128"/>
      <c r="L5" s="130">
        <f>H34+H48+H53+H55</f>
        <v>2322830.1886792453</v>
      </c>
      <c r="M5" s="130"/>
      <c r="N5" s="130"/>
      <c r="O5" s="129"/>
      <c r="P5" s="128"/>
      <c r="Q5" s="128"/>
      <c r="R5" s="293"/>
      <c r="S5" s="293"/>
    </row>
    <row r="6" spans="1:25" ht="51.75" customHeight="1">
      <c r="B6" s="138" t="s">
        <v>206</v>
      </c>
      <c r="C6" s="342"/>
      <c r="D6" s="128"/>
      <c r="E6" s="128"/>
      <c r="F6" s="128"/>
      <c r="G6" s="128"/>
      <c r="H6" s="128"/>
      <c r="I6" s="390"/>
      <c r="J6" s="128"/>
      <c r="K6" s="128"/>
      <c r="L6" s="130">
        <f>H50+H56+H57+H48+H55</f>
        <v>3033842.4528301884</v>
      </c>
      <c r="M6" s="130"/>
      <c r="N6" s="130"/>
      <c r="O6" s="129"/>
      <c r="P6" s="128"/>
      <c r="Q6" s="128"/>
      <c r="R6" s="293"/>
      <c r="S6" s="293"/>
    </row>
    <row r="7" spans="1:25">
      <c r="B7" s="136" t="s">
        <v>207</v>
      </c>
      <c r="C7" s="343" t="s">
        <v>88</v>
      </c>
      <c r="D7" s="128"/>
      <c r="E7" s="128"/>
      <c r="F7" s="128"/>
      <c r="G7" s="128"/>
      <c r="H7" s="128"/>
      <c r="I7" s="391" t="s">
        <v>236</v>
      </c>
      <c r="J7" s="128"/>
      <c r="K7" s="128"/>
      <c r="L7" s="130">
        <f>H39+H51+H56+H58</f>
        <v>1425053.2075471696</v>
      </c>
      <c r="M7" s="130"/>
      <c r="N7" s="130"/>
      <c r="O7" s="129"/>
      <c r="P7" s="128"/>
      <c r="Q7" s="128"/>
      <c r="R7" s="293"/>
      <c r="S7" s="293"/>
    </row>
    <row r="8" spans="1:25">
      <c r="B8" s="138" t="s">
        <v>208</v>
      </c>
      <c r="C8" s="342"/>
      <c r="D8" s="128"/>
      <c r="E8" s="128"/>
      <c r="F8" s="128"/>
      <c r="G8" s="128"/>
      <c r="H8" s="128"/>
      <c r="I8" s="392"/>
      <c r="J8" s="128"/>
      <c r="K8" s="128"/>
      <c r="L8" s="128">
        <v>0</v>
      </c>
      <c r="M8" s="128"/>
      <c r="N8" s="128"/>
      <c r="O8" s="129"/>
      <c r="P8" s="128"/>
      <c r="Q8" s="128"/>
      <c r="R8" s="293"/>
      <c r="S8" s="293"/>
    </row>
    <row r="9" spans="1:25">
      <c r="B9" s="136" t="s">
        <v>209</v>
      </c>
      <c r="C9" s="343" t="s">
        <v>90</v>
      </c>
      <c r="D9" s="128"/>
      <c r="E9" s="128"/>
      <c r="F9" s="128"/>
      <c r="G9" s="128"/>
      <c r="H9" s="128"/>
      <c r="I9" s="129"/>
      <c r="J9" s="128"/>
      <c r="K9" s="128"/>
      <c r="L9" s="130">
        <f>H35+H54+H57+H59</f>
        <v>1453773.5849056605</v>
      </c>
      <c r="M9" s="130"/>
      <c r="N9" s="130"/>
      <c r="O9" s="129"/>
      <c r="P9" s="128"/>
      <c r="Q9" s="128"/>
      <c r="R9" s="293"/>
      <c r="S9" s="293"/>
    </row>
    <row r="10" spans="1:25">
      <c r="B10" s="137" t="s">
        <v>210</v>
      </c>
      <c r="C10" s="341"/>
      <c r="D10" s="131"/>
      <c r="E10" s="131"/>
      <c r="F10" s="131"/>
      <c r="G10" s="131"/>
      <c r="H10" s="131"/>
      <c r="I10" s="132"/>
      <c r="J10" s="131"/>
      <c r="K10" s="131"/>
      <c r="L10" s="131"/>
      <c r="M10" s="131"/>
      <c r="N10" s="131"/>
      <c r="O10" s="132"/>
      <c r="P10" s="131"/>
      <c r="Q10" s="131"/>
      <c r="R10" s="293"/>
      <c r="S10" s="293"/>
    </row>
    <row r="11" spans="1:25">
      <c r="B11" s="136" t="s">
        <v>211</v>
      </c>
      <c r="C11" s="343" t="s">
        <v>90</v>
      </c>
      <c r="D11" s="131"/>
      <c r="E11" s="131"/>
      <c r="F11" s="131"/>
      <c r="G11" s="131"/>
      <c r="H11" s="131"/>
      <c r="I11" s="132"/>
      <c r="J11" s="131"/>
      <c r="K11" s="131"/>
      <c r="L11" s="144">
        <f>SUM(L3,L5,L7,L9)</f>
        <v>7113612.6415094333</v>
      </c>
      <c r="M11" s="144"/>
      <c r="N11" s="144"/>
      <c r="O11" s="132"/>
      <c r="P11" s="131"/>
      <c r="Q11" s="131"/>
      <c r="R11" s="293"/>
      <c r="S11" s="293"/>
    </row>
    <row r="12" spans="1:25">
      <c r="B12" s="143" t="s">
        <v>212</v>
      </c>
      <c r="C12" s="342"/>
      <c r="D12" s="128"/>
      <c r="E12" s="128"/>
      <c r="F12" s="128"/>
      <c r="G12" s="128"/>
      <c r="H12" s="128"/>
      <c r="I12" s="129"/>
      <c r="J12" s="128"/>
      <c r="K12" s="128"/>
      <c r="L12" s="130">
        <f>L4+L6+L8+L10</f>
        <v>3901766.9811320752</v>
      </c>
      <c r="M12" s="130"/>
      <c r="N12" s="130"/>
      <c r="O12" s="129"/>
      <c r="P12" s="128"/>
      <c r="Q12" s="128"/>
      <c r="R12" s="293"/>
      <c r="S12" s="293"/>
    </row>
    <row r="13" spans="1:25">
      <c r="A13" s="24" t="s">
        <v>16</v>
      </c>
      <c r="B13" s="325" t="s">
        <v>16</v>
      </c>
      <c r="C13" s="139" t="s">
        <v>7</v>
      </c>
      <c r="D13" s="153">
        <v>43554</v>
      </c>
      <c r="E13" s="153">
        <v>43554</v>
      </c>
      <c r="F13" s="327">
        <v>3394339.6226415094</v>
      </c>
      <c r="G13" s="140">
        <v>0.2</v>
      </c>
      <c r="H13" s="141">
        <v>678867.9</v>
      </c>
      <c r="I13" s="142" t="s">
        <v>8</v>
      </c>
      <c r="J13" s="376">
        <f>SUM(H13:H15)</f>
        <v>1866886.7000000002</v>
      </c>
      <c r="K13" s="332" t="s">
        <v>9</v>
      </c>
      <c r="L13" s="358">
        <v>0</v>
      </c>
      <c r="M13" s="168"/>
      <c r="N13" s="245"/>
      <c r="O13" s="358">
        <f>-3933507.31/1.06</f>
        <v>-3710855.9528301884</v>
      </c>
      <c r="P13" s="358">
        <f>O13+J13</f>
        <v>-1843969.2528301883</v>
      </c>
      <c r="Q13" s="337">
        <f>F13+SUM(O13:O18)</f>
        <v>-2695119.9890566031</v>
      </c>
      <c r="R13" s="293"/>
      <c r="S13" s="293"/>
      <c r="T13" s="29"/>
      <c r="U13" s="29"/>
    </row>
    <row r="14" spans="1:25">
      <c r="A14" s="24" t="s">
        <v>16</v>
      </c>
      <c r="B14" s="325"/>
      <c r="C14" s="70" t="s">
        <v>10</v>
      </c>
      <c r="D14" s="154">
        <v>43728</v>
      </c>
      <c r="E14" s="154">
        <v>43707</v>
      </c>
      <c r="F14" s="327"/>
      <c r="G14" s="75">
        <v>0.2</v>
      </c>
      <c r="H14" s="72">
        <v>678867.9</v>
      </c>
      <c r="I14" s="73" t="s">
        <v>8</v>
      </c>
      <c r="J14" s="376"/>
      <c r="K14" s="332"/>
      <c r="L14" s="358"/>
      <c r="M14" s="168"/>
      <c r="N14" s="245"/>
      <c r="O14" s="358"/>
      <c r="P14" s="358"/>
      <c r="Q14" s="345"/>
      <c r="R14" s="293"/>
      <c r="S14" s="293"/>
      <c r="T14" s="108"/>
      <c r="U14" s="108"/>
      <c r="V14" s="108"/>
      <c r="W14" s="108"/>
      <c r="X14" s="108"/>
      <c r="Y14" s="108"/>
    </row>
    <row r="15" spans="1:25">
      <c r="A15" s="24" t="s">
        <v>16</v>
      </c>
      <c r="B15" s="325"/>
      <c r="C15" s="66" t="s">
        <v>11</v>
      </c>
      <c r="D15" s="155">
        <v>43799</v>
      </c>
      <c r="E15" s="155">
        <v>43799</v>
      </c>
      <c r="F15" s="327"/>
      <c r="G15" s="77">
        <v>0.15</v>
      </c>
      <c r="H15" s="68">
        <v>509150.9</v>
      </c>
      <c r="I15" s="69" t="s">
        <v>8</v>
      </c>
      <c r="J15" s="377"/>
      <c r="K15" s="333"/>
      <c r="L15" s="359"/>
      <c r="M15" s="169"/>
      <c r="N15" s="244"/>
      <c r="O15" s="359"/>
      <c r="P15" s="359"/>
      <c r="Q15" s="345"/>
      <c r="R15" s="293"/>
      <c r="S15" s="293"/>
    </row>
    <row r="16" spans="1:25">
      <c r="A16" s="24" t="s">
        <v>16</v>
      </c>
      <c r="B16" s="325"/>
      <c r="C16" s="70" t="s">
        <v>55</v>
      </c>
      <c r="D16" s="154">
        <v>43860</v>
      </c>
      <c r="E16" s="154">
        <v>43889</v>
      </c>
      <c r="F16" s="327"/>
      <c r="G16" s="75">
        <v>0.15</v>
      </c>
      <c r="H16" s="100">
        <v>509150.9</v>
      </c>
      <c r="I16" s="73" t="s">
        <v>8</v>
      </c>
      <c r="J16" s="384" t="s">
        <v>9</v>
      </c>
      <c r="K16" s="378">
        <f>SUM(H16:H18)</f>
        <v>1527452.8</v>
      </c>
      <c r="L16" s="368">
        <v>0</v>
      </c>
      <c r="M16" s="171"/>
      <c r="N16" s="246"/>
      <c r="O16" s="368">
        <f>-2521319.8784/1.06</f>
        <v>-2378603.658867924</v>
      </c>
      <c r="P16" s="368">
        <f>O16+K16</f>
        <v>-851150.85886792396</v>
      </c>
      <c r="Q16" s="345"/>
      <c r="R16" s="294"/>
      <c r="S16" s="294"/>
      <c r="T16" s="108"/>
      <c r="U16" s="108"/>
      <c r="V16" s="108"/>
      <c r="W16" s="108"/>
      <c r="X16" s="108"/>
      <c r="Y16" s="108"/>
    </row>
    <row r="17" spans="1:22">
      <c r="A17" s="24" t="s">
        <v>16</v>
      </c>
      <c r="B17" s="325"/>
      <c r="C17" s="66" t="s">
        <v>33</v>
      </c>
      <c r="D17" s="155">
        <v>43921</v>
      </c>
      <c r="E17" s="155">
        <v>43982</v>
      </c>
      <c r="F17" s="327"/>
      <c r="G17" s="77">
        <v>0.2</v>
      </c>
      <c r="H17" s="99">
        <v>678867.9</v>
      </c>
      <c r="I17" s="69" t="s">
        <v>8</v>
      </c>
      <c r="J17" s="385"/>
      <c r="K17" s="379"/>
      <c r="L17" s="369"/>
      <c r="M17" s="172"/>
      <c r="N17" s="247"/>
      <c r="O17" s="369"/>
      <c r="P17" s="369"/>
      <c r="Q17" s="345"/>
      <c r="R17" s="293"/>
      <c r="S17" s="293"/>
    </row>
    <row r="18" spans="1:22">
      <c r="A18" s="24" t="s">
        <v>16</v>
      </c>
      <c r="B18" s="326"/>
      <c r="C18" s="70" t="s">
        <v>14</v>
      </c>
      <c r="D18" s="154">
        <v>44074</v>
      </c>
      <c r="E18" s="154">
        <v>44165</v>
      </c>
      <c r="F18" s="328"/>
      <c r="G18" s="75">
        <v>0.1</v>
      </c>
      <c r="H18" s="116">
        <v>339434</v>
      </c>
      <c r="I18" s="69" t="s">
        <v>8</v>
      </c>
      <c r="J18" s="386"/>
      <c r="K18" s="380"/>
      <c r="L18" s="370"/>
      <c r="M18" s="173"/>
      <c r="N18" s="248"/>
      <c r="O18" s="370"/>
      <c r="P18" s="370"/>
      <c r="Q18" s="345"/>
      <c r="R18" s="293"/>
      <c r="S18" s="293"/>
    </row>
    <row r="19" spans="1:22">
      <c r="A19" s="24" t="s">
        <v>17</v>
      </c>
      <c r="B19" s="329" t="s">
        <v>17</v>
      </c>
      <c r="C19" s="66" t="s">
        <v>11</v>
      </c>
      <c r="D19" s="155">
        <v>43585</v>
      </c>
      <c r="E19" s="155">
        <v>43650</v>
      </c>
      <c r="F19" s="330">
        <v>896226.41509433952</v>
      </c>
      <c r="G19" s="67"/>
      <c r="H19" s="99">
        <v>358490.57</v>
      </c>
      <c r="I19" s="69" t="s">
        <v>8</v>
      </c>
      <c r="J19" s="381">
        <f>SUM(H19:H20)</f>
        <v>806603.78</v>
      </c>
      <c r="K19" s="331" t="s">
        <v>9</v>
      </c>
      <c r="L19" s="357">
        <v>0</v>
      </c>
      <c r="M19" s="167"/>
      <c r="N19" s="243"/>
      <c r="O19" s="355">
        <f>(-54675+-914662.095)/1.06</f>
        <v>-914468.95754716976</v>
      </c>
      <c r="P19" s="355">
        <f>J19+O19</f>
        <v>-107865.17754716973</v>
      </c>
      <c r="Q19" s="357">
        <f>SUM(P19:P21)</f>
        <v>-18242.537547169733</v>
      </c>
      <c r="R19" s="293"/>
      <c r="S19" s="293"/>
    </row>
    <row r="20" spans="1:22">
      <c r="A20" s="24" t="s">
        <v>17</v>
      </c>
      <c r="B20" s="325"/>
      <c r="C20" s="70" t="s">
        <v>13</v>
      </c>
      <c r="D20" s="154">
        <v>43666</v>
      </c>
      <c r="E20" s="154">
        <v>43707</v>
      </c>
      <c r="F20" s="327"/>
      <c r="G20" s="71"/>
      <c r="H20" s="100">
        <v>448113.21</v>
      </c>
      <c r="I20" s="73" t="s">
        <v>8</v>
      </c>
      <c r="J20" s="377"/>
      <c r="K20" s="333"/>
      <c r="L20" s="358"/>
      <c r="M20" s="168"/>
      <c r="N20" s="245"/>
      <c r="O20" s="356"/>
      <c r="P20" s="356"/>
      <c r="Q20" s="358"/>
      <c r="R20" s="293"/>
      <c r="S20" s="293"/>
    </row>
    <row r="21" spans="1:22">
      <c r="A21" s="24" t="s">
        <v>17</v>
      </c>
      <c r="B21" s="326"/>
      <c r="C21" s="66" t="s">
        <v>14</v>
      </c>
      <c r="D21" s="155">
        <v>43881</v>
      </c>
      <c r="E21" s="155">
        <v>43889</v>
      </c>
      <c r="F21" s="328"/>
      <c r="G21" s="67"/>
      <c r="H21" s="99">
        <v>89622.64</v>
      </c>
      <c r="I21" s="69" t="s">
        <v>8</v>
      </c>
      <c r="J21" s="74" t="s">
        <v>9</v>
      </c>
      <c r="K21" s="68">
        <f>H21</f>
        <v>89622.64</v>
      </c>
      <c r="L21" s="359"/>
      <c r="M21" s="169"/>
      <c r="N21" s="244"/>
      <c r="O21" s="80">
        <v>0</v>
      </c>
      <c r="P21" s="79">
        <f>K21+O21</f>
        <v>89622.64</v>
      </c>
      <c r="Q21" s="359"/>
      <c r="R21" s="294"/>
      <c r="S21" s="294"/>
    </row>
    <row r="22" spans="1:22">
      <c r="A22" s="24" t="s">
        <v>28</v>
      </c>
      <c r="B22" s="329" t="s">
        <v>28</v>
      </c>
      <c r="C22" s="66" t="s">
        <v>31</v>
      </c>
      <c r="D22" s="154">
        <v>43860</v>
      </c>
      <c r="E22" s="154">
        <v>43860</v>
      </c>
      <c r="F22" s="331">
        <f>2158888/1.06</f>
        <v>2036686.7924528301</v>
      </c>
      <c r="G22" s="77">
        <v>0.2</v>
      </c>
      <c r="H22" s="99">
        <f>G22*F22</f>
        <v>407337.35849056602</v>
      </c>
      <c r="I22" s="69" t="s">
        <v>8</v>
      </c>
      <c r="J22" s="82">
        <v>0</v>
      </c>
      <c r="K22" s="331">
        <f>SUM(H22:H25)</f>
        <v>1833018.113207547</v>
      </c>
      <c r="L22" s="371">
        <v>0</v>
      </c>
      <c r="M22" s="174"/>
      <c r="N22" s="249"/>
      <c r="O22" s="84">
        <f>-1001033.82/1.06</f>
        <v>-944371.52830188675</v>
      </c>
      <c r="P22" s="85">
        <f>O22+J22</f>
        <v>-944371.52830188675</v>
      </c>
      <c r="Q22" s="360">
        <f>SUM(F22:F29)+SUM(O22:O29)</f>
        <v>-827721.59518867917</v>
      </c>
      <c r="R22" s="293"/>
      <c r="S22" s="293"/>
    </row>
    <row r="23" spans="1:22">
      <c r="A23" s="24" t="s">
        <v>28</v>
      </c>
      <c r="B23" s="325"/>
      <c r="C23" s="66" t="s">
        <v>11</v>
      </c>
      <c r="D23" s="155">
        <v>43920</v>
      </c>
      <c r="E23" s="155">
        <v>43920</v>
      </c>
      <c r="F23" s="332"/>
      <c r="G23" s="77">
        <v>0.2</v>
      </c>
      <c r="H23" s="99">
        <f>G23*F22</f>
        <v>407337.35849056602</v>
      </c>
      <c r="I23" s="69" t="s">
        <v>8</v>
      </c>
      <c r="J23" s="384"/>
      <c r="K23" s="332"/>
      <c r="L23" s="358"/>
      <c r="M23" s="168"/>
      <c r="N23" s="245"/>
      <c r="O23" s="335">
        <f>-2330239.0709/1.06</f>
        <v>-2198338.7461320753</v>
      </c>
      <c r="P23" s="361">
        <f>SUM(K22:K29)+O23</f>
        <v>116649.93311320757</v>
      </c>
      <c r="Q23" s="345"/>
      <c r="R23" s="293"/>
      <c r="S23" s="293"/>
    </row>
    <row r="24" spans="1:22">
      <c r="A24" s="24" t="s">
        <v>28</v>
      </c>
      <c r="B24" s="325"/>
      <c r="C24" s="66" t="s">
        <v>13</v>
      </c>
      <c r="D24" s="155">
        <v>43981</v>
      </c>
      <c r="E24" s="155">
        <v>44012</v>
      </c>
      <c r="F24" s="332"/>
      <c r="G24" s="77">
        <v>0.2</v>
      </c>
      <c r="H24" s="99">
        <f>G24*F22</f>
        <v>407337.35849056602</v>
      </c>
      <c r="I24" s="69" t="s">
        <v>8</v>
      </c>
      <c r="J24" s="385"/>
      <c r="K24" s="332"/>
      <c r="L24" s="358"/>
      <c r="M24" s="168"/>
      <c r="N24" s="245"/>
      <c r="O24" s="361"/>
      <c r="P24" s="361"/>
      <c r="Q24" s="345"/>
      <c r="R24" s="293"/>
      <c r="S24" s="293"/>
    </row>
    <row r="25" spans="1:22">
      <c r="A25" s="24" t="s">
        <v>28</v>
      </c>
      <c r="B25" s="325"/>
      <c r="C25" s="66" t="s">
        <v>32</v>
      </c>
      <c r="D25" s="155">
        <v>44073</v>
      </c>
      <c r="E25" s="155">
        <v>44135</v>
      </c>
      <c r="F25" s="332"/>
      <c r="G25" s="77">
        <v>0.3</v>
      </c>
      <c r="H25" s="99">
        <f>G25*F22</f>
        <v>611006.03773584904</v>
      </c>
      <c r="I25" s="69" t="s">
        <v>8</v>
      </c>
      <c r="J25" s="385"/>
      <c r="K25" s="333"/>
      <c r="L25" s="359"/>
      <c r="M25" s="168"/>
      <c r="N25" s="245"/>
      <c r="O25" s="361"/>
      <c r="P25" s="361"/>
      <c r="Q25" s="345"/>
      <c r="R25" s="293"/>
      <c r="S25" s="293"/>
    </row>
    <row r="26" spans="1:22">
      <c r="A26" s="24" t="s">
        <v>28</v>
      </c>
      <c r="B26" s="326"/>
      <c r="C26" s="66" t="s">
        <v>30</v>
      </c>
      <c r="D26" s="155">
        <v>44226</v>
      </c>
      <c r="E26" s="155">
        <v>44139</v>
      </c>
      <c r="F26" s="333"/>
      <c r="G26" s="77">
        <v>0.1</v>
      </c>
      <c r="H26" s="68">
        <f>G26*F22</f>
        <v>203668.67924528301</v>
      </c>
      <c r="I26" s="69" t="s">
        <v>8</v>
      </c>
      <c r="J26" s="386"/>
      <c r="K26" s="83">
        <f>H26</f>
        <v>203668.67924528301</v>
      </c>
      <c r="L26" s="78">
        <v>0</v>
      </c>
      <c r="M26" s="181"/>
      <c r="N26" s="181"/>
      <c r="O26" s="361"/>
      <c r="P26" s="361"/>
      <c r="Q26" s="345"/>
      <c r="R26" s="293"/>
      <c r="S26" s="293"/>
    </row>
    <row r="27" spans="1:22">
      <c r="A27" s="24" t="s">
        <v>67</v>
      </c>
      <c r="B27" s="97" t="s">
        <v>67</v>
      </c>
      <c r="C27" s="66"/>
      <c r="D27" s="155">
        <v>44073</v>
      </c>
      <c r="E27" s="155">
        <v>44073</v>
      </c>
      <c r="F27" s="86">
        <f>130000/1.06</f>
        <v>122641.50943396226</v>
      </c>
      <c r="G27" s="77">
        <v>1</v>
      </c>
      <c r="H27" s="99">
        <f>130000/1.06</f>
        <v>122641.50943396226</v>
      </c>
      <c r="I27" s="69" t="s">
        <v>8</v>
      </c>
      <c r="J27" s="94"/>
      <c r="K27" s="83">
        <f>H27</f>
        <v>122641.50943396226</v>
      </c>
      <c r="L27" s="78">
        <v>0</v>
      </c>
      <c r="M27" s="181"/>
      <c r="N27" s="181"/>
      <c r="O27" s="361"/>
      <c r="P27" s="361"/>
      <c r="Q27" s="345"/>
      <c r="R27" s="293"/>
      <c r="S27" s="293"/>
    </row>
    <row r="28" spans="1:22">
      <c r="A28" s="24" t="s">
        <v>73</v>
      </c>
      <c r="B28" s="97" t="s">
        <v>73</v>
      </c>
      <c r="C28" s="66"/>
      <c r="D28" s="155">
        <v>44073</v>
      </c>
      <c r="E28" s="155">
        <v>44050</v>
      </c>
      <c r="F28" s="86">
        <f>80000/1.06</f>
        <v>75471.698113207545</v>
      </c>
      <c r="G28" s="77">
        <v>1</v>
      </c>
      <c r="H28" s="117">
        <f>80000/1.06</f>
        <v>75471.698113207545</v>
      </c>
      <c r="I28" s="69" t="s">
        <v>8</v>
      </c>
      <c r="J28" s="94"/>
      <c r="K28" s="83">
        <f>H28</f>
        <v>75471.698113207545</v>
      </c>
      <c r="L28" s="78">
        <v>0</v>
      </c>
      <c r="M28" s="181"/>
      <c r="N28" s="181"/>
      <c r="O28" s="361"/>
      <c r="P28" s="361"/>
      <c r="Q28" s="345"/>
      <c r="R28" s="293"/>
      <c r="S28" s="293"/>
      <c r="V28" s="24">
        <v>-2521319.8784000003</v>
      </c>
    </row>
    <row r="29" spans="1:22">
      <c r="A29" s="24" t="s">
        <v>74</v>
      </c>
      <c r="B29" s="97" t="s">
        <v>74</v>
      </c>
      <c r="C29" s="66"/>
      <c r="D29" s="155">
        <v>44104</v>
      </c>
      <c r="E29" s="155">
        <v>44104</v>
      </c>
      <c r="F29" s="95">
        <f>85000/1.06</f>
        <v>80188.679245283012</v>
      </c>
      <c r="G29" s="77">
        <v>1</v>
      </c>
      <c r="H29" s="118">
        <f>F29</f>
        <v>80188.679245283012</v>
      </c>
      <c r="I29" s="69" t="s">
        <v>8</v>
      </c>
      <c r="J29" s="96"/>
      <c r="K29" s="83">
        <f>H29</f>
        <v>80188.679245283012</v>
      </c>
      <c r="L29" s="78">
        <v>0</v>
      </c>
      <c r="M29" s="181"/>
      <c r="N29" s="181"/>
      <c r="O29" s="336"/>
      <c r="P29" s="336"/>
      <c r="Q29" s="345"/>
      <c r="R29" s="293"/>
      <c r="S29" s="293"/>
      <c r="U29" s="29"/>
    </row>
    <row r="30" spans="1:22">
      <c r="A30" s="24" t="s">
        <v>19</v>
      </c>
      <c r="B30" s="316" t="s">
        <v>19</v>
      </c>
      <c r="C30" s="70" t="s">
        <v>20</v>
      </c>
      <c r="D30" s="154" t="s">
        <v>9</v>
      </c>
      <c r="E30" s="154" t="s">
        <v>9</v>
      </c>
      <c r="F30" s="314">
        <f>121500*2</f>
        <v>243000</v>
      </c>
      <c r="G30" s="75">
        <v>0.5</v>
      </c>
      <c r="H30" s="100">
        <v>121500</v>
      </c>
      <c r="I30" s="73" t="s">
        <v>8</v>
      </c>
      <c r="J30" s="382">
        <f>121500*2</f>
        <v>243000</v>
      </c>
      <c r="K30" s="72" t="s">
        <v>9</v>
      </c>
      <c r="L30" s="76" t="s">
        <v>9</v>
      </c>
      <c r="M30" s="76"/>
      <c r="N30" s="76"/>
      <c r="O30" s="367">
        <v>0</v>
      </c>
      <c r="P30" s="367">
        <f>F30+O30</f>
        <v>243000</v>
      </c>
      <c r="Q30" s="362">
        <f>P30</f>
        <v>243000</v>
      </c>
      <c r="R30" s="293"/>
      <c r="S30" s="293"/>
    </row>
    <row r="31" spans="1:22">
      <c r="A31" s="24" t="s">
        <v>19</v>
      </c>
      <c r="B31" s="318"/>
      <c r="C31" s="66" t="s">
        <v>21</v>
      </c>
      <c r="D31" s="155" t="s">
        <v>9</v>
      </c>
      <c r="E31" s="155">
        <v>43799</v>
      </c>
      <c r="F31" s="334"/>
      <c r="G31" s="77">
        <v>0.5</v>
      </c>
      <c r="H31" s="99">
        <v>121500</v>
      </c>
      <c r="I31" s="69" t="s">
        <v>8</v>
      </c>
      <c r="J31" s="383"/>
      <c r="K31" s="68" t="s">
        <v>9</v>
      </c>
      <c r="L31" s="78" t="s">
        <v>9</v>
      </c>
      <c r="M31" s="78"/>
      <c r="N31" s="78"/>
      <c r="O31" s="367"/>
      <c r="P31" s="367"/>
      <c r="Q31" s="362"/>
      <c r="R31" s="293"/>
      <c r="S31" s="293"/>
    </row>
    <row r="32" spans="1:22" ht="30.6" customHeight="1">
      <c r="A32" s="24" t="s">
        <v>22</v>
      </c>
      <c r="B32" s="311" t="s">
        <v>22</v>
      </c>
      <c r="C32" s="70" t="s">
        <v>25</v>
      </c>
      <c r="D32" s="154">
        <v>43768</v>
      </c>
      <c r="E32" s="154">
        <v>43768</v>
      </c>
      <c r="F32" s="314">
        <f>1550000/1.06</f>
        <v>1462264.1509433961</v>
      </c>
      <c r="G32" s="75">
        <v>0.3</v>
      </c>
      <c r="H32" s="100">
        <f>'Billing Status'!$F32*'Billing Status'!$G32</f>
        <v>438679.24528301886</v>
      </c>
      <c r="I32" s="73" t="s">
        <v>8</v>
      </c>
      <c r="J32" s="76">
        <f>'Billing Status'!$F32*'Billing Status'!$G32</f>
        <v>438679.24528301886</v>
      </c>
      <c r="K32" s="72"/>
      <c r="L32" s="76">
        <v>0</v>
      </c>
      <c r="M32" s="76"/>
      <c r="N32" s="76"/>
      <c r="O32" s="88">
        <f>-191787.725/1.06</f>
        <v>-180931.81603773584</v>
      </c>
      <c r="P32" s="88">
        <f>J32+O32</f>
        <v>257747.42924528301</v>
      </c>
      <c r="Q32" s="365">
        <f>SUM(P32:P35)</f>
        <v>908576.08962264145</v>
      </c>
      <c r="R32" s="412"/>
      <c r="S32" s="412">
        <f>F32/2-H32</f>
        <v>292452.83018867922</v>
      </c>
    </row>
    <row r="33" spans="1:23" ht="23.1" customHeight="1">
      <c r="A33" s="24" t="s">
        <v>22</v>
      </c>
      <c r="B33" s="312"/>
      <c r="C33" s="123" t="s">
        <v>20</v>
      </c>
      <c r="D33" s="156">
        <v>43938</v>
      </c>
      <c r="E33" s="156">
        <v>44165</v>
      </c>
      <c r="F33" s="315"/>
      <c r="G33" s="124">
        <v>0.3</v>
      </c>
      <c r="H33" s="120">
        <f>$F$32*'Billing Status'!$G33</f>
        <v>438679.24528301886</v>
      </c>
      <c r="I33" s="124" t="s">
        <v>8</v>
      </c>
      <c r="J33" s="393" t="s">
        <v>9</v>
      </c>
      <c r="K33" s="62">
        <f>SUM(H33)</f>
        <v>438679.24528301886</v>
      </c>
      <c r="L33" s="125">
        <v>0</v>
      </c>
      <c r="M33" s="182"/>
      <c r="N33" s="182"/>
      <c r="O33" s="363">
        <f>-240121.62/1.06</f>
        <v>-226529.83018867922</v>
      </c>
      <c r="P33" s="363">
        <f>K33+O33</f>
        <v>212149.41509433964</v>
      </c>
      <c r="Q33" s="366"/>
      <c r="R33" s="413"/>
      <c r="S33" s="413"/>
    </row>
    <row r="34" spans="1:23" ht="27.6" customHeight="1">
      <c r="A34" s="24" t="s">
        <v>22</v>
      </c>
      <c r="B34" s="312"/>
      <c r="C34" s="37" t="s">
        <v>21</v>
      </c>
      <c r="D34" s="157">
        <v>43981</v>
      </c>
      <c r="E34" s="158">
        <v>44530</v>
      </c>
      <c r="F34" s="315"/>
      <c r="G34" s="38">
        <v>0.3</v>
      </c>
      <c r="H34" s="101">
        <f>$F$32*'Billing Status'!$G34</f>
        <v>438679.24528301886</v>
      </c>
      <c r="I34" s="39" t="s">
        <v>87</v>
      </c>
      <c r="J34" s="339"/>
      <c r="K34" s="401" t="s">
        <v>9</v>
      </c>
      <c r="L34" s="91">
        <f>H34</f>
        <v>438679.24528301886</v>
      </c>
      <c r="M34" s="170"/>
      <c r="N34" s="237"/>
      <c r="O34" s="364"/>
      <c r="P34" s="364"/>
      <c r="Q34" s="366"/>
      <c r="R34" s="413"/>
      <c r="S34" s="413"/>
    </row>
    <row r="35" spans="1:23">
      <c r="A35" s="24" t="s">
        <v>22</v>
      </c>
      <c r="B35" s="312"/>
      <c r="C35" s="34" t="s">
        <v>26</v>
      </c>
      <c r="D35" s="159">
        <v>44165</v>
      </c>
      <c r="E35" s="158">
        <v>44681</v>
      </c>
      <c r="F35" s="315"/>
      <c r="G35" s="35">
        <v>0.1</v>
      </c>
      <c r="H35" s="102">
        <f>$F$32*'Billing Status'!$G35</f>
        <v>146226.41509433961</v>
      </c>
      <c r="I35" s="36" t="s">
        <v>12</v>
      </c>
      <c r="J35" s="397"/>
      <c r="K35" s="401"/>
      <c r="L35" s="91"/>
      <c r="M35" s="179">
        <f>H35</f>
        <v>146226.41509433961</v>
      </c>
      <c r="N35" s="233"/>
      <c r="O35" s="87"/>
      <c r="P35" s="87">
        <f>L34+O35</f>
        <v>438679.24528301886</v>
      </c>
      <c r="Q35" s="366"/>
      <c r="R35" s="414"/>
      <c r="S35" s="414"/>
    </row>
    <row r="36" spans="1:23" ht="18.600000000000001" customHeight="1">
      <c r="A36" s="24" t="s">
        <v>27</v>
      </c>
      <c r="B36" s="305" t="s">
        <v>27</v>
      </c>
      <c r="C36" s="70" t="s">
        <v>25</v>
      </c>
      <c r="D36" s="154">
        <v>43799</v>
      </c>
      <c r="E36" s="154">
        <v>43799</v>
      </c>
      <c r="F36" s="314">
        <f>1680000/1.06</f>
        <v>1584905.6603773583</v>
      </c>
      <c r="G36" s="75">
        <v>0.4</v>
      </c>
      <c r="H36" s="100">
        <f>G36*$F$36</f>
        <v>633962.26415094337</v>
      </c>
      <c r="I36" s="90" t="s">
        <v>8</v>
      </c>
      <c r="J36" s="76">
        <f>H36</f>
        <v>633962.26415094337</v>
      </c>
      <c r="K36" s="72"/>
      <c r="L36" s="76">
        <v>0</v>
      </c>
      <c r="M36" s="76"/>
      <c r="N36" s="76"/>
      <c r="O36" s="88">
        <v>0</v>
      </c>
      <c r="P36" s="88">
        <f>O36+J36</f>
        <v>633962.26415094337</v>
      </c>
      <c r="Q36" s="344">
        <f>SUM(P36:P39)</f>
        <v>1576064.1509433961</v>
      </c>
      <c r="R36" s="295"/>
      <c r="S36" s="295"/>
      <c r="U36" s="29">
        <v>1500000</v>
      </c>
    </row>
    <row r="37" spans="1:23" ht="18.600000000000001" customHeight="1">
      <c r="A37" s="24" t="s">
        <v>27</v>
      </c>
      <c r="B37" s="306"/>
      <c r="C37" s="66" t="s">
        <v>20</v>
      </c>
      <c r="D37" s="155">
        <v>43941</v>
      </c>
      <c r="E37" s="155">
        <v>44165</v>
      </c>
      <c r="F37" s="315"/>
      <c r="G37" s="77">
        <v>0.2</v>
      </c>
      <c r="H37" s="99">
        <f t="shared" ref="H37:H39" si="0">G37*$F$36</f>
        <v>316981.13207547169</v>
      </c>
      <c r="I37" s="69" t="s">
        <v>8</v>
      </c>
      <c r="J37" s="399" t="s">
        <v>9</v>
      </c>
      <c r="K37" s="106">
        <f>SUM(H37)</f>
        <v>316981.13207547169</v>
      </c>
      <c r="L37" s="85">
        <v>0</v>
      </c>
      <c r="M37" s="222"/>
      <c r="N37" s="222"/>
      <c r="O37" s="363">
        <f>-9372/1.06</f>
        <v>-8841.5094339622628</v>
      </c>
      <c r="P37" s="363">
        <f>O37+K37</f>
        <v>308139.6226415094</v>
      </c>
      <c r="Q37" s="345"/>
      <c r="R37" s="296"/>
      <c r="S37" s="296"/>
      <c r="U37" s="250">
        <f>1500000*0.3</f>
        <v>450000</v>
      </c>
    </row>
    <row r="38" spans="1:23">
      <c r="A38" s="24" t="s">
        <v>27</v>
      </c>
      <c r="B38" s="306"/>
      <c r="C38" s="70" t="s">
        <v>21</v>
      </c>
      <c r="D38" s="154">
        <v>44022</v>
      </c>
      <c r="E38" s="154">
        <v>44285</v>
      </c>
      <c r="F38" s="315"/>
      <c r="G38" s="75">
        <v>0.3</v>
      </c>
      <c r="H38" s="100">
        <f t="shared" si="0"/>
        <v>475471.69811320747</v>
      </c>
      <c r="I38" s="90" t="s">
        <v>8</v>
      </c>
      <c r="J38" s="361"/>
      <c r="K38" s="402"/>
      <c r="L38" s="404">
        <f>SUM(H38:H39)</f>
        <v>633962.26415094337</v>
      </c>
      <c r="M38" s="177"/>
      <c r="N38" s="242"/>
      <c r="O38" s="364"/>
      <c r="P38" s="364"/>
      <c r="Q38" s="345"/>
      <c r="R38" s="295"/>
      <c r="S38" s="295"/>
      <c r="T38" s="250">
        <v>4400000</v>
      </c>
      <c r="U38" s="29">
        <f>U36-U37</f>
        <v>1050000</v>
      </c>
    </row>
    <row r="39" spans="1:23">
      <c r="A39" s="24" t="s">
        <v>27</v>
      </c>
      <c r="B39" s="307"/>
      <c r="C39" s="34" t="s">
        <v>26</v>
      </c>
      <c r="D39" s="159">
        <v>44206</v>
      </c>
      <c r="E39" s="159">
        <v>44469</v>
      </c>
      <c r="F39" s="315"/>
      <c r="G39" s="35">
        <v>0.1</v>
      </c>
      <c r="H39" s="208">
        <f t="shared" si="0"/>
        <v>158490.56603773584</v>
      </c>
      <c r="I39" s="209" t="s">
        <v>59</v>
      </c>
      <c r="J39" s="336"/>
      <c r="K39" s="402"/>
      <c r="L39" s="404"/>
      <c r="M39" s="210"/>
      <c r="N39" s="210"/>
      <c r="O39" s="89"/>
      <c r="P39" s="89">
        <f>L38+O39</f>
        <v>633962.26415094337</v>
      </c>
      <c r="Q39" s="345"/>
      <c r="R39" s="296"/>
      <c r="S39" s="296"/>
      <c r="T39" s="55">
        <f>H39+H51+H53+H58+H61+H62</f>
        <v>8828826.792452829</v>
      </c>
      <c r="U39" s="251">
        <f>U38/7</f>
        <v>150000</v>
      </c>
    </row>
    <row r="40" spans="1:23">
      <c r="A40" s="24" t="s">
        <v>49</v>
      </c>
      <c r="B40" s="316" t="s">
        <v>49</v>
      </c>
      <c r="C40" s="70" t="s">
        <v>25</v>
      </c>
      <c r="D40" s="154">
        <v>43951</v>
      </c>
      <c r="E40" s="154">
        <v>44058</v>
      </c>
      <c r="F40" s="319">
        <f>1200000/1.06</f>
        <v>1132075.4716981133</v>
      </c>
      <c r="G40" s="75">
        <v>0.3</v>
      </c>
      <c r="H40" s="119">
        <f>G40*$F$40</f>
        <v>339622.64150943398</v>
      </c>
      <c r="I40" s="109" t="s">
        <v>8</v>
      </c>
      <c r="J40" s="400" t="s">
        <v>9</v>
      </c>
      <c r="K40" s="403">
        <f>SUM(H40:H41)</f>
        <v>1018867.9245283019</v>
      </c>
      <c r="L40" s="374">
        <v>0</v>
      </c>
      <c r="M40" s="178"/>
      <c r="N40" s="239"/>
      <c r="O40" s="348">
        <f>-213293/1.06</f>
        <v>-201219.8113207547</v>
      </c>
      <c r="P40" s="348">
        <f>K40+O40</f>
        <v>817648.11320754723</v>
      </c>
      <c r="Q40" s="346">
        <f>P40</f>
        <v>817648.11320754723</v>
      </c>
      <c r="R40" s="295"/>
      <c r="S40" s="295"/>
      <c r="T40" s="251">
        <f>T39/7</f>
        <v>1261260.970350404</v>
      </c>
    </row>
    <row r="41" spans="1:23" ht="30">
      <c r="A41" s="24" t="s">
        <v>49</v>
      </c>
      <c r="B41" s="317"/>
      <c r="C41" s="66" t="s">
        <v>20</v>
      </c>
      <c r="D41" s="155">
        <v>44104</v>
      </c>
      <c r="E41" s="155">
        <v>44104</v>
      </c>
      <c r="F41" s="320"/>
      <c r="G41" s="77">
        <v>0.6</v>
      </c>
      <c r="H41" s="120">
        <f>G41*$F$40</f>
        <v>679245.28301886795</v>
      </c>
      <c r="I41" s="92" t="s">
        <v>80</v>
      </c>
      <c r="J41" s="385"/>
      <c r="K41" s="403"/>
      <c r="L41" s="405"/>
      <c r="M41" s="183"/>
      <c r="N41" s="183"/>
      <c r="O41" s="349"/>
      <c r="P41" s="349"/>
      <c r="Q41" s="347"/>
      <c r="R41" s="293"/>
      <c r="S41" s="293"/>
      <c r="T41" s="251">
        <f>T38/7</f>
        <v>628571.42857142852</v>
      </c>
    </row>
    <row r="42" spans="1:23" ht="30">
      <c r="A42" s="24" t="s">
        <v>49</v>
      </c>
      <c r="B42" s="318"/>
      <c r="C42" s="126" t="s">
        <v>21</v>
      </c>
      <c r="D42" s="161">
        <v>44196</v>
      </c>
      <c r="E42" s="160">
        <v>44196</v>
      </c>
      <c r="F42" s="321"/>
      <c r="G42" s="124">
        <v>0.1</v>
      </c>
      <c r="H42" s="104">
        <f>G42*$F$40</f>
        <v>113207.54716981133</v>
      </c>
      <c r="I42" s="41" t="s">
        <v>85</v>
      </c>
      <c r="J42" s="386"/>
      <c r="K42" s="110"/>
      <c r="L42" s="85">
        <v>0</v>
      </c>
      <c r="M42" s="184"/>
      <c r="N42" s="184"/>
      <c r="O42" s="350"/>
      <c r="P42" s="350"/>
      <c r="Q42" s="347"/>
      <c r="R42" s="293">
        <f>SUM(R34:R40)</f>
        <v>0</v>
      </c>
      <c r="S42" s="293"/>
      <c r="U42" s="253" t="s">
        <v>201</v>
      </c>
      <c r="V42" s="254">
        <f>T41+T40+U39</f>
        <v>2039832.3989218324</v>
      </c>
    </row>
    <row r="43" spans="1:23">
      <c r="A43" s="24" t="s">
        <v>51</v>
      </c>
      <c r="B43" s="322" t="s">
        <v>51</v>
      </c>
      <c r="C43" s="70" t="s">
        <v>52</v>
      </c>
      <c r="D43" s="154">
        <v>43966</v>
      </c>
      <c r="E43" s="154">
        <v>44042</v>
      </c>
      <c r="F43" s="319">
        <f>999998/1.06</f>
        <v>943394.33962264145</v>
      </c>
      <c r="G43" s="75">
        <v>0.4</v>
      </c>
      <c r="H43" s="120">
        <f>G43*F43</f>
        <v>377357.73584905663</v>
      </c>
      <c r="I43" s="92" t="s">
        <v>8</v>
      </c>
      <c r="J43" s="374" t="s">
        <v>9</v>
      </c>
      <c r="K43" s="319">
        <f>SUM(H43:H44)</f>
        <v>849054.90566037735</v>
      </c>
      <c r="L43" s="98">
        <v>0</v>
      </c>
      <c r="M43" s="98"/>
      <c r="N43" s="98"/>
      <c r="O43" s="351">
        <f>-1200886.875/1.06</f>
        <v>-1132912.1462264149</v>
      </c>
      <c r="P43" s="351">
        <f>K43+O43</f>
        <v>-283857.2405660376</v>
      </c>
      <c r="Q43" s="353">
        <f>SUM(P43:P45)</f>
        <v>-283857.2405660376</v>
      </c>
      <c r="R43" s="293"/>
      <c r="S43" s="293"/>
      <c r="U43" s="24" t="s">
        <v>197</v>
      </c>
      <c r="V43" s="252">
        <v>250000</v>
      </c>
    </row>
    <row r="44" spans="1:23">
      <c r="A44" s="24" t="s">
        <v>51</v>
      </c>
      <c r="B44" s="323"/>
      <c r="C44" s="70" t="s">
        <v>53</v>
      </c>
      <c r="D44" s="154">
        <v>44042</v>
      </c>
      <c r="E44" s="154">
        <v>44104</v>
      </c>
      <c r="F44" s="320"/>
      <c r="G44" s="75">
        <v>0.5</v>
      </c>
      <c r="H44" s="121">
        <f>G44*F43</f>
        <v>471697.16981132072</v>
      </c>
      <c r="I44" s="92" t="s">
        <v>8</v>
      </c>
      <c r="J44" s="349"/>
      <c r="K44" s="320"/>
      <c r="L44" s="98">
        <v>0</v>
      </c>
      <c r="M44" s="98"/>
      <c r="N44" s="98"/>
      <c r="O44" s="352"/>
      <c r="P44" s="352"/>
      <c r="Q44" s="354"/>
      <c r="R44" s="293"/>
      <c r="S44" s="293"/>
      <c r="T44" s="29"/>
      <c r="U44" s="24" t="s">
        <v>198</v>
      </c>
      <c r="V44" s="252">
        <f>H62/7</f>
        <v>502021.563342318</v>
      </c>
    </row>
    <row r="45" spans="1:23">
      <c r="A45" s="24" t="s">
        <v>51</v>
      </c>
      <c r="B45" s="324"/>
      <c r="C45" s="70" t="s">
        <v>30</v>
      </c>
      <c r="D45" s="154">
        <v>44255</v>
      </c>
      <c r="E45" s="154">
        <v>44139</v>
      </c>
      <c r="F45" s="321"/>
      <c r="G45" s="77">
        <v>0.1</v>
      </c>
      <c r="H45" s="121">
        <f>G45*F43</f>
        <v>94339.433962264156</v>
      </c>
      <c r="I45" s="77" t="s">
        <v>8</v>
      </c>
      <c r="J45" s="350"/>
      <c r="K45" s="68">
        <f>H45</f>
        <v>94339.433962264156</v>
      </c>
      <c r="L45" s="78">
        <v>0</v>
      </c>
      <c r="M45" s="78"/>
      <c r="N45" s="78"/>
      <c r="O45" s="122"/>
      <c r="P45" s="122">
        <f>L45+O45</f>
        <v>0</v>
      </c>
      <c r="Q45" s="354"/>
      <c r="R45" s="293"/>
      <c r="S45" s="293"/>
      <c r="T45" s="29"/>
      <c r="U45" s="24" t="s">
        <v>199</v>
      </c>
      <c r="V45" s="252">
        <f>2000000/3</f>
        <v>666666.66666666663</v>
      </c>
      <c r="W45" s="24">
        <f>1700*21*6</f>
        <v>214200</v>
      </c>
    </row>
    <row r="46" spans="1:23" ht="23.85" customHeight="1">
      <c r="A46" s="24" t="s">
        <v>60</v>
      </c>
      <c r="B46" s="316" t="s">
        <v>60</v>
      </c>
      <c r="C46" s="126" t="s">
        <v>61</v>
      </c>
      <c r="D46" s="161">
        <v>44042</v>
      </c>
      <c r="E46" s="161">
        <v>44104</v>
      </c>
      <c r="F46" s="319">
        <f>2046000/1.06</f>
        <v>1930188.6792452829</v>
      </c>
      <c r="G46" s="77">
        <v>0.3</v>
      </c>
      <c r="H46" s="99">
        <f>F46*G46</f>
        <v>579056.60377358482</v>
      </c>
      <c r="I46" s="77" t="s">
        <v>8</v>
      </c>
      <c r="J46" s="374" t="s">
        <v>9</v>
      </c>
      <c r="K46" s="331">
        <f>H46+H47</f>
        <v>1544150.9433962263</v>
      </c>
      <c r="L46" s="357">
        <v>0</v>
      </c>
      <c r="M46" s="203"/>
      <c r="N46" s="243"/>
      <c r="O46" s="351">
        <v>0</v>
      </c>
      <c r="P46" s="351">
        <v>0</v>
      </c>
      <c r="Q46" s="340">
        <v>0</v>
      </c>
      <c r="R46" s="293"/>
      <c r="S46" s="293"/>
      <c r="T46" s="275">
        <f>SUM(T38:T39)</f>
        <v>13228826.792452829</v>
      </c>
      <c r="U46" s="24" t="s">
        <v>200</v>
      </c>
      <c r="V46" s="252">
        <v>100000</v>
      </c>
    </row>
    <row r="47" spans="1:23" ht="18.600000000000001" customHeight="1">
      <c r="A47" s="24" t="s">
        <v>60</v>
      </c>
      <c r="B47" s="317"/>
      <c r="C47" s="126" t="s">
        <v>62</v>
      </c>
      <c r="D47" s="161">
        <v>44134</v>
      </c>
      <c r="E47" s="161">
        <v>44165</v>
      </c>
      <c r="F47" s="320"/>
      <c r="G47" s="77">
        <v>0.5</v>
      </c>
      <c r="H47" s="99">
        <f>F46*G47</f>
        <v>965094.33962264145</v>
      </c>
      <c r="I47" s="77" t="s">
        <v>8</v>
      </c>
      <c r="J47" s="349"/>
      <c r="K47" s="333"/>
      <c r="L47" s="359"/>
      <c r="M47" s="202"/>
      <c r="N47" s="244"/>
      <c r="O47" s="352"/>
      <c r="P47" s="352"/>
      <c r="Q47" s="340"/>
      <c r="R47" s="294"/>
      <c r="S47" s="294"/>
      <c r="T47" s="251">
        <f>T46/7</f>
        <v>1889832.3989218327</v>
      </c>
      <c r="U47" s="24" t="s">
        <v>202</v>
      </c>
    </row>
    <row r="48" spans="1:23" ht="25.5" customHeight="1">
      <c r="A48" s="24" t="s">
        <v>60</v>
      </c>
      <c r="B48" s="318"/>
      <c r="C48" s="70" t="s">
        <v>63</v>
      </c>
      <c r="D48" s="154">
        <v>44346</v>
      </c>
      <c r="E48" s="154">
        <v>44316</v>
      </c>
      <c r="F48" s="321"/>
      <c r="G48" s="77">
        <v>0.2</v>
      </c>
      <c r="H48" s="99">
        <f>F46*G48</f>
        <v>386037.73584905663</v>
      </c>
      <c r="I48" s="77" t="s">
        <v>8</v>
      </c>
      <c r="J48" s="350"/>
      <c r="K48" s="68"/>
      <c r="L48" s="78">
        <f>H48</f>
        <v>386037.73584905663</v>
      </c>
      <c r="M48" s="78"/>
      <c r="N48" s="78"/>
      <c r="O48" s="91">
        <v>0</v>
      </c>
      <c r="P48" s="91">
        <v>0</v>
      </c>
      <c r="Q48" s="340"/>
      <c r="R48" s="294"/>
      <c r="S48" s="294"/>
    </row>
    <row r="49" spans="1:19">
      <c r="A49" s="24" t="s">
        <v>64</v>
      </c>
      <c r="B49" s="305" t="s">
        <v>64</v>
      </c>
      <c r="C49" s="126" t="s">
        <v>25</v>
      </c>
      <c r="D49" s="161">
        <v>44089</v>
      </c>
      <c r="E49" s="161">
        <v>44180</v>
      </c>
      <c r="F49" s="308">
        <f>1475564/1.06</f>
        <v>1392041.5094339622</v>
      </c>
      <c r="G49" s="124">
        <v>0.15</v>
      </c>
      <c r="H49" s="120">
        <f>$F$49*G49</f>
        <v>208806.22641509431</v>
      </c>
      <c r="I49" s="124" t="s">
        <v>8</v>
      </c>
      <c r="J49" s="399" t="s">
        <v>9</v>
      </c>
      <c r="K49" s="61">
        <f>H49</f>
        <v>208806.22641509431</v>
      </c>
      <c r="L49" s="127"/>
      <c r="M49" s="127"/>
      <c r="N49" s="127"/>
      <c r="O49" s="122">
        <v>0</v>
      </c>
      <c r="P49" s="122">
        <v>0</v>
      </c>
      <c r="Q49" s="337">
        <v>0</v>
      </c>
      <c r="R49" s="293"/>
      <c r="S49" s="410">
        <f>F49</f>
        <v>1392041.5094339622</v>
      </c>
    </row>
    <row r="50" spans="1:19" ht="26.1" customHeight="1">
      <c r="A50" s="24" t="s">
        <v>64</v>
      </c>
      <c r="B50" s="306"/>
      <c r="C50" s="66" t="s">
        <v>20</v>
      </c>
      <c r="D50" s="154">
        <v>44211</v>
      </c>
      <c r="E50" s="154">
        <v>44331</v>
      </c>
      <c r="F50" s="309"/>
      <c r="G50" s="77">
        <v>0.75</v>
      </c>
      <c r="H50" s="99">
        <f t="shared" ref="H50:H51" si="1">$F$49*G50</f>
        <v>1044031.1320754716</v>
      </c>
      <c r="I50" s="77" t="s">
        <v>8</v>
      </c>
      <c r="J50" s="408"/>
      <c r="K50" s="61"/>
      <c r="L50" s="406">
        <f>H50+H51</f>
        <v>1183235.2830188677</v>
      </c>
      <c r="M50" s="175"/>
      <c r="N50" s="240"/>
      <c r="O50" s="335">
        <v>0</v>
      </c>
      <c r="P50" s="335">
        <v>0</v>
      </c>
      <c r="Q50" s="337"/>
      <c r="R50" s="294"/>
      <c r="S50" s="411"/>
    </row>
    <row r="51" spans="1:19" ht="26.1" customHeight="1">
      <c r="A51" s="24" t="s">
        <v>64</v>
      </c>
      <c r="B51" s="307"/>
      <c r="C51" s="28" t="s">
        <v>21</v>
      </c>
      <c r="D51" s="162">
        <v>44392</v>
      </c>
      <c r="E51" s="162">
        <v>44454</v>
      </c>
      <c r="F51" s="310"/>
      <c r="G51" s="35">
        <v>0.1</v>
      </c>
      <c r="H51" s="102">
        <f t="shared" si="1"/>
        <v>139204.15094339623</v>
      </c>
      <c r="I51" s="35" t="s">
        <v>12</v>
      </c>
      <c r="J51" s="409"/>
      <c r="K51" s="32"/>
      <c r="L51" s="407"/>
      <c r="M51" s="176"/>
      <c r="N51" s="241"/>
      <c r="O51" s="336"/>
      <c r="P51" s="336"/>
      <c r="Q51" s="337"/>
      <c r="R51" s="294">
        <f>H51</f>
        <v>139204.15094339623</v>
      </c>
      <c r="S51" s="411"/>
    </row>
    <row r="52" spans="1:19" ht="28.5" customHeight="1">
      <c r="A52" s="24" t="s">
        <v>70</v>
      </c>
      <c r="B52" s="305" t="s">
        <v>70</v>
      </c>
      <c r="C52" s="70" t="s">
        <v>25</v>
      </c>
      <c r="D52" s="155">
        <v>44104</v>
      </c>
      <c r="E52" s="155">
        <v>44256</v>
      </c>
      <c r="F52" s="308">
        <f>2080000/1.06</f>
        <v>1962264.1509433961</v>
      </c>
      <c r="G52" s="77">
        <v>0.2</v>
      </c>
      <c r="H52" s="68">
        <f>F52*G52</f>
        <v>392452.83018867928</v>
      </c>
      <c r="I52" s="204" t="s">
        <v>8</v>
      </c>
      <c r="J52" s="393" t="s">
        <v>9</v>
      </c>
      <c r="K52" s="372" t="s">
        <v>9</v>
      </c>
      <c r="L52" s="338">
        <f>SUM(H52:H53)</f>
        <v>1569811.3207547169</v>
      </c>
      <c r="M52" s="165"/>
      <c r="N52" s="238"/>
      <c r="O52" s="91">
        <v>0</v>
      </c>
      <c r="P52" s="91">
        <v>0</v>
      </c>
      <c r="Q52" s="340">
        <v>0</v>
      </c>
      <c r="R52" s="294"/>
      <c r="S52" s="294"/>
    </row>
    <row r="53" spans="1:19" ht="23.1" customHeight="1">
      <c r="A53" s="24" t="s">
        <v>70</v>
      </c>
      <c r="B53" s="306"/>
      <c r="C53" s="30" t="s">
        <v>20</v>
      </c>
      <c r="D53" s="157">
        <v>44317</v>
      </c>
      <c r="E53" s="164">
        <v>44530</v>
      </c>
      <c r="F53" s="309"/>
      <c r="G53" s="31">
        <v>0.6</v>
      </c>
      <c r="H53" s="211">
        <f>F52*G53</f>
        <v>1177358.4905660376</v>
      </c>
      <c r="I53" s="288" t="s">
        <v>232</v>
      </c>
      <c r="J53" s="339"/>
      <c r="K53" s="373"/>
      <c r="L53" s="339"/>
      <c r="M53" s="166"/>
      <c r="N53" s="236"/>
      <c r="O53" s="338">
        <v>0</v>
      </c>
      <c r="P53" s="338">
        <v>0</v>
      </c>
      <c r="Q53" s="340"/>
      <c r="R53" s="294">
        <f>H53</f>
        <v>1177358.4905660376</v>
      </c>
      <c r="S53" s="294">
        <f>R53</f>
        <v>1177358.4905660376</v>
      </c>
    </row>
    <row r="54" spans="1:19" ht="25.5" customHeight="1">
      <c r="A54" s="24" t="s">
        <v>70</v>
      </c>
      <c r="B54" s="307"/>
      <c r="C54" s="28" t="s">
        <v>21</v>
      </c>
      <c r="D54" s="159">
        <v>44501</v>
      </c>
      <c r="E54" s="158">
        <v>44682</v>
      </c>
      <c r="F54" s="310"/>
      <c r="G54" s="35">
        <v>0.2</v>
      </c>
      <c r="H54" s="211">
        <f>F52*G54</f>
        <v>392452.83018867928</v>
      </c>
      <c r="I54" s="288" t="s">
        <v>232</v>
      </c>
      <c r="J54" s="397"/>
      <c r="K54" s="373"/>
      <c r="L54" s="232"/>
      <c r="M54" s="166">
        <f>H54</f>
        <v>392452.83018867928</v>
      </c>
      <c r="N54" s="236"/>
      <c r="O54" s="339"/>
      <c r="P54" s="339"/>
      <c r="Q54" s="340"/>
      <c r="R54" s="294"/>
      <c r="S54" s="294"/>
    </row>
    <row r="55" spans="1:19" ht="25.5" customHeight="1">
      <c r="A55" s="24" t="s">
        <v>133</v>
      </c>
      <c r="B55" s="316" t="s">
        <v>133</v>
      </c>
      <c r="C55" s="70" t="s">
        <v>61</v>
      </c>
      <c r="D55" s="154">
        <v>44287</v>
      </c>
      <c r="E55" s="154">
        <v>44287</v>
      </c>
      <c r="F55" s="319">
        <f>1700000/1.06</f>
        <v>1603773.5849056602</v>
      </c>
      <c r="G55" s="77">
        <v>0.2</v>
      </c>
      <c r="H55" s="68">
        <f>F55*G55</f>
        <v>320754.71698113205</v>
      </c>
      <c r="I55" s="77" t="s">
        <v>8</v>
      </c>
      <c r="J55" s="393" t="s">
        <v>9</v>
      </c>
      <c r="K55" s="372" t="s">
        <v>9</v>
      </c>
      <c r="L55" s="338">
        <f>F55</f>
        <v>1603773.5849056602</v>
      </c>
      <c r="M55" s="165"/>
      <c r="N55" s="238"/>
      <c r="O55" s="415">
        <v>0</v>
      </c>
      <c r="P55" s="415">
        <v>0</v>
      </c>
      <c r="Q55" s="416">
        <v>0</v>
      </c>
      <c r="R55" s="293"/>
      <c r="S55" s="410">
        <f>F55</f>
        <v>1603773.5849056602</v>
      </c>
    </row>
    <row r="56" spans="1:19" ht="28.5" customHeight="1">
      <c r="A56" s="24" t="s">
        <v>133</v>
      </c>
      <c r="B56" s="317"/>
      <c r="C56" s="70" t="s">
        <v>83</v>
      </c>
      <c r="D56" s="154">
        <v>44346</v>
      </c>
      <c r="E56" s="154">
        <v>44377</v>
      </c>
      <c r="F56" s="320"/>
      <c r="G56" s="77">
        <v>0.5</v>
      </c>
      <c r="H56" s="68">
        <f>G56*F55</f>
        <v>801886.79245283012</v>
      </c>
      <c r="I56" s="77" t="s">
        <v>8</v>
      </c>
      <c r="J56" s="339"/>
      <c r="K56" s="373"/>
      <c r="L56" s="339"/>
      <c r="M56" s="166"/>
      <c r="N56" s="236"/>
      <c r="O56" s="415"/>
      <c r="P56" s="415"/>
      <c r="Q56" s="416"/>
      <c r="R56" s="293"/>
      <c r="S56" s="411"/>
    </row>
    <row r="57" spans="1:19">
      <c r="A57" s="24" t="s">
        <v>133</v>
      </c>
      <c r="B57" s="318"/>
      <c r="C57" s="70" t="s">
        <v>63</v>
      </c>
      <c r="D57" s="154">
        <v>44545</v>
      </c>
      <c r="E57" s="154">
        <v>44377</v>
      </c>
      <c r="F57" s="321"/>
      <c r="G57" s="77">
        <v>0.3</v>
      </c>
      <c r="H57" s="68">
        <f>G57*F55</f>
        <v>481132.07547169807</v>
      </c>
      <c r="I57" s="77" t="s">
        <v>8</v>
      </c>
      <c r="J57" s="397"/>
      <c r="K57" s="398"/>
      <c r="L57" s="397"/>
      <c r="M57" s="170"/>
      <c r="N57" s="237"/>
      <c r="O57" s="91">
        <v>0</v>
      </c>
      <c r="P57" s="91">
        <v>0</v>
      </c>
      <c r="Q57" s="416"/>
      <c r="R57" s="293"/>
      <c r="S57" s="411"/>
    </row>
    <row r="58" spans="1:19" ht="45">
      <c r="A58" s="24" t="s">
        <v>84</v>
      </c>
      <c r="B58" s="305" t="s">
        <v>84</v>
      </c>
      <c r="C58" s="28" t="s">
        <v>52</v>
      </c>
      <c r="D58" s="162">
        <v>44438</v>
      </c>
      <c r="E58" s="164" t="s">
        <v>238</v>
      </c>
      <c r="F58" s="308">
        <f>1150000/1.06</f>
        <v>1084905.6603773586</v>
      </c>
      <c r="G58" s="111">
        <v>0.3</v>
      </c>
      <c r="H58" s="286">
        <f>F58*G58</f>
        <v>325471.69811320753</v>
      </c>
      <c r="I58" s="287" t="s">
        <v>231</v>
      </c>
      <c r="J58" s="393" t="s">
        <v>9</v>
      </c>
      <c r="K58" s="396">
        <f>SUM(H58:H59)</f>
        <v>759433.96226415096</v>
      </c>
      <c r="L58" s="289">
        <f>H58</f>
        <v>325471.69811320753</v>
      </c>
      <c r="M58" s="112"/>
      <c r="N58" s="238"/>
      <c r="O58" s="91"/>
      <c r="P58" s="91"/>
      <c r="Q58" s="290"/>
      <c r="R58" s="294">
        <f>H58</f>
        <v>325471.69811320753</v>
      </c>
      <c r="S58" s="293"/>
    </row>
    <row r="59" spans="1:19" ht="45">
      <c r="A59" s="24" t="s">
        <v>84</v>
      </c>
      <c r="B59" s="306"/>
      <c r="C59" s="37" t="s">
        <v>53</v>
      </c>
      <c r="D59" s="157">
        <v>44560</v>
      </c>
      <c r="E59" s="164">
        <v>44681</v>
      </c>
      <c r="F59" s="309"/>
      <c r="G59" s="38">
        <v>0.4</v>
      </c>
      <c r="H59" s="211">
        <f>F58*G59</f>
        <v>433962.26415094343</v>
      </c>
      <c r="I59" s="287" t="s">
        <v>231</v>
      </c>
      <c r="J59" s="394"/>
      <c r="K59" s="396"/>
      <c r="L59" s="112"/>
      <c r="M59" s="338">
        <f>H59+H60</f>
        <v>650943.39622641518</v>
      </c>
      <c r="N59" s="237"/>
      <c r="O59" s="81"/>
      <c r="P59" s="81"/>
      <c r="Q59" s="291"/>
      <c r="R59" s="293"/>
      <c r="S59" s="293"/>
    </row>
    <row r="60" spans="1:19">
      <c r="A60" s="24" t="s">
        <v>84</v>
      </c>
      <c r="B60" s="307"/>
      <c r="C60" s="28" t="s">
        <v>30</v>
      </c>
      <c r="D60" s="162">
        <v>44742</v>
      </c>
      <c r="E60" s="164">
        <v>44864</v>
      </c>
      <c r="F60" s="310"/>
      <c r="G60" s="35">
        <v>0.2</v>
      </c>
      <c r="H60" s="211">
        <f>F58*G60</f>
        <v>216981.13207547172</v>
      </c>
      <c r="I60" s="288" t="s">
        <v>12</v>
      </c>
      <c r="J60" s="395"/>
      <c r="K60" s="396"/>
      <c r="L60" s="112"/>
      <c r="M60" s="397"/>
      <c r="N60" s="112"/>
      <c r="O60" s="91"/>
      <c r="P60" s="91"/>
      <c r="Q60" s="292"/>
      <c r="R60" s="293"/>
      <c r="S60" s="293"/>
    </row>
    <row r="61" spans="1:19">
      <c r="A61" s="24" t="s">
        <v>194</v>
      </c>
      <c r="B61" s="305" t="s">
        <v>194</v>
      </c>
      <c r="C61" s="28" t="s">
        <v>192</v>
      </c>
      <c r="D61" s="157">
        <v>44469</v>
      </c>
      <c r="E61" s="164">
        <v>44530</v>
      </c>
      <c r="F61" s="308">
        <v>7028301.8867924521</v>
      </c>
      <c r="G61" s="35">
        <v>0.5</v>
      </c>
      <c r="H61" s="211">
        <f>3725000/1.06</f>
        <v>3514150.943396226</v>
      </c>
      <c r="I61" s="288" t="s">
        <v>233</v>
      </c>
      <c r="J61" s="223"/>
      <c r="K61" s="224"/>
      <c r="L61" s="338">
        <f>SUM(H61:H62)</f>
        <v>7028301.8867924521</v>
      </c>
      <c r="M61" s="112"/>
      <c r="N61" s="112"/>
      <c r="O61" s="91"/>
      <c r="P61" s="91"/>
      <c r="Q61" s="292"/>
      <c r="R61" s="410">
        <f>SUM(H61:H62)</f>
        <v>7028301.8867924521</v>
      </c>
      <c r="S61" s="410">
        <f>R61</f>
        <v>7028301.8867924521</v>
      </c>
    </row>
    <row r="62" spans="1:19">
      <c r="A62" s="24" t="s">
        <v>194</v>
      </c>
      <c r="B62" s="307"/>
      <c r="C62" s="28" t="s">
        <v>193</v>
      </c>
      <c r="D62" s="157">
        <v>44560</v>
      </c>
      <c r="E62" s="157">
        <v>44560</v>
      </c>
      <c r="F62" s="309"/>
      <c r="G62" s="35">
        <v>0.5</v>
      </c>
      <c r="H62" s="33">
        <f>3725000/1.06</f>
        <v>3514150.943396226</v>
      </c>
      <c r="I62" s="35" t="s">
        <v>12</v>
      </c>
      <c r="J62" s="223"/>
      <c r="K62" s="224"/>
      <c r="L62" s="397"/>
      <c r="M62" s="112"/>
      <c r="N62" s="112"/>
      <c r="O62" s="91"/>
      <c r="P62" s="91"/>
      <c r="Q62" s="292"/>
      <c r="R62" s="411"/>
      <c r="S62" s="411"/>
    </row>
    <row r="63" spans="1:19">
      <c r="A63" s="24" t="s">
        <v>195</v>
      </c>
      <c r="B63" s="316" t="s">
        <v>195</v>
      </c>
      <c r="C63" s="70" t="s">
        <v>25</v>
      </c>
      <c r="D63" s="154">
        <v>44438</v>
      </c>
      <c r="E63" s="154" t="s">
        <v>228</v>
      </c>
      <c r="F63" s="320">
        <f>3896000/1.06</f>
        <v>3675471.6981132072</v>
      </c>
      <c r="G63" s="77">
        <v>0.3</v>
      </c>
      <c r="H63" s="68">
        <f>G63*F63</f>
        <v>1102641.5094339622</v>
      </c>
      <c r="I63" s="77" t="s">
        <v>227</v>
      </c>
      <c r="J63" s="183"/>
      <c r="K63" s="278"/>
      <c r="L63" s="348"/>
      <c r="M63" s="348"/>
      <c r="N63" s="277"/>
      <c r="O63" s="91"/>
      <c r="P63" s="91"/>
      <c r="Q63" s="292"/>
      <c r="R63" s="293"/>
      <c r="S63" s="293"/>
    </row>
    <row r="64" spans="1:19">
      <c r="A64" s="24" t="s">
        <v>195</v>
      </c>
      <c r="B64" s="317"/>
      <c r="C64" s="70" t="s">
        <v>20</v>
      </c>
      <c r="D64" s="154">
        <v>44530</v>
      </c>
      <c r="E64" s="154" t="s">
        <v>228</v>
      </c>
      <c r="F64" s="320"/>
      <c r="G64" s="77">
        <v>0.3</v>
      </c>
      <c r="H64" s="68">
        <f>G64*F63</f>
        <v>1102641.5094339622</v>
      </c>
      <c r="I64" s="77" t="s">
        <v>227</v>
      </c>
      <c r="J64" s="183"/>
      <c r="K64" s="278"/>
      <c r="L64" s="350"/>
      <c r="M64" s="350"/>
      <c r="N64" s="276"/>
      <c r="O64" s="91"/>
      <c r="P64" s="91"/>
      <c r="Q64" s="292"/>
      <c r="R64" s="293"/>
      <c r="S64" s="293"/>
    </row>
    <row r="65" spans="1:20">
      <c r="A65" s="24" t="s">
        <v>195</v>
      </c>
      <c r="B65" s="317"/>
      <c r="C65" s="70" t="s">
        <v>21</v>
      </c>
      <c r="D65" s="154">
        <v>44620</v>
      </c>
      <c r="E65" s="154" t="s">
        <v>228</v>
      </c>
      <c r="F65" s="320"/>
      <c r="G65" s="77">
        <v>0.3</v>
      </c>
      <c r="H65" s="68">
        <f>+G65*F63</f>
        <v>1102641.5094339622</v>
      </c>
      <c r="I65" s="77" t="s">
        <v>227</v>
      </c>
      <c r="J65" s="183"/>
      <c r="K65" s="278"/>
      <c r="L65" s="348"/>
      <c r="M65" s="348"/>
      <c r="N65" s="277"/>
      <c r="O65" s="91"/>
      <c r="P65" s="91"/>
      <c r="Q65" s="292"/>
      <c r="R65" s="293"/>
      <c r="S65" s="293"/>
    </row>
    <row r="66" spans="1:20">
      <c r="A66" s="24" t="s">
        <v>195</v>
      </c>
      <c r="B66" s="318"/>
      <c r="C66" s="70" t="s">
        <v>26</v>
      </c>
      <c r="D66" s="154">
        <v>44895</v>
      </c>
      <c r="E66" s="154" t="s">
        <v>228</v>
      </c>
      <c r="F66" s="321"/>
      <c r="G66" s="77">
        <v>0.1</v>
      </c>
      <c r="H66" s="68">
        <f>G66*F63</f>
        <v>367547.16981132072</v>
      </c>
      <c r="I66" s="77" t="s">
        <v>227</v>
      </c>
      <c r="J66" s="183"/>
      <c r="K66" s="278"/>
      <c r="L66" s="350"/>
      <c r="M66" s="350"/>
      <c r="N66" s="276"/>
      <c r="O66" s="91"/>
      <c r="P66" s="91"/>
      <c r="Q66" s="292"/>
      <c r="R66" s="293"/>
      <c r="S66" s="293"/>
    </row>
    <row r="67" spans="1:20">
      <c r="A67" s="24" t="s">
        <v>196</v>
      </c>
      <c r="B67" s="305" t="s">
        <v>196</v>
      </c>
      <c r="C67" s="28" t="s">
        <v>215</v>
      </c>
      <c r="D67" s="162">
        <v>44651</v>
      </c>
      <c r="E67" s="162">
        <v>44651</v>
      </c>
      <c r="F67" s="308">
        <f>810000/1.06</f>
        <v>764150.94339622639</v>
      </c>
      <c r="G67" s="35">
        <v>0.4</v>
      </c>
      <c r="H67" s="33">
        <f>F67*G67</f>
        <v>305660.37735849054</v>
      </c>
      <c r="I67" s="35" t="s">
        <v>12</v>
      </c>
      <c r="J67" s="234"/>
      <c r="K67" s="235"/>
      <c r="L67" s="237"/>
      <c r="M67" s="338">
        <f>H67+H68</f>
        <v>687735.84905660374</v>
      </c>
      <c r="N67" s="338"/>
      <c r="O67" s="91"/>
      <c r="P67" s="91"/>
      <c r="Q67" s="292"/>
      <c r="R67" s="293"/>
      <c r="S67" s="293"/>
    </row>
    <row r="68" spans="1:20">
      <c r="A68" s="24" t="s">
        <v>196</v>
      </c>
      <c r="B68" s="306"/>
      <c r="C68" s="28" t="s">
        <v>214</v>
      </c>
      <c r="D68" s="162">
        <v>44834</v>
      </c>
      <c r="E68" s="162">
        <v>44834</v>
      </c>
      <c r="F68" s="309"/>
      <c r="G68" s="35">
        <v>0.5</v>
      </c>
      <c r="H68" s="33">
        <f>F67*G68</f>
        <v>382075.47169811319</v>
      </c>
      <c r="I68" s="35" t="s">
        <v>12</v>
      </c>
      <c r="J68" s="234"/>
      <c r="K68" s="235"/>
      <c r="L68" s="237"/>
      <c r="M68" s="397"/>
      <c r="N68" s="397"/>
      <c r="O68" s="91"/>
      <c r="P68" s="91"/>
      <c r="Q68" s="292"/>
      <c r="R68" s="293"/>
      <c r="S68" s="293"/>
    </row>
    <row r="69" spans="1:20">
      <c r="A69" s="24" t="s">
        <v>196</v>
      </c>
      <c r="B69" s="307"/>
      <c r="C69" s="28" t="s">
        <v>30</v>
      </c>
      <c r="D69" s="162">
        <v>45016</v>
      </c>
      <c r="E69" s="162">
        <v>45016</v>
      </c>
      <c r="F69" s="310"/>
      <c r="G69" s="35">
        <v>0.1</v>
      </c>
      <c r="H69" s="33">
        <f>F67*G69</f>
        <v>76415.094339622636</v>
      </c>
      <c r="I69" s="35" t="s">
        <v>12</v>
      </c>
      <c r="J69" s="227"/>
      <c r="K69" s="228"/>
      <c r="L69" s="226"/>
      <c r="M69" s="226"/>
      <c r="N69" s="237">
        <f>H69</f>
        <v>76415.094339622636</v>
      </c>
      <c r="O69" s="91"/>
      <c r="P69" s="91"/>
      <c r="Q69" s="292"/>
      <c r="R69" s="293"/>
      <c r="S69" s="293"/>
    </row>
    <row r="70" spans="1:20">
      <c r="B70" s="47"/>
      <c r="C70" s="48"/>
      <c r="D70" s="48"/>
      <c r="E70" s="48"/>
      <c r="F70" s="48"/>
      <c r="G70" s="48"/>
      <c r="H70" s="49"/>
      <c r="I70" s="50"/>
      <c r="J70" s="57"/>
      <c r="K70" s="113"/>
      <c r="L70" s="54"/>
      <c r="M70" s="54"/>
      <c r="N70" s="54"/>
      <c r="O70" s="54"/>
      <c r="P70" s="114"/>
      <c r="Q70" s="115"/>
    </row>
    <row r="71" spans="1:20">
      <c r="B71" s="43"/>
      <c r="C71" s="48"/>
      <c r="D71" s="48"/>
      <c r="E71" s="48"/>
      <c r="F71" s="48"/>
      <c r="G71" s="48"/>
      <c r="H71" s="49"/>
      <c r="I71" s="50"/>
      <c r="J71" s="57"/>
      <c r="K71" s="63"/>
      <c r="L71" s="58"/>
      <c r="M71" s="58"/>
      <c r="N71" s="58"/>
      <c r="O71" s="57"/>
      <c r="P71" s="57"/>
      <c r="Q71" s="57"/>
    </row>
    <row r="72" spans="1:20">
      <c r="B72" s="43"/>
      <c r="C72" s="42"/>
      <c r="D72" s="51"/>
      <c r="E72" s="42"/>
      <c r="F72" s="42"/>
      <c r="G72" s="42"/>
      <c r="H72" s="44"/>
      <c r="I72" s="43"/>
      <c r="J72" s="59"/>
      <c r="K72" s="44"/>
      <c r="L72" s="54"/>
      <c r="M72" s="54"/>
      <c r="N72" s="54"/>
      <c r="O72" s="59"/>
      <c r="P72" s="59"/>
    </row>
    <row r="73" spans="1:20">
      <c r="B73" s="46"/>
      <c r="C73" s="45"/>
      <c r="D73" s="52"/>
      <c r="E73" s="45"/>
      <c r="F73" s="45"/>
      <c r="G73" s="45"/>
      <c r="H73" s="53"/>
      <c r="I73" s="46"/>
      <c r="J73" s="60"/>
      <c r="K73" s="53"/>
      <c r="L73" s="56"/>
      <c r="M73" s="56"/>
      <c r="N73" s="56"/>
      <c r="O73" s="60"/>
      <c r="P73" s="60"/>
      <c r="T73" s="24">
        <f>4.7+2.7</f>
        <v>7.4</v>
      </c>
    </row>
    <row r="74" spans="1:20" ht="34.5" customHeight="1">
      <c r="B74" s="43"/>
      <c r="C74" s="42"/>
      <c r="D74" s="42"/>
      <c r="E74" s="42"/>
      <c r="F74" s="42"/>
      <c r="G74" s="42"/>
      <c r="H74" s="42"/>
      <c r="I74" s="43"/>
      <c r="J74" s="59"/>
      <c r="K74" s="44"/>
      <c r="L74" s="54"/>
      <c r="M74" s="54"/>
      <c r="N74" s="54"/>
      <c r="O74" s="59"/>
      <c r="P74" s="59"/>
    </row>
    <row r="75" spans="1:20" ht="31.35" customHeight="1">
      <c r="B75" s="45"/>
      <c r="C75" s="45"/>
      <c r="D75" s="45"/>
      <c r="E75" s="45"/>
      <c r="F75" s="45"/>
      <c r="G75" s="45"/>
      <c r="H75" s="53"/>
      <c r="I75" s="46"/>
      <c r="J75" s="56"/>
      <c r="K75" s="64"/>
      <c r="L75" s="56"/>
      <c r="M75" s="56"/>
      <c r="N75" s="56"/>
      <c r="O75" s="56"/>
      <c r="P75" s="56"/>
    </row>
    <row r="76" spans="1:20" ht="31.35" customHeight="1">
      <c r="B76" s="42"/>
      <c r="C76" s="42"/>
      <c r="D76" s="42"/>
      <c r="E76" s="42"/>
      <c r="F76" s="42"/>
      <c r="G76" s="42"/>
      <c r="H76" s="44"/>
      <c r="I76" s="43"/>
      <c r="J76" s="54"/>
      <c r="K76" s="65"/>
      <c r="L76" s="54"/>
      <c r="M76" s="54"/>
      <c r="N76" s="54"/>
      <c r="O76" s="54"/>
      <c r="P76" s="54"/>
    </row>
    <row r="77" spans="1:20" ht="34.35" customHeight="1">
      <c r="J77" s="55"/>
      <c r="K77" s="55"/>
      <c r="L77" s="55"/>
      <c r="M77" s="55"/>
      <c r="N77" s="55"/>
      <c r="O77" s="55"/>
      <c r="P77" s="55"/>
    </row>
    <row r="78" spans="1:20" ht="21" customHeight="1">
      <c r="H78" s="29"/>
      <c r="J78" s="55"/>
      <c r="K78" s="29"/>
      <c r="L78" s="55"/>
      <c r="M78" s="55"/>
      <c r="N78" s="55"/>
      <c r="O78" s="55"/>
      <c r="P78" s="55"/>
    </row>
    <row r="79" spans="1:20">
      <c r="H79" s="29"/>
      <c r="K79" s="55"/>
      <c r="L79" s="55"/>
      <c r="M79" s="55"/>
      <c r="N79" s="55"/>
      <c r="O79" s="55"/>
      <c r="P79" s="55"/>
    </row>
    <row r="80" spans="1:20">
      <c r="J80" s="55"/>
      <c r="K80" s="29"/>
      <c r="L80" s="55"/>
      <c r="M80" s="55"/>
      <c r="N80" s="55"/>
      <c r="O80" s="55"/>
      <c r="P80" s="55"/>
    </row>
    <row r="81" spans="8:16">
      <c r="J81" s="55"/>
      <c r="K81" s="55"/>
      <c r="L81" s="55"/>
      <c r="M81" s="55"/>
      <c r="N81" s="55"/>
      <c r="O81" s="55"/>
      <c r="P81" s="55"/>
    </row>
    <row r="82" spans="8:16">
      <c r="J82" s="55"/>
      <c r="K82" s="55"/>
      <c r="L82" s="55"/>
      <c r="M82" s="55"/>
      <c r="N82" s="55"/>
      <c r="O82" s="55"/>
      <c r="P82" s="55"/>
    </row>
    <row r="83" spans="8:16">
      <c r="J83" s="55"/>
      <c r="K83" s="55"/>
      <c r="L83" s="55"/>
      <c r="M83" s="55"/>
      <c r="N83" s="55"/>
      <c r="O83" s="55"/>
      <c r="P83" s="55"/>
    </row>
    <row r="84" spans="8:16">
      <c r="H84" s="29"/>
    </row>
    <row r="106" spans="4:10">
      <c r="D106" s="325"/>
      <c r="E106" s="139"/>
      <c r="F106" s="153"/>
      <c r="G106" s="153"/>
      <c r="H106" s="327"/>
      <c r="I106" s="140"/>
      <c r="J106" s="141"/>
    </row>
    <row r="107" spans="4:10">
      <c r="D107" s="325"/>
      <c r="E107" s="70"/>
      <c r="F107" s="154"/>
      <c r="G107" s="154"/>
      <c r="H107" s="327"/>
      <c r="I107" s="75"/>
      <c r="J107" s="220"/>
    </row>
    <row r="108" spans="4:10">
      <c r="D108" s="325"/>
      <c r="E108" s="66"/>
      <c r="F108" s="155"/>
      <c r="G108" s="155"/>
      <c r="H108" s="327"/>
      <c r="I108" s="77"/>
      <c r="J108" s="68"/>
    </row>
    <row r="109" spans="4:10">
      <c r="D109" s="325"/>
      <c r="E109" s="70"/>
      <c r="F109" s="154"/>
      <c r="G109" s="154"/>
      <c r="H109" s="327"/>
      <c r="I109" s="75"/>
      <c r="J109" s="100"/>
    </row>
    <row r="110" spans="4:10">
      <c r="D110" s="325"/>
      <c r="E110" s="66"/>
      <c r="F110" s="155"/>
      <c r="G110" s="155"/>
      <c r="H110" s="327"/>
      <c r="I110" s="77"/>
      <c r="J110" s="99"/>
    </row>
    <row r="111" spans="4:10">
      <c r="D111" s="326"/>
      <c r="E111" s="70"/>
      <c r="F111" s="154"/>
      <c r="G111" s="154"/>
      <c r="H111" s="328"/>
      <c r="I111" s="75"/>
      <c r="J111" s="116"/>
    </row>
    <row r="112" spans="4:10">
      <c r="D112" s="329"/>
      <c r="E112" s="66"/>
      <c r="F112" s="155"/>
      <c r="G112" s="155"/>
      <c r="H112" s="330"/>
      <c r="I112" s="67"/>
      <c r="J112" s="99"/>
    </row>
    <row r="113" spans="4:10">
      <c r="D113" s="325"/>
      <c r="E113" s="70"/>
      <c r="F113" s="154"/>
      <c r="G113" s="154"/>
      <c r="H113" s="327"/>
      <c r="I113" s="71"/>
      <c r="J113" s="100"/>
    </row>
    <row r="114" spans="4:10">
      <c r="D114" s="326"/>
      <c r="E114" s="66"/>
      <c r="F114" s="155"/>
      <c r="G114" s="155"/>
      <c r="H114" s="328"/>
      <c r="I114" s="67"/>
      <c r="J114" s="99"/>
    </row>
    <row r="115" spans="4:10">
      <c r="D115" s="329"/>
      <c r="E115" s="66"/>
      <c r="F115" s="154"/>
      <c r="G115" s="154"/>
      <c r="H115" s="331"/>
      <c r="I115" s="77"/>
      <c r="J115" s="99"/>
    </row>
    <row r="116" spans="4:10">
      <c r="D116" s="325"/>
      <c r="E116" s="66"/>
      <c r="F116" s="155"/>
      <c r="G116" s="155"/>
      <c r="H116" s="332"/>
      <c r="I116" s="77"/>
      <c r="J116" s="99"/>
    </row>
    <row r="117" spans="4:10">
      <c r="D117" s="325"/>
      <c r="E117" s="66"/>
      <c r="F117" s="155"/>
      <c r="G117" s="155"/>
      <c r="H117" s="332"/>
      <c r="I117" s="77"/>
      <c r="J117" s="99"/>
    </row>
    <row r="118" spans="4:10">
      <c r="D118" s="325"/>
      <c r="E118" s="66"/>
      <c r="F118" s="155"/>
      <c r="G118" s="155"/>
      <c r="H118" s="332"/>
      <c r="I118" s="77"/>
      <c r="J118" s="99"/>
    </row>
    <row r="119" spans="4:10">
      <c r="D119" s="326"/>
      <c r="E119" s="66"/>
      <c r="F119" s="155"/>
      <c r="G119" s="155"/>
      <c r="H119" s="333"/>
      <c r="I119" s="77"/>
      <c r="J119" s="68"/>
    </row>
    <row r="120" spans="4:10">
      <c r="D120" s="97"/>
      <c r="E120" s="66"/>
      <c r="F120" s="155"/>
      <c r="G120" s="155"/>
      <c r="H120" s="221"/>
      <c r="I120" s="77"/>
      <c r="J120" s="99"/>
    </row>
    <row r="121" spans="4:10">
      <c r="D121" s="97"/>
      <c r="E121" s="66"/>
      <c r="F121" s="155"/>
      <c r="G121" s="155"/>
      <c r="H121" s="221"/>
      <c r="I121" s="77"/>
      <c r="J121" s="117"/>
    </row>
    <row r="122" spans="4:10">
      <c r="D122" s="97"/>
      <c r="E122" s="66"/>
      <c r="F122" s="155"/>
      <c r="G122" s="155"/>
      <c r="H122" s="219"/>
      <c r="I122" s="77"/>
      <c r="J122" s="118"/>
    </row>
    <row r="123" spans="4:10">
      <c r="D123" s="316"/>
      <c r="E123" s="70"/>
      <c r="F123" s="154"/>
      <c r="G123" s="154"/>
      <c r="H123" s="314"/>
      <c r="I123" s="75"/>
      <c r="J123" s="100"/>
    </row>
    <row r="124" spans="4:10">
      <c r="D124" s="318"/>
      <c r="E124" s="66"/>
      <c r="F124" s="155"/>
      <c r="G124" s="155"/>
      <c r="H124" s="334"/>
      <c r="I124" s="77"/>
      <c r="J124" s="99"/>
    </row>
    <row r="125" spans="4:10">
      <c r="D125" s="311"/>
      <c r="E125" s="70"/>
      <c r="F125" s="154"/>
      <c r="G125" s="154"/>
      <c r="H125" s="314"/>
      <c r="I125" s="75"/>
      <c r="J125" s="100"/>
    </row>
    <row r="126" spans="4:10">
      <c r="D126" s="312"/>
      <c r="E126" s="123"/>
      <c r="F126" s="156"/>
      <c r="G126" s="156"/>
      <c r="H126" s="315"/>
      <c r="I126" s="124"/>
      <c r="J126" s="120"/>
    </row>
    <row r="127" spans="4:10">
      <c r="D127" s="312"/>
      <c r="E127" s="37"/>
      <c r="F127" s="157"/>
      <c r="G127" s="158"/>
      <c r="H127" s="315"/>
      <c r="I127" s="38"/>
      <c r="J127" s="101"/>
    </row>
    <row r="128" spans="4:10">
      <c r="D128" s="312"/>
      <c r="E128" s="34"/>
      <c r="F128" s="159"/>
      <c r="G128" s="158"/>
      <c r="H128" s="315"/>
      <c r="I128" s="35"/>
      <c r="J128" s="102"/>
    </row>
    <row r="129" spans="4:10">
      <c r="D129" s="305"/>
      <c r="E129" s="70"/>
      <c r="F129" s="154"/>
      <c r="G129" s="154"/>
      <c r="H129" s="314"/>
      <c r="I129" s="75"/>
      <c r="J129" s="100"/>
    </row>
    <row r="130" spans="4:10">
      <c r="D130" s="306"/>
      <c r="E130" s="66"/>
      <c r="F130" s="155"/>
      <c r="G130" s="155"/>
      <c r="H130" s="315"/>
      <c r="I130" s="77"/>
      <c r="J130" s="99"/>
    </row>
    <row r="131" spans="4:10">
      <c r="D131" s="306"/>
      <c r="E131" s="70"/>
      <c r="F131" s="154"/>
      <c r="G131" s="154"/>
      <c r="H131" s="315"/>
      <c r="I131" s="75"/>
      <c r="J131" s="100"/>
    </row>
    <row r="132" spans="4:10">
      <c r="D132" s="307"/>
      <c r="E132" s="34"/>
      <c r="F132" s="159"/>
      <c r="G132" s="159"/>
      <c r="H132" s="315"/>
      <c r="I132" s="35"/>
      <c r="J132" s="208"/>
    </row>
    <row r="133" spans="4:10">
      <c r="D133" s="316"/>
      <c r="E133" s="70"/>
      <c r="F133" s="154"/>
      <c r="G133" s="154"/>
      <c r="H133" s="319"/>
      <c r="I133" s="75"/>
      <c r="J133" s="119"/>
    </row>
    <row r="134" spans="4:10">
      <c r="D134" s="317"/>
      <c r="E134" s="66"/>
      <c r="F134" s="155"/>
      <c r="G134" s="155"/>
      <c r="H134" s="320"/>
      <c r="I134" s="77"/>
      <c r="J134" s="120"/>
    </row>
    <row r="135" spans="4:10">
      <c r="D135" s="318"/>
      <c r="E135" s="126"/>
      <c r="F135" s="161"/>
      <c r="G135" s="160"/>
      <c r="H135" s="321"/>
      <c r="I135" s="124"/>
      <c r="J135" s="104"/>
    </row>
    <row r="136" spans="4:10">
      <c r="D136" s="322"/>
      <c r="E136" s="70"/>
      <c r="F136" s="154"/>
      <c r="G136" s="154"/>
      <c r="H136" s="319"/>
      <c r="I136" s="75"/>
      <c r="J136" s="120"/>
    </row>
    <row r="137" spans="4:10">
      <c r="D137" s="323"/>
      <c r="E137" s="70"/>
      <c r="F137" s="154"/>
      <c r="G137" s="154"/>
      <c r="H137" s="320"/>
      <c r="I137" s="75"/>
      <c r="J137" s="121"/>
    </row>
    <row r="138" spans="4:10">
      <c r="D138" s="324"/>
      <c r="E138" s="70"/>
      <c r="F138" s="154"/>
      <c r="G138" s="154"/>
      <c r="H138" s="321"/>
      <c r="I138" s="77"/>
      <c r="J138" s="121"/>
    </row>
    <row r="139" spans="4:10">
      <c r="D139" s="316"/>
      <c r="E139" s="126"/>
      <c r="F139" s="161"/>
      <c r="G139" s="161"/>
      <c r="H139" s="319"/>
      <c r="I139" s="77"/>
      <c r="J139" s="99"/>
    </row>
    <row r="140" spans="4:10">
      <c r="D140" s="317"/>
      <c r="E140" s="126"/>
      <c r="F140" s="161"/>
      <c r="G140" s="161"/>
      <c r="H140" s="320"/>
      <c r="I140" s="77"/>
      <c r="J140" s="99"/>
    </row>
    <row r="141" spans="4:10">
      <c r="D141" s="318"/>
      <c r="E141" s="70"/>
      <c r="F141" s="154"/>
      <c r="G141" s="154"/>
      <c r="H141" s="321"/>
      <c r="I141" s="77"/>
      <c r="J141" s="99"/>
    </row>
    <row r="142" spans="4:10">
      <c r="D142" s="305"/>
      <c r="E142" s="126"/>
      <c r="F142" s="161"/>
      <c r="G142" s="161"/>
      <c r="H142" s="308"/>
      <c r="I142" s="124"/>
      <c r="J142" s="120"/>
    </row>
    <row r="143" spans="4:10">
      <c r="D143" s="306"/>
      <c r="E143" s="66"/>
      <c r="F143" s="154"/>
      <c r="G143" s="154"/>
      <c r="H143" s="309"/>
      <c r="I143" s="77"/>
      <c r="J143" s="99"/>
    </row>
    <row r="144" spans="4:10">
      <c r="D144" s="307"/>
      <c r="E144" s="28"/>
      <c r="F144" s="162"/>
      <c r="G144" s="162"/>
      <c r="H144" s="310"/>
      <c r="I144" s="35"/>
      <c r="J144" s="102"/>
    </row>
    <row r="145" spans="4:10">
      <c r="D145" s="305"/>
      <c r="E145" s="70"/>
      <c r="F145" s="155"/>
      <c r="G145" s="155"/>
      <c r="H145" s="308"/>
      <c r="I145" s="77"/>
      <c r="J145" s="68"/>
    </row>
    <row r="146" spans="4:10">
      <c r="D146" s="306"/>
      <c r="E146" s="30"/>
      <c r="F146" s="157"/>
      <c r="G146" s="157"/>
      <c r="H146" s="309"/>
      <c r="I146" s="31"/>
      <c r="J146" s="32"/>
    </row>
    <row r="147" spans="4:10">
      <c r="D147" s="307"/>
      <c r="E147" s="28"/>
      <c r="F147" s="159"/>
      <c r="G147" s="159"/>
      <c r="H147" s="310"/>
      <c r="I147" s="35"/>
      <c r="J147" s="33"/>
    </row>
    <row r="148" spans="4:10">
      <c r="D148" s="311"/>
      <c r="E148" s="70"/>
      <c r="F148" s="154"/>
      <c r="G148" s="154"/>
      <c r="H148" s="308"/>
      <c r="I148" s="77"/>
      <c r="J148" s="68"/>
    </row>
    <row r="149" spans="4:10">
      <c r="D149" s="312"/>
      <c r="E149" s="28"/>
      <c r="F149" s="157"/>
      <c r="G149" s="164"/>
      <c r="H149" s="309"/>
      <c r="I149" s="35"/>
      <c r="J149" s="211"/>
    </row>
    <row r="150" spans="4:10">
      <c r="D150" s="313"/>
      <c r="E150" s="37"/>
      <c r="F150" s="157"/>
      <c r="G150" s="164"/>
      <c r="H150" s="310"/>
      <c r="I150" s="31"/>
      <c r="J150" s="211"/>
    </row>
    <row r="151" spans="4:10">
      <c r="D151" s="305"/>
      <c r="E151" s="28"/>
      <c r="F151" s="162"/>
      <c r="G151" s="162"/>
      <c r="H151" s="308"/>
      <c r="I151" s="111"/>
      <c r="J151" s="102"/>
    </row>
    <row r="152" spans="4:10">
      <c r="D152" s="306"/>
      <c r="E152" s="37"/>
      <c r="F152" s="157"/>
      <c r="G152" s="157"/>
      <c r="H152" s="309"/>
      <c r="I152" s="38"/>
      <c r="J152" s="32"/>
    </row>
    <row r="153" spans="4:10">
      <c r="D153" s="307"/>
      <c r="E153" s="28"/>
      <c r="F153" s="162"/>
      <c r="G153" s="162"/>
      <c r="H153" s="310"/>
      <c r="I153" s="35"/>
      <c r="J153" s="33"/>
    </row>
  </sheetData>
  <autoFilter ref="B2:R80"/>
  <mergeCells count="155">
    <mergeCell ref="R61:R62"/>
    <mergeCell ref="S49:S51"/>
    <mergeCell ref="S55:S57"/>
    <mergeCell ref="S61:S62"/>
    <mergeCell ref="R32:R35"/>
    <mergeCell ref="S32:S35"/>
    <mergeCell ref="B67:B69"/>
    <mergeCell ref="F67:F69"/>
    <mergeCell ref="M67:M68"/>
    <mergeCell ref="N67:N68"/>
    <mergeCell ref="B61:B62"/>
    <mergeCell ref="F61:F62"/>
    <mergeCell ref="B63:B66"/>
    <mergeCell ref="O55:O56"/>
    <mergeCell ref="P55:P56"/>
    <mergeCell ref="F63:F66"/>
    <mergeCell ref="L63:L64"/>
    <mergeCell ref="L65:L66"/>
    <mergeCell ref="M63:M64"/>
    <mergeCell ref="M65:M66"/>
    <mergeCell ref="L61:L62"/>
    <mergeCell ref="M59:M60"/>
    <mergeCell ref="Q55:Q57"/>
    <mergeCell ref="B58:B60"/>
    <mergeCell ref="F58:F60"/>
    <mergeCell ref="J58:J60"/>
    <mergeCell ref="K58:K60"/>
    <mergeCell ref="B55:B57"/>
    <mergeCell ref="F55:F57"/>
    <mergeCell ref="J55:J57"/>
    <mergeCell ref="K55:K57"/>
    <mergeCell ref="L55:L57"/>
    <mergeCell ref="J33:J35"/>
    <mergeCell ref="J37:J39"/>
    <mergeCell ref="J40:J42"/>
    <mergeCell ref="J43:J45"/>
    <mergeCell ref="K34:K35"/>
    <mergeCell ref="K38:K39"/>
    <mergeCell ref="K40:K41"/>
    <mergeCell ref="L38:L39"/>
    <mergeCell ref="L40:L41"/>
    <mergeCell ref="B52:B54"/>
    <mergeCell ref="F52:F54"/>
    <mergeCell ref="J52:J54"/>
    <mergeCell ref="L50:L51"/>
    <mergeCell ref="B49:B51"/>
    <mergeCell ref="F49:F51"/>
    <mergeCell ref="J49:J51"/>
    <mergeCell ref="B1:K1"/>
    <mergeCell ref="B19:B21"/>
    <mergeCell ref="B30:B31"/>
    <mergeCell ref="J13:J15"/>
    <mergeCell ref="K16:K18"/>
    <mergeCell ref="J19:J20"/>
    <mergeCell ref="B13:B18"/>
    <mergeCell ref="K22:K25"/>
    <mergeCell ref="F13:F18"/>
    <mergeCell ref="F19:F21"/>
    <mergeCell ref="K13:K15"/>
    <mergeCell ref="K19:K20"/>
    <mergeCell ref="F22:F26"/>
    <mergeCell ref="B22:B26"/>
    <mergeCell ref="J30:J31"/>
    <mergeCell ref="F30:F31"/>
    <mergeCell ref="J23:J26"/>
    <mergeCell ref="J16:J18"/>
    <mergeCell ref="I3:I4"/>
    <mergeCell ref="I5:I6"/>
    <mergeCell ref="I7:I8"/>
    <mergeCell ref="K52:K54"/>
    <mergeCell ref="L52:L53"/>
    <mergeCell ref="B46:B48"/>
    <mergeCell ref="F46:F48"/>
    <mergeCell ref="J46:J48"/>
    <mergeCell ref="K46:K47"/>
    <mergeCell ref="L46:L47"/>
    <mergeCell ref="O13:O15"/>
    <mergeCell ref="O16:O18"/>
    <mergeCell ref="O50:O51"/>
    <mergeCell ref="P13:P15"/>
    <mergeCell ref="P16:P18"/>
    <mergeCell ref="O37:O38"/>
    <mergeCell ref="P37:P38"/>
    <mergeCell ref="B43:B45"/>
    <mergeCell ref="B40:B42"/>
    <mergeCell ref="F43:F45"/>
    <mergeCell ref="F40:F42"/>
    <mergeCell ref="B36:B39"/>
    <mergeCell ref="F36:F39"/>
    <mergeCell ref="L13:L15"/>
    <mergeCell ref="L19:L21"/>
    <mergeCell ref="L16:L18"/>
    <mergeCell ref="F32:F35"/>
    <mergeCell ref="B32:B35"/>
    <mergeCell ref="K43:K44"/>
    <mergeCell ref="L22:L25"/>
    <mergeCell ref="Q22:Q29"/>
    <mergeCell ref="O23:O29"/>
    <mergeCell ref="P23:P29"/>
    <mergeCell ref="Q30:Q31"/>
    <mergeCell ref="O33:O34"/>
    <mergeCell ref="P33:P34"/>
    <mergeCell ref="Q32:Q35"/>
    <mergeCell ref="P30:P31"/>
    <mergeCell ref="O30:O31"/>
    <mergeCell ref="P50:P51"/>
    <mergeCell ref="Q49:Q51"/>
    <mergeCell ref="O53:O54"/>
    <mergeCell ref="P53:P54"/>
    <mergeCell ref="Q52:Q54"/>
    <mergeCell ref="C3:C4"/>
    <mergeCell ref="C5:C6"/>
    <mergeCell ref="C7:C8"/>
    <mergeCell ref="C9:C10"/>
    <mergeCell ref="C11:C12"/>
    <mergeCell ref="Q36:Q39"/>
    <mergeCell ref="Q40:Q42"/>
    <mergeCell ref="P40:P42"/>
    <mergeCell ref="O40:O42"/>
    <mergeCell ref="O43:O44"/>
    <mergeCell ref="P43:P44"/>
    <mergeCell ref="Q43:Q45"/>
    <mergeCell ref="O46:O47"/>
    <mergeCell ref="P46:P47"/>
    <mergeCell ref="Q46:Q48"/>
    <mergeCell ref="Q13:Q18"/>
    <mergeCell ref="O19:O20"/>
    <mergeCell ref="P19:P20"/>
    <mergeCell ref="Q19:Q21"/>
    <mergeCell ref="D106:D111"/>
    <mergeCell ref="H106:H111"/>
    <mergeCell ref="D112:D114"/>
    <mergeCell ref="H112:H114"/>
    <mergeCell ref="D115:D119"/>
    <mergeCell ref="H115:H119"/>
    <mergeCell ref="D123:D124"/>
    <mergeCell ref="H123:H124"/>
    <mergeCell ref="D125:D128"/>
    <mergeCell ref="H125:H128"/>
    <mergeCell ref="D145:D147"/>
    <mergeCell ref="H145:H147"/>
    <mergeCell ref="D148:D150"/>
    <mergeCell ref="H148:H150"/>
    <mergeCell ref="D151:D153"/>
    <mergeCell ref="H151:H153"/>
    <mergeCell ref="D129:D132"/>
    <mergeCell ref="H129:H132"/>
    <mergeCell ref="D133:D135"/>
    <mergeCell ref="H133:H135"/>
    <mergeCell ref="D136:D138"/>
    <mergeCell ref="H136:H138"/>
    <mergeCell ref="D139:D141"/>
    <mergeCell ref="H139:H141"/>
    <mergeCell ref="D142:D144"/>
    <mergeCell ref="H142:H144"/>
  </mergeCells>
  <phoneticPr fontId="28" type="noConversion"/>
  <pageMargins left="0.7" right="0.7" top="0.75" bottom="0.75" header="0.3" footer="0.3"/>
  <pageSetup paperSize="9" orientation="portrait" r:id="rId1"/>
  <ignoredErrors>
    <ignoredError sqref="K1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RowHeight="15"/>
  <cols>
    <col min="1" max="1" width="19.5703125" bestFit="1" customWidth="1"/>
    <col min="2" max="4" width="12" bestFit="1" customWidth="1"/>
    <col min="5" max="6" width="13.5703125" bestFit="1" customWidth="1"/>
    <col min="7" max="7" width="14.42578125" bestFit="1" customWidth="1"/>
    <col min="8" max="8" width="14.5703125" bestFit="1" customWidth="1"/>
    <col min="9" max="9" width="14.5703125" customWidth="1"/>
    <col min="10" max="10" width="14.42578125" bestFit="1" customWidth="1"/>
    <col min="11" max="11" width="12.5703125" bestFit="1" customWidth="1"/>
    <col min="12" max="12" width="14.5703125" bestFit="1" customWidth="1"/>
    <col min="13" max="13" width="12.5703125" bestFit="1" customWidth="1"/>
  </cols>
  <sheetData>
    <row r="1" spans="1:12">
      <c r="A1" s="145" t="s">
        <v>15</v>
      </c>
      <c r="B1" s="146" t="s">
        <v>22</v>
      </c>
      <c r="C1" s="146" t="s">
        <v>27</v>
      </c>
      <c r="D1" s="146" t="s">
        <v>60</v>
      </c>
      <c r="E1" s="146" t="s">
        <v>64</v>
      </c>
      <c r="F1" s="146" t="s">
        <v>70</v>
      </c>
      <c r="G1" s="146" t="s">
        <v>60</v>
      </c>
      <c r="H1" s="146" t="s">
        <v>84</v>
      </c>
      <c r="I1" s="146" t="s">
        <v>51</v>
      </c>
      <c r="J1" s="146" t="s">
        <v>92</v>
      </c>
      <c r="K1" s="146" t="s">
        <v>93</v>
      </c>
      <c r="L1" s="146" t="s">
        <v>94</v>
      </c>
    </row>
    <row r="2" spans="1:12" ht="30">
      <c r="A2" s="147" t="s">
        <v>96</v>
      </c>
      <c r="B2" s="1">
        <f>SUM('Billing Status'!H34:H35)*1.06</f>
        <v>620000</v>
      </c>
      <c r="C2" s="1">
        <f>SUM('Billing Status'!H38:H39)*1.06</f>
        <v>672000</v>
      </c>
      <c r="D2" s="1">
        <f>SUM('Billing Status'!H48)*1.06</f>
        <v>409200.00000000006</v>
      </c>
      <c r="E2" s="1">
        <f>SUM('Billing Status'!H50:H51)*1.06</f>
        <v>1254229.3999999999</v>
      </c>
      <c r="F2" s="1">
        <f>SUM('Billing Status'!H52:H54)*1.06</f>
        <v>2080000</v>
      </c>
      <c r="G2" s="1">
        <f>SUM('Billing Status'!H55:H57)*1.06</f>
        <v>1700000</v>
      </c>
      <c r="H2" s="1">
        <f>SUM('Billing Status'!F58:F60)*1.06</f>
        <v>1150000.0000000002</v>
      </c>
      <c r="I2" s="1"/>
      <c r="J2" s="1"/>
    </row>
    <row r="3" spans="1:12">
      <c r="A3" s="147" t="s">
        <v>121</v>
      </c>
      <c r="B3" s="1">
        <v>0</v>
      </c>
      <c r="C3" s="1"/>
      <c r="D3" s="1"/>
      <c r="E3" s="1"/>
      <c r="F3" s="1"/>
      <c r="G3" s="1"/>
      <c r="H3" s="1"/>
      <c r="I3" s="1"/>
      <c r="J3" s="1"/>
    </row>
    <row r="4" spans="1:12">
      <c r="A4" s="147" t="s">
        <v>122</v>
      </c>
      <c r="B4" s="1"/>
      <c r="C4" s="1"/>
      <c r="D4" s="1"/>
      <c r="E4" s="1"/>
      <c r="F4" s="1"/>
      <c r="G4" s="1"/>
      <c r="H4" s="1"/>
      <c r="I4" s="1"/>
      <c r="J4" s="1"/>
    </row>
    <row r="5" spans="1:12">
      <c r="A5" s="147" t="s">
        <v>123</v>
      </c>
      <c r="B5" s="1"/>
      <c r="C5" s="1"/>
      <c r="D5" s="1"/>
      <c r="E5" s="1"/>
      <c r="F5" s="1"/>
      <c r="G5" s="1"/>
      <c r="H5" s="1"/>
      <c r="I5" s="1"/>
      <c r="J5" s="1"/>
    </row>
    <row r="6" spans="1:12">
      <c r="A6" s="147" t="s">
        <v>124</v>
      </c>
      <c r="B6" s="1"/>
      <c r="C6" s="1"/>
      <c r="D6" s="1"/>
      <c r="E6" s="1"/>
      <c r="F6" s="1"/>
      <c r="G6" s="1"/>
      <c r="H6" s="1"/>
      <c r="I6" s="1"/>
      <c r="J6" s="1"/>
    </row>
    <row r="7" spans="1:12">
      <c r="A7" s="147" t="s">
        <v>125</v>
      </c>
      <c r="B7" s="1"/>
      <c r="C7" s="1"/>
      <c r="D7" s="1"/>
      <c r="E7" s="1"/>
      <c r="F7" s="1"/>
      <c r="G7" s="1"/>
      <c r="H7" s="1"/>
      <c r="I7" s="1"/>
      <c r="J7" s="1"/>
    </row>
    <row r="8" spans="1:12">
      <c r="A8" s="147" t="s">
        <v>126</v>
      </c>
      <c r="B8" s="1"/>
      <c r="C8" s="1"/>
      <c r="D8" s="1"/>
      <c r="E8" s="1"/>
      <c r="F8" s="1"/>
      <c r="G8" s="1"/>
      <c r="H8" s="1"/>
      <c r="I8" s="1"/>
      <c r="J8" s="1"/>
    </row>
    <row r="9" spans="1:12">
      <c r="A9" s="147" t="s">
        <v>127</v>
      </c>
      <c r="B9" s="1"/>
      <c r="C9" s="1"/>
      <c r="D9" s="1"/>
      <c r="E9" s="1"/>
      <c r="F9" s="1"/>
      <c r="G9" s="1"/>
      <c r="H9" s="1"/>
      <c r="I9" s="1"/>
      <c r="J9" s="1"/>
    </row>
    <row r="10" spans="1:12">
      <c r="A10" s="147" t="s">
        <v>128</v>
      </c>
      <c r="B10" s="1"/>
      <c r="C10" s="1"/>
      <c r="D10" s="1"/>
      <c r="E10" s="1"/>
      <c r="F10" s="1"/>
      <c r="G10" s="1"/>
      <c r="H10" s="1"/>
      <c r="I10" s="1"/>
      <c r="J10" s="1"/>
    </row>
    <row r="11" spans="1:12">
      <c r="A11" s="147" t="s">
        <v>129</v>
      </c>
      <c r="B11" s="1"/>
      <c r="C11" s="1"/>
      <c r="D11" s="1"/>
      <c r="E11" s="1"/>
      <c r="F11" s="1"/>
      <c r="G11" s="1"/>
      <c r="H11" s="1"/>
      <c r="I11" s="1"/>
      <c r="J11" s="1"/>
    </row>
    <row r="12" spans="1:12">
      <c r="A12" s="147" t="s">
        <v>130</v>
      </c>
      <c r="B12" s="1"/>
      <c r="C12" s="1"/>
      <c r="D12" s="1"/>
      <c r="E12" s="1"/>
      <c r="F12" s="1"/>
      <c r="G12" s="1"/>
      <c r="H12" s="1"/>
      <c r="I12" s="1"/>
      <c r="J12" s="1"/>
    </row>
    <row r="13" spans="1:12">
      <c r="A13" s="147" t="s">
        <v>131</v>
      </c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147" t="s">
        <v>132</v>
      </c>
      <c r="B14" s="1"/>
      <c r="C14" s="1"/>
      <c r="D14" s="1"/>
      <c r="E14" s="1"/>
      <c r="F14" s="1"/>
      <c r="G14" s="1"/>
      <c r="H14" s="1"/>
      <c r="I14" s="1"/>
      <c r="J14" s="1"/>
    </row>
    <row r="15" spans="1:12">
      <c r="A15" t="s">
        <v>95</v>
      </c>
      <c r="B15" s="1">
        <f>-1*22*2*1800</f>
        <v>-79200</v>
      </c>
      <c r="C15" s="1">
        <v>0</v>
      </c>
      <c r="D15" s="1">
        <v>0</v>
      </c>
      <c r="E15" s="1">
        <v>0</v>
      </c>
      <c r="F15" s="1">
        <v>0</v>
      </c>
      <c r="G15" s="1">
        <f>-1550000</f>
        <v>-1550000</v>
      </c>
      <c r="H15" s="1">
        <f>-4*12*1800-1*6*1800</f>
        <v>-97200</v>
      </c>
      <c r="I15" s="1"/>
      <c r="J15" s="1"/>
    </row>
    <row r="16" spans="1:12">
      <c r="A16" t="s">
        <v>97</v>
      </c>
      <c r="B16" s="148"/>
      <c r="C16" s="149">
        <f>-4874.84</f>
        <v>-4874.84</v>
      </c>
      <c r="D16" s="148">
        <v>0</v>
      </c>
      <c r="E16" s="148">
        <v>0</v>
      </c>
      <c r="F16" s="148">
        <v>0</v>
      </c>
      <c r="G16" s="148">
        <v>0</v>
      </c>
      <c r="H16" s="148">
        <v>0</v>
      </c>
      <c r="I16" s="148">
        <v>0</v>
      </c>
      <c r="J16" s="148"/>
      <c r="K16" s="148">
        <f>-32921.9</f>
        <v>-32921.9</v>
      </c>
      <c r="L16" s="148"/>
    </row>
    <row r="17" spans="1:11">
      <c r="A17" t="s">
        <v>98</v>
      </c>
      <c r="K17">
        <f>-30033.5</f>
        <v>-30033.5</v>
      </c>
    </row>
    <row r="18" spans="1:11">
      <c r="A18" t="s">
        <v>99</v>
      </c>
    </row>
    <row r="19" spans="1:11">
      <c r="A19" t="s">
        <v>100</v>
      </c>
    </row>
    <row r="20" spans="1:11">
      <c r="A20" t="s">
        <v>101</v>
      </c>
    </row>
    <row r="21" spans="1:11">
      <c r="A21" t="s">
        <v>102</v>
      </c>
    </row>
    <row r="22" spans="1:11">
      <c r="A22" t="s">
        <v>103</v>
      </c>
    </row>
    <row r="23" spans="1:11">
      <c r="A23" t="s">
        <v>104</v>
      </c>
    </row>
    <row r="24" spans="1:11">
      <c r="A24" t="s">
        <v>105</v>
      </c>
    </row>
    <row r="25" spans="1:11">
      <c r="A25" t="s">
        <v>106</v>
      </c>
    </row>
    <row r="26" spans="1:11">
      <c r="A26" t="s">
        <v>107</v>
      </c>
    </row>
    <row r="27" spans="1:11">
      <c r="A27" t="s">
        <v>108</v>
      </c>
    </row>
    <row r="28" spans="1:11">
      <c r="A28" t="s">
        <v>109</v>
      </c>
    </row>
    <row r="29" spans="1:11">
      <c r="A29" t="s">
        <v>110</v>
      </c>
    </row>
    <row r="30" spans="1:11">
      <c r="A30" t="s">
        <v>111</v>
      </c>
    </row>
    <row r="31" spans="1:11">
      <c r="A31" t="s">
        <v>112</v>
      </c>
    </row>
    <row r="32" spans="1:11">
      <c r="A32" t="s">
        <v>113</v>
      </c>
    </row>
    <row r="33" spans="1:1">
      <c r="A33" t="s">
        <v>114</v>
      </c>
    </row>
    <row r="34" spans="1:1">
      <c r="A34" t="s">
        <v>115</v>
      </c>
    </row>
    <row r="35" spans="1:1">
      <c r="A35" t="s">
        <v>116</v>
      </c>
    </row>
    <row r="36" spans="1:1">
      <c r="A36" t="s">
        <v>117</v>
      </c>
    </row>
    <row r="37" spans="1:1">
      <c r="A37" t="s">
        <v>118</v>
      </c>
    </row>
    <row r="38" spans="1:1">
      <c r="A38" t="s">
        <v>119</v>
      </c>
    </row>
    <row r="39" spans="1:1">
      <c r="A39" t="s">
        <v>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2:Y56"/>
  <sheetViews>
    <sheetView topLeftCell="C8" workbookViewId="0"/>
  </sheetViews>
  <sheetFormatPr defaultRowHeight="15"/>
  <cols>
    <col min="9" max="9" width="19.5703125" bestFit="1" customWidth="1"/>
    <col min="10" max="10" width="16.5703125" bestFit="1" customWidth="1"/>
    <col min="11" max="12" width="10.42578125" bestFit="1" customWidth="1"/>
    <col min="13" max="13" width="13.5703125" bestFit="1" customWidth="1"/>
    <col min="14" max="14" width="5.5703125" bestFit="1" customWidth="1"/>
    <col min="15" max="15" width="13.5703125" bestFit="1" customWidth="1"/>
    <col min="20" max="20" width="22" bestFit="1" customWidth="1"/>
    <col min="21" max="21" width="10.42578125" style="163" bestFit="1" customWidth="1"/>
    <col min="24" max="24" width="10.42578125" bestFit="1" customWidth="1"/>
  </cols>
  <sheetData>
    <row r="12" spans="9:25">
      <c r="I12" s="417"/>
      <c r="J12" s="139"/>
      <c r="K12" s="153"/>
      <c r="L12" s="153"/>
      <c r="M12" s="327"/>
      <c r="N12" s="140"/>
      <c r="O12" s="141"/>
      <c r="T12" t="s">
        <v>16</v>
      </c>
      <c r="U12" s="163">
        <v>43554</v>
      </c>
      <c r="V12">
        <v>678867.9</v>
      </c>
      <c r="X12" s="153">
        <v>43554</v>
      </c>
      <c r="Y12">
        <f>IF(U12=X12,1,0)</f>
        <v>1</v>
      </c>
    </row>
    <row r="13" spans="9:25">
      <c r="I13" s="417"/>
      <c r="J13" s="70"/>
      <c r="K13" s="154"/>
      <c r="L13" s="154"/>
      <c r="M13" s="327"/>
      <c r="N13" s="75"/>
      <c r="O13" s="151"/>
      <c r="T13" t="s">
        <v>16</v>
      </c>
      <c r="U13" s="163">
        <v>43707</v>
      </c>
      <c r="V13">
        <v>678867.9</v>
      </c>
      <c r="X13" s="154">
        <v>43707</v>
      </c>
      <c r="Y13">
        <f t="shared" ref="Y13:Y56" si="0">IF(U13=X13,1,0)</f>
        <v>1</v>
      </c>
    </row>
    <row r="14" spans="9:25">
      <c r="I14" s="417"/>
      <c r="J14" s="66"/>
      <c r="K14" s="155"/>
      <c r="L14" s="155"/>
      <c r="M14" s="327"/>
      <c r="N14" s="77"/>
      <c r="O14" s="68"/>
      <c r="T14" t="s">
        <v>16</v>
      </c>
      <c r="U14" s="163">
        <v>43799</v>
      </c>
      <c r="V14">
        <v>509150.9</v>
      </c>
      <c r="X14" s="155">
        <v>43799</v>
      </c>
      <c r="Y14">
        <f t="shared" si="0"/>
        <v>1</v>
      </c>
    </row>
    <row r="15" spans="9:25">
      <c r="I15" s="417"/>
      <c r="J15" s="70"/>
      <c r="K15" s="154"/>
      <c r="L15" s="154"/>
      <c r="M15" s="327"/>
      <c r="N15" s="75"/>
      <c r="O15" s="100"/>
      <c r="T15" t="s">
        <v>16</v>
      </c>
      <c r="U15" s="163">
        <v>43889</v>
      </c>
      <c r="V15">
        <v>509150.9</v>
      </c>
      <c r="X15" s="154">
        <v>43889</v>
      </c>
      <c r="Y15">
        <f t="shared" si="0"/>
        <v>1</v>
      </c>
    </row>
    <row r="16" spans="9:25">
      <c r="I16" s="417"/>
      <c r="J16" s="66"/>
      <c r="K16" s="155"/>
      <c r="L16" s="155"/>
      <c r="M16" s="327"/>
      <c r="N16" s="77"/>
      <c r="O16" s="99"/>
      <c r="T16" t="s">
        <v>16</v>
      </c>
      <c r="U16" s="163">
        <v>43982</v>
      </c>
      <c r="V16">
        <v>678867.9</v>
      </c>
      <c r="X16" s="155">
        <v>43982</v>
      </c>
      <c r="Y16">
        <f t="shared" si="0"/>
        <v>1</v>
      </c>
    </row>
    <row r="17" spans="9:25">
      <c r="I17" s="418"/>
      <c r="J17" s="70"/>
      <c r="K17" s="154"/>
      <c r="L17" s="154"/>
      <c r="M17" s="328"/>
      <c r="N17" s="75"/>
      <c r="O17" s="116"/>
      <c r="T17" t="s">
        <v>16</v>
      </c>
      <c r="U17" s="163">
        <v>44165</v>
      </c>
      <c r="V17">
        <v>339434</v>
      </c>
      <c r="X17" s="154">
        <v>44165</v>
      </c>
      <c r="Y17">
        <f t="shared" si="0"/>
        <v>1</v>
      </c>
    </row>
    <row r="18" spans="9:25">
      <c r="I18" s="329"/>
      <c r="J18" s="66"/>
      <c r="K18" s="155"/>
      <c r="L18" s="155"/>
      <c r="M18" s="330"/>
      <c r="N18" s="67"/>
      <c r="O18" s="99"/>
      <c r="T18" t="s">
        <v>17</v>
      </c>
      <c r="U18" s="163">
        <v>43650</v>
      </c>
      <c r="V18">
        <v>358490.57</v>
      </c>
      <c r="X18" s="155">
        <v>43650</v>
      </c>
      <c r="Y18">
        <f t="shared" si="0"/>
        <v>1</v>
      </c>
    </row>
    <row r="19" spans="9:25">
      <c r="I19" s="325"/>
      <c r="J19" s="70"/>
      <c r="K19" s="154"/>
      <c r="L19" s="154"/>
      <c r="M19" s="327"/>
      <c r="N19" s="71"/>
      <c r="O19" s="100"/>
      <c r="T19" t="s">
        <v>17</v>
      </c>
      <c r="U19" s="163">
        <v>43707</v>
      </c>
      <c r="V19">
        <v>448113.21</v>
      </c>
      <c r="X19" s="154">
        <v>43707</v>
      </c>
      <c r="Y19">
        <f t="shared" si="0"/>
        <v>1</v>
      </c>
    </row>
    <row r="20" spans="9:25">
      <c r="I20" s="326"/>
      <c r="J20" s="66"/>
      <c r="K20" s="155"/>
      <c r="L20" s="155"/>
      <c r="M20" s="328"/>
      <c r="N20" s="67"/>
      <c r="O20" s="99"/>
      <c r="T20" t="s">
        <v>17</v>
      </c>
      <c r="U20" s="163">
        <v>43889</v>
      </c>
      <c r="V20">
        <v>89622.64</v>
      </c>
      <c r="X20" s="155">
        <v>43889</v>
      </c>
      <c r="Y20">
        <f t="shared" si="0"/>
        <v>1</v>
      </c>
    </row>
    <row r="21" spans="9:25">
      <c r="I21" s="329"/>
      <c r="J21" s="66"/>
      <c r="K21" s="154"/>
      <c r="L21" s="154"/>
      <c r="M21" s="331"/>
      <c r="N21" s="77"/>
      <c r="O21" s="99"/>
      <c r="T21" t="s">
        <v>28</v>
      </c>
      <c r="U21" s="163">
        <v>43860</v>
      </c>
      <c r="V21">
        <v>407337.35849056602</v>
      </c>
      <c r="X21" s="154">
        <v>43860</v>
      </c>
      <c r="Y21">
        <f t="shared" si="0"/>
        <v>1</v>
      </c>
    </row>
    <row r="22" spans="9:25">
      <c r="I22" s="325"/>
      <c r="J22" s="66"/>
      <c r="K22" s="155"/>
      <c r="L22" s="155"/>
      <c r="M22" s="332"/>
      <c r="N22" s="77"/>
      <c r="O22" s="99"/>
      <c r="T22" t="s">
        <v>28</v>
      </c>
      <c r="U22" s="163">
        <v>43920</v>
      </c>
      <c r="V22">
        <v>407337.35849056602</v>
      </c>
      <c r="X22" s="155">
        <v>43920</v>
      </c>
      <c r="Y22">
        <f t="shared" si="0"/>
        <v>1</v>
      </c>
    </row>
    <row r="23" spans="9:25">
      <c r="I23" s="325"/>
      <c r="J23" s="66"/>
      <c r="K23" s="155"/>
      <c r="L23" s="155"/>
      <c r="M23" s="332"/>
      <c r="N23" s="77"/>
      <c r="O23" s="99"/>
      <c r="T23" t="s">
        <v>28</v>
      </c>
      <c r="U23" s="163">
        <v>44012</v>
      </c>
      <c r="V23">
        <v>407337.35849056602</v>
      </c>
      <c r="X23" s="155">
        <v>44012</v>
      </c>
      <c r="Y23">
        <f t="shared" si="0"/>
        <v>1</v>
      </c>
    </row>
    <row r="24" spans="9:25">
      <c r="I24" s="325"/>
      <c r="J24" s="66"/>
      <c r="K24" s="155"/>
      <c r="L24" s="155"/>
      <c r="M24" s="332"/>
      <c r="N24" s="77"/>
      <c r="O24" s="99"/>
      <c r="T24" t="s">
        <v>28</v>
      </c>
      <c r="U24" s="163">
        <v>44135</v>
      </c>
      <c r="V24">
        <v>611006.03773584904</v>
      </c>
      <c r="X24" s="155">
        <v>44135</v>
      </c>
      <c r="Y24">
        <f t="shared" si="0"/>
        <v>1</v>
      </c>
    </row>
    <row r="25" spans="9:25">
      <c r="I25" s="326"/>
      <c r="J25" s="66"/>
      <c r="K25" s="155"/>
      <c r="L25" s="155"/>
      <c r="M25" s="333"/>
      <c r="N25" s="77"/>
      <c r="O25" s="68"/>
      <c r="T25" t="s">
        <v>28</v>
      </c>
      <c r="U25" s="163">
        <v>44255</v>
      </c>
      <c r="V25">
        <v>203668.67924528301</v>
      </c>
      <c r="X25" s="155">
        <v>44139</v>
      </c>
      <c r="Y25">
        <f t="shared" si="0"/>
        <v>0</v>
      </c>
    </row>
    <row r="26" spans="9:25">
      <c r="I26" s="97"/>
      <c r="J26" s="66"/>
      <c r="K26" s="155"/>
      <c r="L26" s="155"/>
      <c r="M26" s="150"/>
      <c r="N26" s="77"/>
      <c r="O26" s="99"/>
      <c r="T26" t="s">
        <v>28</v>
      </c>
      <c r="U26" s="163">
        <v>44073</v>
      </c>
      <c r="V26">
        <v>122641.50943396226</v>
      </c>
      <c r="X26" s="155">
        <v>44073</v>
      </c>
      <c r="Y26">
        <f t="shared" si="0"/>
        <v>1</v>
      </c>
    </row>
    <row r="27" spans="9:25">
      <c r="I27" s="97"/>
      <c r="J27" s="66"/>
      <c r="K27" s="155"/>
      <c r="L27" s="155"/>
      <c r="M27" s="150"/>
      <c r="N27" s="77"/>
      <c r="O27" s="117"/>
      <c r="T27" t="s">
        <v>28</v>
      </c>
      <c r="U27" s="163">
        <v>44050</v>
      </c>
      <c r="V27">
        <v>75471.698113207545</v>
      </c>
      <c r="X27" s="155">
        <v>44050</v>
      </c>
      <c r="Y27">
        <f t="shared" si="0"/>
        <v>1</v>
      </c>
    </row>
    <row r="28" spans="9:25">
      <c r="I28" s="97"/>
      <c r="J28" s="66"/>
      <c r="K28" s="155"/>
      <c r="L28" s="155"/>
      <c r="M28" s="152"/>
      <c r="N28" s="77"/>
      <c r="O28" s="118"/>
      <c r="T28" t="s">
        <v>28</v>
      </c>
      <c r="U28" s="163">
        <v>44104</v>
      </c>
      <c r="V28">
        <v>80188.679245283012</v>
      </c>
      <c r="X28" s="155">
        <v>44104</v>
      </c>
      <c r="Y28">
        <f t="shared" si="0"/>
        <v>1</v>
      </c>
    </row>
    <row r="29" spans="9:25">
      <c r="I29" s="316"/>
      <c r="J29" s="70"/>
      <c r="K29" s="154"/>
      <c r="L29" s="154"/>
      <c r="M29" s="314"/>
      <c r="N29" s="75"/>
      <c r="O29" s="100"/>
      <c r="T29" t="s">
        <v>19</v>
      </c>
      <c r="U29" s="163">
        <v>43738</v>
      </c>
      <c r="V29">
        <v>121500</v>
      </c>
      <c r="X29" s="155">
        <v>43799</v>
      </c>
      <c r="Y29">
        <f t="shared" si="0"/>
        <v>0</v>
      </c>
    </row>
    <row r="30" spans="9:25">
      <c r="I30" s="318"/>
      <c r="J30" s="66"/>
      <c r="K30" s="155"/>
      <c r="L30" s="155"/>
      <c r="M30" s="334"/>
      <c r="N30" s="77"/>
      <c r="O30" s="99"/>
      <c r="T30" t="s">
        <v>19</v>
      </c>
      <c r="U30" s="163">
        <v>43799</v>
      </c>
      <c r="V30">
        <v>121500</v>
      </c>
      <c r="X30" s="155">
        <v>43799</v>
      </c>
      <c r="Y30">
        <f t="shared" si="0"/>
        <v>1</v>
      </c>
    </row>
    <row r="31" spans="9:25">
      <c r="I31" s="311"/>
      <c r="J31" s="70"/>
      <c r="K31" s="154"/>
      <c r="L31" s="154"/>
      <c r="M31" s="314"/>
      <c r="N31" s="75"/>
      <c r="O31" s="100"/>
      <c r="T31" t="s">
        <v>22</v>
      </c>
      <c r="U31" s="163">
        <v>43768</v>
      </c>
      <c r="V31">
        <v>438679.24528301886</v>
      </c>
      <c r="X31" s="154">
        <v>43768</v>
      </c>
      <c r="Y31">
        <f t="shared" si="0"/>
        <v>1</v>
      </c>
    </row>
    <row r="32" spans="9:25">
      <c r="I32" s="312"/>
      <c r="J32" s="123"/>
      <c r="K32" s="156"/>
      <c r="L32" s="156"/>
      <c r="M32" s="315"/>
      <c r="N32" s="124"/>
      <c r="O32" s="120"/>
      <c r="T32" t="s">
        <v>22</v>
      </c>
      <c r="U32" s="163">
        <v>44165</v>
      </c>
      <c r="V32">
        <v>438679.24528301886</v>
      </c>
      <c r="X32" s="156">
        <v>44165</v>
      </c>
      <c r="Y32">
        <f t="shared" si="0"/>
        <v>1</v>
      </c>
    </row>
    <row r="33" spans="9:25">
      <c r="I33" s="312"/>
      <c r="J33" s="37"/>
      <c r="K33" s="157"/>
      <c r="L33" s="158"/>
      <c r="M33" s="315"/>
      <c r="N33" s="38"/>
      <c r="O33" s="101"/>
      <c r="T33" t="s">
        <v>22</v>
      </c>
      <c r="U33" s="163">
        <v>44347</v>
      </c>
      <c r="V33">
        <v>438679.24528301886</v>
      </c>
      <c r="X33" s="158">
        <v>44347</v>
      </c>
      <c r="Y33">
        <f t="shared" si="0"/>
        <v>1</v>
      </c>
    </row>
    <row r="34" spans="9:25">
      <c r="I34" s="312"/>
      <c r="J34" s="34"/>
      <c r="K34" s="159"/>
      <c r="L34" s="158"/>
      <c r="M34" s="334"/>
      <c r="N34" s="35"/>
      <c r="O34" s="102"/>
      <c r="T34" t="s">
        <v>22</v>
      </c>
      <c r="U34" s="163">
        <v>44530</v>
      </c>
      <c r="V34">
        <v>146226.41509433961</v>
      </c>
      <c r="X34" s="158">
        <v>44530</v>
      </c>
      <c r="Y34">
        <f t="shared" si="0"/>
        <v>1</v>
      </c>
    </row>
    <row r="35" spans="9:25">
      <c r="I35" s="305"/>
      <c r="J35" s="70"/>
      <c r="K35" s="154"/>
      <c r="L35" s="154"/>
      <c r="M35" s="314"/>
      <c r="N35" s="75"/>
      <c r="O35" s="100"/>
      <c r="T35" t="s">
        <v>27</v>
      </c>
      <c r="U35" s="163">
        <v>43799</v>
      </c>
      <c r="V35">
        <v>633962.26415094337</v>
      </c>
      <c r="X35" s="154">
        <v>43799</v>
      </c>
      <c r="Y35">
        <f t="shared" si="0"/>
        <v>1</v>
      </c>
    </row>
    <row r="36" spans="9:25">
      <c r="I36" s="306"/>
      <c r="J36" s="34"/>
      <c r="K36" s="159"/>
      <c r="L36" s="159"/>
      <c r="M36" s="315"/>
      <c r="N36" s="35"/>
      <c r="O36" s="102"/>
      <c r="T36" t="s">
        <v>27</v>
      </c>
      <c r="U36" s="163">
        <v>44165</v>
      </c>
      <c r="V36">
        <v>316981.13207547169</v>
      </c>
      <c r="X36" s="159">
        <v>44165</v>
      </c>
      <c r="Y36">
        <f t="shared" si="0"/>
        <v>1</v>
      </c>
    </row>
    <row r="37" spans="9:25">
      <c r="I37" s="306"/>
      <c r="J37" s="37"/>
      <c r="K37" s="157"/>
      <c r="L37" s="160"/>
      <c r="M37" s="315"/>
      <c r="N37" s="38"/>
      <c r="O37" s="103"/>
      <c r="T37" t="s">
        <v>27</v>
      </c>
      <c r="U37" s="163">
        <v>44285</v>
      </c>
      <c r="V37">
        <v>475471.69811320747</v>
      </c>
      <c r="X37" s="157">
        <v>44285</v>
      </c>
      <c r="Y37">
        <f t="shared" si="0"/>
        <v>1</v>
      </c>
    </row>
    <row r="38" spans="9:25">
      <c r="I38" s="307"/>
      <c r="J38" s="34"/>
      <c r="K38" s="159"/>
      <c r="L38" s="160"/>
      <c r="M38" s="334"/>
      <c r="N38" s="35"/>
      <c r="O38" s="103"/>
      <c r="T38" t="s">
        <v>27</v>
      </c>
      <c r="U38" s="163">
        <v>44469</v>
      </c>
      <c r="V38">
        <v>158490.56603773584</v>
      </c>
      <c r="X38" s="160">
        <v>44469</v>
      </c>
      <c r="Y38">
        <f t="shared" si="0"/>
        <v>1</v>
      </c>
    </row>
    <row r="39" spans="9:25">
      <c r="I39" s="316"/>
      <c r="J39" s="70"/>
      <c r="K39" s="154"/>
      <c r="L39" s="154"/>
      <c r="M39" s="319"/>
      <c r="N39" s="75"/>
      <c r="O39" s="119"/>
      <c r="T39" t="s">
        <v>49</v>
      </c>
      <c r="U39" s="163">
        <v>44058</v>
      </c>
      <c r="V39">
        <v>339622.64150943398</v>
      </c>
      <c r="X39" s="154">
        <v>44058</v>
      </c>
      <c r="Y39">
        <f t="shared" si="0"/>
        <v>1</v>
      </c>
    </row>
    <row r="40" spans="9:25">
      <c r="I40" s="317"/>
      <c r="J40" s="66"/>
      <c r="K40" s="155"/>
      <c r="L40" s="155"/>
      <c r="M40" s="320"/>
      <c r="N40" s="77"/>
      <c r="O40" s="120"/>
      <c r="T40" t="s">
        <v>49</v>
      </c>
      <c r="U40" s="163">
        <v>44104</v>
      </c>
      <c r="V40">
        <v>679245.28301886795</v>
      </c>
      <c r="X40" s="155">
        <v>44104</v>
      </c>
      <c r="Y40">
        <f t="shared" si="0"/>
        <v>1</v>
      </c>
    </row>
    <row r="41" spans="9:25">
      <c r="I41" s="318"/>
      <c r="J41" s="126"/>
      <c r="K41" s="161"/>
      <c r="L41" s="160"/>
      <c r="M41" s="321"/>
      <c r="N41" s="124"/>
      <c r="O41" s="104"/>
      <c r="T41" t="s">
        <v>49</v>
      </c>
      <c r="U41" s="163">
        <v>44196</v>
      </c>
      <c r="V41">
        <v>113207.54716981133</v>
      </c>
      <c r="X41" s="160">
        <v>44196</v>
      </c>
      <c r="Y41">
        <f t="shared" si="0"/>
        <v>1</v>
      </c>
    </row>
    <row r="42" spans="9:25">
      <c r="I42" s="322"/>
      <c r="J42" s="70"/>
      <c r="K42" s="154"/>
      <c r="L42" s="154"/>
      <c r="M42" s="319"/>
      <c r="N42" s="75"/>
      <c r="O42" s="120"/>
      <c r="T42" t="s">
        <v>51</v>
      </c>
      <c r="U42" s="163">
        <v>44042</v>
      </c>
      <c r="V42">
        <v>377357.73584905663</v>
      </c>
      <c r="X42" s="154">
        <v>44042</v>
      </c>
      <c r="Y42">
        <f t="shared" si="0"/>
        <v>1</v>
      </c>
    </row>
    <row r="43" spans="9:25">
      <c r="I43" s="323"/>
      <c r="J43" s="70"/>
      <c r="K43" s="154"/>
      <c r="L43" s="154"/>
      <c r="M43" s="320"/>
      <c r="N43" s="75"/>
      <c r="O43" s="121"/>
      <c r="T43" t="s">
        <v>51</v>
      </c>
      <c r="U43" s="163">
        <v>44104</v>
      </c>
      <c r="V43">
        <v>471697.16981132072</v>
      </c>
      <c r="X43" s="154">
        <v>44104</v>
      </c>
      <c r="Y43">
        <f t="shared" si="0"/>
        <v>1</v>
      </c>
    </row>
    <row r="44" spans="9:25">
      <c r="I44" s="324"/>
      <c r="J44" s="70"/>
      <c r="K44" s="154"/>
      <c r="L44" s="154"/>
      <c r="M44" s="321"/>
      <c r="N44" s="77"/>
      <c r="O44" s="121"/>
      <c r="T44" t="s">
        <v>51</v>
      </c>
      <c r="U44" s="163">
        <v>44285</v>
      </c>
      <c r="V44">
        <v>94339.433962264156</v>
      </c>
      <c r="X44" s="154">
        <v>44139</v>
      </c>
      <c r="Y44">
        <f t="shared" si="0"/>
        <v>0</v>
      </c>
    </row>
    <row r="45" spans="9:25">
      <c r="I45" s="311"/>
      <c r="J45" s="126"/>
      <c r="K45" s="161"/>
      <c r="L45" s="161"/>
      <c r="M45" s="308"/>
      <c r="N45" s="124"/>
      <c r="O45" s="120"/>
      <c r="T45" t="s">
        <v>60</v>
      </c>
      <c r="U45" s="163">
        <v>44104</v>
      </c>
      <c r="V45">
        <v>579056.60377358482</v>
      </c>
      <c r="X45" s="161">
        <v>44104</v>
      </c>
      <c r="Y45">
        <f t="shared" si="0"/>
        <v>1</v>
      </c>
    </row>
    <row r="46" spans="9:25">
      <c r="I46" s="312"/>
      <c r="J46" s="126"/>
      <c r="K46" s="161"/>
      <c r="L46" s="161"/>
      <c r="M46" s="309"/>
      <c r="N46" s="124"/>
      <c r="O46" s="120"/>
      <c r="T46" t="s">
        <v>60</v>
      </c>
      <c r="U46" s="163">
        <v>44165</v>
      </c>
      <c r="V46">
        <v>965094.33962264145</v>
      </c>
      <c r="X46" s="161">
        <v>44165</v>
      </c>
      <c r="Y46">
        <f t="shared" si="0"/>
        <v>1</v>
      </c>
    </row>
    <row r="47" spans="9:25">
      <c r="I47" s="313"/>
      <c r="J47" s="37"/>
      <c r="K47" s="157"/>
      <c r="L47" s="157"/>
      <c r="M47" s="310"/>
      <c r="N47" s="31"/>
      <c r="O47" s="105"/>
      <c r="T47" t="s">
        <v>60</v>
      </c>
      <c r="U47" s="163">
        <v>44346</v>
      </c>
      <c r="V47">
        <v>386037.73584905663</v>
      </c>
      <c r="X47" s="157">
        <v>44346</v>
      </c>
      <c r="Y47">
        <f t="shared" si="0"/>
        <v>1</v>
      </c>
    </row>
    <row r="48" spans="9:25">
      <c r="I48" s="305"/>
      <c r="J48" s="126"/>
      <c r="K48" s="161"/>
      <c r="L48" s="161"/>
      <c r="M48" s="308"/>
      <c r="N48" s="124"/>
      <c r="O48" s="120"/>
      <c r="T48" t="s">
        <v>64</v>
      </c>
      <c r="U48" s="163">
        <v>44180</v>
      </c>
      <c r="V48">
        <v>208806.22641509431</v>
      </c>
      <c r="X48" s="161">
        <v>44180</v>
      </c>
      <c r="Y48">
        <f t="shared" si="0"/>
        <v>1</v>
      </c>
    </row>
    <row r="49" spans="9:25">
      <c r="I49" s="306"/>
      <c r="J49" s="30"/>
      <c r="K49" s="157"/>
      <c r="L49" s="157"/>
      <c r="M49" s="309"/>
      <c r="N49" s="31"/>
      <c r="O49" s="105"/>
      <c r="T49" t="s">
        <v>64</v>
      </c>
      <c r="U49" s="163">
        <v>44270</v>
      </c>
      <c r="V49">
        <v>1044031.1320754716</v>
      </c>
      <c r="X49" s="164">
        <v>44316</v>
      </c>
      <c r="Y49">
        <f t="shared" si="0"/>
        <v>0</v>
      </c>
    </row>
    <row r="50" spans="9:25">
      <c r="I50" s="307"/>
      <c r="J50" s="28"/>
      <c r="K50" s="162"/>
      <c r="L50" s="162"/>
      <c r="M50" s="310"/>
      <c r="N50" s="35"/>
      <c r="O50" s="102"/>
      <c r="T50" t="s">
        <v>64</v>
      </c>
      <c r="U50" s="163">
        <v>44454</v>
      </c>
      <c r="V50">
        <v>139204.15094339623</v>
      </c>
      <c r="X50" s="162">
        <v>44454</v>
      </c>
      <c r="Y50">
        <f t="shared" si="0"/>
        <v>1</v>
      </c>
    </row>
    <row r="51" spans="9:25">
      <c r="I51" s="305"/>
      <c r="J51" s="28"/>
      <c r="K51" s="159"/>
      <c r="L51" s="158"/>
      <c r="M51" s="308"/>
      <c r="N51" s="35"/>
      <c r="O51" s="33"/>
      <c r="T51" t="s">
        <v>134</v>
      </c>
      <c r="U51" s="163">
        <v>44256</v>
      </c>
      <c r="V51">
        <v>392452.83018867928</v>
      </c>
      <c r="X51" s="159">
        <v>44256</v>
      </c>
      <c r="Y51">
        <f t="shared" si="0"/>
        <v>1</v>
      </c>
    </row>
    <row r="52" spans="9:25">
      <c r="I52" s="306"/>
      <c r="J52" s="30"/>
      <c r="K52" s="157"/>
      <c r="L52" s="157"/>
      <c r="M52" s="309"/>
      <c r="N52" s="31"/>
      <c r="O52" s="32"/>
      <c r="T52" t="s">
        <v>134</v>
      </c>
      <c r="U52" s="163">
        <v>44317</v>
      </c>
      <c r="V52">
        <v>1177358.4905660376</v>
      </c>
      <c r="X52" s="157">
        <v>44317</v>
      </c>
      <c r="Y52">
        <f t="shared" si="0"/>
        <v>1</v>
      </c>
    </row>
    <row r="53" spans="9:25">
      <c r="I53" s="307"/>
      <c r="J53" s="28"/>
      <c r="K53" s="159"/>
      <c r="L53" s="159"/>
      <c r="M53" s="310"/>
      <c r="N53" s="35"/>
      <c r="O53" s="33"/>
      <c r="T53" t="s">
        <v>134</v>
      </c>
      <c r="U53" s="163">
        <v>44501</v>
      </c>
      <c r="V53">
        <v>392452.83018867928</v>
      </c>
      <c r="X53" s="159">
        <v>44501</v>
      </c>
      <c r="Y53">
        <f t="shared" si="0"/>
        <v>1</v>
      </c>
    </row>
    <row r="54" spans="9:25">
      <c r="I54" s="311"/>
      <c r="J54" s="37"/>
      <c r="K54" s="157"/>
      <c r="L54" s="157"/>
      <c r="M54" s="308"/>
      <c r="N54" s="31"/>
      <c r="O54" s="32"/>
      <c r="T54" t="s">
        <v>133</v>
      </c>
      <c r="U54" s="163">
        <v>44287</v>
      </c>
      <c r="V54">
        <v>320754.71698113205</v>
      </c>
      <c r="X54" s="157">
        <v>44287</v>
      </c>
      <c r="Y54">
        <f t="shared" si="0"/>
        <v>1</v>
      </c>
    </row>
    <row r="55" spans="9:25">
      <c r="I55" s="312"/>
      <c r="J55" s="28"/>
      <c r="K55" s="157"/>
      <c r="L55" s="157"/>
      <c r="M55" s="309"/>
      <c r="N55" s="35"/>
      <c r="O55" s="33"/>
      <c r="T55" t="s">
        <v>133</v>
      </c>
      <c r="U55" s="163">
        <v>44346</v>
      </c>
      <c r="V55">
        <v>801886.79245283012</v>
      </c>
      <c r="X55" s="157">
        <v>44346</v>
      </c>
      <c r="Y55">
        <f t="shared" si="0"/>
        <v>1</v>
      </c>
    </row>
    <row r="56" spans="9:25">
      <c r="I56" s="313"/>
      <c r="J56" s="37"/>
      <c r="K56" s="157"/>
      <c r="L56" s="157"/>
      <c r="M56" s="310"/>
      <c r="N56" s="31"/>
      <c r="O56" s="105"/>
      <c r="T56" t="s">
        <v>133</v>
      </c>
      <c r="U56" s="163">
        <v>44545</v>
      </c>
      <c r="V56">
        <v>481132.07547169807</v>
      </c>
      <c r="X56" s="157">
        <v>44545</v>
      </c>
      <c r="Y56">
        <f t="shared" si="0"/>
        <v>1</v>
      </c>
    </row>
  </sheetData>
  <mergeCells count="24">
    <mergeCell ref="M54:M56"/>
    <mergeCell ref="M51:M53"/>
    <mergeCell ref="M48:M50"/>
    <mergeCell ref="M21:M25"/>
    <mergeCell ref="M18:M20"/>
    <mergeCell ref="M12:M17"/>
    <mergeCell ref="M35:M38"/>
    <mergeCell ref="M31:M34"/>
    <mergeCell ref="M29:M30"/>
    <mergeCell ref="M45:M47"/>
    <mergeCell ref="M42:M44"/>
    <mergeCell ref="M39:M41"/>
    <mergeCell ref="I48:I50"/>
    <mergeCell ref="I51:I53"/>
    <mergeCell ref="I54:I56"/>
    <mergeCell ref="I39:I41"/>
    <mergeCell ref="I42:I44"/>
    <mergeCell ref="I45:I47"/>
    <mergeCell ref="I29:I30"/>
    <mergeCell ref="I31:I34"/>
    <mergeCell ref="I35:I38"/>
    <mergeCell ref="I12:I17"/>
    <mergeCell ref="I18:I20"/>
    <mergeCell ref="I21:I25"/>
  </mergeCells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xSplit="1" topLeftCell="B1" activePane="topRight" state="frozen"/>
      <selection pane="topRight" activeCell="I12" sqref="I12"/>
    </sheetView>
  </sheetViews>
  <sheetFormatPr defaultColWidth="8.85546875" defaultRowHeight="12.75"/>
  <cols>
    <col min="1" max="1" width="21.85546875" style="257" customWidth="1"/>
    <col min="2" max="2" width="11.5703125" style="257" bestFit="1" customWidth="1"/>
    <col min="3" max="3" width="20.85546875" style="258" bestFit="1" customWidth="1"/>
    <col min="4" max="4" width="18" style="257" bestFit="1" customWidth="1"/>
    <col min="5" max="5" width="12.7109375" style="257" bestFit="1" customWidth="1"/>
    <col min="6" max="6" width="19" style="257" bestFit="1" customWidth="1"/>
    <col min="7" max="7" width="13.85546875" style="257" bestFit="1" customWidth="1"/>
    <col min="8" max="8" width="8.85546875" style="257"/>
    <col min="9" max="9" width="12.7109375" style="257" bestFit="1" customWidth="1"/>
    <col min="10" max="10" width="12.42578125" style="257" bestFit="1" customWidth="1"/>
    <col min="11" max="16384" width="8.85546875" style="257"/>
  </cols>
  <sheetData>
    <row r="1" spans="1:10">
      <c r="B1" s="421" t="s">
        <v>226</v>
      </c>
      <c r="C1" s="422"/>
      <c r="D1" s="422"/>
      <c r="E1" s="422"/>
      <c r="F1" s="422"/>
      <c r="G1" s="422"/>
      <c r="H1" s="422"/>
    </row>
    <row r="2" spans="1:10" ht="30">
      <c r="A2" s="270" t="s">
        <v>15</v>
      </c>
      <c r="B2" s="267" t="s">
        <v>0</v>
      </c>
      <c r="C2" s="269" t="s">
        <v>1</v>
      </c>
      <c r="D2" s="267" t="s">
        <v>2</v>
      </c>
      <c r="E2" s="267" t="s">
        <v>23</v>
      </c>
      <c r="F2" s="267" t="s">
        <v>24</v>
      </c>
      <c r="G2" s="267" t="s">
        <v>3</v>
      </c>
      <c r="H2" s="268" t="s">
        <v>4</v>
      </c>
      <c r="I2" s="267" t="s">
        <v>29</v>
      </c>
      <c r="J2" s="267" t="s">
        <v>169</v>
      </c>
    </row>
    <row r="3" spans="1:10">
      <c r="A3" s="423" t="s">
        <v>225</v>
      </c>
      <c r="B3" s="260" t="s">
        <v>223</v>
      </c>
      <c r="C3" s="298">
        <v>44321</v>
      </c>
      <c r="D3" s="298">
        <v>44364</v>
      </c>
      <c r="E3" s="419">
        <v>1495000</v>
      </c>
      <c r="F3" s="263">
        <v>0.25</v>
      </c>
      <c r="G3" s="261">
        <f>E3*F3</f>
        <v>373750</v>
      </c>
      <c r="H3" s="260" t="s">
        <v>8</v>
      </c>
      <c r="I3" s="419">
        <f>SUM(G3:G5)</f>
        <v>1495000</v>
      </c>
      <c r="J3" s="260"/>
    </row>
    <row r="4" spans="1:10">
      <c r="A4" s="423"/>
      <c r="B4" s="260" t="s">
        <v>222</v>
      </c>
      <c r="C4" s="298">
        <v>44439</v>
      </c>
      <c r="D4" s="298">
        <v>44491</v>
      </c>
      <c r="E4" s="419"/>
      <c r="F4" s="263">
        <v>0.35</v>
      </c>
      <c r="G4" s="261">
        <f>E3*F4</f>
        <v>523249.99999999994</v>
      </c>
      <c r="H4" s="297" t="s">
        <v>8</v>
      </c>
      <c r="I4" s="420"/>
      <c r="J4" s="260"/>
    </row>
    <row r="5" spans="1:10">
      <c r="A5" s="423"/>
      <c r="B5" s="260" t="s">
        <v>221</v>
      </c>
      <c r="C5" s="298">
        <v>44530</v>
      </c>
      <c r="D5" s="298" t="s">
        <v>217</v>
      </c>
      <c r="E5" s="419"/>
      <c r="F5" s="263">
        <v>0.4</v>
      </c>
      <c r="G5" s="261">
        <f>E3*F5</f>
        <v>598000</v>
      </c>
      <c r="H5" s="260" t="s">
        <v>12</v>
      </c>
      <c r="I5" s="420"/>
      <c r="J5" s="260"/>
    </row>
    <row r="6" spans="1:10">
      <c r="A6" s="424" t="s">
        <v>224</v>
      </c>
      <c r="B6" s="260" t="s">
        <v>223</v>
      </c>
      <c r="C6" s="298" t="s">
        <v>217</v>
      </c>
      <c r="D6" s="298" t="s">
        <v>217</v>
      </c>
      <c r="E6" s="419">
        <v>5716455</v>
      </c>
      <c r="F6" s="263">
        <v>0.3</v>
      </c>
      <c r="G6" s="261">
        <f>E6*F6</f>
        <v>1714936.5</v>
      </c>
      <c r="H6" s="260" t="s">
        <v>12</v>
      </c>
      <c r="I6" s="260"/>
      <c r="J6" s="260"/>
    </row>
    <row r="7" spans="1:10">
      <c r="A7" s="424"/>
      <c r="B7" s="260" t="s">
        <v>222</v>
      </c>
      <c r="C7" s="298" t="s">
        <v>217</v>
      </c>
      <c r="D7" s="298" t="s">
        <v>217</v>
      </c>
      <c r="E7" s="419"/>
      <c r="F7" s="263">
        <v>0.4</v>
      </c>
      <c r="G7" s="261">
        <f>E6*F7</f>
        <v>2286582</v>
      </c>
      <c r="H7" s="260" t="s">
        <v>12</v>
      </c>
      <c r="I7" s="260"/>
      <c r="J7" s="260"/>
    </row>
    <row r="8" spans="1:10">
      <c r="A8" s="424"/>
      <c r="B8" s="260" t="s">
        <v>221</v>
      </c>
      <c r="C8" s="298" t="s">
        <v>217</v>
      </c>
      <c r="D8" s="298" t="s">
        <v>217</v>
      </c>
      <c r="E8" s="419"/>
      <c r="F8" s="263">
        <v>0.3</v>
      </c>
      <c r="G8" s="261">
        <f>E6*F8</f>
        <v>1714936.5</v>
      </c>
      <c r="H8" s="260" t="s">
        <v>12</v>
      </c>
      <c r="I8" s="260"/>
      <c r="J8" s="260"/>
    </row>
    <row r="9" spans="1:10">
      <c r="A9" s="266" t="s">
        <v>220</v>
      </c>
      <c r="B9" s="260" t="s">
        <v>218</v>
      </c>
      <c r="C9" s="298">
        <v>44316</v>
      </c>
      <c r="D9" s="298">
        <v>44316</v>
      </c>
      <c r="E9" s="264">
        <v>170000</v>
      </c>
      <c r="F9" s="263">
        <v>1</v>
      </c>
      <c r="G9" s="261">
        <f>E9*F9</f>
        <v>170000</v>
      </c>
      <c r="H9" s="260" t="s">
        <v>8</v>
      </c>
      <c r="I9" s="261">
        <f>SUM(G9)</f>
        <v>170000</v>
      </c>
      <c r="J9" s="260"/>
    </row>
    <row r="10" spans="1:10" ht="13.15" customHeight="1">
      <c r="A10" s="265" t="s">
        <v>219</v>
      </c>
      <c r="B10" s="262" t="s">
        <v>218</v>
      </c>
      <c r="C10" s="298">
        <v>44440</v>
      </c>
      <c r="D10" s="298" t="s">
        <v>237</v>
      </c>
      <c r="E10" s="264">
        <v>43610</v>
      </c>
      <c r="F10" s="263">
        <v>1</v>
      </c>
      <c r="G10" s="261">
        <v>43610</v>
      </c>
      <c r="H10" s="262" t="s">
        <v>12</v>
      </c>
      <c r="I10" s="261">
        <v>43610</v>
      </c>
      <c r="J10" s="260"/>
    </row>
    <row r="11" spans="1:10">
      <c r="E11" s="259"/>
    </row>
    <row r="12" spans="1:10">
      <c r="G12" s="273"/>
      <c r="I12" s="273">
        <f>SUM(I3:I10)</f>
        <v>1708610</v>
      </c>
    </row>
    <row r="13" spans="1:10">
      <c r="G13" s="273"/>
      <c r="I13" s="274">
        <f>I12/7</f>
        <v>244087.14285714287</v>
      </c>
    </row>
  </sheetData>
  <autoFilter ref="A2:J2"/>
  <mergeCells count="6">
    <mergeCell ref="I3:I5"/>
    <mergeCell ref="B1:H1"/>
    <mergeCell ref="E3:E5"/>
    <mergeCell ref="A3:A5"/>
    <mergeCell ref="A6:A8"/>
    <mergeCell ref="E6:E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3"/>
  <sheetViews>
    <sheetView topLeftCell="B25" workbookViewId="0">
      <selection activeCell="Q39" sqref="Q39"/>
    </sheetView>
  </sheetViews>
  <sheetFormatPr defaultRowHeight="15"/>
  <cols>
    <col min="2" max="2" width="21.85546875" bestFit="1" customWidth="1"/>
    <col min="3" max="3" width="27.140625" bestFit="1" customWidth="1"/>
    <col min="4" max="7" width="12.85546875" bestFit="1" customWidth="1"/>
    <col min="8" max="9" width="14" bestFit="1" customWidth="1"/>
    <col min="10" max="11" width="12.85546875" bestFit="1" customWidth="1"/>
    <col min="12" max="15" width="14" bestFit="1" customWidth="1"/>
    <col min="16" max="16" width="15" bestFit="1" customWidth="1"/>
    <col min="17" max="17" width="24.7109375" bestFit="1" customWidth="1"/>
    <col min="18" max="18" width="16.140625" bestFit="1" customWidth="1"/>
    <col min="19" max="19" width="14.7109375" bestFit="1" customWidth="1"/>
    <col min="20" max="20" width="8" bestFit="1" customWidth="1"/>
  </cols>
  <sheetData>
    <row r="1" spans="2:19">
      <c r="B1" s="196"/>
      <c r="C1" t="s">
        <v>179</v>
      </c>
      <c r="Q1" s="200"/>
    </row>
    <row r="2" spans="2:19" ht="15.75" thickBot="1">
      <c r="B2" s="197"/>
      <c r="C2" t="s">
        <v>180</v>
      </c>
      <c r="Q2" s="200"/>
    </row>
    <row r="3" spans="2:19">
      <c r="B3" s="198" t="s">
        <v>54</v>
      </c>
      <c r="C3" s="185" t="s">
        <v>172</v>
      </c>
      <c r="D3" s="185" t="s">
        <v>160</v>
      </c>
      <c r="E3" s="185" t="s">
        <v>161</v>
      </c>
      <c r="F3" s="185" t="s">
        <v>162</v>
      </c>
      <c r="G3" s="185" t="s">
        <v>163</v>
      </c>
      <c r="H3" s="185" t="s">
        <v>164</v>
      </c>
      <c r="I3" s="185" t="s">
        <v>171</v>
      </c>
      <c r="J3" s="185" t="s">
        <v>177</v>
      </c>
      <c r="K3" s="185" t="s">
        <v>170</v>
      </c>
      <c r="L3" s="185" t="s">
        <v>165</v>
      </c>
      <c r="M3" s="185" t="s">
        <v>178</v>
      </c>
      <c r="N3" s="185" t="s">
        <v>166</v>
      </c>
      <c r="O3" s="185" t="s">
        <v>167</v>
      </c>
      <c r="P3" s="186" t="s">
        <v>168</v>
      </c>
      <c r="Q3" s="215" t="s">
        <v>187</v>
      </c>
      <c r="R3" s="217" t="s">
        <v>186</v>
      </c>
      <c r="S3" s="217" t="s">
        <v>229</v>
      </c>
    </row>
    <row r="4" spans="2:19">
      <c r="B4" s="430" t="s">
        <v>135</v>
      </c>
      <c r="C4" s="187" t="s">
        <v>157</v>
      </c>
      <c r="D4" s="206">
        <v>-27930</v>
      </c>
      <c r="E4" s="206">
        <v>-30033.5</v>
      </c>
      <c r="F4" s="206">
        <v>-33460</v>
      </c>
      <c r="G4" s="271">
        <v>-10080</v>
      </c>
      <c r="H4" s="271">
        <v>0</v>
      </c>
      <c r="I4" s="271">
        <v>0</v>
      </c>
      <c r="J4" s="271">
        <v>0</v>
      </c>
      <c r="K4" s="188">
        <v>0</v>
      </c>
      <c r="L4" s="188">
        <v>0</v>
      </c>
      <c r="M4" s="188">
        <v>0</v>
      </c>
      <c r="N4" s="188">
        <v>0</v>
      </c>
      <c r="O4" s="188">
        <v>0</v>
      </c>
      <c r="P4" s="189">
        <f t="shared" ref="P4:P35" si="0">SUM(D4:O4)</f>
        <v>-101503.5</v>
      </c>
      <c r="Q4" s="200"/>
      <c r="S4" s="279">
        <f>P4+P8+P12+P16+P20+P24+P28+P32+P36+P40+P44+P48+P56+P60+P68</f>
        <v>2206819.73</v>
      </c>
    </row>
    <row r="5" spans="2:19">
      <c r="B5" s="430"/>
      <c r="C5" s="187" t="s">
        <v>158</v>
      </c>
      <c r="D5" s="206">
        <v>0</v>
      </c>
      <c r="E5" s="206">
        <v>0</v>
      </c>
      <c r="F5" s="206">
        <v>0</v>
      </c>
      <c r="G5" s="271">
        <v>0</v>
      </c>
      <c r="H5" s="271">
        <v>0</v>
      </c>
      <c r="I5" s="271">
        <v>0</v>
      </c>
      <c r="J5" s="271">
        <v>0</v>
      </c>
      <c r="K5" s="188">
        <v>0</v>
      </c>
      <c r="L5" s="188">
        <v>0</v>
      </c>
      <c r="M5" s="188">
        <v>0</v>
      </c>
      <c r="N5" s="188">
        <v>0</v>
      </c>
      <c r="O5" s="188">
        <v>0</v>
      </c>
      <c r="P5" s="189">
        <f t="shared" si="0"/>
        <v>0</v>
      </c>
      <c r="Q5" s="200"/>
    </row>
    <row r="6" spans="2:19">
      <c r="B6" s="430"/>
      <c r="C6" s="187" t="s">
        <v>159</v>
      </c>
      <c r="D6" s="206">
        <v>0</v>
      </c>
      <c r="E6" s="206">
        <v>0</v>
      </c>
      <c r="F6" s="206">
        <v>0</v>
      </c>
      <c r="G6" s="271">
        <v>0</v>
      </c>
      <c r="H6" s="271">
        <v>0</v>
      </c>
      <c r="I6" s="271">
        <v>0</v>
      </c>
      <c r="J6" s="271">
        <v>0</v>
      </c>
      <c r="K6" s="188">
        <v>0</v>
      </c>
      <c r="L6" s="188">
        <v>0</v>
      </c>
      <c r="M6" s="188">
        <v>0</v>
      </c>
      <c r="N6" s="188">
        <v>0</v>
      </c>
      <c r="O6" s="188">
        <v>0</v>
      </c>
      <c r="P6" s="189">
        <f t="shared" si="0"/>
        <v>0</v>
      </c>
      <c r="Q6" s="200"/>
    </row>
    <row r="7" spans="2:19">
      <c r="B7" s="430"/>
      <c r="C7" s="193" t="s">
        <v>136</v>
      </c>
      <c r="D7" s="191">
        <f t="shared" ref="D7:O7" si="1">SUM(D4:D6)</f>
        <v>-27930</v>
      </c>
      <c r="E7" s="191">
        <f t="shared" si="1"/>
        <v>-30033.5</v>
      </c>
      <c r="F7" s="191">
        <f t="shared" si="1"/>
        <v>-33460</v>
      </c>
      <c r="G7" s="191">
        <f t="shared" si="1"/>
        <v>-10080</v>
      </c>
      <c r="H7" s="191">
        <f t="shared" si="1"/>
        <v>0</v>
      </c>
      <c r="I7" s="191">
        <f t="shared" si="1"/>
        <v>0</v>
      </c>
      <c r="J7" s="191">
        <f t="shared" si="1"/>
        <v>0</v>
      </c>
      <c r="K7" s="191">
        <f t="shared" si="1"/>
        <v>0</v>
      </c>
      <c r="L7" s="191">
        <f t="shared" si="1"/>
        <v>0</v>
      </c>
      <c r="M7" s="191">
        <f t="shared" si="1"/>
        <v>0</v>
      </c>
      <c r="N7" s="191">
        <f t="shared" si="1"/>
        <v>0</v>
      </c>
      <c r="O7" s="191">
        <f t="shared" si="1"/>
        <v>0</v>
      </c>
      <c r="P7" s="192">
        <f t="shared" si="0"/>
        <v>-101503.5</v>
      </c>
      <c r="Q7" s="200"/>
    </row>
    <row r="8" spans="2:19">
      <c r="B8" s="430" t="s">
        <v>144</v>
      </c>
      <c r="C8" s="187" t="s">
        <v>157</v>
      </c>
      <c r="D8" s="206">
        <v>-36120</v>
      </c>
      <c r="E8" s="206">
        <v>-21210</v>
      </c>
      <c r="F8" s="206">
        <v>-40740</v>
      </c>
      <c r="G8" s="271">
        <v>-16170</v>
      </c>
      <c r="H8" s="271">
        <v>-32690</v>
      </c>
      <c r="I8" s="271">
        <v>-32690</v>
      </c>
      <c r="J8" s="271">
        <v>-32690</v>
      </c>
      <c r="K8" s="188">
        <f>AVERAGE(H8:J8)</f>
        <v>-32690</v>
      </c>
      <c r="L8" s="188">
        <v>-32690</v>
      </c>
      <c r="M8" s="188">
        <f>AVERAGE(J8:L8)</f>
        <v>-32690</v>
      </c>
      <c r="N8" s="188">
        <v>-32690</v>
      </c>
      <c r="O8" s="188">
        <f>AVERAGE(L8:N8)</f>
        <v>-32690</v>
      </c>
      <c r="P8" s="189">
        <f t="shared" si="0"/>
        <v>-375760</v>
      </c>
      <c r="Q8" s="200"/>
    </row>
    <row r="9" spans="2:19">
      <c r="B9" s="430"/>
      <c r="C9" s="187" t="s">
        <v>158</v>
      </c>
      <c r="D9" s="206">
        <v>0</v>
      </c>
      <c r="E9" s="206">
        <v>0</v>
      </c>
      <c r="F9" s="206">
        <v>0</v>
      </c>
      <c r="G9" s="271">
        <v>0</v>
      </c>
      <c r="H9" s="271">
        <v>0</v>
      </c>
      <c r="I9" s="271">
        <v>0</v>
      </c>
      <c r="J9" s="271">
        <v>0</v>
      </c>
      <c r="K9" s="188">
        <v>0</v>
      </c>
      <c r="L9" s="188">
        <v>0</v>
      </c>
      <c r="M9" s="188">
        <v>0</v>
      </c>
      <c r="N9" s="188">
        <v>0</v>
      </c>
      <c r="O9" s="188">
        <v>0</v>
      </c>
      <c r="P9" s="189">
        <f t="shared" si="0"/>
        <v>0</v>
      </c>
      <c r="Q9" s="200"/>
    </row>
    <row r="10" spans="2:19">
      <c r="B10" s="430"/>
      <c r="C10" s="187" t="s">
        <v>159</v>
      </c>
      <c r="D10" s="206">
        <v>0</v>
      </c>
      <c r="E10" s="206">
        <v>0</v>
      </c>
      <c r="F10" s="206">
        <v>0</v>
      </c>
      <c r="G10" s="271">
        <v>0</v>
      </c>
      <c r="H10" s="271">
        <v>0</v>
      </c>
      <c r="I10" s="271">
        <v>0</v>
      </c>
      <c r="J10" s="271">
        <v>0</v>
      </c>
      <c r="K10" s="188">
        <v>0</v>
      </c>
      <c r="L10" s="188">
        <v>0</v>
      </c>
      <c r="M10" s="188">
        <v>0</v>
      </c>
      <c r="N10" s="188">
        <v>0</v>
      </c>
      <c r="O10" s="188">
        <v>0</v>
      </c>
      <c r="P10" s="189">
        <f t="shared" si="0"/>
        <v>0</v>
      </c>
      <c r="Q10" s="200"/>
    </row>
    <row r="11" spans="2:19">
      <c r="B11" s="430"/>
      <c r="C11" s="193" t="s">
        <v>145</v>
      </c>
      <c r="D11" s="191">
        <f t="shared" ref="D11:O11" si="2">SUM(D8:D10)</f>
        <v>-36120</v>
      </c>
      <c r="E11" s="191">
        <f t="shared" si="2"/>
        <v>-21210</v>
      </c>
      <c r="F11" s="191">
        <f t="shared" si="2"/>
        <v>-40740</v>
      </c>
      <c r="G11" s="191">
        <f t="shared" si="2"/>
        <v>-16170</v>
      </c>
      <c r="H11" s="191">
        <f t="shared" si="2"/>
        <v>-32690</v>
      </c>
      <c r="I11" s="191">
        <f t="shared" si="2"/>
        <v>-32690</v>
      </c>
      <c r="J11" s="191">
        <f t="shared" si="2"/>
        <v>-32690</v>
      </c>
      <c r="K11" s="191">
        <f t="shared" si="2"/>
        <v>-32690</v>
      </c>
      <c r="L11" s="191">
        <f t="shared" si="2"/>
        <v>-32690</v>
      </c>
      <c r="M11" s="191">
        <f t="shared" si="2"/>
        <v>-32690</v>
      </c>
      <c r="N11" s="191">
        <f t="shared" si="2"/>
        <v>-32690</v>
      </c>
      <c r="O11" s="191">
        <f t="shared" si="2"/>
        <v>-32690</v>
      </c>
      <c r="P11" s="192">
        <f t="shared" si="0"/>
        <v>-375760</v>
      </c>
      <c r="Q11" s="200"/>
    </row>
    <row r="12" spans="2:19">
      <c r="B12" s="430" t="s">
        <v>147</v>
      </c>
      <c r="C12" s="187" t="s">
        <v>157</v>
      </c>
      <c r="D12" s="206">
        <v>0</v>
      </c>
      <c r="E12" s="206">
        <v>0</v>
      </c>
      <c r="F12" s="206">
        <v>-36820</v>
      </c>
      <c r="G12" s="271">
        <v>0</v>
      </c>
      <c r="H12" s="271">
        <v>0</v>
      </c>
      <c r="I12" s="271">
        <v>0</v>
      </c>
      <c r="J12" s="271">
        <v>0</v>
      </c>
      <c r="K12" s="188">
        <v>0</v>
      </c>
      <c r="L12" s="188">
        <v>0</v>
      </c>
      <c r="M12" s="188">
        <v>0</v>
      </c>
      <c r="N12" s="188">
        <v>0</v>
      </c>
      <c r="O12" s="188">
        <v>0</v>
      </c>
      <c r="P12" s="189">
        <f t="shared" si="0"/>
        <v>-36820</v>
      </c>
      <c r="Q12" s="200"/>
    </row>
    <row r="13" spans="2:19">
      <c r="B13" s="430"/>
      <c r="C13" s="187" t="s">
        <v>158</v>
      </c>
      <c r="D13" s="206">
        <v>0</v>
      </c>
      <c r="E13" s="206">
        <v>0</v>
      </c>
      <c r="F13" s="206">
        <v>0</v>
      </c>
      <c r="G13" s="271">
        <v>0</v>
      </c>
      <c r="H13" s="271">
        <v>0</v>
      </c>
      <c r="I13" s="271">
        <v>0</v>
      </c>
      <c r="J13" s="271">
        <v>0</v>
      </c>
      <c r="K13" s="188">
        <v>0</v>
      </c>
      <c r="L13" s="188">
        <v>0</v>
      </c>
      <c r="M13" s="188">
        <v>0</v>
      </c>
      <c r="N13" s="188">
        <v>0</v>
      </c>
      <c r="O13" s="188">
        <v>0</v>
      </c>
      <c r="P13" s="189">
        <f t="shared" si="0"/>
        <v>0</v>
      </c>
      <c r="Q13" s="200"/>
    </row>
    <row r="14" spans="2:19">
      <c r="B14" s="430"/>
      <c r="C14" s="187" t="s">
        <v>159</v>
      </c>
      <c r="D14" s="206">
        <v>0</v>
      </c>
      <c r="E14" s="206">
        <v>0</v>
      </c>
      <c r="F14" s="206">
        <v>0</v>
      </c>
      <c r="G14" s="271">
        <v>0</v>
      </c>
      <c r="H14" s="271">
        <v>0</v>
      </c>
      <c r="I14" s="271">
        <v>0</v>
      </c>
      <c r="J14" s="271">
        <v>0</v>
      </c>
      <c r="K14" s="188">
        <v>0</v>
      </c>
      <c r="L14" s="188">
        <v>0</v>
      </c>
      <c r="M14" s="188">
        <v>0</v>
      </c>
      <c r="N14" s="188">
        <v>0</v>
      </c>
      <c r="O14" s="188">
        <v>0</v>
      </c>
      <c r="P14" s="189">
        <f t="shared" si="0"/>
        <v>0</v>
      </c>
      <c r="Q14" s="200"/>
    </row>
    <row r="15" spans="2:19">
      <c r="B15" s="430"/>
      <c r="C15" s="193" t="s">
        <v>148</v>
      </c>
      <c r="D15" s="191">
        <f t="shared" ref="D15:O15" si="3">SUM(D12:D14)</f>
        <v>0</v>
      </c>
      <c r="E15" s="191">
        <f t="shared" si="3"/>
        <v>0</v>
      </c>
      <c r="F15" s="191">
        <f t="shared" si="3"/>
        <v>-36820</v>
      </c>
      <c r="G15" s="191">
        <f t="shared" si="3"/>
        <v>0</v>
      </c>
      <c r="H15" s="191">
        <f t="shared" si="3"/>
        <v>0</v>
      </c>
      <c r="I15" s="191">
        <f t="shared" si="3"/>
        <v>0</v>
      </c>
      <c r="J15" s="191">
        <f t="shared" si="3"/>
        <v>0</v>
      </c>
      <c r="K15" s="191">
        <f t="shared" si="3"/>
        <v>0</v>
      </c>
      <c r="L15" s="191">
        <f t="shared" si="3"/>
        <v>0</v>
      </c>
      <c r="M15" s="191">
        <f t="shared" si="3"/>
        <v>0</v>
      </c>
      <c r="N15" s="191">
        <f t="shared" si="3"/>
        <v>0</v>
      </c>
      <c r="O15" s="191">
        <f t="shared" si="3"/>
        <v>0</v>
      </c>
      <c r="P15" s="192">
        <f t="shared" si="0"/>
        <v>-36820</v>
      </c>
      <c r="Q15" s="200"/>
    </row>
    <row r="16" spans="2:19">
      <c r="B16" s="430" t="s">
        <v>64</v>
      </c>
      <c r="C16" s="187" t="s">
        <v>157</v>
      </c>
      <c r="D16" s="206">
        <v>0</v>
      </c>
      <c r="E16" s="206">
        <v>0</v>
      </c>
      <c r="F16" s="206">
        <v>0</v>
      </c>
      <c r="G16" s="271">
        <v>0</v>
      </c>
      <c r="H16" s="271">
        <v>-350000</v>
      </c>
      <c r="I16" s="271">
        <v>0</v>
      </c>
      <c r="J16" s="271">
        <v>0</v>
      </c>
      <c r="K16" s="188">
        <v>0</v>
      </c>
      <c r="L16" s="188">
        <v>0</v>
      </c>
      <c r="M16" s="188">
        <v>0</v>
      </c>
      <c r="N16" s="188">
        <v>0</v>
      </c>
      <c r="O16" s="188">
        <v>0</v>
      </c>
      <c r="P16" s="189">
        <f t="shared" si="0"/>
        <v>-350000</v>
      </c>
      <c r="Q16" s="200"/>
    </row>
    <row r="17" spans="2:17">
      <c r="B17" s="430"/>
      <c r="C17" s="187" t="s">
        <v>158</v>
      </c>
      <c r="D17" s="206">
        <v>-29012.422999999999</v>
      </c>
      <c r="E17" s="206">
        <v>-30451.089</v>
      </c>
      <c r="F17" s="206">
        <v>-30189.037</v>
      </c>
      <c r="G17" s="271">
        <f>AVERAGE(D17:F17)</f>
        <v>-29884.183000000001</v>
      </c>
      <c r="H17" s="271">
        <v>-29884.183000000001</v>
      </c>
      <c r="I17" s="271">
        <v>-29884.183000000001</v>
      </c>
      <c r="J17" s="271">
        <v>0</v>
      </c>
      <c r="K17" s="188">
        <v>0</v>
      </c>
      <c r="L17" s="188">
        <v>0</v>
      </c>
      <c r="M17" s="188">
        <v>0</v>
      </c>
      <c r="N17" s="188">
        <v>0</v>
      </c>
      <c r="O17" s="188">
        <v>0</v>
      </c>
      <c r="P17" s="189">
        <f t="shared" si="0"/>
        <v>-179305.098</v>
      </c>
      <c r="Q17" s="200"/>
    </row>
    <row r="18" spans="2:17">
      <c r="B18" s="430"/>
      <c r="C18" s="187" t="s">
        <v>159</v>
      </c>
      <c r="D18" s="206">
        <v>0</v>
      </c>
      <c r="E18" s="206">
        <v>0</v>
      </c>
      <c r="F18" s="206">
        <v>0</v>
      </c>
      <c r="G18" s="271">
        <v>0</v>
      </c>
      <c r="H18" s="271">
        <v>1106672.9999200001</v>
      </c>
      <c r="I18" s="271">
        <v>0</v>
      </c>
      <c r="J18" s="271">
        <v>0</v>
      </c>
      <c r="K18" s="188">
        <v>0</v>
      </c>
      <c r="L18" s="188">
        <v>147556.39995400002</v>
      </c>
      <c r="M18" s="188">
        <v>0</v>
      </c>
      <c r="N18" s="188">
        <v>0</v>
      </c>
      <c r="O18" s="188">
        <v>0</v>
      </c>
      <c r="P18" s="189">
        <f t="shared" si="0"/>
        <v>1254229.3998740001</v>
      </c>
      <c r="Q18" s="200"/>
    </row>
    <row r="19" spans="2:17">
      <c r="B19" s="430"/>
      <c r="C19" s="193" t="s">
        <v>137</v>
      </c>
      <c r="D19" s="191">
        <f t="shared" ref="D19:O19" si="4">SUM(D16:D18)</f>
        <v>-29012.422999999999</v>
      </c>
      <c r="E19" s="191">
        <f t="shared" si="4"/>
        <v>-30451.089</v>
      </c>
      <c r="F19" s="191">
        <f t="shared" si="4"/>
        <v>-30189.037</v>
      </c>
      <c r="G19" s="191">
        <f t="shared" si="4"/>
        <v>-29884.183000000001</v>
      </c>
      <c r="H19" s="191">
        <f t="shared" si="4"/>
        <v>726788.81692000013</v>
      </c>
      <c r="I19" s="191">
        <f t="shared" si="4"/>
        <v>-29884.183000000001</v>
      </c>
      <c r="J19" s="191">
        <f t="shared" si="4"/>
        <v>0</v>
      </c>
      <c r="K19" s="191">
        <f t="shared" si="4"/>
        <v>0</v>
      </c>
      <c r="L19" s="191">
        <f t="shared" si="4"/>
        <v>147556.39995400002</v>
      </c>
      <c r="M19" s="191">
        <f t="shared" si="4"/>
        <v>0</v>
      </c>
      <c r="N19" s="191">
        <f t="shared" si="4"/>
        <v>0</v>
      </c>
      <c r="O19" s="191">
        <f t="shared" si="4"/>
        <v>0</v>
      </c>
      <c r="P19" s="192">
        <f t="shared" si="0"/>
        <v>724924.30187400023</v>
      </c>
      <c r="Q19" s="200"/>
    </row>
    <row r="20" spans="2:17">
      <c r="B20" s="430" t="s">
        <v>22</v>
      </c>
      <c r="C20" s="187" t="s">
        <v>157</v>
      </c>
      <c r="D20" s="206">
        <v>0</v>
      </c>
      <c r="E20" s="206">
        <v>0</v>
      </c>
      <c r="F20" s="206">
        <v>-8350.1200000000008</v>
      </c>
      <c r="G20" s="271">
        <v>0</v>
      </c>
      <c r="H20" s="271">
        <v>0</v>
      </c>
      <c r="I20" s="271">
        <v>0</v>
      </c>
      <c r="J20" s="271">
        <v>0</v>
      </c>
      <c r="K20" s="188">
        <v>0</v>
      </c>
      <c r="L20" s="188">
        <v>0</v>
      </c>
      <c r="M20" s="188">
        <v>0</v>
      </c>
      <c r="N20" s="188">
        <v>0</v>
      </c>
      <c r="O20" s="188">
        <v>0</v>
      </c>
      <c r="P20" s="189">
        <f t="shared" si="0"/>
        <v>-8350.1200000000008</v>
      </c>
      <c r="Q20" s="200"/>
    </row>
    <row r="21" spans="2:17">
      <c r="B21" s="430"/>
      <c r="C21" s="187" t="s">
        <v>158</v>
      </c>
      <c r="D21" s="206">
        <v>-14506.211499999999</v>
      </c>
      <c r="E21" s="206">
        <v>-15225.5445</v>
      </c>
      <c r="F21" s="206">
        <v>-15094.5185</v>
      </c>
      <c r="G21" s="271">
        <f>AVERAGE(D21:F21)</f>
        <v>-14942.0915</v>
      </c>
      <c r="H21" s="271">
        <v>-14942.0915</v>
      </c>
      <c r="I21" s="271">
        <v>-14942.0915</v>
      </c>
      <c r="J21" s="271">
        <v>0</v>
      </c>
      <c r="K21" s="188">
        <v>0</v>
      </c>
      <c r="L21" s="188">
        <v>0</v>
      </c>
      <c r="M21" s="188">
        <v>0</v>
      </c>
      <c r="N21" s="188">
        <v>0</v>
      </c>
      <c r="O21" s="188">
        <v>0</v>
      </c>
      <c r="P21" s="189">
        <f t="shared" si="0"/>
        <v>-89652.548999999999</v>
      </c>
      <c r="Q21" s="200"/>
    </row>
    <row r="22" spans="2:17">
      <c r="B22" s="430"/>
      <c r="C22" s="187" t="s">
        <v>159</v>
      </c>
      <c r="D22" s="206">
        <v>0</v>
      </c>
      <c r="E22" s="206">
        <v>0</v>
      </c>
      <c r="F22" s="206">
        <v>0</v>
      </c>
      <c r="G22" s="271">
        <v>0</v>
      </c>
      <c r="H22" s="271">
        <v>0</v>
      </c>
      <c r="I22" s="271">
        <v>0</v>
      </c>
      <c r="J22" s="271">
        <v>0</v>
      </c>
      <c r="K22" s="188">
        <f>'Billing Status'!H34*1.06</f>
        <v>465000</v>
      </c>
      <c r="L22" s="188">
        <v>0</v>
      </c>
      <c r="M22" s="188">
        <v>0</v>
      </c>
      <c r="N22" s="188"/>
      <c r="O22" s="188">
        <v>0</v>
      </c>
      <c r="P22" s="189">
        <f t="shared" si="0"/>
        <v>465000</v>
      </c>
      <c r="Q22" s="213"/>
    </row>
    <row r="23" spans="2:17">
      <c r="B23" s="430"/>
      <c r="C23" s="193" t="s">
        <v>138</v>
      </c>
      <c r="D23" s="191">
        <f t="shared" ref="D23:O23" si="5">SUM(D20:D22)</f>
        <v>-14506.211499999999</v>
      </c>
      <c r="E23" s="191">
        <f t="shared" si="5"/>
        <v>-15225.5445</v>
      </c>
      <c r="F23" s="191">
        <f t="shared" si="5"/>
        <v>-23444.638500000001</v>
      </c>
      <c r="G23" s="191">
        <f t="shared" si="5"/>
        <v>-14942.0915</v>
      </c>
      <c r="H23" s="191">
        <f t="shared" si="5"/>
        <v>-14942.0915</v>
      </c>
      <c r="I23" s="191">
        <f t="shared" si="5"/>
        <v>-14942.0915</v>
      </c>
      <c r="J23" s="191">
        <f t="shared" si="5"/>
        <v>0</v>
      </c>
      <c r="K23" s="191">
        <f t="shared" si="5"/>
        <v>465000</v>
      </c>
      <c r="L23" s="191">
        <f t="shared" si="5"/>
        <v>0</v>
      </c>
      <c r="M23" s="191">
        <f t="shared" si="5"/>
        <v>0</v>
      </c>
      <c r="N23" s="191">
        <f t="shared" si="5"/>
        <v>0</v>
      </c>
      <c r="O23" s="191">
        <f t="shared" si="5"/>
        <v>0</v>
      </c>
      <c r="P23" s="192">
        <f t="shared" si="0"/>
        <v>366997.33100000001</v>
      </c>
      <c r="Q23" s="216"/>
    </row>
    <row r="24" spans="2:17">
      <c r="B24" s="430" t="s">
        <v>49</v>
      </c>
      <c r="C24" s="187" t="s">
        <v>157</v>
      </c>
      <c r="D24" s="206">
        <v>-49675.81</v>
      </c>
      <c r="E24" s="206">
        <v>-50062.5</v>
      </c>
      <c r="F24" s="206">
        <v>0</v>
      </c>
      <c r="G24" s="271">
        <v>0</v>
      </c>
      <c r="H24" s="271">
        <v>0</v>
      </c>
      <c r="I24" s="271">
        <v>0</v>
      </c>
      <c r="J24" s="271">
        <v>0</v>
      </c>
      <c r="K24" s="188">
        <v>0</v>
      </c>
      <c r="L24" s="188">
        <v>0</v>
      </c>
      <c r="M24" s="188">
        <v>0</v>
      </c>
      <c r="N24" s="188">
        <v>0</v>
      </c>
      <c r="O24" s="188">
        <v>0</v>
      </c>
      <c r="P24" s="189">
        <f t="shared" si="0"/>
        <v>-99738.31</v>
      </c>
      <c r="Q24" s="200"/>
    </row>
    <row r="25" spans="2:17">
      <c r="B25" s="430"/>
      <c r="C25" s="187" t="s">
        <v>158</v>
      </c>
      <c r="D25" s="206">
        <v>0</v>
      </c>
      <c r="E25" s="206">
        <v>0</v>
      </c>
      <c r="F25" s="206">
        <v>0</v>
      </c>
      <c r="G25" s="271">
        <v>0</v>
      </c>
      <c r="H25" s="271">
        <v>0</v>
      </c>
      <c r="I25" s="271">
        <v>0</v>
      </c>
      <c r="J25" s="271">
        <v>0</v>
      </c>
      <c r="K25" s="188">
        <v>0</v>
      </c>
      <c r="L25" s="188">
        <v>0</v>
      </c>
      <c r="M25" s="188">
        <v>0</v>
      </c>
      <c r="N25" s="188">
        <v>0</v>
      </c>
      <c r="O25" s="188">
        <v>0</v>
      </c>
      <c r="P25" s="189">
        <f t="shared" si="0"/>
        <v>0</v>
      </c>
      <c r="Q25" s="200"/>
    </row>
    <row r="26" spans="2:17">
      <c r="B26" s="430"/>
      <c r="C26" s="187" t="s">
        <v>159</v>
      </c>
      <c r="D26" s="206">
        <v>0</v>
      </c>
      <c r="E26" s="206">
        <v>0</v>
      </c>
      <c r="F26" s="206">
        <v>0</v>
      </c>
      <c r="G26" s="271">
        <v>0</v>
      </c>
      <c r="H26" s="271">
        <v>0</v>
      </c>
      <c r="I26" s="271">
        <v>0</v>
      </c>
      <c r="J26" s="271">
        <v>0</v>
      </c>
      <c r="K26" s="188">
        <v>0</v>
      </c>
      <c r="L26" s="188">
        <v>0</v>
      </c>
      <c r="M26" s="188">
        <v>0</v>
      </c>
      <c r="N26" s="188">
        <v>0</v>
      </c>
      <c r="O26" s="188">
        <v>0</v>
      </c>
      <c r="P26" s="189">
        <f t="shared" si="0"/>
        <v>0</v>
      </c>
      <c r="Q26" s="200"/>
    </row>
    <row r="27" spans="2:17">
      <c r="B27" s="430"/>
      <c r="C27" s="193" t="s">
        <v>139</v>
      </c>
      <c r="D27" s="191">
        <f t="shared" ref="D27:O27" si="6">SUM(D24:D26)</f>
        <v>-49675.81</v>
      </c>
      <c r="E27" s="191">
        <f t="shared" si="6"/>
        <v>-50062.5</v>
      </c>
      <c r="F27" s="191">
        <f t="shared" si="6"/>
        <v>0</v>
      </c>
      <c r="G27" s="191">
        <f t="shared" si="6"/>
        <v>0</v>
      </c>
      <c r="H27" s="191">
        <f t="shared" si="6"/>
        <v>0</v>
      </c>
      <c r="I27" s="191">
        <f t="shared" si="6"/>
        <v>0</v>
      </c>
      <c r="J27" s="191">
        <f t="shared" si="6"/>
        <v>0</v>
      </c>
      <c r="K27" s="191">
        <f t="shared" si="6"/>
        <v>0</v>
      </c>
      <c r="L27" s="191">
        <f t="shared" si="6"/>
        <v>0</v>
      </c>
      <c r="M27" s="191">
        <f t="shared" si="6"/>
        <v>0</v>
      </c>
      <c r="N27" s="191">
        <f t="shared" si="6"/>
        <v>0</v>
      </c>
      <c r="O27" s="191">
        <f t="shared" si="6"/>
        <v>0</v>
      </c>
      <c r="P27" s="192">
        <f t="shared" si="0"/>
        <v>-99738.31</v>
      </c>
      <c r="Q27" s="200"/>
    </row>
    <row r="28" spans="2:17">
      <c r="B28" s="430" t="s">
        <v>51</v>
      </c>
      <c r="C28" s="187" t="s">
        <v>157</v>
      </c>
      <c r="D28" s="206">
        <v>-41668.25</v>
      </c>
      <c r="E28" s="206">
        <v>-13896.75</v>
      </c>
      <c r="F28" s="206">
        <v>-41235.75</v>
      </c>
      <c r="G28" s="271">
        <v>0</v>
      </c>
      <c r="H28" s="271">
        <v>0</v>
      </c>
      <c r="I28" s="271">
        <v>0</v>
      </c>
      <c r="J28" s="271">
        <v>0</v>
      </c>
      <c r="K28" s="188">
        <v>0</v>
      </c>
      <c r="L28" s="188">
        <v>0</v>
      </c>
      <c r="M28" s="188">
        <v>0</v>
      </c>
      <c r="N28" s="188">
        <v>0</v>
      </c>
      <c r="O28" s="188">
        <v>0</v>
      </c>
      <c r="P28" s="189">
        <f t="shared" si="0"/>
        <v>-96800.75</v>
      </c>
      <c r="Q28" s="200"/>
    </row>
    <row r="29" spans="2:17">
      <c r="B29" s="430"/>
      <c r="C29" s="187" t="s">
        <v>158</v>
      </c>
      <c r="D29" s="206">
        <v>-14506.211499999999</v>
      </c>
      <c r="E29" s="206">
        <v>-15225.5445</v>
      </c>
      <c r="F29" s="206">
        <v>-15094.5185</v>
      </c>
      <c r="G29" s="271">
        <v>0</v>
      </c>
      <c r="H29" s="271">
        <v>0</v>
      </c>
      <c r="I29" s="271">
        <v>0</v>
      </c>
      <c r="J29" s="271">
        <v>0</v>
      </c>
      <c r="K29" s="188">
        <v>0</v>
      </c>
      <c r="L29" s="188">
        <v>0</v>
      </c>
      <c r="M29" s="188">
        <v>0</v>
      </c>
      <c r="N29" s="188">
        <v>0</v>
      </c>
      <c r="O29" s="188">
        <v>0</v>
      </c>
      <c r="P29" s="189">
        <f t="shared" si="0"/>
        <v>-44826.2745</v>
      </c>
      <c r="Q29" s="200"/>
    </row>
    <row r="30" spans="2:17">
      <c r="B30" s="430"/>
      <c r="C30" s="187" t="s">
        <v>159</v>
      </c>
      <c r="D30" s="206">
        <v>0</v>
      </c>
      <c r="E30" s="206">
        <v>0</v>
      </c>
      <c r="F30" s="206">
        <v>0</v>
      </c>
      <c r="G30" s="271">
        <v>0</v>
      </c>
      <c r="H30" s="271">
        <v>0</v>
      </c>
      <c r="I30" s="271">
        <v>0</v>
      </c>
      <c r="J30" s="271">
        <v>0</v>
      </c>
      <c r="K30" s="188">
        <v>0</v>
      </c>
      <c r="L30" s="188">
        <v>0</v>
      </c>
      <c r="M30" s="188">
        <v>0</v>
      </c>
      <c r="N30" s="188">
        <v>0</v>
      </c>
      <c r="O30" s="188">
        <v>0</v>
      </c>
      <c r="P30" s="189">
        <f t="shared" si="0"/>
        <v>0</v>
      </c>
      <c r="Q30" s="200"/>
    </row>
    <row r="31" spans="2:17">
      <c r="B31" s="430"/>
      <c r="C31" s="193" t="s">
        <v>140</v>
      </c>
      <c r="D31" s="191">
        <f t="shared" ref="D31:O31" si="7">SUM(D28:D30)</f>
        <v>-56174.461499999998</v>
      </c>
      <c r="E31" s="191">
        <f t="shared" si="7"/>
        <v>-29122.2945</v>
      </c>
      <c r="F31" s="191">
        <f t="shared" si="7"/>
        <v>-56330.268499999998</v>
      </c>
      <c r="G31" s="191">
        <f t="shared" si="7"/>
        <v>0</v>
      </c>
      <c r="H31" s="191">
        <f t="shared" si="7"/>
        <v>0</v>
      </c>
      <c r="I31" s="191">
        <f t="shared" si="7"/>
        <v>0</v>
      </c>
      <c r="J31" s="191">
        <f t="shared" si="7"/>
        <v>0</v>
      </c>
      <c r="K31" s="191">
        <f t="shared" si="7"/>
        <v>0</v>
      </c>
      <c r="L31" s="191">
        <f t="shared" si="7"/>
        <v>0</v>
      </c>
      <c r="M31" s="191">
        <f t="shared" si="7"/>
        <v>0</v>
      </c>
      <c r="N31" s="191">
        <f t="shared" si="7"/>
        <v>0</v>
      </c>
      <c r="O31" s="191">
        <f t="shared" si="7"/>
        <v>0</v>
      </c>
      <c r="P31" s="192">
        <f t="shared" si="0"/>
        <v>-141627.0245</v>
      </c>
      <c r="Q31" s="200"/>
    </row>
    <row r="32" spans="2:17">
      <c r="B32" s="430" t="s">
        <v>28</v>
      </c>
      <c r="C32" s="187" t="s">
        <v>157</v>
      </c>
      <c r="D32" s="206">
        <v>-26936.25</v>
      </c>
      <c r="E32" s="206">
        <v>0</v>
      </c>
      <c r="F32" s="206">
        <v>0</v>
      </c>
      <c r="G32" s="271">
        <v>0</v>
      </c>
      <c r="H32" s="271">
        <v>0</v>
      </c>
      <c r="I32" s="271">
        <v>0</v>
      </c>
      <c r="J32" s="271">
        <v>0</v>
      </c>
      <c r="K32" s="188">
        <v>0</v>
      </c>
      <c r="L32" s="188">
        <v>0</v>
      </c>
      <c r="M32" s="188">
        <v>0</v>
      </c>
      <c r="N32" s="188">
        <v>0</v>
      </c>
      <c r="O32" s="188">
        <v>0</v>
      </c>
      <c r="P32" s="189">
        <f t="shared" si="0"/>
        <v>-26936.25</v>
      </c>
      <c r="Q32" s="200"/>
    </row>
    <row r="33" spans="2:18">
      <c r="B33" s="430"/>
      <c r="C33" s="187" t="s">
        <v>158</v>
      </c>
      <c r="D33" s="206">
        <v>0</v>
      </c>
      <c r="E33" s="206">
        <v>0</v>
      </c>
      <c r="F33" s="206">
        <v>0</v>
      </c>
      <c r="G33" s="271">
        <v>0</v>
      </c>
      <c r="H33" s="271">
        <v>0</v>
      </c>
      <c r="I33" s="271">
        <v>0</v>
      </c>
      <c r="J33" s="271">
        <v>0</v>
      </c>
      <c r="K33" s="188">
        <v>0</v>
      </c>
      <c r="L33" s="188">
        <v>0</v>
      </c>
      <c r="M33" s="188">
        <v>0</v>
      </c>
      <c r="N33" s="188">
        <v>0</v>
      </c>
      <c r="O33" s="188">
        <v>0</v>
      </c>
      <c r="P33" s="189">
        <f t="shared" si="0"/>
        <v>0</v>
      </c>
      <c r="Q33" s="200"/>
      <c r="R33" s="205"/>
    </row>
    <row r="34" spans="2:18">
      <c r="B34" s="430"/>
      <c r="C34" s="187" t="s">
        <v>159</v>
      </c>
      <c r="D34" s="206">
        <v>0</v>
      </c>
      <c r="E34" s="206">
        <v>0</v>
      </c>
      <c r="F34" s="206">
        <v>0</v>
      </c>
      <c r="G34" s="271">
        <v>0</v>
      </c>
      <c r="H34" s="271">
        <v>0</v>
      </c>
      <c r="I34" s="271">
        <v>0</v>
      </c>
      <c r="J34" s="271">
        <v>0</v>
      </c>
      <c r="K34" s="188">
        <v>0</v>
      </c>
      <c r="L34" s="188">
        <v>0</v>
      </c>
      <c r="M34" s="188">
        <v>0</v>
      </c>
      <c r="N34" s="188">
        <v>0</v>
      </c>
      <c r="O34" s="188">
        <v>0</v>
      </c>
      <c r="P34" s="189">
        <f t="shared" si="0"/>
        <v>0</v>
      </c>
      <c r="Q34" s="200"/>
    </row>
    <row r="35" spans="2:18">
      <c r="B35" s="430"/>
      <c r="C35" s="193" t="s">
        <v>141</v>
      </c>
      <c r="D35" s="191">
        <f t="shared" ref="D35:O35" si="8">SUM(D32:D34)</f>
        <v>-26936.25</v>
      </c>
      <c r="E35" s="191">
        <f t="shared" si="8"/>
        <v>0</v>
      </c>
      <c r="F35" s="191">
        <f t="shared" si="8"/>
        <v>0</v>
      </c>
      <c r="G35" s="191">
        <f t="shared" si="8"/>
        <v>0</v>
      </c>
      <c r="H35" s="191">
        <f t="shared" si="8"/>
        <v>0</v>
      </c>
      <c r="I35" s="191">
        <f t="shared" si="8"/>
        <v>0</v>
      </c>
      <c r="J35" s="191">
        <f t="shared" si="8"/>
        <v>0</v>
      </c>
      <c r="K35" s="191">
        <f t="shared" si="8"/>
        <v>0</v>
      </c>
      <c r="L35" s="191">
        <f t="shared" si="8"/>
        <v>0</v>
      </c>
      <c r="M35" s="191">
        <f t="shared" si="8"/>
        <v>0</v>
      </c>
      <c r="N35" s="191">
        <f t="shared" si="8"/>
        <v>0</v>
      </c>
      <c r="O35" s="191">
        <f t="shared" si="8"/>
        <v>0</v>
      </c>
      <c r="P35" s="192">
        <f t="shared" si="0"/>
        <v>-26936.25</v>
      </c>
      <c r="Q35" s="200"/>
    </row>
    <row r="36" spans="2:18">
      <c r="B36" s="430" t="s">
        <v>27</v>
      </c>
      <c r="C36" s="187" t="s">
        <v>157</v>
      </c>
      <c r="D36" s="206">
        <v>-4874.84</v>
      </c>
      <c r="E36" s="206">
        <v>0</v>
      </c>
      <c r="F36" s="206">
        <v>0</v>
      </c>
      <c r="G36" s="271">
        <v>0</v>
      </c>
      <c r="H36" s="271">
        <v>0</v>
      </c>
      <c r="I36" s="271">
        <v>0</v>
      </c>
      <c r="J36" s="271">
        <v>0</v>
      </c>
      <c r="K36" s="188">
        <v>0</v>
      </c>
      <c r="L36" s="188">
        <v>0</v>
      </c>
      <c r="M36" s="188">
        <v>0</v>
      </c>
      <c r="N36" s="188">
        <v>0</v>
      </c>
      <c r="O36" s="188">
        <v>0</v>
      </c>
      <c r="P36" s="189">
        <f t="shared" ref="P36:P67" si="9">SUM(D36:O36)</f>
        <v>-4874.84</v>
      </c>
      <c r="Q36" s="200"/>
    </row>
    <row r="37" spans="2:18">
      <c r="B37" s="430"/>
      <c r="C37" s="187" t="s">
        <v>158</v>
      </c>
      <c r="D37" s="206">
        <v>-14506.211499999999</v>
      </c>
      <c r="E37" s="206">
        <v>-15225.5445</v>
      </c>
      <c r="F37" s="206">
        <v>-15094.5185</v>
      </c>
      <c r="G37" s="271">
        <v>0</v>
      </c>
      <c r="H37" s="271">
        <v>0</v>
      </c>
      <c r="I37" s="271">
        <v>0</v>
      </c>
      <c r="J37" s="271">
        <v>0</v>
      </c>
      <c r="K37" s="188">
        <v>0</v>
      </c>
      <c r="L37" s="188">
        <v>0</v>
      </c>
      <c r="M37" s="188">
        <v>0</v>
      </c>
      <c r="N37" s="188">
        <v>0</v>
      </c>
      <c r="O37" s="188">
        <v>0</v>
      </c>
      <c r="P37" s="189">
        <f t="shared" si="9"/>
        <v>-44826.2745</v>
      </c>
      <c r="Q37" s="200"/>
    </row>
    <row r="38" spans="2:18">
      <c r="B38" s="430"/>
      <c r="C38" s="187" t="s">
        <v>159</v>
      </c>
      <c r="D38" s="206"/>
      <c r="E38" s="206"/>
      <c r="F38" s="206">
        <v>503999.99998600001</v>
      </c>
      <c r="G38" s="271">
        <v>0</v>
      </c>
      <c r="H38" s="271">
        <v>0</v>
      </c>
      <c r="I38" s="271">
        <v>0</v>
      </c>
      <c r="J38" s="271">
        <v>0</v>
      </c>
      <c r="K38" s="188">
        <v>0</v>
      </c>
      <c r="L38" s="188">
        <v>167999.99995999999</v>
      </c>
      <c r="M38" s="188">
        <v>0</v>
      </c>
      <c r="N38" s="188">
        <v>0</v>
      </c>
      <c r="O38" s="188">
        <v>0</v>
      </c>
      <c r="P38" s="189">
        <f t="shared" si="9"/>
        <v>671999.99994600005</v>
      </c>
      <c r="Q38" s="200"/>
    </row>
    <row r="39" spans="2:18">
      <c r="B39" s="430"/>
      <c r="C39" s="193" t="s">
        <v>142</v>
      </c>
      <c r="D39" s="191">
        <f t="shared" ref="D39:O39" si="10">SUM(D36:D38)</f>
        <v>-19381.051500000001</v>
      </c>
      <c r="E39" s="191">
        <f t="shared" si="10"/>
        <v>-15225.5445</v>
      </c>
      <c r="F39" s="191">
        <f t="shared" si="10"/>
        <v>488905.481486</v>
      </c>
      <c r="G39" s="191">
        <f t="shared" si="10"/>
        <v>0</v>
      </c>
      <c r="H39" s="191">
        <f t="shared" si="10"/>
        <v>0</v>
      </c>
      <c r="I39" s="191">
        <f t="shared" si="10"/>
        <v>0</v>
      </c>
      <c r="J39" s="191">
        <f t="shared" si="10"/>
        <v>0</v>
      </c>
      <c r="K39" s="191">
        <f t="shared" si="10"/>
        <v>0</v>
      </c>
      <c r="L39" s="191">
        <f t="shared" si="10"/>
        <v>167999.99995999999</v>
      </c>
      <c r="M39" s="191">
        <f t="shared" si="10"/>
        <v>0</v>
      </c>
      <c r="N39" s="191">
        <f t="shared" si="10"/>
        <v>0</v>
      </c>
      <c r="O39" s="191">
        <f t="shared" si="10"/>
        <v>0</v>
      </c>
      <c r="P39" s="192">
        <f t="shared" si="9"/>
        <v>622298.88544599991</v>
      </c>
      <c r="Q39" s="200"/>
    </row>
    <row r="40" spans="2:18">
      <c r="B40" s="430" t="s">
        <v>16</v>
      </c>
      <c r="C40" s="187" t="s">
        <v>157</v>
      </c>
      <c r="D40" s="206">
        <v>-56280</v>
      </c>
      <c r="E40" s="206">
        <v>-37000.5</v>
      </c>
      <c r="F40" s="206">
        <v>0</v>
      </c>
      <c r="G40" s="271">
        <v>0</v>
      </c>
      <c r="H40" s="271">
        <v>0</v>
      </c>
      <c r="I40" s="271">
        <v>0</v>
      </c>
      <c r="J40" s="271">
        <v>0</v>
      </c>
      <c r="K40" s="188">
        <v>0</v>
      </c>
      <c r="L40" s="188">
        <v>0</v>
      </c>
      <c r="M40" s="188">
        <v>0</v>
      </c>
      <c r="N40" s="188">
        <v>0</v>
      </c>
      <c r="O40" s="188">
        <v>0</v>
      </c>
      <c r="P40" s="189">
        <f t="shared" si="9"/>
        <v>-93280.5</v>
      </c>
      <c r="Q40" s="200"/>
    </row>
    <row r="41" spans="2:18">
      <c r="B41" s="430"/>
      <c r="C41" s="187" t="s">
        <v>158</v>
      </c>
      <c r="D41" s="206">
        <v>0</v>
      </c>
      <c r="E41" s="206">
        <v>0</v>
      </c>
      <c r="F41" s="272">
        <v>0</v>
      </c>
      <c r="G41" s="271">
        <v>0</v>
      </c>
      <c r="H41" s="271">
        <v>0</v>
      </c>
      <c r="I41" s="271">
        <v>0</v>
      </c>
      <c r="J41" s="271">
        <v>0</v>
      </c>
      <c r="K41" s="188">
        <v>0</v>
      </c>
      <c r="L41" s="188">
        <v>0</v>
      </c>
      <c r="M41" s="188">
        <v>0</v>
      </c>
      <c r="N41" s="188">
        <v>0</v>
      </c>
      <c r="O41" s="188">
        <v>0</v>
      </c>
      <c r="P41" s="189">
        <f t="shared" si="9"/>
        <v>0</v>
      </c>
      <c r="Q41" s="200"/>
    </row>
    <row r="42" spans="2:18">
      <c r="B42" s="430"/>
      <c r="C42" s="187" t="s">
        <v>159</v>
      </c>
      <c r="D42" s="206">
        <v>0</v>
      </c>
      <c r="E42" s="206">
        <v>0</v>
      </c>
      <c r="F42" s="206">
        <v>0</v>
      </c>
      <c r="G42" s="271">
        <v>0</v>
      </c>
      <c r="H42" s="271">
        <v>0</v>
      </c>
      <c r="I42" s="271">
        <v>0</v>
      </c>
      <c r="J42" s="271">
        <v>0</v>
      </c>
      <c r="K42" s="188">
        <v>0</v>
      </c>
      <c r="L42" s="188">
        <v>0</v>
      </c>
      <c r="M42" s="188">
        <v>0</v>
      </c>
      <c r="N42" s="188">
        <v>0</v>
      </c>
      <c r="O42" s="188">
        <v>0</v>
      </c>
      <c r="P42" s="189">
        <f t="shared" si="9"/>
        <v>0</v>
      </c>
      <c r="Q42" s="200"/>
    </row>
    <row r="43" spans="2:18">
      <c r="B43" s="430"/>
      <c r="C43" s="193" t="s">
        <v>143</v>
      </c>
      <c r="D43" s="191">
        <f t="shared" ref="D43:O43" si="11">SUM(D40:D42)</f>
        <v>-56280</v>
      </c>
      <c r="E43" s="191">
        <f t="shared" si="11"/>
        <v>-37000.5</v>
      </c>
      <c r="F43" s="191">
        <f t="shared" si="11"/>
        <v>0</v>
      </c>
      <c r="G43" s="191">
        <f t="shared" si="11"/>
        <v>0</v>
      </c>
      <c r="H43" s="191">
        <f t="shared" si="11"/>
        <v>0</v>
      </c>
      <c r="I43" s="191">
        <f t="shared" si="11"/>
        <v>0</v>
      </c>
      <c r="J43" s="191">
        <f t="shared" si="11"/>
        <v>0</v>
      </c>
      <c r="K43" s="191">
        <f t="shared" si="11"/>
        <v>0</v>
      </c>
      <c r="L43" s="191">
        <f t="shared" si="11"/>
        <v>0</v>
      </c>
      <c r="M43" s="191">
        <f t="shared" si="11"/>
        <v>0</v>
      </c>
      <c r="N43" s="191">
        <f t="shared" si="11"/>
        <v>0</v>
      </c>
      <c r="O43" s="191">
        <f t="shared" si="11"/>
        <v>0</v>
      </c>
      <c r="P43" s="192">
        <f t="shared" si="9"/>
        <v>-93280.5</v>
      </c>
      <c r="Q43" s="200"/>
    </row>
    <row r="44" spans="2:18">
      <c r="B44" s="430" t="s">
        <v>181</v>
      </c>
      <c r="C44" s="187" t="s">
        <v>157</v>
      </c>
      <c r="D44" s="206">
        <v>0</v>
      </c>
      <c r="E44" s="206">
        <v>0</v>
      </c>
      <c r="F44" s="206">
        <v>-2700</v>
      </c>
      <c r="G44" s="271">
        <v>0</v>
      </c>
      <c r="H44" s="271">
        <v>0</v>
      </c>
      <c r="I44" s="271">
        <v>0</v>
      </c>
      <c r="J44" s="271">
        <v>0</v>
      </c>
      <c r="K44" s="188">
        <v>0</v>
      </c>
      <c r="L44" s="188">
        <v>0</v>
      </c>
      <c r="M44" s="188">
        <v>0</v>
      </c>
      <c r="N44" s="188">
        <v>0</v>
      </c>
      <c r="O44" s="188">
        <v>0</v>
      </c>
      <c r="P44" s="189">
        <f t="shared" si="9"/>
        <v>-2700</v>
      </c>
      <c r="Q44" s="200"/>
    </row>
    <row r="45" spans="2:18">
      <c r="B45" s="430"/>
      <c r="C45" s="187" t="s">
        <v>158</v>
      </c>
      <c r="D45" s="206">
        <v>-14506.211499999999</v>
      </c>
      <c r="E45" s="206">
        <v>-15225.5445</v>
      </c>
      <c r="F45" s="206">
        <v>-15094.5185</v>
      </c>
      <c r="G45" s="271">
        <f>AVERAGE(D45:F45)</f>
        <v>-14942.0915</v>
      </c>
      <c r="H45" s="271">
        <v>-14942.0915</v>
      </c>
      <c r="I45" s="271">
        <v>-14942.0915</v>
      </c>
      <c r="J45" s="271">
        <v>0</v>
      </c>
      <c r="K45" s="188">
        <v>0</v>
      </c>
      <c r="L45" s="188">
        <v>0</v>
      </c>
      <c r="M45" s="188">
        <v>0</v>
      </c>
      <c r="N45" s="188">
        <v>0</v>
      </c>
      <c r="O45" s="188">
        <v>0</v>
      </c>
      <c r="P45" s="189">
        <f t="shared" si="9"/>
        <v>-89652.548999999999</v>
      </c>
      <c r="Q45" s="200"/>
    </row>
    <row r="46" spans="2:18">
      <c r="B46" s="430"/>
      <c r="C46" s="187" t="s">
        <v>159</v>
      </c>
      <c r="D46" s="206">
        <v>0</v>
      </c>
      <c r="E46" s="206">
        <v>0</v>
      </c>
      <c r="F46" s="206">
        <v>0</v>
      </c>
      <c r="G46" s="271">
        <v>0</v>
      </c>
      <c r="H46" s="271">
        <v>409199.99994800007</v>
      </c>
      <c r="I46" s="271">
        <v>0</v>
      </c>
      <c r="J46" s="271">
        <v>0</v>
      </c>
      <c r="K46" s="188">
        <v>0</v>
      </c>
      <c r="L46" s="188">
        <v>0</v>
      </c>
      <c r="M46" s="188">
        <v>0</v>
      </c>
      <c r="N46" s="188">
        <v>0</v>
      </c>
      <c r="O46" s="188">
        <v>0</v>
      </c>
      <c r="P46" s="189">
        <f t="shared" si="9"/>
        <v>409199.99994800007</v>
      </c>
      <c r="Q46" s="200"/>
    </row>
    <row r="47" spans="2:18">
      <c r="B47" s="430"/>
      <c r="C47" s="193" t="s">
        <v>146</v>
      </c>
      <c r="D47" s="191">
        <f t="shared" ref="D47:O47" si="12">SUM(D44:D46)</f>
        <v>-14506.211499999999</v>
      </c>
      <c r="E47" s="191">
        <f t="shared" si="12"/>
        <v>-15225.5445</v>
      </c>
      <c r="F47" s="191">
        <f t="shared" si="12"/>
        <v>-17794.518499999998</v>
      </c>
      <c r="G47" s="191">
        <f t="shared" si="12"/>
        <v>-14942.0915</v>
      </c>
      <c r="H47" s="191">
        <f t="shared" si="12"/>
        <v>394257.90844800009</v>
      </c>
      <c r="I47" s="191">
        <f t="shared" si="12"/>
        <v>-14942.0915</v>
      </c>
      <c r="J47" s="191">
        <f t="shared" si="12"/>
        <v>0</v>
      </c>
      <c r="K47" s="191">
        <f t="shared" si="12"/>
        <v>0</v>
      </c>
      <c r="L47" s="191">
        <f t="shared" si="12"/>
        <v>0</v>
      </c>
      <c r="M47" s="191">
        <f t="shared" si="12"/>
        <v>0</v>
      </c>
      <c r="N47" s="191">
        <f t="shared" si="12"/>
        <v>0</v>
      </c>
      <c r="O47" s="191">
        <f t="shared" si="12"/>
        <v>0</v>
      </c>
      <c r="P47" s="192">
        <f t="shared" si="9"/>
        <v>316847.45094800013</v>
      </c>
      <c r="Q47" s="200"/>
    </row>
    <row r="48" spans="2:18">
      <c r="B48" s="430" t="s">
        <v>182</v>
      </c>
      <c r="C48" s="187" t="s">
        <v>157</v>
      </c>
      <c r="D48" s="206">
        <v>0</v>
      </c>
      <c r="E48" s="206">
        <v>0</v>
      </c>
      <c r="F48" s="206">
        <v>0</v>
      </c>
      <c r="G48" s="271">
        <v>-3360</v>
      </c>
      <c r="H48" s="271">
        <v>-67285</v>
      </c>
      <c r="I48" s="271">
        <v>-111792.45999999999</v>
      </c>
      <c r="J48" s="271">
        <v>-70987</v>
      </c>
      <c r="K48" s="189">
        <f>($P$48-SUM($G$48:$J$48))/5</f>
        <v>-99315.108000000007</v>
      </c>
      <c r="L48" s="189">
        <f t="shared" ref="L48:O48" si="13">($P$48-SUM($G$48:$J$48))/5</f>
        <v>-99315.108000000007</v>
      </c>
      <c r="M48" s="189">
        <f t="shared" si="13"/>
        <v>-99315.108000000007</v>
      </c>
      <c r="N48" s="189">
        <f t="shared" si="13"/>
        <v>-99315.108000000007</v>
      </c>
      <c r="O48" s="189">
        <f t="shared" si="13"/>
        <v>-99315.108000000007</v>
      </c>
      <c r="P48" s="189">
        <v>-750000</v>
      </c>
      <c r="Q48" s="200"/>
      <c r="R48" s="1">
        <f>P48</f>
        <v>-750000</v>
      </c>
    </row>
    <row r="49" spans="2:19">
      <c r="B49" s="430"/>
      <c r="C49" s="187" t="s">
        <v>158</v>
      </c>
      <c r="D49" s="206">
        <v>-14506.211499999999</v>
      </c>
      <c r="E49" s="206">
        <v>-15225.5445</v>
      </c>
      <c r="F49" s="206">
        <v>-15094.5185</v>
      </c>
      <c r="G49" s="271">
        <f>AVERAGE(D49:F49)</f>
        <v>-14942.0915</v>
      </c>
      <c r="H49" s="271">
        <v>-14942.0915</v>
      </c>
      <c r="I49" s="271">
        <v>-14941.0915</v>
      </c>
      <c r="J49" s="271">
        <v>-14940.0915</v>
      </c>
      <c r="K49" s="188">
        <v>-14939.0915</v>
      </c>
      <c r="L49" s="188">
        <v>-14938.0915</v>
      </c>
      <c r="M49" s="188">
        <v>-14937.0915</v>
      </c>
      <c r="N49" s="188">
        <v>-14936.0915</v>
      </c>
      <c r="O49" s="188">
        <v>-14935.0915</v>
      </c>
      <c r="P49" s="189">
        <f t="shared" si="9"/>
        <v>-179277.09800000003</v>
      </c>
      <c r="Q49" s="200">
        <v>45000</v>
      </c>
      <c r="R49">
        <f>Q49</f>
        <v>45000</v>
      </c>
    </row>
    <row r="50" spans="2:19">
      <c r="B50" s="430"/>
      <c r="C50" s="187" t="s">
        <v>159</v>
      </c>
      <c r="D50" s="206">
        <v>0</v>
      </c>
      <c r="E50" s="206">
        <v>0</v>
      </c>
      <c r="F50" s="206">
        <v>0</v>
      </c>
      <c r="G50" s="271">
        <v>0</v>
      </c>
      <c r="H50" s="271">
        <v>0</v>
      </c>
      <c r="I50" s="271">
        <v>0</v>
      </c>
      <c r="J50" s="271">
        <v>0</v>
      </c>
      <c r="K50" s="188">
        <v>345000.00200000004</v>
      </c>
      <c r="L50" s="188">
        <v>0</v>
      </c>
      <c r="M50" s="188">
        <v>0</v>
      </c>
      <c r="N50" s="188">
        <v>0</v>
      </c>
      <c r="O50" s="188">
        <v>459999.98500000004</v>
      </c>
      <c r="P50" s="189">
        <f t="shared" si="9"/>
        <v>804999.98700000008</v>
      </c>
      <c r="Q50" s="200">
        <v>200000</v>
      </c>
      <c r="R50" s="1">
        <f>Q50+P50</f>
        <v>1004999.9870000001</v>
      </c>
    </row>
    <row r="51" spans="2:19">
      <c r="B51" s="430"/>
      <c r="C51" s="193" t="s">
        <v>149</v>
      </c>
      <c r="D51" s="191">
        <f t="shared" ref="D51:O51" si="14">SUM(D48:D50)</f>
        <v>-14506.211499999999</v>
      </c>
      <c r="E51" s="191">
        <f t="shared" si="14"/>
        <v>-15225.5445</v>
      </c>
      <c r="F51" s="191">
        <f t="shared" si="14"/>
        <v>-15094.5185</v>
      </c>
      <c r="G51" s="191">
        <f t="shared" si="14"/>
        <v>-18302.091500000002</v>
      </c>
      <c r="H51" s="191">
        <f t="shared" si="14"/>
        <v>-82227.091499999995</v>
      </c>
      <c r="I51" s="191">
        <f t="shared" si="14"/>
        <v>-126733.55149999999</v>
      </c>
      <c r="J51" s="191">
        <f t="shared" si="14"/>
        <v>-85927.091499999995</v>
      </c>
      <c r="K51" s="191">
        <f t="shared" si="14"/>
        <v>230745.80250000005</v>
      </c>
      <c r="L51" s="191">
        <f t="shared" si="14"/>
        <v>-114253.1995</v>
      </c>
      <c r="M51" s="191">
        <f t="shared" si="14"/>
        <v>-114252.1995</v>
      </c>
      <c r="N51" s="191">
        <f t="shared" si="14"/>
        <v>-114251.1995</v>
      </c>
      <c r="O51" s="191">
        <f t="shared" si="14"/>
        <v>345749.78550000006</v>
      </c>
      <c r="P51" s="192">
        <f t="shared" si="9"/>
        <v>-124277.1109999998</v>
      </c>
      <c r="Q51" s="200"/>
    </row>
    <row r="52" spans="2:19">
      <c r="B52" s="430" t="s">
        <v>134</v>
      </c>
      <c r="C52" s="187" t="s">
        <v>157</v>
      </c>
      <c r="D52" s="206">
        <v>0</v>
      </c>
      <c r="E52" s="206">
        <v>0</v>
      </c>
      <c r="F52" s="206">
        <v>0</v>
      </c>
      <c r="G52" s="271">
        <v>0</v>
      </c>
      <c r="H52" s="271">
        <v>0</v>
      </c>
      <c r="I52" s="271">
        <v>0</v>
      </c>
      <c r="J52" s="271">
        <v>0</v>
      </c>
      <c r="K52" s="188">
        <v>0</v>
      </c>
      <c r="L52" s="188">
        <v>0</v>
      </c>
      <c r="M52" s="188">
        <v>0</v>
      </c>
      <c r="N52" s="188">
        <v>0</v>
      </c>
      <c r="O52" s="188">
        <v>0</v>
      </c>
      <c r="P52" s="189">
        <f t="shared" si="9"/>
        <v>0</v>
      </c>
      <c r="Q52" s="200"/>
    </row>
    <row r="53" spans="2:19">
      <c r="B53" s="430"/>
      <c r="C53" s="187" t="s">
        <v>158</v>
      </c>
      <c r="D53" s="206">
        <v>-29012.422999999999</v>
      </c>
      <c r="E53" s="206">
        <v>-30451.089</v>
      </c>
      <c r="F53" s="206">
        <v>-30189.037</v>
      </c>
      <c r="G53" s="271">
        <f>AVERAGE(D53:F53)+F29</f>
        <v>-44978.701500000003</v>
      </c>
      <c r="H53" s="271">
        <f>-44978.7015+G49</f>
        <v>-59920.793000000005</v>
      </c>
      <c r="I53" s="271">
        <v>-59920.793000000005</v>
      </c>
      <c r="J53" s="271">
        <v>-59920.793000000005</v>
      </c>
      <c r="K53" s="188">
        <v>-59920.793000000005</v>
      </c>
      <c r="L53" s="188">
        <v>-59920.793000000005</v>
      </c>
      <c r="M53" s="188">
        <v>-59920.793000000005</v>
      </c>
      <c r="N53" s="188">
        <v>-59920.793000000005</v>
      </c>
      <c r="O53" s="188">
        <v>-59920.793000000005</v>
      </c>
      <c r="P53" s="189">
        <f t="shared" si="9"/>
        <v>-613997.59450000012</v>
      </c>
      <c r="Q53" s="214"/>
    </row>
    <row r="54" spans="2:19">
      <c r="B54" s="430"/>
      <c r="C54" s="187" t="s">
        <v>159</v>
      </c>
      <c r="D54" s="206">
        <v>0</v>
      </c>
      <c r="E54" s="206">
        <v>0</v>
      </c>
      <c r="F54" s="206">
        <v>416000.00001200003</v>
      </c>
      <c r="G54" s="271">
        <v>0</v>
      </c>
      <c r="H54" s="271">
        <v>0</v>
      </c>
      <c r="I54" s="271">
        <v>0</v>
      </c>
      <c r="J54" s="271">
        <v>0</v>
      </c>
      <c r="K54" s="188">
        <v>0</v>
      </c>
      <c r="L54" s="188">
        <v>1248000.00046</v>
      </c>
      <c r="M54" s="188">
        <v>0</v>
      </c>
      <c r="N54" s="188">
        <v>0</v>
      </c>
      <c r="O54" s="188">
        <v>0</v>
      </c>
      <c r="P54" s="189">
        <f>SUM(D54:O54)</f>
        <v>1664000.0004720001</v>
      </c>
      <c r="Q54" s="200"/>
    </row>
    <row r="55" spans="2:19">
      <c r="B55" s="430"/>
      <c r="C55" s="193" t="s">
        <v>150</v>
      </c>
      <c r="D55" s="191">
        <f t="shared" ref="D55:O55" si="15">SUM(D52:D54)</f>
        <v>-29012.422999999999</v>
      </c>
      <c r="E55" s="191">
        <f t="shared" si="15"/>
        <v>-30451.089</v>
      </c>
      <c r="F55" s="191">
        <f t="shared" si="15"/>
        <v>385810.96301200002</v>
      </c>
      <c r="G55" s="191">
        <f t="shared" si="15"/>
        <v>-44978.701500000003</v>
      </c>
      <c r="H55" s="191">
        <f t="shared" si="15"/>
        <v>-59920.793000000005</v>
      </c>
      <c r="I55" s="191">
        <f t="shared" si="15"/>
        <v>-59920.793000000005</v>
      </c>
      <c r="J55" s="191">
        <f t="shared" si="15"/>
        <v>-59920.793000000005</v>
      </c>
      <c r="K55" s="191">
        <f t="shared" si="15"/>
        <v>-59920.793000000005</v>
      </c>
      <c r="L55" s="191">
        <f t="shared" si="15"/>
        <v>1188079.2074599999</v>
      </c>
      <c r="M55" s="191">
        <f t="shared" si="15"/>
        <v>-59920.793000000005</v>
      </c>
      <c r="N55" s="191">
        <f t="shared" si="15"/>
        <v>-59920.793000000005</v>
      </c>
      <c r="O55" s="191">
        <f t="shared" si="15"/>
        <v>-59920.793000000005</v>
      </c>
      <c r="P55" s="192">
        <f t="shared" si="9"/>
        <v>1050002.4059719997</v>
      </c>
      <c r="Q55" s="200"/>
      <c r="R55">
        <f>225*8</f>
        <v>1800</v>
      </c>
    </row>
    <row r="56" spans="2:19">
      <c r="B56" s="430" t="s">
        <v>133</v>
      </c>
      <c r="C56" s="187" t="s">
        <v>157</v>
      </c>
      <c r="D56" s="206">
        <v>0</v>
      </c>
      <c r="E56" s="206">
        <v>0</v>
      </c>
      <c r="F56" s="206">
        <v>0</v>
      </c>
      <c r="G56" s="281">
        <v>-395000</v>
      </c>
      <c r="H56" s="281">
        <v>-395000</v>
      </c>
      <c r="I56" s="281">
        <v>-395000</v>
      </c>
      <c r="J56" s="281">
        <v>-395000</v>
      </c>
      <c r="K56" s="280"/>
      <c r="L56" s="188"/>
      <c r="M56" s="188"/>
      <c r="N56" s="188"/>
      <c r="O56" s="188"/>
      <c r="P56" s="189">
        <f t="shared" si="9"/>
        <v>-1580000</v>
      </c>
      <c r="Q56" s="200"/>
      <c r="R56">
        <f>198*8</f>
        <v>1584</v>
      </c>
    </row>
    <row r="57" spans="2:19">
      <c r="B57" s="430"/>
      <c r="C57" s="187" t="s">
        <v>158</v>
      </c>
      <c r="D57" s="206">
        <v>-14506.211499999999</v>
      </c>
      <c r="E57" s="206">
        <v>-15225.5445</v>
      </c>
      <c r="F57" s="206">
        <v>-15094.5185</v>
      </c>
      <c r="G57" s="271">
        <f>-14942.0915+F37</f>
        <v>-30036.61</v>
      </c>
      <c r="H57" s="271">
        <v>-30036.61</v>
      </c>
      <c r="I57" s="271">
        <v>0</v>
      </c>
      <c r="J57" s="271">
        <v>0</v>
      </c>
      <c r="K57" s="188">
        <v>0</v>
      </c>
      <c r="L57" s="188">
        <v>0</v>
      </c>
      <c r="M57" s="188">
        <v>0</v>
      </c>
      <c r="N57" s="188">
        <v>0</v>
      </c>
      <c r="O57" s="188">
        <v>0</v>
      </c>
      <c r="P57" s="189">
        <f t="shared" si="9"/>
        <v>-104899.4945</v>
      </c>
      <c r="Q57" s="200"/>
      <c r="R57">
        <f>170*8</f>
        <v>1360</v>
      </c>
    </row>
    <row r="58" spans="2:19">
      <c r="B58" s="430"/>
      <c r="C58" s="187" t="s">
        <v>159</v>
      </c>
      <c r="D58" s="206">
        <v>0</v>
      </c>
      <c r="E58" s="206">
        <v>0</v>
      </c>
      <c r="F58" s="206">
        <v>0</v>
      </c>
      <c r="G58" s="271">
        <v>340000.00002000004</v>
      </c>
      <c r="H58" s="271">
        <v>0</v>
      </c>
      <c r="I58" s="271">
        <f>850000.00005+510000.00003</f>
        <v>1360000.0000800001</v>
      </c>
      <c r="J58" s="271">
        <v>0</v>
      </c>
      <c r="K58" s="188">
        <v>0</v>
      </c>
      <c r="L58" s="188">
        <v>0</v>
      </c>
      <c r="M58" s="188">
        <v>0</v>
      </c>
      <c r="N58" s="188">
        <v>0</v>
      </c>
      <c r="O58" s="188">
        <v>0</v>
      </c>
      <c r="P58" s="189">
        <f>SUM(D58:O58)</f>
        <v>1700000.0001000003</v>
      </c>
      <c r="Q58" s="214"/>
    </row>
    <row r="59" spans="2:19">
      <c r="B59" s="430"/>
      <c r="C59" s="193" t="s">
        <v>153</v>
      </c>
      <c r="D59" s="191">
        <f t="shared" ref="D59:O59" si="16">SUM(D56:D58)</f>
        <v>-14506.211499999999</v>
      </c>
      <c r="E59" s="191">
        <f t="shared" si="16"/>
        <v>-15225.5445</v>
      </c>
      <c r="F59" s="191">
        <f t="shared" si="16"/>
        <v>-15094.5185</v>
      </c>
      <c r="G59" s="191">
        <f t="shared" si="16"/>
        <v>-85036.60997999995</v>
      </c>
      <c r="H59" s="191">
        <f t="shared" si="16"/>
        <v>-425036.61</v>
      </c>
      <c r="I59" s="191">
        <f t="shared" si="16"/>
        <v>965000.00008000014</v>
      </c>
      <c r="J59" s="191">
        <f t="shared" si="16"/>
        <v>-395000</v>
      </c>
      <c r="K59" s="191">
        <f t="shared" si="16"/>
        <v>0</v>
      </c>
      <c r="L59" s="191">
        <f t="shared" si="16"/>
        <v>0</v>
      </c>
      <c r="M59" s="191">
        <f t="shared" si="16"/>
        <v>0</v>
      </c>
      <c r="N59" s="191">
        <f t="shared" si="16"/>
        <v>0</v>
      </c>
      <c r="O59" s="191">
        <f t="shared" si="16"/>
        <v>0</v>
      </c>
      <c r="P59" s="192">
        <f t="shared" si="9"/>
        <v>15100.505600000266</v>
      </c>
      <c r="Q59" s="200"/>
    </row>
    <row r="60" spans="2:19">
      <c r="B60" s="431" t="s">
        <v>173</v>
      </c>
      <c r="C60" s="187" t="s">
        <v>157</v>
      </c>
      <c r="D60" s="206">
        <v>0</v>
      </c>
      <c r="E60" s="206">
        <v>0</v>
      </c>
      <c r="F60" s="206">
        <v>0</v>
      </c>
      <c r="G60" s="271">
        <v>0</v>
      </c>
      <c r="H60" s="271"/>
      <c r="I60" s="271"/>
      <c r="J60" s="271"/>
      <c r="K60" s="188"/>
      <c r="L60" s="188">
        <f>$P$60/4</f>
        <v>1435175</v>
      </c>
      <c r="M60" s="188">
        <f t="shared" ref="M60:O60" si="17">$P$60/4</f>
        <v>1435175</v>
      </c>
      <c r="N60" s="188">
        <f t="shared" si="17"/>
        <v>1435175</v>
      </c>
      <c r="O60" s="188">
        <f t="shared" si="17"/>
        <v>1435175</v>
      </c>
      <c r="P60" s="189">
        <v>5740700</v>
      </c>
      <c r="Q60" s="213">
        <v>0.5</v>
      </c>
      <c r="R60" s="1">
        <v>5740700</v>
      </c>
      <c r="S60" s="1">
        <f>R60+P60</f>
        <v>11481400</v>
      </c>
    </row>
    <row r="61" spans="2:19">
      <c r="B61" s="431"/>
      <c r="C61" s="187" t="s">
        <v>158</v>
      </c>
      <c r="D61" s="206">
        <v>0</v>
      </c>
      <c r="E61" s="206">
        <v>0</v>
      </c>
      <c r="F61" s="206">
        <v>0</v>
      </c>
      <c r="G61" s="271">
        <v>0</v>
      </c>
      <c r="H61" s="271">
        <v>0</v>
      </c>
      <c r="I61" s="271">
        <v>0</v>
      </c>
      <c r="J61" s="271">
        <f>-29884.183+(-14942.0915*2)+J49</f>
        <v>-74708.457500000004</v>
      </c>
      <c r="K61" s="188">
        <f>$J$61</f>
        <v>-74708.457500000004</v>
      </c>
      <c r="L61" s="188">
        <f t="shared" ref="L61:O61" si="18">$J$61</f>
        <v>-74708.457500000004</v>
      </c>
      <c r="M61" s="188">
        <f t="shared" si="18"/>
        <v>-74708.457500000004</v>
      </c>
      <c r="N61" s="188">
        <f t="shared" si="18"/>
        <v>-74708.457500000004</v>
      </c>
      <c r="O61" s="188">
        <f t="shared" si="18"/>
        <v>-74708.457500000004</v>
      </c>
      <c r="P61" s="189">
        <f t="shared" si="9"/>
        <v>-448250.74500000005</v>
      </c>
      <c r="Q61" s="200"/>
    </row>
    <row r="62" spans="2:19">
      <c r="B62" s="431"/>
      <c r="C62" s="187" t="s">
        <v>159</v>
      </c>
      <c r="D62" s="206">
        <v>0</v>
      </c>
      <c r="E62" s="206">
        <v>0</v>
      </c>
      <c r="F62" s="206">
        <v>0</v>
      </c>
      <c r="G62" s="271">
        <v>0</v>
      </c>
      <c r="H62" s="271">
        <v>0</v>
      </c>
      <c r="I62" s="271">
        <v>0</v>
      </c>
      <c r="J62" s="271"/>
      <c r="K62" s="188"/>
      <c r="L62" s="212">
        <f>6450000*Q60+500000</f>
        <v>3725000</v>
      </c>
      <c r="M62" s="188"/>
      <c r="N62" s="188"/>
      <c r="O62" s="212">
        <f>6450000*Q60+500000</f>
        <v>3725000</v>
      </c>
      <c r="P62" s="189">
        <f>SUM(D62:O62)</f>
        <v>7450000</v>
      </c>
      <c r="Q62" s="214">
        <v>-300000</v>
      </c>
    </row>
    <row r="63" spans="2:19">
      <c r="B63" s="431"/>
      <c r="C63" s="193" t="s">
        <v>174</v>
      </c>
      <c r="D63" s="191">
        <f t="shared" ref="D63:O63" si="19">SUM(D60:D62)</f>
        <v>0</v>
      </c>
      <c r="E63" s="191">
        <f t="shared" si="19"/>
        <v>0</v>
      </c>
      <c r="F63" s="191">
        <f t="shared" si="19"/>
        <v>0</v>
      </c>
      <c r="G63" s="191">
        <f t="shared" si="19"/>
        <v>0</v>
      </c>
      <c r="H63" s="191">
        <f t="shared" si="19"/>
        <v>0</v>
      </c>
      <c r="I63" s="191">
        <f t="shared" si="19"/>
        <v>0</v>
      </c>
      <c r="J63" s="191">
        <f t="shared" si="19"/>
        <v>-74708.457500000004</v>
      </c>
      <c r="K63" s="191">
        <f t="shared" si="19"/>
        <v>-74708.457500000004</v>
      </c>
      <c r="L63" s="191">
        <f t="shared" si="19"/>
        <v>5085466.5425000004</v>
      </c>
      <c r="M63" s="191">
        <f t="shared" si="19"/>
        <v>1360466.5425</v>
      </c>
      <c r="N63" s="191">
        <f t="shared" si="19"/>
        <v>1360466.5425</v>
      </c>
      <c r="O63" s="191">
        <f t="shared" si="19"/>
        <v>5085466.5425000004</v>
      </c>
      <c r="P63" s="192">
        <f t="shared" si="9"/>
        <v>12742449.255000001</v>
      </c>
      <c r="Q63" s="200"/>
    </row>
    <row r="64" spans="2:19">
      <c r="B64" s="432" t="s">
        <v>175</v>
      </c>
      <c r="C64" s="187" t="s">
        <v>157</v>
      </c>
      <c r="D64" s="206">
        <v>0</v>
      </c>
      <c r="E64" s="206">
        <v>0</v>
      </c>
      <c r="F64" s="206">
        <v>0</v>
      </c>
      <c r="G64" s="271">
        <v>0</v>
      </c>
      <c r="H64" s="271"/>
      <c r="I64" s="271"/>
      <c r="J64" s="271"/>
      <c r="K64" s="188"/>
      <c r="L64" s="188"/>
      <c r="M64" s="188"/>
      <c r="N64" s="188"/>
      <c r="O64" s="188"/>
      <c r="P64" s="189">
        <f t="shared" si="9"/>
        <v>0</v>
      </c>
      <c r="Q64" s="200"/>
    </row>
    <row r="65" spans="2:18">
      <c r="B65" s="432"/>
      <c r="C65" s="187" t="s">
        <v>158</v>
      </c>
      <c r="D65" s="206">
        <v>0</v>
      </c>
      <c r="E65" s="206">
        <v>0</v>
      </c>
      <c r="F65" s="206">
        <v>0</v>
      </c>
      <c r="G65" s="271">
        <v>0</v>
      </c>
      <c r="H65" s="271"/>
      <c r="I65" s="271"/>
      <c r="J65" s="271"/>
      <c r="K65" s="188"/>
      <c r="L65" s="188"/>
      <c r="M65" s="188"/>
      <c r="N65" s="188"/>
      <c r="O65" s="188"/>
      <c r="P65" s="189">
        <f t="shared" si="9"/>
        <v>0</v>
      </c>
      <c r="Q65" s="213">
        <v>0.5</v>
      </c>
    </row>
    <row r="66" spans="2:18">
      <c r="B66" s="432"/>
      <c r="C66" s="187" t="s">
        <v>159</v>
      </c>
      <c r="D66" s="206">
        <v>0</v>
      </c>
      <c r="E66" s="206">
        <v>0</v>
      </c>
      <c r="F66" s="206">
        <v>0</v>
      </c>
      <c r="G66" s="271">
        <v>0</v>
      </c>
      <c r="H66" s="271"/>
      <c r="I66" s="271"/>
      <c r="J66" s="271"/>
      <c r="K66" s="188"/>
      <c r="L66" s="188"/>
      <c r="M66" s="188"/>
      <c r="N66" s="188"/>
      <c r="O66" s="188"/>
      <c r="P66" s="189">
        <f t="shared" si="9"/>
        <v>0</v>
      </c>
      <c r="Q66" s="200"/>
    </row>
    <row r="67" spans="2:18">
      <c r="B67" s="432"/>
      <c r="C67" s="193" t="s">
        <v>176</v>
      </c>
      <c r="D67" s="191">
        <f t="shared" ref="D67:O67" si="20">SUM(D64:D66)</f>
        <v>0</v>
      </c>
      <c r="E67" s="191">
        <f t="shared" si="20"/>
        <v>0</v>
      </c>
      <c r="F67" s="191">
        <f t="shared" si="20"/>
        <v>0</v>
      </c>
      <c r="G67" s="191">
        <f t="shared" si="20"/>
        <v>0</v>
      </c>
      <c r="H67" s="191">
        <f t="shared" si="20"/>
        <v>0</v>
      </c>
      <c r="I67" s="191">
        <f t="shared" si="20"/>
        <v>0</v>
      </c>
      <c r="J67" s="191">
        <f t="shared" si="20"/>
        <v>0</v>
      </c>
      <c r="K67" s="191">
        <f t="shared" si="20"/>
        <v>0</v>
      </c>
      <c r="L67" s="191">
        <f t="shared" si="20"/>
        <v>0</v>
      </c>
      <c r="M67" s="191">
        <f t="shared" si="20"/>
        <v>0</v>
      </c>
      <c r="N67" s="191">
        <f t="shared" si="20"/>
        <v>0</v>
      </c>
      <c r="O67" s="191">
        <f t="shared" si="20"/>
        <v>0</v>
      </c>
      <c r="P67" s="192">
        <f t="shared" si="9"/>
        <v>0</v>
      </c>
      <c r="Q67" s="200"/>
    </row>
    <row r="68" spans="2:18">
      <c r="B68" s="430" t="s">
        <v>154</v>
      </c>
      <c r="C68" s="187" t="s">
        <v>157</v>
      </c>
      <c r="D68" s="206">
        <v>0</v>
      </c>
      <c r="E68" s="206">
        <v>0</v>
      </c>
      <c r="F68" s="206">
        <v>-7116</v>
      </c>
      <c r="G68" s="271">
        <v>0</v>
      </c>
      <c r="H68" s="271">
        <v>0</v>
      </c>
      <c r="I68" s="271">
        <v>0</v>
      </c>
      <c r="J68" s="271">
        <v>0</v>
      </c>
      <c r="K68" s="188">
        <v>0</v>
      </c>
      <c r="L68" s="188">
        <v>0</v>
      </c>
      <c r="M68" s="188">
        <v>0</v>
      </c>
      <c r="N68" s="188">
        <v>0</v>
      </c>
      <c r="O68" s="188">
        <v>0</v>
      </c>
      <c r="P68" s="189">
        <f t="shared" ref="P68:P71" si="21">SUM(D68:O68)</f>
        <v>-7116</v>
      </c>
      <c r="Q68" s="200"/>
    </row>
    <row r="69" spans="2:18">
      <c r="B69" s="430"/>
      <c r="C69" s="193" t="s">
        <v>155</v>
      </c>
      <c r="D69" s="191">
        <v>0</v>
      </c>
      <c r="E69" s="191">
        <v>0</v>
      </c>
      <c r="F69" s="191">
        <f t="shared" ref="F69:O69" si="22">F68</f>
        <v>-7116</v>
      </c>
      <c r="G69" s="191">
        <f t="shared" si="22"/>
        <v>0</v>
      </c>
      <c r="H69" s="191">
        <f t="shared" si="22"/>
        <v>0</v>
      </c>
      <c r="I69" s="191">
        <f t="shared" si="22"/>
        <v>0</v>
      </c>
      <c r="J69" s="191">
        <f t="shared" si="22"/>
        <v>0</v>
      </c>
      <c r="K69" s="191">
        <f t="shared" si="22"/>
        <v>0</v>
      </c>
      <c r="L69" s="191">
        <f t="shared" si="22"/>
        <v>0</v>
      </c>
      <c r="M69" s="191">
        <f t="shared" si="22"/>
        <v>0</v>
      </c>
      <c r="N69" s="191">
        <f t="shared" si="22"/>
        <v>0</v>
      </c>
      <c r="O69" s="191">
        <f t="shared" si="22"/>
        <v>0</v>
      </c>
      <c r="P69" s="192">
        <f t="shared" si="21"/>
        <v>-7116</v>
      </c>
      <c r="Q69" s="200"/>
    </row>
    <row r="70" spans="2:18">
      <c r="B70" s="430" t="s">
        <v>151</v>
      </c>
      <c r="C70" s="187" t="s">
        <v>158</v>
      </c>
      <c r="D70" s="206">
        <v>-145062.11499999999</v>
      </c>
      <c r="E70" s="206">
        <v>-152255.44500000001</v>
      </c>
      <c r="F70" s="206">
        <v>-150945.185</v>
      </c>
      <c r="G70" s="271">
        <v>-140538</v>
      </c>
      <c r="H70" s="271">
        <v>-149420.91500000001</v>
      </c>
      <c r="I70" s="271">
        <f>-149420.915+I57</f>
        <v>-149420.91500000001</v>
      </c>
      <c r="J70" s="271">
        <v>-164363.00650000002</v>
      </c>
      <c r="K70" s="188">
        <v>-164363.00650000002</v>
      </c>
      <c r="L70" s="188">
        <v>-164363.00650000002</v>
      </c>
      <c r="M70" s="188">
        <v>-164363.00650000002</v>
      </c>
      <c r="N70" s="188">
        <v>-164363.00650000002</v>
      </c>
      <c r="O70" s="188">
        <v>-164363.00650000002</v>
      </c>
      <c r="P70" s="189">
        <f t="shared" si="21"/>
        <v>-1873820.6140000005</v>
      </c>
      <c r="Q70" s="425" t="s">
        <v>185</v>
      </c>
      <c r="R70" s="426"/>
    </row>
    <row r="71" spans="2:18">
      <c r="B71" s="430"/>
      <c r="C71" s="193" t="s">
        <v>152</v>
      </c>
      <c r="D71" s="191">
        <f t="shared" ref="D71:O71" si="23">D70</f>
        <v>-145062.11499999999</v>
      </c>
      <c r="E71" s="191">
        <f t="shared" si="23"/>
        <v>-152255.44500000001</v>
      </c>
      <c r="F71" s="191">
        <f t="shared" si="23"/>
        <v>-150945.185</v>
      </c>
      <c r="G71" s="191">
        <f t="shared" si="23"/>
        <v>-140538</v>
      </c>
      <c r="H71" s="191">
        <f t="shared" si="23"/>
        <v>-149420.91500000001</v>
      </c>
      <c r="I71" s="191">
        <f t="shared" si="23"/>
        <v>-149420.91500000001</v>
      </c>
      <c r="J71" s="191">
        <f t="shared" si="23"/>
        <v>-164363.00650000002</v>
      </c>
      <c r="K71" s="191">
        <f t="shared" si="23"/>
        <v>-164363.00650000002</v>
      </c>
      <c r="L71" s="191">
        <f t="shared" si="23"/>
        <v>-164363.00650000002</v>
      </c>
      <c r="M71" s="191">
        <f t="shared" si="23"/>
        <v>-164363.00650000002</v>
      </c>
      <c r="N71" s="191">
        <f t="shared" si="23"/>
        <v>-164363.00650000002</v>
      </c>
      <c r="O71" s="191">
        <f t="shared" si="23"/>
        <v>-164363.00650000002</v>
      </c>
      <c r="P71" s="192">
        <f t="shared" si="21"/>
        <v>-1873820.6140000005</v>
      </c>
      <c r="Q71" s="200" t="s">
        <v>183</v>
      </c>
      <c r="R71" t="s">
        <v>184</v>
      </c>
    </row>
    <row r="72" spans="2:18">
      <c r="B72" s="427" t="s">
        <v>196</v>
      </c>
      <c r="C72" s="187" t="s">
        <v>157</v>
      </c>
      <c r="D72" s="284"/>
      <c r="E72" s="284"/>
      <c r="F72" s="284"/>
      <c r="G72" s="284"/>
      <c r="H72" s="284"/>
      <c r="I72" s="284"/>
      <c r="J72" s="284"/>
      <c r="K72" s="284"/>
      <c r="L72" s="284"/>
      <c r="M72" s="284"/>
      <c r="N72" s="284"/>
      <c r="O72" s="284"/>
      <c r="P72" s="285"/>
      <c r="Q72" s="200"/>
    </row>
    <row r="73" spans="2:18">
      <c r="B73" s="428"/>
      <c r="C73" s="187" t="s">
        <v>158</v>
      </c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5"/>
      <c r="Q73" s="200"/>
    </row>
    <row r="74" spans="2:18">
      <c r="B74" s="428"/>
      <c r="C74" s="187" t="s">
        <v>159</v>
      </c>
      <c r="D74" s="284"/>
      <c r="E74" s="284"/>
      <c r="F74" s="284"/>
      <c r="G74" s="284"/>
      <c r="H74" s="284"/>
      <c r="I74" s="284"/>
      <c r="J74" s="284"/>
      <c r="K74" s="284"/>
      <c r="L74" s="284"/>
      <c r="M74" s="284"/>
      <c r="N74" s="284"/>
      <c r="O74" s="284"/>
      <c r="P74" s="285"/>
      <c r="Q74" s="200"/>
    </row>
    <row r="75" spans="2:18">
      <c r="B75" s="429"/>
      <c r="C75" s="193" t="s">
        <v>230</v>
      </c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2"/>
      <c r="P75" s="283"/>
      <c r="Q75" s="200"/>
    </row>
    <row r="76" spans="2:18" ht="15.75" thickBot="1">
      <c r="B76" s="199" t="s">
        <v>156</v>
      </c>
      <c r="C76" s="190"/>
      <c r="D76" s="194">
        <f t="shared" ref="D76:O76" si="24">SUM(D7,D11,D15,D19,D23,D27,D31,D35,D39,D43,D47,D51,D55,D59,D63,D67,D69,D71)</f>
        <v>-533609.37999999989</v>
      </c>
      <c r="E76" s="194">
        <f t="shared" si="24"/>
        <v>-456714.13999999996</v>
      </c>
      <c r="F76" s="194">
        <f t="shared" si="24"/>
        <v>447687.75999800005</v>
      </c>
      <c r="G76" s="194">
        <f t="shared" si="24"/>
        <v>-374873.76897999994</v>
      </c>
      <c r="H76" s="194">
        <f t="shared" si="24"/>
        <v>356809.22436800029</v>
      </c>
      <c r="I76" s="194">
        <f t="shared" si="24"/>
        <v>536466.37458000006</v>
      </c>
      <c r="J76" s="194">
        <f t="shared" si="24"/>
        <v>-812609.34849999996</v>
      </c>
      <c r="K76" s="194">
        <f t="shared" si="24"/>
        <v>364063.54549999989</v>
      </c>
      <c r="L76" s="194">
        <f t="shared" si="24"/>
        <v>6277795.9438740006</v>
      </c>
      <c r="M76" s="194">
        <f t="shared" si="24"/>
        <v>989240.54350000003</v>
      </c>
      <c r="N76" s="194">
        <f t="shared" si="24"/>
        <v>989241.54350000003</v>
      </c>
      <c r="O76" s="194">
        <f t="shared" si="24"/>
        <v>5174242.5285</v>
      </c>
      <c r="P76" s="195">
        <f>SUM(D76:O76)</f>
        <v>12957740.826340001</v>
      </c>
      <c r="Q76" s="207">
        <f>P71+P69+P67+P63+P59+P55+P51+P47+P43+P39+P35+P31+P27+P23+P19+P15+P11+P7</f>
        <v>12957740.826340001</v>
      </c>
      <c r="R76" s="1">
        <f>Q76-(P23)-N54</f>
        <v>12590743.495340001</v>
      </c>
    </row>
    <row r="77" spans="2:18">
      <c r="B77" s="200"/>
      <c r="D77" s="1"/>
      <c r="P77" s="201"/>
      <c r="Q77" s="214"/>
    </row>
    <row r="78" spans="2:18">
      <c r="B78" s="200"/>
      <c r="Q78" s="214">
        <f>P76-$P$55-$P$39</f>
        <v>11285439.534922</v>
      </c>
    </row>
    <row r="79" spans="2:18">
      <c r="B79" s="200"/>
      <c r="P79" s="1">
        <f>P76-P63</f>
        <v>215291.57134000026</v>
      </c>
      <c r="Q79" s="200"/>
    </row>
    <row r="80" spans="2:18">
      <c r="B80" s="200"/>
      <c r="Q80" s="200"/>
    </row>
    <row r="81" spans="2:20">
      <c r="B81" s="200"/>
      <c r="Q81" s="200" t="s">
        <v>190</v>
      </c>
      <c r="R81" t="s">
        <v>189</v>
      </c>
      <c r="S81" t="s">
        <v>188</v>
      </c>
      <c r="T81" t="s">
        <v>191</v>
      </c>
    </row>
    <row r="82" spans="2:20">
      <c r="B82" s="200"/>
      <c r="P82" s="1"/>
      <c r="Q82" s="214">
        <f>SUM(P18:P66)+P66</f>
        <v>31234826.97868</v>
      </c>
      <c r="R82" s="1">
        <v>8650679</v>
      </c>
      <c r="S82">
        <v>5415480</v>
      </c>
      <c r="T82">
        <v>3683450</v>
      </c>
    </row>
    <row r="83" spans="2:20">
      <c r="B83" s="200"/>
      <c r="P83" s="1"/>
      <c r="Q83" s="214">
        <f>Q82/7</f>
        <v>4462118.1398114283</v>
      </c>
      <c r="R83" s="1">
        <f>R82/7</f>
        <v>1235811.2857142857</v>
      </c>
      <c r="S83">
        <f>S82/7</f>
        <v>773640</v>
      </c>
      <c r="T83" s="218">
        <f>T82/7</f>
        <v>526207.14285714284</v>
      </c>
    </row>
  </sheetData>
  <mergeCells count="20">
    <mergeCell ref="B48:B51"/>
    <mergeCell ref="B4:B7"/>
    <mergeCell ref="B8:B11"/>
    <mergeCell ref="B12:B15"/>
    <mergeCell ref="B16:B19"/>
    <mergeCell ref="B20:B23"/>
    <mergeCell ref="B24:B27"/>
    <mergeCell ref="B28:B31"/>
    <mergeCell ref="B32:B35"/>
    <mergeCell ref="B36:B39"/>
    <mergeCell ref="B40:B43"/>
    <mergeCell ref="B44:B47"/>
    <mergeCell ref="Q70:R70"/>
    <mergeCell ref="B72:B75"/>
    <mergeCell ref="B52:B55"/>
    <mergeCell ref="B56:B59"/>
    <mergeCell ref="B60:B63"/>
    <mergeCell ref="B64:B67"/>
    <mergeCell ref="B68:B69"/>
    <mergeCell ref="B70:B7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AE138"/>
  <sheetViews>
    <sheetView topLeftCell="E75" zoomScale="85" zoomScaleNormal="85" workbookViewId="0">
      <selection activeCell="Q80" sqref="Q80:S132"/>
    </sheetView>
  </sheetViews>
  <sheetFormatPr defaultRowHeight="15"/>
  <cols>
    <col min="4" max="4" width="10.42578125" bestFit="1" customWidth="1"/>
    <col min="13" max="13" width="20.5703125" bestFit="1" customWidth="1"/>
    <col min="14" max="14" width="10.42578125" bestFit="1" customWidth="1"/>
    <col min="17" max="17" width="21" bestFit="1" customWidth="1"/>
    <col min="18" max="18" width="10.42578125" bestFit="1" customWidth="1"/>
    <col min="22" max="22" width="12.42578125" customWidth="1"/>
    <col min="27" max="27" width="10.28515625" bestFit="1" customWidth="1"/>
  </cols>
  <sheetData>
    <row r="13" spans="5:31">
      <c r="E13" s="139"/>
      <c r="F13" s="153"/>
      <c r="G13" s="153"/>
      <c r="H13" s="327"/>
      <c r="I13" s="140"/>
      <c r="J13" s="141"/>
      <c r="V13" s="256">
        <v>44405</v>
      </c>
      <c r="AA13" s="256">
        <v>44417</v>
      </c>
    </row>
    <row r="14" spans="5:31">
      <c r="E14" s="70"/>
      <c r="F14" s="154"/>
      <c r="G14" s="154"/>
      <c r="H14" s="327"/>
      <c r="I14" s="75"/>
      <c r="J14" s="220"/>
      <c r="M14" t="s">
        <v>16</v>
      </c>
      <c r="N14" s="225">
        <v>43554</v>
      </c>
      <c r="O14">
        <v>678867.9</v>
      </c>
      <c r="Q14" t="s">
        <v>16</v>
      </c>
      <c r="R14">
        <v>43554</v>
      </c>
      <c r="S14">
        <v>678867.9</v>
      </c>
      <c r="T14">
        <f>IF(S14=O14,1,-1)</f>
        <v>1</v>
      </c>
      <c r="V14" s="255" t="s">
        <v>16</v>
      </c>
      <c r="W14">
        <v>43554</v>
      </c>
      <c r="X14">
        <v>678867.9</v>
      </c>
      <c r="Y14">
        <f>IF(W14=R14,1,-1)</f>
        <v>1</v>
      </c>
      <c r="Z14">
        <f>IF(X14=S14,1,-1)</f>
        <v>1</v>
      </c>
      <c r="AA14" t="s">
        <v>16</v>
      </c>
      <c r="AB14">
        <v>43554</v>
      </c>
      <c r="AC14">
        <v>678867.9</v>
      </c>
      <c r="AD14">
        <f>IF(AB14=W14,1,-1)</f>
        <v>1</v>
      </c>
      <c r="AE14">
        <f>IF(AC14=X14,1,-1)</f>
        <v>1</v>
      </c>
    </row>
    <row r="15" spans="5:31">
      <c r="E15" s="66"/>
      <c r="F15" s="155"/>
      <c r="G15" s="155"/>
      <c r="H15" s="327"/>
      <c r="I15" s="77"/>
      <c r="J15" s="68"/>
      <c r="M15" t="s">
        <v>16</v>
      </c>
      <c r="N15" s="225">
        <v>43707</v>
      </c>
      <c r="O15">
        <v>678867.9</v>
      </c>
      <c r="R15">
        <v>43707</v>
      </c>
      <c r="S15">
        <v>678867.9</v>
      </c>
      <c r="T15">
        <f t="shared" ref="T15:T67" si="0">IF(S15=O15,1,-1)</f>
        <v>1</v>
      </c>
      <c r="W15">
        <v>43707</v>
      </c>
      <c r="X15">
        <v>678867.9</v>
      </c>
      <c r="Y15">
        <f t="shared" ref="Y15:Y70" si="1">IF(W15=R15,1,-1)</f>
        <v>1</v>
      </c>
      <c r="Z15">
        <f t="shared" ref="Z15:Z70" si="2">IF(X15=S15,1,-1)</f>
        <v>1</v>
      </c>
      <c r="AB15">
        <v>43707</v>
      </c>
      <c r="AC15">
        <v>678867.9</v>
      </c>
      <c r="AD15">
        <f t="shared" ref="AD15:AD70" si="3">IF(AB15=W15,1,-1)</f>
        <v>1</v>
      </c>
      <c r="AE15">
        <f t="shared" ref="AE15:AE70" si="4">IF(AC15=X15,1,-1)</f>
        <v>1</v>
      </c>
    </row>
    <row r="16" spans="5:31">
      <c r="E16" s="70"/>
      <c r="F16" s="154"/>
      <c r="G16" s="154"/>
      <c r="H16" s="327"/>
      <c r="I16" s="75"/>
      <c r="J16" s="100"/>
      <c r="M16" t="s">
        <v>16</v>
      </c>
      <c r="N16" s="225">
        <v>43799</v>
      </c>
      <c r="O16">
        <v>509150.9</v>
      </c>
      <c r="R16">
        <v>43799</v>
      </c>
      <c r="S16">
        <v>509150.9</v>
      </c>
      <c r="T16">
        <f t="shared" si="0"/>
        <v>1</v>
      </c>
      <c r="W16">
        <v>43799</v>
      </c>
      <c r="X16">
        <v>509150.9</v>
      </c>
      <c r="Y16">
        <f t="shared" si="1"/>
        <v>1</v>
      </c>
      <c r="Z16">
        <f t="shared" si="2"/>
        <v>1</v>
      </c>
      <c r="AB16">
        <v>43799</v>
      </c>
      <c r="AC16">
        <v>509150.9</v>
      </c>
      <c r="AD16">
        <f t="shared" si="3"/>
        <v>1</v>
      </c>
      <c r="AE16">
        <f t="shared" si="4"/>
        <v>1</v>
      </c>
    </row>
    <row r="17" spans="5:31">
      <c r="E17" s="66"/>
      <c r="F17" s="155"/>
      <c r="G17" s="155"/>
      <c r="H17" s="327"/>
      <c r="I17" s="77"/>
      <c r="J17" s="99"/>
      <c r="M17" t="s">
        <v>16</v>
      </c>
      <c r="N17" s="225">
        <v>43889</v>
      </c>
      <c r="O17">
        <v>509150.9</v>
      </c>
      <c r="R17">
        <v>43889</v>
      </c>
      <c r="S17">
        <v>509150.9</v>
      </c>
      <c r="T17">
        <f t="shared" si="0"/>
        <v>1</v>
      </c>
      <c r="W17">
        <v>43889</v>
      </c>
      <c r="X17">
        <v>509150.9</v>
      </c>
      <c r="Y17">
        <f t="shared" si="1"/>
        <v>1</v>
      </c>
      <c r="Z17">
        <f t="shared" si="2"/>
        <v>1</v>
      </c>
      <c r="AB17">
        <v>43889</v>
      </c>
      <c r="AC17">
        <v>509150.9</v>
      </c>
      <c r="AD17">
        <f t="shared" si="3"/>
        <v>1</v>
      </c>
      <c r="AE17">
        <f t="shared" si="4"/>
        <v>1</v>
      </c>
    </row>
    <row r="18" spans="5:31">
      <c r="E18" s="70"/>
      <c r="F18" s="154"/>
      <c r="G18" s="154"/>
      <c r="H18" s="328"/>
      <c r="I18" s="75"/>
      <c r="J18" s="116"/>
      <c r="M18" t="s">
        <v>16</v>
      </c>
      <c r="N18" s="225">
        <v>43982</v>
      </c>
      <c r="O18">
        <v>678867.9</v>
      </c>
      <c r="R18">
        <v>43982</v>
      </c>
      <c r="S18">
        <v>678867.9</v>
      </c>
      <c r="T18">
        <f t="shared" si="0"/>
        <v>1</v>
      </c>
      <c r="W18">
        <v>43982</v>
      </c>
      <c r="X18">
        <v>678867.9</v>
      </c>
      <c r="Y18">
        <f t="shared" si="1"/>
        <v>1</v>
      </c>
      <c r="Z18">
        <f t="shared" si="2"/>
        <v>1</v>
      </c>
      <c r="AB18">
        <v>43982</v>
      </c>
      <c r="AC18">
        <v>678867.9</v>
      </c>
      <c r="AD18">
        <f t="shared" si="3"/>
        <v>1</v>
      </c>
      <c r="AE18">
        <f t="shared" si="4"/>
        <v>1</v>
      </c>
    </row>
    <row r="19" spans="5:31">
      <c r="E19" s="66"/>
      <c r="F19" s="155"/>
      <c r="G19" s="155"/>
      <c r="H19" s="330"/>
      <c r="I19" s="67"/>
      <c r="J19" s="99"/>
      <c r="M19" t="s">
        <v>16</v>
      </c>
      <c r="N19" s="225">
        <v>44165</v>
      </c>
      <c r="O19">
        <v>339434</v>
      </c>
      <c r="R19">
        <v>44165</v>
      </c>
      <c r="S19">
        <v>339434</v>
      </c>
      <c r="T19">
        <f t="shared" si="0"/>
        <v>1</v>
      </c>
      <c r="W19">
        <v>44165</v>
      </c>
      <c r="X19">
        <v>339434</v>
      </c>
      <c r="Y19">
        <f t="shared" si="1"/>
        <v>1</v>
      </c>
      <c r="Z19">
        <f t="shared" si="2"/>
        <v>1</v>
      </c>
      <c r="AB19">
        <v>44165</v>
      </c>
      <c r="AC19">
        <v>339434</v>
      </c>
      <c r="AD19">
        <f t="shared" si="3"/>
        <v>1</v>
      </c>
      <c r="AE19">
        <f t="shared" si="4"/>
        <v>1</v>
      </c>
    </row>
    <row r="20" spans="5:31">
      <c r="E20" s="70"/>
      <c r="F20" s="154"/>
      <c r="G20" s="154"/>
      <c r="H20" s="327"/>
      <c r="I20" s="71"/>
      <c r="J20" s="100"/>
      <c r="M20" t="s">
        <v>17</v>
      </c>
      <c r="N20" s="225">
        <v>43650</v>
      </c>
      <c r="O20">
        <v>358490.57</v>
      </c>
      <c r="Q20" t="s">
        <v>17</v>
      </c>
      <c r="R20">
        <v>43650</v>
      </c>
      <c r="S20">
        <v>358490.57</v>
      </c>
      <c r="T20">
        <f t="shared" si="0"/>
        <v>1</v>
      </c>
      <c r="V20" t="s">
        <v>17</v>
      </c>
      <c r="W20">
        <v>43650</v>
      </c>
      <c r="X20">
        <v>358490.57</v>
      </c>
      <c r="Y20">
        <f t="shared" si="1"/>
        <v>1</v>
      </c>
      <c r="Z20">
        <f t="shared" si="2"/>
        <v>1</v>
      </c>
      <c r="AA20" t="s">
        <v>17</v>
      </c>
      <c r="AB20">
        <v>43650</v>
      </c>
      <c r="AC20">
        <v>358490.57</v>
      </c>
      <c r="AD20">
        <f t="shared" si="3"/>
        <v>1</v>
      </c>
      <c r="AE20">
        <f t="shared" si="4"/>
        <v>1</v>
      </c>
    </row>
    <row r="21" spans="5:31">
      <c r="E21" s="66"/>
      <c r="F21" s="155"/>
      <c r="G21" s="155"/>
      <c r="H21" s="328"/>
      <c r="I21" s="67"/>
      <c r="J21" s="99"/>
      <c r="M21" t="s">
        <v>17</v>
      </c>
      <c r="N21" s="225">
        <v>43707</v>
      </c>
      <c r="O21">
        <v>448113.21</v>
      </c>
      <c r="R21">
        <v>43707</v>
      </c>
      <c r="S21">
        <v>448113.21</v>
      </c>
      <c r="T21">
        <f t="shared" si="0"/>
        <v>1</v>
      </c>
      <c r="W21">
        <v>43707</v>
      </c>
      <c r="X21">
        <v>448113.21</v>
      </c>
      <c r="Y21">
        <f t="shared" si="1"/>
        <v>1</v>
      </c>
      <c r="Z21">
        <f t="shared" si="2"/>
        <v>1</v>
      </c>
      <c r="AB21">
        <v>43707</v>
      </c>
      <c r="AC21">
        <v>448113.21</v>
      </c>
      <c r="AD21">
        <f t="shared" si="3"/>
        <v>1</v>
      </c>
      <c r="AE21">
        <f t="shared" si="4"/>
        <v>1</v>
      </c>
    </row>
    <row r="22" spans="5:31">
      <c r="E22" s="66"/>
      <c r="F22" s="154"/>
      <c r="G22" s="154"/>
      <c r="H22" s="331"/>
      <c r="I22" s="77"/>
      <c r="J22" s="99"/>
      <c r="M22" t="s">
        <v>17</v>
      </c>
      <c r="N22" s="225">
        <v>43889</v>
      </c>
      <c r="O22">
        <v>89622.64</v>
      </c>
      <c r="R22">
        <v>43889</v>
      </c>
      <c r="S22">
        <v>89622.64</v>
      </c>
      <c r="T22">
        <f t="shared" si="0"/>
        <v>1</v>
      </c>
      <c r="W22">
        <v>43889</v>
      </c>
      <c r="X22">
        <v>89622.64</v>
      </c>
      <c r="Y22">
        <f t="shared" si="1"/>
        <v>1</v>
      </c>
      <c r="Z22">
        <f t="shared" si="2"/>
        <v>1</v>
      </c>
      <c r="AB22">
        <v>43889</v>
      </c>
      <c r="AC22">
        <v>89622.64</v>
      </c>
      <c r="AD22">
        <f t="shared" si="3"/>
        <v>1</v>
      </c>
      <c r="AE22">
        <f t="shared" si="4"/>
        <v>1</v>
      </c>
    </row>
    <row r="23" spans="5:31">
      <c r="E23" s="66"/>
      <c r="F23" s="155"/>
      <c r="G23" s="155"/>
      <c r="H23" s="332"/>
      <c r="I23" s="77"/>
      <c r="J23" s="99"/>
      <c r="M23" t="s">
        <v>28</v>
      </c>
      <c r="N23" s="225">
        <v>43860</v>
      </c>
      <c r="O23">
        <v>407337.35849056602</v>
      </c>
      <c r="Q23" t="s">
        <v>28</v>
      </c>
      <c r="R23">
        <v>43860</v>
      </c>
      <c r="S23">
        <v>407337.35849056602</v>
      </c>
      <c r="T23">
        <f t="shared" si="0"/>
        <v>1</v>
      </c>
      <c r="V23" t="s">
        <v>28</v>
      </c>
      <c r="W23">
        <v>43860</v>
      </c>
      <c r="X23">
        <v>407337.35849056602</v>
      </c>
      <c r="Y23">
        <f t="shared" si="1"/>
        <v>1</v>
      </c>
      <c r="Z23">
        <f t="shared" si="2"/>
        <v>1</v>
      </c>
      <c r="AA23" t="s">
        <v>28</v>
      </c>
      <c r="AB23">
        <v>43860</v>
      </c>
      <c r="AC23">
        <v>407337.35849056602</v>
      </c>
      <c r="AD23">
        <f t="shared" si="3"/>
        <v>1</v>
      </c>
      <c r="AE23">
        <f t="shared" si="4"/>
        <v>1</v>
      </c>
    </row>
    <row r="24" spans="5:31">
      <c r="E24" s="66"/>
      <c r="F24" s="155"/>
      <c r="G24" s="155"/>
      <c r="H24" s="332"/>
      <c r="I24" s="77"/>
      <c r="J24" s="99"/>
      <c r="M24" t="s">
        <v>28</v>
      </c>
      <c r="N24" s="225">
        <v>43920</v>
      </c>
      <c r="O24">
        <v>407337.35849056602</v>
      </c>
      <c r="R24">
        <v>43920</v>
      </c>
      <c r="S24">
        <v>407337.35849056602</v>
      </c>
      <c r="T24">
        <f t="shared" si="0"/>
        <v>1</v>
      </c>
      <c r="W24">
        <v>43920</v>
      </c>
      <c r="X24">
        <v>407337.35849056602</v>
      </c>
      <c r="Y24">
        <f t="shared" si="1"/>
        <v>1</v>
      </c>
      <c r="Z24">
        <f t="shared" si="2"/>
        <v>1</v>
      </c>
      <c r="AB24">
        <v>43920</v>
      </c>
      <c r="AC24">
        <v>407337.35849056602</v>
      </c>
      <c r="AD24">
        <f t="shared" si="3"/>
        <v>1</v>
      </c>
      <c r="AE24">
        <f t="shared" si="4"/>
        <v>1</v>
      </c>
    </row>
    <row r="25" spans="5:31">
      <c r="E25" s="66"/>
      <c r="F25" s="155"/>
      <c r="G25" s="155"/>
      <c r="H25" s="332"/>
      <c r="I25" s="77"/>
      <c r="J25" s="99"/>
      <c r="M25" t="s">
        <v>28</v>
      </c>
      <c r="N25" s="225">
        <v>44012</v>
      </c>
      <c r="O25">
        <v>407337.35849056602</v>
      </c>
      <c r="R25">
        <v>44012</v>
      </c>
      <c r="S25">
        <v>407337.35849056602</v>
      </c>
      <c r="T25">
        <f t="shared" si="0"/>
        <v>1</v>
      </c>
      <c r="W25">
        <v>44012</v>
      </c>
      <c r="X25">
        <v>407337.35849056602</v>
      </c>
      <c r="Y25">
        <f t="shared" si="1"/>
        <v>1</v>
      </c>
      <c r="Z25">
        <f t="shared" si="2"/>
        <v>1</v>
      </c>
      <c r="AB25">
        <v>44012</v>
      </c>
      <c r="AC25">
        <v>407337.35849056602</v>
      </c>
      <c r="AD25">
        <f t="shared" si="3"/>
        <v>1</v>
      </c>
      <c r="AE25">
        <f t="shared" si="4"/>
        <v>1</v>
      </c>
    </row>
    <row r="26" spans="5:31">
      <c r="E26" s="66"/>
      <c r="F26" s="155"/>
      <c r="G26" s="155"/>
      <c r="H26" s="333"/>
      <c r="I26" s="77"/>
      <c r="J26" s="68"/>
      <c r="M26" t="s">
        <v>28</v>
      </c>
      <c r="N26" s="225">
        <v>44135</v>
      </c>
      <c r="O26">
        <v>611006.03773584904</v>
      </c>
      <c r="R26">
        <v>44135</v>
      </c>
      <c r="S26">
        <v>611006.03773584904</v>
      </c>
      <c r="T26">
        <f t="shared" si="0"/>
        <v>1</v>
      </c>
      <c r="W26">
        <v>44135</v>
      </c>
      <c r="X26">
        <v>611006.03773584904</v>
      </c>
      <c r="Y26">
        <f t="shared" si="1"/>
        <v>1</v>
      </c>
      <c r="Z26">
        <f t="shared" si="2"/>
        <v>1</v>
      </c>
      <c r="AB26">
        <v>44135</v>
      </c>
      <c r="AC26">
        <v>611006.03773584904</v>
      </c>
      <c r="AD26">
        <f t="shared" si="3"/>
        <v>1</v>
      </c>
      <c r="AE26">
        <f t="shared" si="4"/>
        <v>1</v>
      </c>
    </row>
    <row r="27" spans="5:31">
      <c r="E27" s="66"/>
      <c r="F27" s="155"/>
      <c r="G27" s="155"/>
      <c r="H27" s="221"/>
      <c r="I27" s="77"/>
      <c r="J27" s="99"/>
      <c r="M27" t="s">
        <v>28</v>
      </c>
      <c r="N27" s="225">
        <v>44139</v>
      </c>
      <c r="O27">
        <v>203668.67924528301</v>
      </c>
      <c r="R27">
        <v>44139</v>
      </c>
      <c r="S27">
        <v>203668.67924528301</v>
      </c>
      <c r="T27">
        <f t="shared" si="0"/>
        <v>1</v>
      </c>
      <c r="W27">
        <v>44139</v>
      </c>
      <c r="X27">
        <v>203668.67924528301</v>
      </c>
      <c r="Y27">
        <f t="shared" si="1"/>
        <v>1</v>
      </c>
      <c r="Z27">
        <f t="shared" si="2"/>
        <v>1</v>
      </c>
      <c r="AB27">
        <v>44139</v>
      </c>
      <c r="AC27">
        <v>203668.67924528301</v>
      </c>
      <c r="AD27">
        <f t="shared" si="3"/>
        <v>1</v>
      </c>
      <c r="AE27">
        <f t="shared" si="4"/>
        <v>1</v>
      </c>
    </row>
    <row r="28" spans="5:31">
      <c r="E28" s="66"/>
      <c r="F28" s="155"/>
      <c r="G28" s="155"/>
      <c r="H28" s="221"/>
      <c r="I28" s="77"/>
      <c r="J28" s="117"/>
      <c r="M28" t="s">
        <v>28</v>
      </c>
      <c r="N28" s="225">
        <v>44073</v>
      </c>
      <c r="O28">
        <v>122641.50943396226</v>
      </c>
      <c r="Q28" t="s">
        <v>67</v>
      </c>
      <c r="R28">
        <v>44073</v>
      </c>
      <c r="S28">
        <v>122641.50943396226</v>
      </c>
      <c r="T28">
        <f t="shared" si="0"/>
        <v>1</v>
      </c>
      <c r="V28" t="s">
        <v>67</v>
      </c>
      <c r="W28">
        <v>44073</v>
      </c>
      <c r="X28">
        <v>122641.50943396226</v>
      </c>
      <c r="Y28">
        <f t="shared" si="1"/>
        <v>1</v>
      </c>
      <c r="Z28">
        <f t="shared" si="2"/>
        <v>1</v>
      </c>
      <c r="AA28" t="s">
        <v>67</v>
      </c>
      <c r="AB28">
        <v>44073</v>
      </c>
      <c r="AC28">
        <v>122641.50943396226</v>
      </c>
      <c r="AD28">
        <f t="shared" si="3"/>
        <v>1</v>
      </c>
      <c r="AE28">
        <f t="shared" si="4"/>
        <v>1</v>
      </c>
    </row>
    <row r="29" spans="5:31">
      <c r="E29" s="66"/>
      <c r="F29" s="155"/>
      <c r="G29" s="155"/>
      <c r="H29" s="219"/>
      <c r="I29" s="77"/>
      <c r="J29" s="118"/>
      <c r="M29" t="s">
        <v>28</v>
      </c>
      <c r="N29" s="225">
        <v>44050</v>
      </c>
      <c r="O29">
        <v>75471.698113207545</v>
      </c>
      <c r="Q29" t="s">
        <v>73</v>
      </c>
      <c r="R29">
        <v>44050</v>
      </c>
      <c r="S29">
        <v>75471.698113207545</v>
      </c>
      <c r="T29">
        <f t="shared" si="0"/>
        <v>1</v>
      </c>
      <c r="V29" t="s">
        <v>73</v>
      </c>
      <c r="W29">
        <v>44050</v>
      </c>
      <c r="X29">
        <v>75471.698113207545</v>
      </c>
      <c r="Y29">
        <f t="shared" si="1"/>
        <v>1</v>
      </c>
      <c r="Z29">
        <f t="shared" si="2"/>
        <v>1</v>
      </c>
      <c r="AA29" t="s">
        <v>73</v>
      </c>
      <c r="AB29">
        <v>44050</v>
      </c>
      <c r="AC29">
        <v>75471.698113207545</v>
      </c>
      <c r="AD29">
        <f t="shared" si="3"/>
        <v>1</v>
      </c>
      <c r="AE29">
        <f t="shared" si="4"/>
        <v>1</v>
      </c>
    </row>
    <row r="30" spans="5:31">
      <c r="E30" s="70"/>
      <c r="F30" s="154"/>
      <c r="G30" s="154"/>
      <c r="H30" s="314"/>
      <c r="I30" s="75"/>
      <c r="J30" s="100"/>
      <c r="M30" t="s">
        <v>28</v>
      </c>
      <c r="N30" s="225">
        <v>44104</v>
      </c>
      <c r="O30">
        <v>80188.679245283012</v>
      </c>
      <c r="Q30" t="s">
        <v>74</v>
      </c>
      <c r="R30">
        <v>44104</v>
      </c>
      <c r="S30">
        <v>80188.679245283012</v>
      </c>
      <c r="T30">
        <f t="shared" si="0"/>
        <v>1</v>
      </c>
      <c r="V30" t="s">
        <v>74</v>
      </c>
      <c r="W30">
        <v>44104</v>
      </c>
      <c r="X30">
        <v>80188.679245283012</v>
      </c>
      <c r="Y30">
        <f t="shared" si="1"/>
        <v>1</v>
      </c>
      <c r="Z30">
        <f t="shared" si="2"/>
        <v>1</v>
      </c>
      <c r="AA30" t="s">
        <v>74</v>
      </c>
      <c r="AB30">
        <v>44104</v>
      </c>
      <c r="AC30">
        <v>80188.679245283012</v>
      </c>
      <c r="AD30">
        <f t="shared" si="3"/>
        <v>1</v>
      </c>
      <c r="AE30">
        <f t="shared" si="4"/>
        <v>1</v>
      </c>
    </row>
    <row r="31" spans="5:31">
      <c r="E31" s="66"/>
      <c r="F31" s="155"/>
      <c r="G31" s="155"/>
      <c r="H31" s="334"/>
      <c r="I31" s="77"/>
      <c r="J31" s="99"/>
      <c r="M31" t="s">
        <v>19</v>
      </c>
      <c r="N31" s="225">
        <v>43799</v>
      </c>
      <c r="O31">
        <v>121500</v>
      </c>
      <c r="Q31" t="s">
        <v>19</v>
      </c>
      <c r="R31" t="s">
        <v>9</v>
      </c>
      <c r="S31">
        <v>121500</v>
      </c>
      <c r="T31">
        <f t="shared" si="0"/>
        <v>1</v>
      </c>
      <c r="V31" t="s">
        <v>19</v>
      </c>
      <c r="W31" t="s">
        <v>9</v>
      </c>
      <c r="X31">
        <v>121500</v>
      </c>
      <c r="Y31">
        <f t="shared" si="1"/>
        <v>1</v>
      </c>
      <c r="Z31">
        <f t="shared" si="2"/>
        <v>1</v>
      </c>
      <c r="AA31" t="s">
        <v>19</v>
      </c>
      <c r="AB31" t="s">
        <v>9</v>
      </c>
      <c r="AC31">
        <v>121500</v>
      </c>
      <c r="AD31">
        <f t="shared" si="3"/>
        <v>1</v>
      </c>
      <c r="AE31">
        <f t="shared" si="4"/>
        <v>1</v>
      </c>
    </row>
    <row r="32" spans="5:31">
      <c r="E32" s="70"/>
      <c r="F32" s="154"/>
      <c r="G32" s="154"/>
      <c r="H32" s="314"/>
      <c r="I32" s="75"/>
      <c r="J32" s="100"/>
      <c r="M32" t="s">
        <v>19</v>
      </c>
      <c r="N32" s="225">
        <v>43799</v>
      </c>
      <c r="O32">
        <v>121500</v>
      </c>
      <c r="R32">
        <v>43799</v>
      </c>
      <c r="S32">
        <v>121500</v>
      </c>
      <c r="T32">
        <f t="shared" si="0"/>
        <v>1</v>
      </c>
      <c r="W32">
        <v>43799</v>
      </c>
      <c r="X32">
        <v>121500</v>
      </c>
      <c r="Y32">
        <f t="shared" si="1"/>
        <v>1</v>
      </c>
      <c r="Z32">
        <f t="shared" si="2"/>
        <v>1</v>
      </c>
      <c r="AB32">
        <v>43799</v>
      </c>
      <c r="AC32">
        <v>121500</v>
      </c>
      <c r="AD32">
        <f t="shared" si="3"/>
        <v>1</v>
      </c>
      <c r="AE32">
        <f t="shared" si="4"/>
        <v>1</v>
      </c>
    </row>
    <row r="33" spans="5:31">
      <c r="E33" s="123"/>
      <c r="F33" s="156"/>
      <c r="G33" s="156"/>
      <c r="H33" s="315"/>
      <c r="I33" s="124"/>
      <c r="J33" s="120"/>
      <c r="M33" t="s">
        <v>22</v>
      </c>
      <c r="N33" s="225">
        <v>43768</v>
      </c>
      <c r="O33">
        <v>438679.24528301886</v>
      </c>
      <c r="Q33" t="s">
        <v>22</v>
      </c>
      <c r="R33">
        <v>43768</v>
      </c>
      <c r="S33">
        <v>438679.24528301886</v>
      </c>
      <c r="T33">
        <f t="shared" si="0"/>
        <v>1</v>
      </c>
      <c r="V33" t="s">
        <v>22</v>
      </c>
      <c r="W33">
        <v>43768</v>
      </c>
      <c r="X33">
        <v>438679.24528301886</v>
      </c>
      <c r="Y33">
        <f t="shared" si="1"/>
        <v>1</v>
      </c>
      <c r="Z33">
        <f t="shared" si="2"/>
        <v>1</v>
      </c>
      <c r="AA33" t="s">
        <v>22</v>
      </c>
      <c r="AB33">
        <v>43768</v>
      </c>
      <c r="AC33">
        <v>438679.24528301886</v>
      </c>
      <c r="AD33">
        <f t="shared" si="3"/>
        <v>1</v>
      </c>
      <c r="AE33">
        <f t="shared" si="4"/>
        <v>1</v>
      </c>
    </row>
    <row r="34" spans="5:31">
      <c r="E34" s="37"/>
      <c r="F34" s="157"/>
      <c r="G34" s="158"/>
      <c r="H34" s="315"/>
      <c r="I34" s="38"/>
      <c r="J34" s="101"/>
      <c r="M34" t="s">
        <v>22</v>
      </c>
      <c r="N34" s="225">
        <v>44165</v>
      </c>
      <c r="O34">
        <v>438679.24528301886</v>
      </c>
      <c r="R34">
        <v>44165</v>
      </c>
      <c r="S34">
        <v>438679.24528301886</v>
      </c>
      <c r="T34">
        <f t="shared" si="0"/>
        <v>1</v>
      </c>
      <c r="W34">
        <v>44165</v>
      </c>
      <c r="X34">
        <v>438679.24528301886</v>
      </c>
      <c r="Y34">
        <f t="shared" si="1"/>
        <v>1</v>
      </c>
      <c r="Z34">
        <f t="shared" si="2"/>
        <v>1</v>
      </c>
      <c r="AB34">
        <v>44165</v>
      </c>
      <c r="AC34">
        <v>438679.24528301886</v>
      </c>
      <c r="AD34">
        <f t="shared" si="3"/>
        <v>1</v>
      </c>
      <c r="AE34">
        <f t="shared" si="4"/>
        <v>1</v>
      </c>
    </row>
    <row r="35" spans="5:31">
      <c r="E35" s="34"/>
      <c r="F35" s="159"/>
      <c r="G35" s="158"/>
      <c r="H35" s="315"/>
      <c r="I35" s="35"/>
      <c r="J35" s="102"/>
      <c r="M35" t="s">
        <v>22</v>
      </c>
      <c r="N35" s="225">
        <v>44347</v>
      </c>
      <c r="O35">
        <v>438679.24528301886</v>
      </c>
      <c r="R35">
        <v>44347</v>
      </c>
      <c r="S35">
        <v>438679.24528301886</v>
      </c>
      <c r="T35">
        <f t="shared" si="0"/>
        <v>1</v>
      </c>
      <c r="W35">
        <v>44439</v>
      </c>
      <c r="X35">
        <v>438679.24528301886</v>
      </c>
      <c r="Y35">
        <f t="shared" si="1"/>
        <v>-1</v>
      </c>
      <c r="Z35">
        <f t="shared" si="2"/>
        <v>1</v>
      </c>
      <c r="AB35">
        <v>44439</v>
      </c>
      <c r="AC35">
        <v>438679.24528301886</v>
      </c>
      <c r="AD35">
        <f t="shared" si="3"/>
        <v>1</v>
      </c>
      <c r="AE35">
        <f t="shared" si="4"/>
        <v>1</v>
      </c>
    </row>
    <row r="36" spans="5:31">
      <c r="E36" s="70"/>
      <c r="F36" s="154"/>
      <c r="G36" s="154"/>
      <c r="H36" s="314"/>
      <c r="I36" s="75"/>
      <c r="J36" s="100"/>
      <c r="M36" t="s">
        <v>22</v>
      </c>
      <c r="N36" s="225">
        <v>44530</v>
      </c>
      <c r="O36">
        <v>146226.41509433961</v>
      </c>
      <c r="R36">
        <v>44530</v>
      </c>
      <c r="S36">
        <v>146226.41509433961</v>
      </c>
      <c r="T36">
        <f t="shared" si="0"/>
        <v>1</v>
      </c>
      <c r="W36">
        <v>44620</v>
      </c>
      <c r="X36">
        <v>146226.41509433961</v>
      </c>
      <c r="Y36">
        <f t="shared" si="1"/>
        <v>-1</v>
      </c>
      <c r="Z36">
        <f t="shared" si="2"/>
        <v>1</v>
      </c>
      <c r="AB36">
        <v>44620</v>
      </c>
      <c r="AC36">
        <v>146226.41509433961</v>
      </c>
      <c r="AD36">
        <f t="shared" si="3"/>
        <v>1</v>
      </c>
      <c r="AE36">
        <f t="shared" si="4"/>
        <v>1</v>
      </c>
    </row>
    <row r="37" spans="5:31">
      <c r="E37" s="66"/>
      <c r="F37" s="155"/>
      <c r="G37" s="155"/>
      <c r="H37" s="315"/>
      <c r="I37" s="77"/>
      <c r="J37" s="99"/>
      <c r="M37" t="s">
        <v>27</v>
      </c>
      <c r="N37" s="225">
        <v>43799</v>
      </c>
      <c r="O37">
        <v>633962.26415094337</v>
      </c>
      <c r="Q37" t="s">
        <v>27</v>
      </c>
      <c r="R37">
        <v>43799</v>
      </c>
      <c r="S37">
        <v>633962.26415094337</v>
      </c>
      <c r="T37">
        <f t="shared" si="0"/>
        <v>1</v>
      </c>
      <c r="V37" t="s">
        <v>27</v>
      </c>
      <c r="W37">
        <v>43799</v>
      </c>
      <c r="X37">
        <v>633962.26415094337</v>
      </c>
      <c r="Y37">
        <f t="shared" si="1"/>
        <v>1</v>
      </c>
      <c r="Z37">
        <f t="shared" si="2"/>
        <v>1</v>
      </c>
      <c r="AA37" t="s">
        <v>27</v>
      </c>
      <c r="AB37">
        <v>43799</v>
      </c>
      <c r="AC37">
        <v>633962.26415094337</v>
      </c>
      <c r="AD37">
        <f t="shared" si="3"/>
        <v>1</v>
      </c>
      <c r="AE37">
        <f t="shared" si="4"/>
        <v>1</v>
      </c>
    </row>
    <row r="38" spans="5:31">
      <c r="E38" s="70"/>
      <c r="F38" s="154"/>
      <c r="G38" s="154"/>
      <c r="H38" s="315"/>
      <c r="I38" s="75"/>
      <c r="J38" s="100"/>
      <c r="M38" t="s">
        <v>27</v>
      </c>
      <c r="N38" s="225">
        <v>44165</v>
      </c>
      <c r="O38">
        <v>316981.13207547169</v>
      </c>
      <c r="R38">
        <v>44165</v>
      </c>
      <c r="S38">
        <v>316981.13207547169</v>
      </c>
      <c r="T38">
        <f t="shared" si="0"/>
        <v>1</v>
      </c>
      <c r="W38">
        <v>44165</v>
      </c>
      <c r="X38">
        <v>316981.13207547169</v>
      </c>
      <c r="Y38">
        <f t="shared" si="1"/>
        <v>1</v>
      </c>
      <c r="Z38">
        <f t="shared" si="2"/>
        <v>1</v>
      </c>
      <c r="AB38">
        <v>44165</v>
      </c>
      <c r="AC38">
        <v>316981.13207547169</v>
      </c>
      <c r="AD38">
        <f t="shared" si="3"/>
        <v>1</v>
      </c>
      <c r="AE38">
        <f t="shared" si="4"/>
        <v>1</v>
      </c>
    </row>
    <row r="39" spans="5:31">
      <c r="E39" s="34"/>
      <c r="F39" s="159"/>
      <c r="G39" s="159"/>
      <c r="H39" s="315"/>
      <c r="I39" s="35"/>
      <c r="J39" s="208"/>
      <c r="M39" t="s">
        <v>27</v>
      </c>
      <c r="N39" s="225">
        <v>44285</v>
      </c>
      <c r="O39">
        <v>475471.69811320747</v>
      </c>
      <c r="R39">
        <v>44285</v>
      </c>
      <c r="S39">
        <v>475471.69811320747</v>
      </c>
      <c r="T39">
        <f t="shared" si="0"/>
        <v>1</v>
      </c>
      <c r="W39">
        <v>44285</v>
      </c>
      <c r="X39">
        <v>475471.69811320747</v>
      </c>
      <c r="Y39">
        <f t="shared" si="1"/>
        <v>1</v>
      </c>
      <c r="Z39">
        <f t="shared" si="2"/>
        <v>1</v>
      </c>
      <c r="AB39">
        <v>44285</v>
      </c>
      <c r="AC39">
        <v>475471.69811320747</v>
      </c>
      <c r="AD39">
        <f t="shared" si="3"/>
        <v>1</v>
      </c>
      <c r="AE39">
        <f t="shared" si="4"/>
        <v>1</v>
      </c>
    </row>
    <row r="40" spans="5:31">
      <c r="E40" s="70"/>
      <c r="F40" s="154"/>
      <c r="G40" s="154"/>
      <c r="H40" s="319"/>
      <c r="I40" s="75"/>
      <c r="J40" s="119"/>
      <c r="M40" t="s">
        <v>27</v>
      </c>
      <c r="N40" s="225">
        <v>44469</v>
      </c>
      <c r="O40">
        <v>158490.56603773584</v>
      </c>
      <c r="R40">
        <v>44469</v>
      </c>
      <c r="S40">
        <v>158490.56603773584</v>
      </c>
      <c r="T40">
        <f t="shared" si="0"/>
        <v>1</v>
      </c>
      <c r="W40">
        <v>44469</v>
      </c>
      <c r="X40">
        <v>158490.56603773584</v>
      </c>
      <c r="Y40">
        <f t="shared" si="1"/>
        <v>1</v>
      </c>
      <c r="Z40">
        <f t="shared" si="2"/>
        <v>1</v>
      </c>
      <c r="AB40">
        <v>44469</v>
      </c>
      <c r="AC40">
        <v>158490.56603773584</v>
      </c>
      <c r="AD40">
        <f t="shared" si="3"/>
        <v>1</v>
      </c>
      <c r="AE40">
        <f t="shared" si="4"/>
        <v>1</v>
      </c>
    </row>
    <row r="41" spans="5:31">
      <c r="E41" s="66"/>
      <c r="F41" s="155"/>
      <c r="G41" s="155"/>
      <c r="H41" s="320"/>
      <c r="I41" s="77"/>
      <c r="J41" s="120"/>
      <c r="M41" t="s">
        <v>49</v>
      </c>
      <c r="N41" s="225">
        <v>44058</v>
      </c>
      <c r="O41">
        <v>339622.64150943398</v>
      </c>
      <c r="Q41" t="s">
        <v>49</v>
      </c>
      <c r="R41">
        <v>44058</v>
      </c>
      <c r="S41">
        <v>339622.64150943398</v>
      </c>
      <c r="T41">
        <f t="shared" si="0"/>
        <v>1</v>
      </c>
      <c r="V41" t="s">
        <v>49</v>
      </c>
      <c r="W41">
        <v>44058</v>
      </c>
      <c r="X41">
        <v>339622.64150943398</v>
      </c>
      <c r="Y41">
        <f t="shared" si="1"/>
        <v>1</v>
      </c>
      <c r="Z41">
        <f t="shared" si="2"/>
        <v>1</v>
      </c>
      <c r="AA41" t="s">
        <v>49</v>
      </c>
      <c r="AB41">
        <v>44058</v>
      </c>
      <c r="AC41">
        <v>339622.64150943398</v>
      </c>
      <c r="AD41">
        <f t="shared" si="3"/>
        <v>1</v>
      </c>
      <c r="AE41">
        <f t="shared" si="4"/>
        <v>1</v>
      </c>
    </row>
    <row r="42" spans="5:31">
      <c r="E42" s="126"/>
      <c r="F42" s="161"/>
      <c r="G42" s="160"/>
      <c r="H42" s="321"/>
      <c r="I42" s="124"/>
      <c r="J42" s="104"/>
      <c r="M42" t="s">
        <v>49</v>
      </c>
      <c r="N42" s="225">
        <v>44104</v>
      </c>
      <c r="O42">
        <v>679245.28301886795</v>
      </c>
      <c r="R42">
        <v>44104</v>
      </c>
      <c r="S42">
        <v>679245.28301886795</v>
      </c>
      <c r="T42">
        <f t="shared" si="0"/>
        <v>1</v>
      </c>
      <c r="W42">
        <v>44104</v>
      </c>
      <c r="X42">
        <v>679245.28301886795</v>
      </c>
      <c r="Y42">
        <f t="shared" si="1"/>
        <v>1</v>
      </c>
      <c r="Z42">
        <f t="shared" si="2"/>
        <v>1</v>
      </c>
      <c r="AB42">
        <v>44104</v>
      </c>
      <c r="AC42">
        <v>679245.28301886795</v>
      </c>
      <c r="AD42">
        <f t="shared" si="3"/>
        <v>1</v>
      </c>
      <c r="AE42">
        <f t="shared" si="4"/>
        <v>1</v>
      </c>
    </row>
    <row r="43" spans="5:31">
      <c r="E43" s="70"/>
      <c r="F43" s="154"/>
      <c r="G43" s="154"/>
      <c r="H43" s="319"/>
      <c r="I43" s="75"/>
      <c r="J43" s="120"/>
      <c r="M43" t="s">
        <v>49</v>
      </c>
      <c r="N43" s="225">
        <v>44196</v>
      </c>
      <c r="O43">
        <v>113207.54716981133</v>
      </c>
      <c r="R43">
        <v>44196</v>
      </c>
      <c r="S43">
        <v>113207.54716981133</v>
      </c>
      <c r="T43">
        <f t="shared" si="0"/>
        <v>1</v>
      </c>
      <c r="W43">
        <v>44196</v>
      </c>
      <c r="X43">
        <v>113207.54716981133</v>
      </c>
      <c r="Y43">
        <f t="shared" si="1"/>
        <v>1</v>
      </c>
      <c r="Z43">
        <f t="shared" si="2"/>
        <v>1</v>
      </c>
      <c r="AB43">
        <v>44196</v>
      </c>
      <c r="AC43">
        <v>113207.54716981133</v>
      </c>
      <c r="AD43">
        <f t="shared" si="3"/>
        <v>1</v>
      </c>
      <c r="AE43">
        <f t="shared" si="4"/>
        <v>1</v>
      </c>
    </row>
    <row r="44" spans="5:31">
      <c r="E44" s="70"/>
      <c r="F44" s="154"/>
      <c r="G44" s="154"/>
      <c r="H44" s="320"/>
      <c r="I44" s="75"/>
      <c r="J44" s="121"/>
      <c r="M44" t="s">
        <v>51</v>
      </c>
      <c r="N44" s="225">
        <v>44042</v>
      </c>
      <c r="O44">
        <v>377357.73584905663</v>
      </c>
      <c r="Q44" t="s">
        <v>51</v>
      </c>
      <c r="R44">
        <v>44042</v>
      </c>
      <c r="S44">
        <v>377357.73584905663</v>
      </c>
      <c r="T44">
        <f t="shared" si="0"/>
        <v>1</v>
      </c>
      <c r="V44" t="s">
        <v>51</v>
      </c>
      <c r="W44">
        <v>44042</v>
      </c>
      <c r="X44">
        <v>377357.73584905663</v>
      </c>
      <c r="Y44">
        <f t="shared" si="1"/>
        <v>1</v>
      </c>
      <c r="Z44">
        <f t="shared" si="2"/>
        <v>1</v>
      </c>
      <c r="AA44" t="s">
        <v>51</v>
      </c>
      <c r="AB44">
        <v>44042</v>
      </c>
      <c r="AC44">
        <v>377357.73584905663</v>
      </c>
      <c r="AD44">
        <f t="shared" si="3"/>
        <v>1</v>
      </c>
      <c r="AE44">
        <f t="shared" si="4"/>
        <v>1</v>
      </c>
    </row>
    <row r="45" spans="5:31">
      <c r="E45" s="70"/>
      <c r="F45" s="154"/>
      <c r="G45" s="154"/>
      <c r="H45" s="321"/>
      <c r="I45" s="77"/>
      <c r="J45" s="121"/>
      <c r="M45" t="s">
        <v>51</v>
      </c>
      <c r="N45" s="225">
        <v>44104</v>
      </c>
      <c r="O45">
        <v>471697.16981132072</v>
      </c>
      <c r="R45">
        <v>44104</v>
      </c>
      <c r="S45">
        <v>471697.16981132072</v>
      </c>
      <c r="T45">
        <f t="shared" si="0"/>
        <v>1</v>
      </c>
      <c r="W45">
        <v>44104</v>
      </c>
      <c r="X45">
        <v>471697.16981132072</v>
      </c>
      <c r="Y45">
        <f t="shared" si="1"/>
        <v>1</v>
      </c>
      <c r="Z45">
        <f t="shared" si="2"/>
        <v>1</v>
      </c>
      <c r="AB45">
        <v>44104</v>
      </c>
      <c r="AC45">
        <v>471697.16981132072</v>
      </c>
      <c r="AD45">
        <f t="shared" si="3"/>
        <v>1</v>
      </c>
      <c r="AE45">
        <f t="shared" si="4"/>
        <v>1</v>
      </c>
    </row>
    <row r="46" spans="5:31">
      <c r="E46" s="126"/>
      <c r="F46" s="161"/>
      <c r="G46" s="161"/>
      <c r="H46" s="319"/>
      <c r="I46" s="77"/>
      <c r="J46" s="99"/>
      <c r="M46" t="s">
        <v>51</v>
      </c>
      <c r="N46" s="225">
        <v>44139</v>
      </c>
      <c r="O46">
        <v>94339.433962264156</v>
      </c>
      <c r="R46">
        <v>44139</v>
      </c>
      <c r="S46">
        <v>94339.433962264156</v>
      </c>
      <c r="T46">
        <f t="shared" si="0"/>
        <v>1</v>
      </c>
      <c r="W46">
        <v>44139</v>
      </c>
      <c r="X46">
        <v>94339.433962264156</v>
      </c>
      <c r="Y46">
        <f t="shared" si="1"/>
        <v>1</v>
      </c>
      <c r="Z46">
        <f t="shared" si="2"/>
        <v>1</v>
      </c>
      <c r="AB46">
        <v>44139</v>
      </c>
      <c r="AC46">
        <v>94339.433962264156</v>
      </c>
      <c r="AD46">
        <f t="shared" si="3"/>
        <v>1</v>
      </c>
      <c r="AE46">
        <f t="shared" si="4"/>
        <v>1</v>
      </c>
    </row>
    <row r="47" spans="5:31">
      <c r="E47" s="126"/>
      <c r="F47" s="161"/>
      <c r="G47" s="161"/>
      <c r="H47" s="320"/>
      <c r="I47" s="77"/>
      <c r="J47" s="99"/>
      <c r="M47" t="s">
        <v>60</v>
      </c>
      <c r="N47" s="225">
        <v>44104</v>
      </c>
      <c r="O47">
        <v>579056.60377358482</v>
      </c>
      <c r="Q47" t="s">
        <v>60</v>
      </c>
      <c r="R47">
        <v>44104</v>
      </c>
      <c r="S47">
        <v>579056.60377358482</v>
      </c>
      <c r="T47">
        <f t="shared" si="0"/>
        <v>1</v>
      </c>
      <c r="V47" t="s">
        <v>60</v>
      </c>
      <c r="W47">
        <v>44104</v>
      </c>
      <c r="X47">
        <v>579056.60377358482</v>
      </c>
      <c r="Y47">
        <f t="shared" si="1"/>
        <v>1</v>
      </c>
      <c r="Z47">
        <f t="shared" si="2"/>
        <v>1</v>
      </c>
      <c r="AA47" t="s">
        <v>60</v>
      </c>
      <c r="AB47">
        <v>44104</v>
      </c>
      <c r="AC47">
        <v>579056.60377358482</v>
      </c>
      <c r="AD47">
        <f t="shared" si="3"/>
        <v>1</v>
      </c>
      <c r="AE47">
        <f t="shared" si="4"/>
        <v>1</v>
      </c>
    </row>
    <row r="48" spans="5:31">
      <c r="E48" s="70"/>
      <c r="F48" s="154"/>
      <c r="G48" s="154"/>
      <c r="H48" s="321"/>
      <c r="I48" s="77"/>
      <c r="J48" s="99"/>
      <c r="M48" t="s">
        <v>60</v>
      </c>
      <c r="N48" s="225">
        <v>44165</v>
      </c>
      <c r="O48">
        <v>965094.33962264145</v>
      </c>
      <c r="R48">
        <v>44165</v>
      </c>
      <c r="S48">
        <v>965094.33962264145</v>
      </c>
      <c r="T48">
        <f t="shared" si="0"/>
        <v>1</v>
      </c>
      <c r="W48">
        <v>44165</v>
      </c>
      <c r="X48">
        <v>965094.33962264145</v>
      </c>
      <c r="Y48">
        <f t="shared" si="1"/>
        <v>1</v>
      </c>
      <c r="Z48">
        <f t="shared" si="2"/>
        <v>1</v>
      </c>
      <c r="AB48">
        <v>44165</v>
      </c>
      <c r="AC48">
        <v>965094.33962264145</v>
      </c>
      <c r="AD48">
        <f t="shared" si="3"/>
        <v>1</v>
      </c>
      <c r="AE48">
        <f t="shared" si="4"/>
        <v>1</v>
      </c>
    </row>
    <row r="49" spans="5:31">
      <c r="E49" s="126"/>
      <c r="F49" s="161"/>
      <c r="G49" s="161"/>
      <c r="H49" s="308"/>
      <c r="I49" s="124"/>
      <c r="J49" s="120"/>
      <c r="M49" t="s">
        <v>60</v>
      </c>
      <c r="N49" s="225">
        <v>44316</v>
      </c>
      <c r="O49">
        <v>386037.73584905663</v>
      </c>
      <c r="R49">
        <v>44316</v>
      </c>
      <c r="S49">
        <v>386037.73584905663</v>
      </c>
      <c r="T49">
        <f t="shared" si="0"/>
        <v>1</v>
      </c>
      <c r="W49">
        <v>44316</v>
      </c>
      <c r="X49">
        <v>386037.73584905663</v>
      </c>
      <c r="Y49">
        <f t="shared" si="1"/>
        <v>1</v>
      </c>
      <c r="Z49">
        <f t="shared" si="2"/>
        <v>1</v>
      </c>
      <c r="AB49">
        <v>44316</v>
      </c>
      <c r="AC49">
        <v>386037.73584905663</v>
      </c>
      <c r="AD49">
        <f t="shared" si="3"/>
        <v>1</v>
      </c>
      <c r="AE49">
        <f t="shared" si="4"/>
        <v>1</v>
      </c>
    </row>
    <row r="50" spans="5:31">
      <c r="E50" s="66"/>
      <c r="F50" s="154"/>
      <c r="G50" s="154"/>
      <c r="H50" s="309"/>
      <c r="I50" s="77"/>
      <c r="J50" s="99"/>
      <c r="M50" t="s">
        <v>64</v>
      </c>
      <c r="N50" s="225">
        <v>44180</v>
      </c>
      <c r="O50">
        <v>208806.22641509431</v>
      </c>
      <c r="Q50" t="s">
        <v>64</v>
      </c>
      <c r="R50">
        <v>44180</v>
      </c>
      <c r="S50">
        <v>208806.22641509431</v>
      </c>
      <c r="T50">
        <f t="shared" si="0"/>
        <v>1</v>
      </c>
      <c r="V50" t="s">
        <v>64</v>
      </c>
      <c r="W50">
        <v>44180</v>
      </c>
      <c r="X50">
        <v>208806.22641509431</v>
      </c>
      <c r="Y50">
        <f t="shared" si="1"/>
        <v>1</v>
      </c>
      <c r="Z50">
        <f t="shared" si="2"/>
        <v>1</v>
      </c>
      <c r="AA50" t="s">
        <v>64</v>
      </c>
      <c r="AB50">
        <v>44180</v>
      </c>
      <c r="AC50">
        <v>208806.22641509431</v>
      </c>
      <c r="AD50">
        <f t="shared" si="3"/>
        <v>1</v>
      </c>
      <c r="AE50">
        <f t="shared" si="4"/>
        <v>1</v>
      </c>
    </row>
    <row r="51" spans="5:31">
      <c r="E51" s="28"/>
      <c r="F51" s="162"/>
      <c r="G51" s="162"/>
      <c r="H51" s="310"/>
      <c r="I51" s="35"/>
      <c r="J51" s="102"/>
      <c r="M51" t="s">
        <v>64</v>
      </c>
      <c r="N51" s="225">
        <v>44331</v>
      </c>
      <c r="O51">
        <v>1044031.1320754716</v>
      </c>
      <c r="R51">
        <v>44331</v>
      </c>
      <c r="S51">
        <v>1044031.1320754716</v>
      </c>
      <c r="T51">
        <f t="shared" si="0"/>
        <v>1</v>
      </c>
      <c r="W51">
        <v>44331</v>
      </c>
      <c r="X51">
        <v>1044031.1320754716</v>
      </c>
      <c r="Y51">
        <f t="shared" si="1"/>
        <v>1</v>
      </c>
      <c r="Z51">
        <f t="shared" si="2"/>
        <v>1</v>
      </c>
      <c r="AB51">
        <v>44331</v>
      </c>
      <c r="AC51">
        <v>1044031.1320754716</v>
      </c>
      <c r="AD51">
        <f t="shared" si="3"/>
        <v>1</v>
      </c>
      <c r="AE51">
        <f t="shared" si="4"/>
        <v>1</v>
      </c>
    </row>
    <row r="52" spans="5:31">
      <c r="E52" s="70"/>
      <c r="F52" s="155"/>
      <c r="G52" s="155"/>
      <c r="H52" s="308"/>
      <c r="I52" s="77"/>
      <c r="J52" s="68"/>
      <c r="M52" t="s">
        <v>64</v>
      </c>
      <c r="N52" s="225">
        <v>44454</v>
      </c>
      <c r="O52">
        <v>139204.15094339623</v>
      </c>
      <c r="R52">
        <v>44454</v>
      </c>
      <c r="S52">
        <v>139204.15094339623</v>
      </c>
      <c r="T52">
        <f t="shared" si="0"/>
        <v>1</v>
      </c>
      <c r="W52">
        <v>44454</v>
      </c>
      <c r="X52">
        <v>139204.15094339623</v>
      </c>
      <c r="Y52">
        <f t="shared" si="1"/>
        <v>1</v>
      </c>
      <c r="Z52">
        <f t="shared" si="2"/>
        <v>1</v>
      </c>
      <c r="AB52">
        <v>44454</v>
      </c>
      <c r="AC52">
        <v>139204.15094339623</v>
      </c>
      <c r="AD52">
        <f t="shared" si="3"/>
        <v>1</v>
      </c>
      <c r="AE52">
        <f t="shared" si="4"/>
        <v>1</v>
      </c>
    </row>
    <row r="53" spans="5:31">
      <c r="E53" s="30"/>
      <c r="F53" s="157"/>
      <c r="G53" s="157"/>
      <c r="H53" s="309"/>
      <c r="I53" s="31"/>
      <c r="J53" s="32"/>
      <c r="M53" t="s">
        <v>70</v>
      </c>
      <c r="N53" s="225">
        <v>44256</v>
      </c>
      <c r="O53">
        <v>392452.83018867928</v>
      </c>
      <c r="Q53" t="s">
        <v>70</v>
      </c>
      <c r="R53">
        <v>44256</v>
      </c>
      <c r="S53">
        <v>392452.83018867928</v>
      </c>
      <c r="T53">
        <f t="shared" si="0"/>
        <v>1</v>
      </c>
      <c r="V53" t="s">
        <v>70</v>
      </c>
      <c r="W53">
        <v>44256</v>
      </c>
      <c r="X53">
        <v>392452.83018867928</v>
      </c>
      <c r="Y53">
        <f t="shared" si="1"/>
        <v>1</v>
      </c>
      <c r="Z53">
        <f t="shared" si="2"/>
        <v>1</v>
      </c>
      <c r="AA53" t="s">
        <v>70</v>
      </c>
      <c r="AB53">
        <v>44256</v>
      </c>
      <c r="AC53">
        <v>392452.83018867928</v>
      </c>
      <c r="AD53">
        <f t="shared" si="3"/>
        <v>1</v>
      </c>
      <c r="AE53">
        <f t="shared" si="4"/>
        <v>1</v>
      </c>
    </row>
    <row r="54" spans="5:31">
      <c r="E54" s="28"/>
      <c r="F54" s="159"/>
      <c r="G54" s="159"/>
      <c r="H54" s="310"/>
      <c r="I54" s="35"/>
      <c r="J54" s="33"/>
      <c r="M54" t="s">
        <v>70</v>
      </c>
      <c r="N54" s="225">
        <v>44409</v>
      </c>
      <c r="O54">
        <v>1177358.4905660376</v>
      </c>
      <c r="R54">
        <v>44409</v>
      </c>
      <c r="S54">
        <v>1177358.4905660376</v>
      </c>
      <c r="T54">
        <f t="shared" si="0"/>
        <v>1</v>
      </c>
      <c r="W54">
        <v>44440</v>
      </c>
      <c r="X54">
        <v>1177358.4905660376</v>
      </c>
      <c r="Y54">
        <f t="shared" si="1"/>
        <v>-1</v>
      </c>
      <c r="Z54">
        <f t="shared" si="2"/>
        <v>1</v>
      </c>
      <c r="AB54">
        <v>44440</v>
      </c>
      <c r="AC54">
        <v>1177358.4905660376</v>
      </c>
      <c r="AD54">
        <f t="shared" si="3"/>
        <v>1</v>
      </c>
      <c r="AE54">
        <f t="shared" si="4"/>
        <v>1</v>
      </c>
    </row>
    <row r="55" spans="5:31">
      <c r="E55" s="70"/>
      <c r="F55" s="154"/>
      <c r="G55" s="154"/>
      <c r="H55" s="308"/>
      <c r="I55" s="77"/>
      <c r="J55" s="68"/>
      <c r="M55" t="s">
        <v>70</v>
      </c>
      <c r="N55" s="225">
        <v>44501</v>
      </c>
      <c r="O55">
        <v>392452.83018867928</v>
      </c>
      <c r="R55">
        <v>44501</v>
      </c>
      <c r="S55">
        <v>392452.83018867928</v>
      </c>
      <c r="T55">
        <f t="shared" si="0"/>
        <v>1</v>
      </c>
      <c r="W55">
        <v>44621</v>
      </c>
      <c r="X55">
        <v>392452.83018867928</v>
      </c>
      <c r="Y55">
        <f t="shared" si="1"/>
        <v>-1</v>
      </c>
      <c r="Z55">
        <f t="shared" si="2"/>
        <v>1</v>
      </c>
      <c r="AB55">
        <v>44621</v>
      </c>
      <c r="AC55">
        <v>392452.83018867928</v>
      </c>
      <c r="AD55">
        <f t="shared" si="3"/>
        <v>1</v>
      </c>
      <c r="AE55">
        <f t="shared" si="4"/>
        <v>1</v>
      </c>
    </row>
    <row r="56" spans="5:31">
      <c r="E56" s="28"/>
      <c r="F56" s="157"/>
      <c r="G56" s="164"/>
      <c r="H56" s="309"/>
      <c r="I56" s="35"/>
      <c r="J56" s="211"/>
      <c r="M56" t="s">
        <v>133</v>
      </c>
      <c r="N56" s="225">
        <v>44287</v>
      </c>
      <c r="O56">
        <v>320754.71698113205</v>
      </c>
      <c r="Q56" t="s">
        <v>133</v>
      </c>
      <c r="R56">
        <v>44287</v>
      </c>
      <c r="S56">
        <v>320754.71698113205</v>
      </c>
      <c r="T56">
        <f t="shared" si="0"/>
        <v>1</v>
      </c>
      <c r="V56" t="s">
        <v>133</v>
      </c>
      <c r="W56">
        <v>44287</v>
      </c>
      <c r="X56">
        <v>320754.71698113205</v>
      </c>
      <c r="Y56">
        <f t="shared" si="1"/>
        <v>1</v>
      </c>
      <c r="Z56">
        <f t="shared" si="2"/>
        <v>1</v>
      </c>
      <c r="AA56" t="s">
        <v>133</v>
      </c>
      <c r="AB56">
        <v>44287</v>
      </c>
      <c r="AC56">
        <v>320754.71698113205</v>
      </c>
      <c r="AD56">
        <f t="shared" si="3"/>
        <v>1</v>
      </c>
      <c r="AE56">
        <f t="shared" si="4"/>
        <v>1</v>
      </c>
    </row>
    <row r="57" spans="5:31">
      <c r="E57" s="37"/>
      <c r="F57" s="157"/>
      <c r="G57" s="164"/>
      <c r="H57" s="310"/>
      <c r="I57" s="31"/>
      <c r="J57" s="211"/>
      <c r="M57" t="s">
        <v>133</v>
      </c>
      <c r="N57" s="225">
        <v>44377</v>
      </c>
      <c r="O57">
        <v>801886.79245283012</v>
      </c>
      <c r="R57">
        <v>44377</v>
      </c>
      <c r="S57">
        <v>801886.79245283012</v>
      </c>
      <c r="T57">
        <f t="shared" si="0"/>
        <v>1</v>
      </c>
      <c r="W57">
        <v>44377</v>
      </c>
      <c r="X57">
        <v>801886.79245283012</v>
      </c>
      <c r="Y57">
        <f t="shared" si="1"/>
        <v>1</v>
      </c>
      <c r="Z57">
        <f t="shared" si="2"/>
        <v>1</v>
      </c>
      <c r="AB57">
        <v>44377</v>
      </c>
      <c r="AC57">
        <v>801886.79245283012</v>
      </c>
      <c r="AD57">
        <f t="shared" si="3"/>
        <v>1</v>
      </c>
      <c r="AE57">
        <f t="shared" si="4"/>
        <v>1</v>
      </c>
    </row>
    <row r="58" spans="5:31">
      <c r="E58" s="28"/>
      <c r="F58" s="162"/>
      <c r="G58" s="162"/>
      <c r="H58" s="308"/>
      <c r="I58" s="111"/>
      <c r="J58" s="102"/>
      <c r="M58" t="s">
        <v>133</v>
      </c>
      <c r="N58" s="225">
        <v>44377</v>
      </c>
      <c r="O58">
        <v>481132.07547169807</v>
      </c>
      <c r="R58">
        <v>44377</v>
      </c>
      <c r="S58">
        <v>481132.07547169807</v>
      </c>
      <c r="T58">
        <f t="shared" si="0"/>
        <v>1</v>
      </c>
      <c r="W58">
        <v>44377</v>
      </c>
      <c r="X58">
        <v>481132.07547169807</v>
      </c>
      <c r="Y58">
        <f t="shared" si="1"/>
        <v>1</v>
      </c>
      <c r="Z58">
        <f t="shared" si="2"/>
        <v>1</v>
      </c>
      <c r="AB58">
        <v>44377</v>
      </c>
      <c r="AC58">
        <v>481132.07547169807</v>
      </c>
      <c r="AD58">
        <f t="shared" si="3"/>
        <v>1</v>
      </c>
      <c r="AE58">
        <f t="shared" si="4"/>
        <v>1</v>
      </c>
    </row>
    <row r="59" spans="5:31">
      <c r="E59" s="37"/>
      <c r="F59" s="157"/>
      <c r="G59" s="157"/>
      <c r="H59" s="309"/>
      <c r="I59" s="38"/>
      <c r="J59" s="32"/>
      <c r="M59" t="s">
        <v>84</v>
      </c>
      <c r="N59" s="225">
        <v>44438</v>
      </c>
      <c r="O59">
        <v>325471.69811320753</v>
      </c>
      <c r="Q59" t="s">
        <v>84</v>
      </c>
      <c r="R59">
        <v>44438</v>
      </c>
      <c r="S59">
        <v>325471.69811320753</v>
      </c>
      <c r="T59">
        <f t="shared" si="0"/>
        <v>1</v>
      </c>
      <c r="V59" t="s">
        <v>84</v>
      </c>
      <c r="W59">
        <v>44438</v>
      </c>
      <c r="X59">
        <v>325471.69811320753</v>
      </c>
      <c r="Y59">
        <f t="shared" si="1"/>
        <v>1</v>
      </c>
      <c r="Z59">
        <f t="shared" si="2"/>
        <v>1</v>
      </c>
      <c r="AA59" t="s">
        <v>84</v>
      </c>
      <c r="AB59">
        <v>44438</v>
      </c>
      <c r="AC59">
        <v>325471.69811320753</v>
      </c>
      <c r="AD59">
        <f t="shared" si="3"/>
        <v>1</v>
      </c>
      <c r="AE59">
        <f t="shared" si="4"/>
        <v>1</v>
      </c>
    </row>
    <row r="60" spans="5:31">
      <c r="E60" s="28"/>
      <c r="F60" s="162"/>
      <c r="G60" s="162"/>
      <c r="H60" s="310"/>
      <c r="I60" s="35"/>
      <c r="J60" s="33"/>
      <c r="M60" t="s">
        <v>84</v>
      </c>
      <c r="N60" s="225">
        <v>44560</v>
      </c>
      <c r="O60">
        <v>433962.26415094343</v>
      </c>
      <c r="R60">
        <v>44560</v>
      </c>
      <c r="S60">
        <v>433962.26415094343</v>
      </c>
      <c r="T60">
        <f t="shared" si="0"/>
        <v>1</v>
      </c>
      <c r="W60">
        <v>44560</v>
      </c>
      <c r="X60">
        <v>433962.26415094343</v>
      </c>
      <c r="Y60">
        <f t="shared" si="1"/>
        <v>1</v>
      </c>
      <c r="Z60">
        <f t="shared" si="2"/>
        <v>1</v>
      </c>
      <c r="AB60">
        <v>44560</v>
      </c>
      <c r="AC60">
        <v>433962.26415094343</v>
      </c>
      <c r="AD60">
        <f t="shared" si="3"/>
        <v>1</v>
      </c>
      <c r="AE60">
        <f t="shared" si="4"/>
        <v>1</v>
      </c>
    </row>
    <row r="61" spans="5:31">
      <c r="M61" t="s">
        <v>84</v>
      </c>
      <c r="N61" s="225">
        <v>44742</v>
      </c>
      <c r="O61">
        <v>216981.13207547172</v>
      </c>
      <c r="R61">
        <v>44742</v>
      </c>
      <c r="S61">
        <v>216981.13207547172</v>
      </c>
      <c r="T61">
        <f t="shared" si="0"/>
        <v>1</v>
      </c>
      <c r="W61">
        <v>44742</v>
      </c>
      <c r="X61">
        <v>216981.13207547172</v>
      </c>
      <c r="Y61">
        <f t="shared" si="1"/>
        <v>1</v>
      </c>
      <c r="Z61">
        <f t="shared" si="2"/>
        <v>1</v>
      </c>
      <c r="AB61">
        <v>44742</v>
      </c>
      <c r="AC61">
        <v>216981.13207547172</v>
      </c>
      <c r="AD61">
        <f t="shared" si="3"/>
        <v>1</v>
      </c>
      <c r="AE61">
        <f t="shared" si="4"/>
        <v>1</v>
      </c>
    </row>
    <row r="62" spans="5:31">
      <c r="E62">
        <v>-30451.089</v>
      </c>
      <c r="F62">
        <v>-30189.037</v>
      </c>
      <c r="G62">
        <v>-44978.701500000003</v>
      </c>
      <c r="H62">
        <v>-59920.793000000005</v>
      </c>
      <c r="I62">
        <v>-59920.793000000005</v>
      </c>
      <c r="J62">
        <v>-59920.793000000005</v>
      </c>
      <c r="K62">
        <v>-59920.793000000005</v>
      </c>
      <c r="L62">
        <v>-59920.793000000005</v>
      </c>
      <c r="M62">
        <v>-59920.793000000005</v>
      </c>
      <c r="N62">
        <v>-59920.793000000005</v>
      </c>
      <c r="O62">
        <v>-59920.793000000005</v>
      </c>
      <c r="Q62" t="s">
        <v>194</v>
      </c>
      <c r="R62" s="225">
        <v>44469</v>
      </c>
      <c r="S62">
        <v>3040080</v>
      </c>
      <c r="T62">
        <f t="shared" si="0"/>
        <v>-1</v>
      </c>
      <c r="V62" t="s">
        <v>194</v>
      </c>
      <c r="W62">
        <v>44469</v>
      </c>
      <c r="X62">
        <v>3040080</v>
      </c>
      <c r="Y62">
        <f t="shared" si="1"/>
        <v>1</v>
      </c>
      <c r="Z62">
        <f t="shared" si="2"/>
        <v>1</v>
      </c>
      <c r="AA62" t="s">
        <v>194</v>
      </c>
      <c r="AB62">
        <v>44469</v>
      </c>
      <c r="AC62">
        <v>3040080</v>
      </c>
      <c r="AD62">
        <f t="shared" si="3"/>
        <v>1</v>
      </c>
      <c r="AE62">
        <f t="shared" si="4"/>
        <v>1</v>
      </c>
    </row>
    <row r="63" spans="5:31">
      <c r="E63">
        <v>-15225.5445</v>
      </c>
      <c r="F63">
        <v>-15094.5185</v>
      </c>
      <c r="G63">
        <v>-14942.0915</v>
      </c>
      <c r="H63">
        <v>-14942.0915</v>
      </c>
      <c r="I63">
        <v>-14941.0915</v>
      </c>
      <c r="J63">
        <v>-14940.0915</v>
      </c>
      <c r="K63">
        <v>-14939.0915</v>
      </c>
      <c r="L63">
        <v>-14938.0915</v>
      </c>
      <c r="M63">
        <v>-14937.0915</v>
      </c>
      <c r="N63">
        <v>-14936.0915</v>
      </c>
      <c r="O63">
        <v>-14935.0915</v>
      </c>
      <c r="Q63" t="s">
        <v>194</v>
      </c>
      <c r="R63" s="225">
        <v>44591</v>
      </c>
      <c r="S63">
        <v>3040080</v>
      </c>
      <c r="T63">
        <f t="shared" si="0"/>
        <v>-1</v>
      </c>
      <c r="W63">
        <v>44591</v>
      </c>
      <c r="X63">
        <v>3040080</v>
      </c>
      <c r="Y63">
        <f t="shared" si="1"/>
        <v>1</v>
      </c>
      <c r="Z63">
        <f t="shared" si="2"/>
        <v>1</v>
      </c>
      <c r="AB63">
        <v>44560</v>
      </c>
      <c r="AC63">
        <v>3040080</v>
      </c>
      <c r="AD63">
        <f t="shared" si="3"/>
        <v>-1</v>
      </c>
      <c r="AE63">
        <f t="shared" si="4"/>
        <v>1</v>
      </c>
    </row>
    <row r="64" spans="5:31">
      <c r="E64">
        <v>-30451.089</v>
      </c>
      <c r="F64">
        <v>-30189.037</v>
      </c>
      <c r="G64">
        <v>-29884.183000000001</v>
      </c>
      <c r="H64">
        <v>-29884.183000000001</v>
      </c>
      <c r="I64">
        <v>-29884.183000000001</v>
      </c>
      <c r="Q64" t="s">
        <v>195</v>
      </c>
      <c r="R64" s="225">
        <v>44438</v>
      </c>
      <c r="S64">
        <v>1102641.5094339622</v>
      </c>
      <c r="T64">
        <f t="shared" si="0"/>
        <v>-1</v>
      </c>
      <c r="V64" t="s">
        <v>195</v>
      </c>
      <c r="W64">
        <v>44438</v>
      </c>
      <c r="X64">
        <v>1102641.5094339622</v>
      </c>
      <c r="Y64">
        <f t="shared" si="1"/>
        <v>1</v>
      </c>
      <c r="Z64">
        <f t="shared" si="2"/>
        <v>1</v>
      </c>
      <c r="AA64" t="s">
        <v>195</v>
      </c>
      <c r="AB64" t="s">
        <v>228</v>
      </c>
      <c r="AC64">
        <v>1102641.5094339622</v>
      </c>
      <c r="AD64">
        <f t="shared" si="3"/>
        <v>-1</v>
      </c>
      <c r="AE64">
        <f t="shared" si="4"/>
        <v>1</v>
      </c>
    </row>
    <row r="65" spans="3:31">
      <c r="E65">
        <v>-15225.5445</v>
      </c>
      <c r="F65">
        <v>-15094.5185</v>
      </c>
      <c r="G65">
        <v>-14942.0915</v>
      </c>
      <c r="H65">
        <v>-14942.0915</v>
      </c>
      <c r="I65">
        <v>-14942.0915</v>
      </c>
      <c r="Q65" t="s">
        <v>195</v>
      </c>
      <c r="R65" s="225">
        <v>44530</v>
      </c>
      <c r="S65">
        <v>1102641.5094339622</v>
      </c>
      <c r="T65">
        <f t="shared" si="0"/>
        <v>-1</v>
      </c>
      <c r="W65">
        <v>44530</v>
      </c>
      <c r="X65">
        <v>1102641.5094339622</v>
      </c>
      <c r="Y65">
        <f t="shared" si="1"/>
        <v>1</v>
      </c>
      <c r="Z65">
        <f t="shared" si="2"/>
        <v>1</v>
      </c>
      <c r="AB65" t="s">
        <v>228</v>
      </c>
      <c r="AC65">
        <v>1102641.5094339622</v>
      </c>
      <c r="AD65">
        <f t="shared" si="3"/>
        <v>-1</v>
      </c>
      <c r="AE65">
        <f t="shared" si="4"/>
        <v>1</v>
      </c>
    </row>
    <row r="66" spans="3:31">
      <c r="E66">
        <v>-15225.5445</v>
      </c>
      <c r="F66">
        <v>-15094.5185</v>
      </c>
      <c r="G66">
        <v>-14942.0915</v>
      </c>
      <c r="H66">
        <v>-14942.0915</v>
      </c>
      <c r="I66">
        <v>-14942.0915</v>
      </c>
      <c r="Q66" t="s">
        <v>195</v>
      </c>
      <c r="R66" s="225">
        <v>44620</v>
      </c>
      <c r="S66">
        <v>1102641.5094339622</v>
      </c>
      <c r="T66">
        <f t="shared" si="0"/>
        <v>-1</v>
      </c>
      <c r="W66">
        <v>44620</v>
      </c>
      <c r="X66">
        <v>1102641.5094339622</v>
      </c>
      <c r="Y66">
        <f t="shared" si="1"/>
        <v>1</v>
      </c>
      <c r="Z66">
        <f t="shared" si="2"/>
        <v>1</v>
      </c>
      <c r="AB66" t="s">
        <v>228</v>
      </c>
      <c r="AC66">
        <v>1102641.5094339622</v>
      </c>
      <c r="AD66">
        <f t="shared" si="3"/>
        <v>-1</v>
      </c>
      <c r="AE66">
        <f t="shared" si="4"/>
        <v>1</v>
      </c>
    </row>
    <row r="67" spans="3:31">
      <c r="C67" t="s">
        <v>64</v>
      </c>
      <c r="D67" s="225">
        <v>44197</v>
      </c>
      <c r="E67">
        <v>29012.422999999999</v>
      </c>
      <c r="G67" s="325"/>
      <c r="H67" s="139"/>
      <c r="I67" s="153"/>
      <c r="J67" s="153"/>
      <c r="K67" s="327"/>
      <c r="L67" s="140"/>
      <c r="M67" s="141"/>
      <c r="Q67" t="s">
        <v>195</v>
      </c>
      <c r="R67" s="225">
        <v>44895</v>
      </c>
      <c r="S67">
        <v>367547.16981132072</v>
      </c>
      <c r="T67">
        <f t="shared" si="0"/>
        <v>-1</v>
      </c>
      <c r="W67">
        <v>44895</v>
      </c>
      <c r="X67">
        <v>367547.16981132072</v>
      </c>
      <c r="Y67">
        <f t="shared" si="1"/>
        <v>1</v>
      </c>
      <c r="Z67">
        <f t="shared" si="2"/>
        <v>1</v>
      </c>
      <c r="AB67" t="s">
        <v>228</v>
      </c>
      <c r="AC67">
        <v>367547.16981132072</v>
      </c>
      <c r="AD67">
        <f t="shared" si="3"/>
        <v>-1</v>
      </c>
      <c r="AE67">
        <f t="shared" si="4"/>
        <v>1</v>
      </c>
    </row>
    <row r="68" spans="3:31">
      <c r="C68" t="s">
        <v>64</v>
      </c>
      <c r="D68" s="225">
        <v>44228</v>
      </c>
      <c r="E68">
        <v>30451.089</v>
      </c>
      <c r="G68" s="325"/>
      <c r="H68" s="70"/>
      <c r="I68" s="154"/>
      <c r="J68" s="154"/>
      <c r="K68" s="327"/>
      <c r="L68" s="75"/>
      <c r="M68" s="230"/>
      <c r="V68" t="s">
        <v>196</v>
      </c>
      <c r="W68">
        <v>44651</v>
      </c>
      <c r="X68">
        <v>305660.37735849054</v>
      </c>
      <c r="Y68">
        <f t="shared" si="1"/>
        <v>-1</v>
      </c>
      <c r="Z68">
        <f t="shared" si="2"/>
        <v>-1</v>
      </c>
      <c r="AA68" t="s">
        <v>196</v>
      </c>
      <c r="AB68">
        <v>44651</v>
      </c>
      <c r="AC68">
        <v>305660.37735849054</v>
      </c>
      <c r="AD68">
        <f t="shared" si="3"/>
        <v>1</v>
      </c>
      <c r="AE68">
        <f t="shared" si="4"/>
        <v>1</v>
      </c>
    </row>
    <row r="69" spans="3:31">
      <c r="C69" t="s">
        <v>64</v>
      </c>
      <c r="D69" s="225">
        <v>44256</v>
      </c>
      <c r="E69">
        <v>30189.037</v>
      </c>
      <c r="G69" s="325"/>
      <c r="H69" s="66"/>
      <c r="I69" s="155"/>
      <c r="J69" s="155"/>
      <c r="K69" s="327"/>
      <c r="L69" s="77"/>
      <c r="M69" s="68"/>
      <c r="W69">
        <v>44834</v>
      </c>
      <c r="X69">
        <v>382075.47169811319</v>
      </c>
      <c r="Y69">
        <f t="shared" si="1"/>
        <v>-1</v>
      </c>
      <c r="Z69">
        <f t="shared" si="2"/>
        <v>-1</v>
      </c>
      <c r="AB69">
        <v>44834</v>
      </c>
      <c r="AC69">
        <v>382075.47169811319</v>
      </c>
      <c r="AD69">
        <f t="shared" si="3"/>
        <v>1</v>
      </c>
      <c r="AE69">
        <f t="shared" si="4"/>
        <v>1</v>
      </c>
    </row>
    <row r="70" spans="3:31">
      <c r="C70" t="s">
        <v>64</v>
      </c>
      <c r="D70" s="225">
        <v>44287</v>
      </c>
      <c r="E70">
        <v>29884.183000000001</v>
      </c>
      <c r="G70" s="325"/>
      <c r="H70" s="70"/>
      <c r="I70" s="154"/>
      <c r="J70" s="154"/>
      <c r="K70" s="327"/>
      <c r="L70" s="75"/>
      <c r="M70" s="100"/>
      <c r="W70">
        <v>45016</v>
      </c>
      <c r="X70">
        <v>76415.094339622636</v>
      </c>
      <c r="Y70">
        <f t="shared" si="1"/>
        <v>-1</v>
      </c>
      <c r="Z70">
        <f t="shared" si="2"/>
        <v>-1</v>
      </c>
      <c r="AB70">
        <v>45016</v>
      </c>
      <c r="AC70">
        <v>76415.094339622636</v>
      </c>
      <c r="AD70">
        <f t="shared" si="3"/>
        <v>1</v>
      </c>
      <c r="AE70">
        <f t="shared" si="4"/>
        <v>1</v>
      </c>
    </row>
    <row r="71" spans="3:31">
      <c r="C71" t="s">
        <v>64</v>
      </c>
      <c r="D71" s="225">
        <v>44317</v>
      </c>
      <c r="E71">
        <v>29884.183000000001</v>
      </c>
      <c r="G71" s="325"/>
      <c r="H71" s="66"/>
      <c r="I71" s="155"/>
      <c r="J71" s="155"/>
      <c r="K71" s="327"/>
      <c r="L71" s="77"/>
      <c r="M71" s="99"/>
    </row>
    <row r="72" spans="3:31">
      <c r="C72" t="s">
        <v>64</v>
      </c>
      <c r="D72" s="225">
        <v>44348</v>
      </c>
      <c r="E72">
        <v>29884.183000000001</v>
      </c>
      <c r="G72" s="326"/>
      <c r="H72" s="70"/>
      <c r="I72" s="154"/>
      <c r="J72" s="154"/>
      <c r="K72" s="328"/>
      <c r="L72" s="75"/>
      <c r="M72" s="116"/>
    </row>
    <row r="73" spans="3:31">
      <c r="C73" t="s">
        <v>22</v>
      </c>
      <c r="D73" s="225">
        <v>44197</v>
      </c>
      <c r="E73">
        <v>14506.211499999999</v>
      </c>
      <c r="G73" s="329"/>
      <c r="H73" s="66"/>
      <c r="I73" s="155"/>
      <c r="J73" s="155"/>
      <c r="K73" s="330"/>
      <c r="L73" s="67"/>
      <c r="M73" s="99"/>
    </row>
    <row r="74" spans="3:31">
      <c r="C74" t="s">
        <v>22</v>
      </c>
      <c r="D74" s="225">
        <v>44228</v>
      </c>
      <c r="E74">
        <v>15225.5445</v>
      </c>
      <c r="G74" s="325"/>
      <c r="H74" s="70"/>
      <c r="I74" s="154"/>
      <c r="J74" s="154"/>
      <c r="K74" s="327"/>
      <c r="L74" s="71"/>
      <c r="M74" s="100"/>
    </row>
    <row r="75" spans="3:31">
      <c r="C75" t="s">
        <v>22</v>
      </c>
      <c r="D75" s="225">
        <v>44256</v>
      </c>
      <c r="E75">
        <v>15094.5185</v>
      </c>
      <c r="G75" s="326"/>
      <c r="H75" s="66"/>
      <c r="I75" s="155"/>
      <c r="J75" s="155"/>
      <c r="K75" s="328"/>
      <c r="L75" s="67"/>
      <c r="M75" s="99"/>
    </row>
    <row r="76" spans="3:31">
      <c r="C76" t="s">
        <v>22</v>
      </c>
      <c r="D76" s="225">
        <v>44287</v>
      </c>
      <c r="E76">
        <v>14942.0915</v>
      </c>
      <c r="G76" s="329"/>
      <c r="H76" s="66"/>
      <c r="I76" s="154"/>
      <c r="J76" s="154"/>
      <c r="K76" s="331"/>
      <c r="L76" s="77"/>
      <c r="M76" s="99"/>
    </row>
    <row r="77" spans="3:31">
      <c r="C77" t="s">
        <v>22</v>
      </c>
      <c r="D77" s="225">
        <v>44317</v>
      </c>
      <c r="E77">
        <v>14942.0915</v>
      </c>
      <c r="G77" s="325"/>
      <c r="H77" s="66"/>
      <c r="I77" s="155"/>
      <c r="J77" s="155"/>
      <c r="K77" s="332"/>
      <c r="L77" s="77"/>
      <c r="M77" s="99"/>
    </row>
    <row r="78" spans="3:31">
      <c r="C78" t="s">
        <v>22</v>
      </c>
      <c r="D78" s="225">
        <v>44348</v>
      </c>
      <c r="E78">
        <v>14942.0915</v>
      </c>
      <c r="G78" s="325"/>
      <c r="H78" s="66"/>
      <c r="I78" s="155"/>
      <c r="J78" s="155"/>
      <c r="K78" s="332"/>
      <c r="L78" s="77"/>
      <c r="M78" s="99"/>
    </row>
    <row r="79" spans="3:31">
      <c r="C79" t="s">
        <v>51</v>
      </c>
      <c r="D79" s="225">
        <v>44197</v>
      </c>
      <c r="E79">
        <v>14506.211499999999</v>
      </c>
      <c r="G79" s="325"/>
      <c r="H79" s="66"/>
      <c r="I79" s="155"/>
      <c r="J79" s="155"/>
      <c r="K79" s="332"/>
      <c r="L79" s="77"/>
      <c r="M79" s="99"/>
    </row>
    <row r="80" spans="3:31">
      <c r="C80" t="s">
        <v>51</v>
      </c>
      <c r="D80" s="225">
        <v>44228</v>
      </c>
      <c r="E80">
        <v>15225.5445</v>
      </c>
      <c r="G80" s="326"/>
      <c r="H80" s="66"/>
      <c r="I80" s="155"/>
      <c r="J80" s="155"/>
      <c r="K80" s="333"/>
      <c r="L80" s="77"/>
      <c r="M80" s="68"/>
      <c r="Q80" t="s">
        <v>16</v>
      </c>
      <c r="R80" s="225">
        <v>43554</v>
      </c>
      <c r="S80">
        <v>678867.9</v>
      </c>
    </row>
    <row r="81" spans="3:19">
      <c r="C81" t="s">
        <v>51</v>
      </c>
      <c r="D81" s="225">
        <v>44256</v>
      </c>
      <c r="E81">
        <v>15094.5185</v>
      </c>
      <c r="G81" s="97"/>
      <c r="H81" s="66"/>
      <c r="I81" s="155"/>
      <c r="J81" s="155"/>
      <c r="K81" s="229"/>
      <c r="L81" s="77"/>
      <c r="M81" s="99"/>
      <c r="Q81" t="s">
        <v>16</v>
      </c>
      <c r="R81" s="225">
        <v>43707</v>
      </c>
      <c r="S81">
        <v>678867.9</v>
      </c>
    </row>
    <row r="82" spans="3:19">
      <c r="C82" t="s">
        <v>27</v>
      </c>
      <c r="D82" s="225">
        <v>44197</v>
      </c>
      <c r="E82">
        <v>14506.211499999999</v>
      </c>
      <c r="G82" s="97"/>
      <c r="H82" s="66"/>
      <c r="I82" s="155"/>
      <c r="J82" s="155"/>
      <c r="K82" s="229"/>
      <c r="L82" s="77"/>
      <c r="M82" s="117"/>
      <c r="Q82" t="s">
        <v>16</v>
      </c>
      <c r="R82" s="225">
        <v>43799</v>
      </c>
      <c r="S82">
        <v>509150.9</v>
      </c>
    </row>
    <row r="83" spans="3:19">
      <c r="C83" t="s">
        <v>27</v>
      </c>
      <c r="D83" s="225">
        <v>44228</v>
      </c>
      <c r="E83">
        <v>15225.5445</v>
      </c>
      <c r="G83" s="97"/>
      <c r="H83" s="66"/>
      <c r="I83" s="155"/>
      <c r="J83" s="155"/>
      <c r="K83" s="231"/>
      <c r="L83" s="77"/>
      <c r="M83" s="118"/>
      <c r="Q83" t="s">
        <v>16</v>
      </c>
      <c r="R83" s="225">
        <v>43889</v>
      </c>
      <c r="S83">
        <v>509150.9</v>
      </c>
    </row>
    <row r="84" spans="3:19">
      <c r="C84" t="s">
        <v>27</v>
      </c>
      <c r="D84" s="225">
        <v>44256</v>
      </c>
      <c r="E84">
        <v>15094.5185</v>
      </c>
      <c r="G84" s="316"/>
      <c r="H84" s="70"/>
      <c r="I84" s="154"/>
      <c r="J84" s="154"/>
      <c r="K84" s="314"/>
      <c r="L84" s="75"/>
      <c r="M84" s="100"/>
      <c r="Q84" t="s">
        <v>16</v>
      </c>
      <c r="R84" s="225">
        <v>43982</v>
      </c>
      <c r="S84">
        <v>678867.9</v>
      </c>
    </row>
    <row r="85" spans="3:19">
      <c r="C85" t="s">
        <v>60</v>
      </c>
      <c r="D85" s="225">
        <v>44197</v>
      </c>
      <c r="E85">
        <v>14506.211499999999</v>
      </c>
      <c r="G85" s="318"/>
      <c r="H85" s="66"/>
      <c r="I85" s="155"/>
      <c r="J85" s="155"/>
      <c r="K85" s="334"/>
      <c r="L85" s="77"/>
      <c r="M85" s="99"/>
      <c r="Q85" t="s">
        <v>16</v>
      </c>
      <c r="R85" s="225">
        <v>44165</v>
      </c>
      <c r="S85">
        <v>339434</v>
      </c>
    </row>
    <row r="86" spans="3:19">
      <c r="C86" t="s">
        <v>60</v>
      </c>
      <c r="D86" s="225">
        <v>44228</v>
      </c>
      <c r="E86">
        <v>15225.5445</v>
      </c>
      <c r="G86" s="311"/>
      <c r="H86" s="70"/>
      <c r="I86" s="154"/>
      <c r="J86" s="154"/>
      <c r="K86" s="314"/>
      <c r="L86" s="75"/>
      <c r="M86" s="100"/>
      <c r="Q86" t="s">
        <v>17</v>
      </c>
      <c r="R86" s="225">
        <v>43650</v>
      </c>
      <c r="S86">
        <v>358490.57</v>
      </c>
    </row>
    <row r="87" spans="3:19">
      <c r="C87" t="s">
        <v>60</v>
      </c>
      <c r="D87" s="225">
        <v>44256</v>
      </c>
      <c r="E87">
        <v>15094.5185</v>
      </c>
      <c r="G87" s="312"/>
      <c r="H87" s="123"/>
      <c r="I87" s="156"/>
      <c r="J87" s="156"/>
      <c r="K87" s="315"/>
      <c r="L87" s="124"/>
      <c r="M87" s="120"/>
      <c r="Q87" t="s">
        <v>17</v>
      </c>
      <c r="R87" s="225">
        <v>43707</v>
      </c>
      <c r="S87">
        <v>448113.21</v>
      </c>
    </row>
    <row r="88" spans="3:19">
      <c r="C88" t="s">
        <v>60</v>
      </c>
      <c r="D88" s="225">
        <v>44287</v>
      </c>
      <c r="E88">
        <v>14942.0915</v>
      </c>
      <c r="G88" s="312"/>
      <c r="H88" s="37"/>
      <c r="I88" s="157"/>
      <c r="J88" s="158"/>
      <c r="K88" s="315"/>
      <c r="L88" s="38"/>
      <c r="M88" s="101"/>
      <c r="Q88" t="s">
        <v>17</v>
      </c>
      <c r="R88" s="225">
        <v>43889</v>
      </c>
      <c r="S88">
        <v>89622.64</v>
      </c>
    </row>
    <row r="89" spans="3:19">
      <c r="C89" t="s">
        <v>60</v>
      </c>
      <c r="D89" s="225">
        <v>44317</v>
      </c>
      <c r="E89">
        <v>14942.0915</v>
      </c>
      <c r="G89" s="312"/>
      <c r="H89" s="34"/>
      <c r="I89" s="159"/>
      <c r="J89" s="158"/>
      <c r="K89" s="315"/>
      <c r="L89" s="35"/>
      <c r="M89" s="102"/>
      <c r="Q89" t="s">
        <v>28</v>
      </c>
      <c r="R89" s="225">
        <v>43860</v>
      </c>
      <c r="S89">
        <v>407337.35849056602</v>
      </c>
    </row>
    <row r="90" spans="3:19">
      <c r="C90" t="s">
        <v>60</v>
      </c>
      <c r="D90" s="225">
        <v>44348</v>
      </c>
      <c r="E90">
        <v>14942.0915</v>
      </c>
      <c r="G90" s="305"/>
      <c r="H90" s="70"/>
      <c r="I90" s="154"/>
      <c r="J90" s="154"/>
      <c r="K90" s="314"/>
      <c r="L90" s="75"/>
      <c r="M90" s="100"/>
      <c r="Q90" t="s">
        <v>28</v>
      </c>
      <c r="R90" s="225">
        <v>43920</v>
      </c>
      <c r="S90">
        <v>407337.35849056602</v>
      </c>
    </row>
    <row r="91" spans="3:19">
      <c r="C91" t="s">
        <v>84</v>
      </c>
      <c r="D91" s="225">
        <v>44197</v>
      </c>
      <c r="E91">
        <v>14506.211499999999</v>
      </c>
      <c r="G91" s="306"/>
      <c r="H91" s="66"/>
      <c r="I91" s="155"/>
      <c r="J91" s="155"/>
      <c r="K91" s="315"/>
      <c r="L91" s="77"/>
      <c r="M91" s="99"/>
      <c r="Q91" t="s">
        <v>28</v>
      </c>
      <c r="R91" s="225">
        <v>44012</v>
      </c>
      <c r="S91">
        <v>407337.35849056602</v>
      </c>
    </row>
    <row r="92" spans="3:19">
      <c r="C92" t="s">
        <v>84</v>
      </c>
      <c r="D92" s="225">
        <v>44228</v>
      </c>
      <c r="E92">
        <v>15225.5445</v>
      </c>
      <c r="G92" s="306"/>
      <c r="H92" s="70"/>
      <c r="I92" s="154"/>
      <c r="J92" s="154"/>
      <c r="K92" s="315"/>
      <c r="L92" s="75"/>
      <c r="M92" s="100"/>
      <c r="Q92" t="s">
        <v>28</v>
      </c>
      <c r="R92" s="225">
        <v>44135</v>
      </c>
      <c r="S92">
        <v>611006.03773584904</v>
      </c>
    </row>
    <row r="93" spans="3:19">
      <c r="C93" t="s">
        <v>84</v>
      </c>
      <c r="D93" s="225">
        <v>44256</v>
      </c>
      <c r="E93">
        <v>15094.5185</v>
      </c>
      <c r="G93" s="307"/>
      <c r="H93" s="34"/>
      <c r="I93" s="159"/>
      <c r="J93" s="159"/>
      <c r="K93" s="315"/>
      <c r="L93" s="35"/>
      <c r="M93" s="208"/>
      <c r="Q93" t="s">
        <v>28</v>
      </c>
      <c r="R93" s="225">
        <v>44139</v>
      </c>
      <c r="S93">
        <v>203668.67924528301</v>
      </c>
    </row>
    <row r="94" spans="3:19">
      <c r="C94" t="s">
        <v>84</v>
      </c>
      <c r="D94" s="225">
        <v>44287</v>
      </c>
      <c r="E94">
        <v>14942.0915</v>
      </c>
      <c r="G94" s="316"/>
      <c r="H94" s="70"/>
      <c r="I94" s="154"/>
      <c r="J94" s="154"/>
      <c r="K94" s="319"/>
      <c r="L94" s="75"/>
      <c r="M94" s="119"/>
      <c r="Q94" t="s">
        <v>67</v>
      </c>
      <c r="R94" s="225">
        <v>44073</v>
      </c>
      <c r="S94">
        <v>122641.50943396226</v>
      </c>
    </row>
    <row r="95" spans="3:19">
      <c r="C95" t="s">
        <v>84</v>
      </c>
      <c r="D95" s="225">
        <v>44317</v>
      </c>
      <c r="E95">
        <v>14942.0915</v>
      </c>
      <c r="G95" s="317"/>
      <c r="H95" s="66"/>
      <c r="I95" s="155"/>
      <c r="J95" s="155"/>
      <c r="K95" s="320"/>
      <c r="L95" s="77"/>
      <c r="M95" s="120"/>
      <c r="Q95" t="s">
        <v>73</v>
      </c>
      <c r="R95" s="225">
        <v>44050</v>
      </c>
      <c r="S95">
        <v>75471.698113207545</v>
      </c>
    </row>
    <row r="96" spans="3:19">
      <c r="C96" t="s">
        <v>84</v>
      </c>
      <c r="D96" s="225">
        <v>44348</v>
      </c>
      <c r="E96">
        <v>14941.0915</v>
      </c>
      <c r="G96" s="318"/>
      <c r="H96" s="126"/>
      <c r="I96" s="161"/>
      <c r="J96" s="160"/>
      <c r="K96" s="321"/>
      <c r="L96" s="124"/>
      <c r="M96" s="104"/>
      <c r="Q96" t="s">
        <v>74</v>
      </c>
      <c r="R96" s="225">
        <v>44104</v>
      </c>
      <c r="S96">
        <v>80188.679245283012</v>
      </c>
    </row>
    <row r="97" spans="3:19">
      <c r="C97" t="s">
        <v>84</v>
      </c>
      <c r="D97" s="225">
        <v>44378</v>
      </c>
      <c r="E97">
        <v>14940.0915</v>
      </c>
      <c r="G97" s="322"/>
      <c r="H97" s="70"/>
      <c r="I97" s="154"/>
      <c r="J97" s="154"/>
      <c r="K97" s="319"/>
      <c r="L97" s="75"/>
      <c r="M97" s="120"/>
      <c r="Q97" t="s">
        <v>19</v>
      </c>
      <c r="R97" s="225">
        <v>43799</v>
      </c>
      <c r="S97">
        <v>121500</v>
      </c>
    </row>
    <row r="98" spans="3:19">
      <c r="C98" t="s">
        <v>84</v>
      </c>
      <c r="D98" s="225">
        <v>44409</v>
      </c>
      <c r="E98">
        <v>14939.0915</v>
      </c>
      <c r="G98" s="323"/>
      <c r="H98" s="70"/>
      <c r="I98" s="154"/>
      <c r="J98" s="154"/>
      <c r="K98" s="320"/>
      <c r="L98" s="75"/>
      <c r="M98" s="121"/>
      <c r="Q98" t="s">
        <v>19</v>
      </c>
      <c r="R98" s="225">
        <v>43799</v>
      </c>
      <c r="S98">
        <v>121500</v>
      </c>
    </row>
    <row r="99" spans="3:19">
      <c r="C99" t="s">
        <v>84</v>
      </c>
      <c r="D99" s="225">
        <v>44440</v>
      </c>
      <c r="E99">
        <v>14938.0915</v>
      </c>
      <c r="G99" s="324"/>
      <c r="H99" s="70"/>
      <c r="I99" s="154"/>
      <c r="J99" s="154"/>
      <c r="K99" s="321"/>
      <c r="L99" s="77"/>
      <c r="M99" s="121"/>
      <c r="Q99" t="s">
        <v>22</v>
      </c>
      <c r="R99" s="225">
        <v>43768</v>
      </c>
      <c r="S99">
        <v>438679.24528301886</v>
      </c>
    </row>
    <row r="100" spans="3:19">
      <c r="C100" t="s">
        <v>84</v>
      </c>
      <c r="D100" s="225">
        <v>44470</v>
      </c>
      <c r="E100">
        <v>14937.0915</v>
      </c>
      <c r="G100" s="316"/>
      <c r="H100" s="126"/>
      <c r="I100" s="161"/>
      <c r="J100" s="161"/>
      <c r="K100" s="319"/>
      <c r="L100" s="77"/>
      <c r="M100" s="99"/>
      <c r="Q100" t="s">
        <v>22</v>
      </c>
      <c r="R100" s="225">
        <v>44165</v>
      </c>
      <c r="S100">
        <v>438679.24528301886</v>
      </c>
    </row>
    <row r="101" spans="3:19">
      <c r="C101" t="s">
        <v>84</v>
      </c>
      <c r="D101" s="225">
        <v>44501</v>
      </c>
      <c r="E101">
        <v>14936.0915</v>
      </c>
      <c r="G101" s="317"/>
      <c r="H101" s="126"/>
      <c r="I101" s="161"/>
      <c r="J101" s="161"/>
      <c r="K101" s="320"/>
      <c r="L101" s="77"/>
      <c r="M101" s="99"/>
      <c r="Q101" t="s">
        <v>22</v>
      </c>
      <c r="R101" s="225">
        <v>44500</v>
      </c>
      <c r="S101">
        <v>438679.24528301886</v>
      </c>
    </row>
    <row r="102" spans="3:19">
      <c r="C102" t="s">
        <v>84</v>
      </c>
      <c r="D102" s="225">
        <v>44531</v>
      </c>
      <c r="E102">
        <v>14935.0915</v>
      </c>
      <c r="G102" s="318"/>
      <c r="H102" s="70"/>
      <c r="I102" s="154"/>
      <c r="J102" s="154"/>
      <c r="K102" s="321"/>
      <c r="L102" s="77"/>
      <c r="M102" s="99"/>
      <c r="Q102" t="s">
        <v>22</v>
      </c>
      <c r="R102" s="225">
        <v>44681</v>
      </c>
      <c r="S102">
        <v>146226.41509433961</v>
      </c>
    </row>
    <row r="103" spans="3:19">
      <c r="C103" t="s">
        <v>134</v>
      </c>
      <c r="D103" s="225">
        <v>44197</v>
      </c>
      <c r="E103">
        <v>29012.422999999999</v>
      </c>
      <c r="G103" s="305"/>
      <c r="H103" s="126"/>
      <c r="I103" s="161"/>
      <c r="J103" s="161"/>
      <c r="K103" s="308"/>
      <c r="L103" s="124"/>
      <c r="M103" s="120"/>
      <c r="Q103" t="s">
        <v>27</v>
      </c>
      <c r="R103" s="225">
        <v>43799</v>
      </c>
      <c r="S103">
        <v>633962.26415094337</v>
      </c>
    </row>
    <row r="104" spans="3:19">
      <c r="C104" t="s">
        <v>134</v>
      </c>
      <c r="D104" s="225">
        <v>44228</v>
      </c>
      <c r="E104">
        <v>30451.089</v>
      </c>
      <c r="G104" s="306"/>
      <c r="H104" s="66"/>
      <c r="I104" s="154"/>
      <c r="J104" s="154"/>
      <c r="K104" s="309"/>
      <c r="L104" s="77"/>
      <c r="M104" s="99"/>
      <c r="Q104" t="s">
        <v>27</v>
      </c>
      <c r="R104" s="225">
        <v>44165</v>
      </c>
      <c r="S104">
        <v>316981.13207547169</v>
      </c>
    </row>
    <row r="105" spans="3:19">
      <c r="C105" t="s">
        <v>134</v>
      </c>
      <c r="D105" s="225">
        <v>44256</v>
      </c>
      <c r="E105">
        <v>30189.037</v>
      </c>
      <c r="G105" s="307"/>
      <c r="H105" s="28"/>
      <c r="I105" s="162"/>
      <c r="J105" s="162"/>
      <c r="K105" s="310"/>
      <c r="L105" s="35"/>
      <c r="M105" s="102"/>
      <c r="Q105" t="s">
        <v>27</v>
      </c>
      <c r="R105" s="225">
        <v>44285</v>
      </c>
      <c r="S105">
        <v>475471.69811320747</v>
      </c>
    </row>
    <row r="106" spans="3:19">
      <c r="C106" t="s">
        <v>134</v>
      </c>
      <c r="D106" s="225">
        <v>44287</v>
      </c>
      <c r="E106">
        <v>44978.701500000003</v>
      </c>
      <c r="G106" s="305"/>
      <c r="H106" s="70"/>
      <c r="I106" s="155"/>
      <c r="J106" s="155"/>
      <c r="K106" s="308"/>
      <c r="L106" s="77"/>
      <c r="M106" s="68"/>
      <c r="Q106" t="s">
        <v>27</v>
      </c>
      <c r="R106" s="225">
        <v>44469</v>
      </c>
      <c r="S106">
        <v>158490.56603773584</v>
      </c>
    </row>
    <row r="107" spans="3:19">
      <c r="C107" t="s">
        <v>134</v>
      </c>
      <c r="D107" s="225">
        <v>44317</v>
      </c>
      <c r="E107">
        <v>59920.793000000005</v>
      </c>
      <c r="G107" s="306"/>
      <c r="H107" s="30"/>
      <c r="I107" s="157"/>
      <c r="J107" s="157"/>
      <c r="K107" s="309"/>
      <c r="L107" s="31"/>
      <c r="M107" s="32"/>
      <c r="Q107" t="s">
        <v>49</v>
      </c>
      <c r="R107" s="225">
        <v>44058</v>
      </c>
      <c r="S107">
        <v>339622.64150943398</v>
      </c>
    </row>
    <row r="108" spans="3:19">
      <c r="C108" t="s">
        <v>134</v>
      </c>
      <c r="D108" s="225">
        <v>44348</v>
      </c>
      <c r="E108">
        <v>59920.793000000005</v>
      </c>
      <c r="G108" s="307"/>
      <c r="H108" s="28"/>
      <c r="I108" s="159"/>
      <c r="J108" s="159"/>
      <c r="K108" s="310"/>
      <c r="L108" s="35"/>
      <c r="M108" s="33"/>
      <c r="Q108" t="s">
        <v>49</v>
      </c>
      <c r="R108" s="225">
        <v>44104</v>
      </c>
      <c r="S108">
        <v>679245.28301886795</v>
      </c>
    </row>
    <row r="109" spans="3:19">
      <c r="C109" t="s">
        <v>134</v>
      </c>
      <c r="D109" s="225">
        <v>44378</v>
      </c>
      <c r="E109">
        <v>59920.793000000005</v>
      </c>
      <c r="G109" s="311"/>
      <c r="H109" s="70"/>
      <c r="I109" s="154"/>
      <c r="J109" s="154"/>
      <c r="K109" s="308"/>
      <c r="L109" s="77"/>
      <c r="M109" s="68"/>
      <c r="Q109" t="s">
        <v>49</v>
      </c>
      <c r="R109" s="225">
        <v>44196</v>
      </c>
      <c r="S109">
        <v>113207.54716981133</v>
      </c>
    </row>
    <row r="110" spans="3:19">
      <c r="C110" t="s">
        <v>134</v>
      </c>
      <c r="D110" s="225">
        <v>44409</v>
      </c>
      <c r="E110">
        <v>59920.793000000005</v>
      </c>
      <c r="G110" s="312"/>
      <c r="H110" s="28"/>
      <c r="I110" s="162"/>
      <c r="J110" s="162"/>
      <c r="K110" s="309"/>
      <c r="L110" s="35"/>
      <c r="M110" s="33"/>
      <c r="Q110" t="s">
        <v>51</v>
      </c>
      <c r="R110" s="225">
        <v>44042</v>
      </c>
      <c r="S110">
        <v>377357.73584905663</v>
      </c>
    </row>
    <row r="111" spans="3:19">
      <c r="C111" t="s">
        <v>134</v>
      </c>
      <c r="D111" s="225">
        <v>44440</v>
      </c>
      <c r="E111">
        <v>59920.793000000005</v>
      </c>
      <c r="G111" s="313"/>
      <c r="H111" s="37"/>
      <c r="I111" s="157"/>
      <c r="J111" s="157"/>
      <c r="K111" s="310"/>
      <c r="L111" s="31"/>
      <c r="M111" s="32"/>
      <c r="Q111" t="s">
        <v>51</v>
      </c>
      <c r="R111" s="225">
        <v>44104</v>
      </c>
      <c r="S111">
        <v>471697.16981132072</v>
      </c>
    </row>
    <row r="112" spans="3:19">
      <c r="C112" t="s">
        <v>134</v>
      </c>
      <c r="D112" s="225">
        <v>44470</v>
      </c>
      <c r="E112">
        <v>59920.793000000005</v>
      </c>
      <c r="G112" s="305"/>
      <c r="H112" s="28"/>
      <c r="I112" s="162"/>
      <c r="J112" s="162"/>
      <c r="K112" s="308"/>
      <c r="L112" s="111"/>
      <c r="M112" s="102"/>
      <c r="Q112" t="s">
        <v>51</v>
      </c>
      <c r="R112" s="225">
        <v>44139</v>
      </c>
      <c r="S112">
        <v>94339.433962264156</v>
      </c>
    </row>
    <row r="113" spans="3:19">
      <c r="C113" t="s">
        <v>134</v>
      </c>
      <c r="D113" s="225">
        <v>44501</v>
      </c>
      <c r="E113">
        <v>59920.793000000005</v>
      </c>
      <c r="G113" s="306"/>
      <c r="H113" s="37"/>
      <c r="I113" s="157"/>
      <c r="J113" s="157"/>
      <c r="K113" s="309"/>
      <c r="L113" s="38"/>
      <c r="M113" s="32"/>
      <c r="Q113" t="s">
        <v>60</v>
      </c>
      <c r="R113" s="225">
        <v>44104</v>
      </c>
      <c r="S113">
        <v>579056.60377358482</v>
      </c>
    </row>
    <row r="114" spans="3:19">
      <c r="C114" t="s">
        <v>134</v>
      </c>
      <c r="D114" s="225">
        <v>44531</v>
      </c>
      <c r="E114">
        <v>59920.793000000005</v>
      </c>
      <c r="F114">
        <v>-14506.211499999999</v>
      </c>
      <c r="G114" s="307"/>
      <c r="H114" s="28"/>
      <c r="I114" s="162"/>
      <c r="J114" s="162"/>
      <c r="K114" s="310"/>
      <c r="L114" s="35"/>
      <c r="M114" s="33"/>
      <c r="Q114" t="s">
        <v>60</v>
      </c>
      <c r="R114" s="225">
        <v>44165</v>
      </c>
      <c r="S114">
        <v>965094.33962264145</v>
      </c>
    </row>
    <row r="115" spans="3:19">
      <c r="C115" t="s">
        <v>133</v>
      </c>
      <c r="D115" s="225">
        <v>44197</v>
      </c>
      <c r="E115">
        <v>14506.211499999999</v>
      </c>
      <c r="G115" s="305"/>
      <c r="H115" s="28"/>
      <c r="I115" s="157"/>
      <c r="J115" s="157"/>
      <c r="K115" s="308"/>
      <c r="L115" s="35"/>
      <c r="M115" s="33"/>
      <c r="Q115" t="s">
        <v>60</v>
      </c>
      <c r="R115" s="225">
        <v>44316</v>
      </c>
      <c r="S115">
        <v>386037.73584905663</v>
      </c>
    </row>
    <row r="116" spans="3:19">
      <c r="C116" t="s">
        <v>133</v>
      </c>
      <c r="D116" s="225">
        <v>44228</v>
      </c>
      <c r="E116">
        <v>15225.5445</v>
      </c>
      <c r="F116">
        <v>-74708.457500000004</v>
      </c>
      <c r="G116" s="307"/>
      <c r="H116" s="28"/>
      <c r="I116" s="157"/>
      <c r="J116" s="157"/>
      <c r="K116" s="309"/>
      <c r="L116" s="35"/>
      <c r="M116" s="33"/>
      <c r="Q116" t="s">
        <v>64</v>
      </c>
      <c r="R116" s="225">
        <v>44180</v>
      </c>
      <c r="S116">
        <v>208806.22641509431</v>
      </c>
    </row>
    <row r="117" spans="3:19">
      <c r="C117" t="s">
        <v>133</v>
      </c>
      <c r="D117" s="225">
        <v>44256</v>
      </c>
      <c r="E117">
        <v>15094.5185</v>
      </c>
      <c r="F117">
        <v>-145062.11499999999</v>
      </c>
      <c r="G117" s="305"/>
      <c r="H117" s="28"/>
      <c r="I117" s="162"/>
      <c r="J117" s="162"/>
      <c r="K117" s="309"/>
      <c r="L117" s="35"/>
      <c r="M117" s="33"/>
      <c r="N117">
        <v>-164363.00650000002</v>
      </c>
      <c r="O117">
        <v>-164363.00650000002</v>
      </c>
      <c r="P117">
        <v>-164363.00650000002</v>
      </c>
      <c r="Q117" t="s">
        <v>64</v>
      </c>
      <c r="R117" s="225">
        <v>44331</v>
      </c>
      <c r="S117">
        <v>1044031.1320754716</v>
      </c>
    </row>
    <row r="118" spans="3:19">
      <c r="C118" t="s">
        <v>133</v>
      </c>
      <c r="D118" s="225">
        <v>44287</v>
      </c>
      <c r="E118">
        <v>30036.61</v>
      </c>
      <c r="G118" s="306"/>
      <c r="H118" s="28"/>
      <c r="I118" s="162"/>
      <c r="J118" s="162"/>
      <c r="K118" s="309"/>
      <c r="L118" s="35"/>
      <c r="M118" s="33"/>
      <c r="Q118" t="s">
        <v>64</v>
      </c>
      <c r="R118" s="225">
        <v>44454</v>
      </c>
      <c r="S118">
        <v>139204.15094339623</v>
      </c>
    </row>
    <row r="119" spans="3:19">
      <c r="C119" t="s">
        <v>133</v>
      </c>
      <c r="D119" s="225">
        <v>44317</v>
      </c>
      <c r="E119">
        <v>30036.61</v>
      </c>
      <c r="G119" s="306"/>
      <c r="H119" s="28"/>
      <c r="I119" s="162"/>
      <c r="J119" s="162"/>
      <c r="K119" s="309"/>
      <c r="L119" s="35"/>
      <c r="M119" s="33"/>
      <c r="Q119" t="s">
        <v>70</v>
      </c>
      <c r="R119" s="225">
        <v>44256</v>
      </c>
      <c r="S119">
        <v>392452.83018867928</v>
      </c>
    </row>
    <row r="120" spans="3:19">
      <c r="C120" t="s">
        <v>173</v>
      </c>
      <c r="D120" s="225">
        <v>44378</v>
      </c>
      <c r="E120">
        <v>74708.457500000004</v>
      </c>
      <c r="G120" s="307"/>
      <c r="H120" s="28"/>
      <c r="I120" s="162"/>
      <c r="J120" s="162"/>
      <c r="K120" s="310"/>
      <c r="L120" s="35"/>
      <c r="M120" s="33"/>
      <c r="Q120" t="s">
        <v>70</v>
      </c>
      <c r="R120" s="225">
        <v>44499</v>
      </c>
      <c r="S120">
        <v>1177358.4905660376</v>
      </c>
    </row>
    <row r="121" spans="3:19">
      <c r="C121" t="s">
        <v>173</v>
      </c>
      <c r="D121" s="225">
        <v>44409</v>
      </c>
      <c r="E121">
        <v>74708.457500000004</v>
      </c>
      <c r="Q121" t="s">
        <v>70</v>
      </c>
      <c r="R121" s="225">
        <v>44652</v>
      </c>
      <c r="S121">
        <v>392452.83018867928</v>
      </c>
    </row>
    <row r="122" spans="3:19">
      <c r="C122" t="s">
        <v>173</v>
      </c>
      <c r="D122" s="225">
        <v>44440</v>
      </c>
      <c r="E122">
        <v>74708.457500000004</v>
      </c>
      <c r="Q122" t="s">
        <v>133</v>
      </c>
      <c r="R122" s="225">
        <v>44287</v>
      </c>
      <c r="S122">
        <v>320754.71698113205</v>
      </c>
    </row>
    <row r="123" spans="3:19">
      <c r="C123" t="s">
        <v>173</v>
      </c>
      <c r="D123" s="225">
        <v>44470</v>
      </c>
      <c r="E123">
        <v>74708.457500000004</v>
      </c>
      <c r="Q123" t="s">
        <v>133</v>
      </c>
      <c r="R123" s="225">
        <v>44377</v>
      </c>
      <c r="S123">
        <v>801886.79245283012</v>
      </c>
    </row>
    <row r="124" spans="3:19">
      <c r="C124" t="s">
        <v>173</v>
      </c>
      <c r="D124" s="225">
        <v>44501</v>
      </c>
      <c r="E124">
        <v>74708.457500000004</v>
      </c>
      <c r="Q124" t="s">
        <v>133</v>
      </c>
      <c r="R124" s="225">
        <v>44377</v>
      </c>
      <c r="S124">
        <v>481132.07547169807</v>
      </c>
    </row>
    <row r="125" spans="3:19">
      <c r="C125" t="s">
        <v>173</v>
      </c>
      <c r="D125" s="225">
        <v>44531</v>
      </c>
      <c r="E125">
        <v>74708.457500000004</v>
      </c>
      <c r="Q125" t="s">
        <v>84</v>
      </c>
      <c r="R125" s="225">
        <v>44560</v>
      </c>
      <c r="S125">
        <v>325471.69811320753</v>
      </c>
    </row>
    <row r="126" spans="3:19">
      <c r="C126" t="s">
        <v>175</v>
      </c>
      <c r="D126" s="225">
        <v>44348</v>
      </c>
      <c r="E126">
        <v>14942.0915</v>
      </c>
      <c r="Q126" t="s">
        <v>84</v>
      </c>
      <c r="R126" s="225">
        <v>44681</v>
      </c>
      <c r="S126">
        <v>433962.26415094343</v>
      </c>
    </row>
    <row r="127" spans="3:19">
      <c r="C127" t="s">
        <v>151</v>
      </c>
      <c r="D127" s="225">
        <v>44197</v>
      </c>
      <c r="E127">
        <v>145062.11499999999</v>
      </c>
      <c r="Q127" t="s">
        <v>84</v>
      </c>
      <c r="R127" s="225">
        <v>44864</v>
      </c>
      <c r="S127">
        <v>216981.13207547172</v>
      </c>
    </row>
    <row r="128" spans="3:19">
      <c r="C128" t="s">
        <v>151</v>
      </c>
      <c r="D128" s="225">
        <v>44228</v>
      </c>
      <c r="E128">
        <v>152255.44500000001</v>
      </c>
      <c r="Q128" t="s">
        <v>194</v>
      </c>
      <c r="R128" s="225">
        <v>44499</v>
      </c>
      <c r="S128">
        <v>3514150.943396226</v>
      </c>
    </row>
    <row r="129" spans="3:19">
      <c r="C129" t="s">
        <v>151</v>
      </c>
      <c r="D129" s="225">
        <v>44256</v>
      </c>
      <c r="E129">
        <v>150945.185</v>
      </c>
      <c r="Q129" t="s">
        <v>194</v>
      </c>
      <c r="R129" s="225">
        <v>44560</v>
      </c>
      <c r="S129">
        <v>3514150.943396226</v>
      </c>
    </row>
    <row r="130" spans="3:19">
      <c r="C130" t="s">
        <v>151</v>
      </c>
      <c r="D130" s="225">
        <v>44287</v>
      </c>
      <c r="E130">
        <v>140538</v>
      </c>
      <c r="Q130" t="s">
        <v>196</v>
      </c>
      <c r="R130" s="225">
        <v>44651</v>
      </c>
      <c r="S130">
        <v>305660.37735849054</v>
      </c>
    </row>
    <row r="131" spans="3:19">
      <c r="C131" t="s">
        <v>151</v>
      </c>
      <c r="D131" s="225">
        <v>44317</v>
      </c>
      <c r="E131">
        <v>149420.91500000001</v>
      </c>
      <c r="Q131" t="s">
        <v>196</v>
      </c>
      <c r="R131" s="225">
        <v>44834</v>
      </c>
      <c r="S131">
        <v>382075.47169811319</v>
      </c>
    </row>
    <row r="132" spans="3:19">
      <c r="C132" t="s">
        <v>151</v>
      </c>
      <c r="D132" s="225">
        <v>44348</v>
      </c>
      <c r="E132">
        <v>149420.91500000001</v>
      </c>
      <c r="Q132" t="s">
        <v>196</v>
      </c>
      <c r="R132" s="225">
        <v>45016</v>
      </c>
      <c r="S132">
        <v>76415.094339622636</v>
      </c>
    </row>
    <row r="133" spans="3:19">
      <c r="C133" t="s">
        <v>151</v>
      </c>
      <c r="D133" s="225">
        <v>44378</v>
      </c>
      <c r="E133">
        <v>164363.00650000002</v>
      </c>
    </row>
    <row r="134" spans="3:19">
      <c r="C134" t="s">
        <v>151</v>
      </c>
      <c r="D134" s="225">
        <v>44409</v>
      </c>
      <c r="E134">
        <v>164363.00650000002</v>
      </c>
    </row>
    <row r="135" spans="3:19">
      <c r="C135" t="s">
        <v>151</v>
      </c>
      <c r="D135" s="225">
        <v>44440</v>
      </c>
      <c r="E135">
        <v>164363.00650000002</v>
      </c>
    </row>
    <row r="136" spans="3:19">
      <c r="C136" t="s">
        <v>151</v>
      </c>
      <c r="D136" s="225">
        <v>44470</v>
      </c>
      <c r="E136">
        <v>164363.00650000002</v>
      </c>
    </row>
    <row r="137" spans="3:19">
      <c r="C137" t="s">
        <v>151</v>
      </c>
      <c r="D137" s="225">
        <v>44501</v>
      </c>
      <c r="E137">
        <v>164363.00650000002</v>
      </c>
    </row>
    <row r="138" spans="3:19">
      <c r="C138" t="s">
        <v>151</v>
      </c>
      <c r="D138" s="225">
        <v>44531</v>
      </c>
      <c r="E138">
        <v>164363.00650000002</v>
      </c>
    </row>
  </sheetData>
  <mergeCells count="43">
    <mergeCell ref="G112:G114"/>
    <mergeCell ref="K112:K114"/>
    <mergeCell ref="G115:G116"/>
    <mergeCell ref="K115:K116"/>
    <mergeCell ref="G117:G120"/>
    <mergeCell ref="K117:K120"/>
    <mergeCell ref="G103:G105"/>
    <mergeCell ref="K103:K105"/>
    <mergeCell ref="G106:G108"/>
    <mergeCell ref="K106:K108"/>
    <mergeCell ref="G109:G111"/>
    <mergeCell ref="K109:K111"/>
    <mergeCell ref="G94:G96"/>
    <mergeCell ref="K94:K96"/>
    <mergeCell ref="G97:G99"/>
    <mergeCell ref="K97:K99"/>
    <mergeCell ref="G100:G102"/>
    <mergeCell ref="K100:K102"/>
    <mergeCell ref="G84:G85"/>
    <mergeCell ref="K84:K85"/>
    <mergeCell ref="G86:G89"/>
    <mergeCell ref="K86:K89"/>
    <mergeCell ref="G90:G93"/>
    <mergeCell ref="K90:K93"/>
    <mergeCell ref="G67:G72"/>
    <mergeCell ref="K67:K72"/>
    <mergeCell ref="G73:G75"/>
    <mergeCell ref="K73:K75"/>
    <mergeCell ref="G76:G80"/>
    <mergeCell ref="K76:K80"/>
    <mergeCell ref="H30:H31"/>
    <mergeCell ref="H32:H35"/>
    <mergeCell ref="H36:H39"/>
    <mergeCell ref="H13:H18"/>
    <mergeCell ref="H19:H21"/>
    <mergeCell ref="H22:H26"/>
    <mergeCell ref="H58:H60"/>
    <mergeCell ref="H49:H51"/>
    <mergeCell ref="H52:H54"/>
    <mergeCell ref="H55:H57"/>
    <mergeCell ref="H40:H42"/>
    <mergeCell ref="H43:H45"/>
    <mergeCell ref="H46:H48"/>
  </mergeCells>
  <phoneticPr fontId="28" type="noConversion"/>
  <conditionalFormatting sqref="Y14:Z70">
    <cfRule type="cellIs" dxfId="1" priority="2" operator="equal">
      <formula>0</formula>
    </cfRule>
  </conditionalFormatting>
  <conditionalFormatting sqref="A137:XFD1048576 A134:P136 T134:XFD136 A1:XFD133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 Data</vt:lpstr>
      <vt:lpstr>Billing Status</vt:lpstr>
      <vt:lpstr>Sheet1</vt:lpstr>
      <vt:lpstr>Sheet2</vt:lpstr>
      <vt:lpstr>Billing Status_Digital Projects</vt:lpstr>
      <vt:lpstr>Profit Estimation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2021-10-28T10:00:24Z</dcterms:modified>
</cp:coreProperties>
</file>